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bta\Desktop\"/>
    </mc:Choice>
  </mc:AlternateContent>
  <bookViews>
    <workbookView xWindow="240" yWindow="105" windowWidth="14805" windowHeight="8010" activeTab="1"/>
  </bookViews>
  <sheets>
    <sheet name="Feuil1" sheetId="1" r:id="rId1"/>
    <sheet name="Feuil3" sheetId="2" r:id="rId2"/>
  </sheets>
  <externalReferences>
    <externalReference r:id="rId3"/>
    <externalReference r:id="rId4"/>
  </externalReferences>
  <definedNames>
    <definedName name="PeriodStart">'[1]Request Form'!$C$2</definedName>
  </definedNames>
  <calcPr calcId="152511"/>
</workbook>
</file>

<file path=xl/calcChain.xml><?xml version="1.0" encoding="utf-8"?>
<calcChain xmlns="http://schemas.openxmlformats.org/spreadsheetml/2006/main">
  <c r="B822" i="2" l="1"/>
  <c r="B821" i="2"/>
  <c r="B820" i="2"/>
  <c r="B819" i="2"/>
  <c r="B818" i="2"/>
  <c r="B817" i="2"/>
  <c r="B816" i="2"/>
  <c r="B815" i="2"/>
  <c r="B814" i="2"/>
  <c r="B813" i="2"/>
  <c r="B812" i="2"/>
  <c r="B811" i="2"/>
  <c r="B810" i="2"/>
  <c r="B809" i="2"/>
  <c r="B808" i="2"/>
  <c r="B807" i="2"/>
  <c r="B806" i="2"/>
  <c r="B805" i="2"/>
  <c r="B804" i="2"/>
  <c r="B803" i="2"/>
  <c r="B802" i="2"/>
  <c r="B801" i="2"/>
  <c r="B800" i="2"/>
  <c r="B799" i="2"/>
  <c r="B798" i="2"/>
  <c r="B797" i="2"/>
  <c r="B796" i="2"/>
  <c r="B795" i="2"/>
  <c r="B794" i="2"/>
  <c r="B793" i="2"/>
  <c r="B792" i="2"/>
  <c r="B791" i="2"/>
  <c r="B790" i="2"/>
  <c r="B789" i="2"/>
  <c r="B788" i="2"/>
  <c r="B787" i="2"/>
  <c r="B786" i="2"/>
  <c r="B785" i="2"/>
  <c r="B784" i="2"/>
  <c r="B783" i="2"/>
  <c r="B782" i="2"/>
  <c r="B781" i="2"/>
  <c r="B780" i="2"/>
  <c r="B779" i="2"/>
  <c r="B778" i="2"/>
  <c r="B777" i="2"/>
  <c r="B776" i="2"/>
  <c r="B775" i="2"/>
  <c r="B774" i="2"/>
  <c r="B773" i="2"/>
  <c r="B772" i="2"/>
  <c r="B771" i="2"/>
  <c r="B770" i="2"/>
  <c r="B769" i="2"/>
  <c r="B768" i="2"/>
  <c r="B767" i="2"/>
  <c r="B766" i="2"/>
  <c r="B765" i="2"/>
  <c r="B764" i="2"/>
  <c r="B763" i="2"/>
  <c r="B762" i="2"/>
  <c r="B761" i="2"/>
  <c r="B760" i="2"/>
  <c r="B758" i="2"/>
  <c r="B757" i="2"/>
  <c r="B756" i="2"/>
  <c r="B755" i="2"/>
  <c r="B754" i="2"/>
  <c r="B753" i="2"/>
  <c r="B752" i="2"/>
  <c r="B751" i="2"/>
  <c r="B750" i="2"/>
  <c r="B749" i="2"/>
  <c r="B748" i="2"/>
  <c r="B747" i="2"/>
  <c r="B746" i="2"/>
  <c r="B745" i="2"/>
  <c r="B744" i="2"/>
  <c r="B743" i="2"/>
  <c r="B742" i="2"/>
  <c r="B741" i="2"/>
  <c r="B740" i="2"/>
  <c r="B739" i="2"/>
  <c r="B738" i="2"/>
  <c r="B737" i="2"/>
  <c r="B736" i="2"/>
  <c r="B735" i="2"/>
  <c r="B734" i="2"/>
  <c r="B733" i="2"/>
  <c r="B732" i="2"/>
  <c r="B731" i="2"/>
  <c r="B730" i="2"/>
  <c r="B729" i="2"/>
  <c r="B728" i="2"/>
  <c r="B727" i="2"/>
  <c r="B726" i="2"/>
  <c r="B725" i="2"/>
  <c r="B724" i="2"/>
  <c r="B723" i="2"/>
  <c r="B722" i="2"/>
  <c r="B721" i="2"/>
  <c r="B720" i="2"/>
  <c r="B719" i="2"/>
  <c r="B718" i="2"/>
  <c r="B717" i="2"/>
  <c r="B716" i="2"/>
  <c r="B715" i="2"/>
  <c r="B714" i="2"/>
  <c r="B713" i="2"/>
  <c r="B712" i="2"/>
  <c r="B711" i="2"/>
  <c r="B710" i="2"/>
  <c r="B709" i="2"/>
  <c r="B708" i="2"/>
  <c r="B707" i="2"/>
  <c r="B706" i="2"/>
  <c r="B705" i="2"/>
  <c r="B704" i="2"/>
  <c r="B703" i="2"/>
  <c r="B702" i="2"/>
  <c r="B701" i="2"/>
  <c r="B700" i="2"/>
  <c r="B699" i="2"/>
  <c r="B698" i="2"/>
  <c r="B697" i="2"/>
  <c r="B696" i="2"/>
  <c r="B695" i="2"/>
  <c r="B694" i="2"/>
  <c r="B693" i="2"/>
  <c r="B692" i="2"/>
  <c r="B690" i="2"/>
  <c r="B689" i="2"/>
  <c r="B688" i="2"/>
  <c r="B687" i="2"/>
  <c r="B686" i="2"/>
  <c r="B685" i="2"/>
  <c r="B684" i="2"/>
  <c r="B683" i="2"/>
  <c r="B682" i="2"/>
  <c r="B681" i="2"/>
  <c r="B680" i="2"/>
  <c r="B679" i="2"/>
  <c r="B678" i="2"/>
  <c r="B677" i="2"/>
  <c r="B676" i="2"/>
  <c r="B675" i="2"/>
  <c r="B674" i="2"/>
  <c r="B673" i="2"/>
  <c r="B672" i="2"/>
  <c r="B671" i="2"/>
  <c r="B670" i="2"/>
  <c r="B669" i="2"/>
  <c r="B668" i="2"/>
  <c r="B667" i="2"/>
  <c r="B666" i="2"/>
  <c r="B665" i="2"/>
  <c r="B664" i="2"/>
  <c r="B663" i="2"/>
  <c r="B662" i="2"/>
  <c r="B661" i="2"/>
  <c r="B660" i="2"/>
  <c r="B659" i="2"/>
  <c r="B658" i="2"/>
  <c r="B657" i="2"/>
  <c r="B656" i="2"/>
  <c r="B655" i="2"/>
  <c r="B654" i="2"/>
  <c r="B653" i="2"/>
  <c r="B652" i="2"/>
  <c r="B651" i="2"/>
  <c r="B650" i="2"/>
  <c r="B649" i="2"/>
  <c r="B648" i="2"/>
  <c r="B647" i="2"/>
  <c r="B646" i="2"/>
  <c r="B645" i="2"/>
  <c r="B644" i="2"/>
  <c r="B643" i="2"/>
  <c r="B642" i="2"/>
  <c r="B641" i="2"/>
  <c r="B640" i="2"/>
  <c r="B639" i="2"/>
  <c r="B638" i="2"/>
  <c r="B637" i="2"/>
  <c r="B636" i="2"/>
  <c r="B635" i="2"/>
  <c r="B634" i="2"/>
  <c r="B633" i="2"/>
  <c r="B632" i="2"/>
  <c r="B631" i="2"/>
  <c r="B630" i="2"/>
  <c r="B629" i="2"/>
  <c r="B628" i="2"/>
  <c r="B627" i="2"/>
  <c r="B626" i="2"/>
  <c r="B625" i="2"/>
  <c r="B624" i="2"/>
  <c r="B622" i="2"/>
  <c r="B621" i="2"/>
  <c r="B620" i="2"/>
  <c r="B619" i="2"/>
  <c r="B618" i="2"/>
  <c r="B617" i="2"/>
  <c r="B616" i="2"/>
  <c r="B615" i="2"/>
  <c r="B614" i="2"/>
  <c r="B613" i="2"/>
  <c r="B612" i="2"/>
  <c r="B611" i="2"/>
  <c r="B610" i="2"/>
  <c r="B609" i="2"/>
  <c r="B608" i="2"/>
  <c r="B607" i="2"/>
  <c r="B606" i="2"/>
  <c r="B605" i="2"/>
  <c r="B604" i="2"/>
  <c r="B603" i="2"/>
  <c r="B602" i="2"/>
  <c r="B601" i="2"/>
  <c r="B600" i="2"/>
  <c r="B599" i="2"/>
  <c r="B598" i="2"/>
  <c r="B597" i="2"/>
  <c r="B596" i="2"/>
  <c r="B595" i="2"/>
  <c r="B594" i="2"/>
  <c r="B593" i="2"/>
  <c r="B592" i="2"/>
  <c r="B591" i="2"/>
  <c r="B590" i="2"/>
  <c r="B589" i="2"/>
  <c r="B588" i="2"/>
  <c r="B587" i="2"/>
  <c r="B586" i="2"/>
  <c r="B585" i="2"/>
  <c r="B584" i="2"/>
  <c r="B583" i="2"/>
  <c r="B582" i="2"/>
  <c r="B581" i="2"/>
  <c r="B580" i="2"/>
  <c r="B579" i="2"/>
  <c r="B578" i="2"/>
  <c r="B577" i="2"/>
  <c r="B576" i="2"/>
  <c r="B575" i="2"/>
  <c r="B574" i="2"/>
  <c r="B573" i="2"/>
  <c r="B572" i="2"/>
  <c r="B571" i="2"/>
  <c r="B570" i="2"/>
  <c r="B569" i="2"/>
  <c r="B568" i="2"/>
  <c r="B567" i="2"/>
  <c r="B566" i="2"/>
  <c r="B565" i="2"/>
  <c r="B564" i="2"/>
  <c r="B563" i="2"/>
  <c r="B562" i="2"/>
  <c r="B561" i="2"/>
  <c r="B560" i="2"/>
  <c r="B559" i="2"/>
  <c r="B558" i="2"/>
  <c r="B557" i="2"/>
  <c r="B556" i="2"/>
  <c r="B554" i="2"/>
  <c r="B553" i="2"/>
  <c r="B552" i="2"/>
  <c r="B551" i="2"/>
  <c r="B550" i="2"/>
  <c r="B549" i="2"/>
  <c r="B548" i="2"/>
  <c r="B547" i="2"/>
  <c r="B546" i="2"/>
  <c r="B545" i="2"/>
  <c r="B544" i="2"/>
  <c r="B543" i="2"/>
  <c r="B542" i="2"/>
  <c r="B541" i="2"/>
  <c r="B540" i="2"/>
  <c r="B539" i="2"/>
  <c r="B538" i="2"/>
  <c r="B537" i="2"/>
  <c r="B536" i="2"/>
  <c r="B535" i="2"/>
  <c r="B534" i="2"/>
  <c r="B533" i="2"/>
  <c r="B532" i="2"/>
  <c r="B531" i="2"/>
  <c r="B530" i="2"/>
  <c r="B529" i="2"/>
  <c r="B528" i="2"/>
  <c r="B527" i="2"/>
  <c r="B526" i="2"/>
  <c r="B525" i="2"/>
  <c r="B524" i="2"/>
  <c r="B523" i="2"/>
  <c r="B522" i="2"/>
  <c r="B521" i="2"/>
  <c r="B520" i="2"/>
  <c r="B519" i="2"/>
  <c r="B518" i="2"/>
  <c r="B517" i="2"/>
  <c r="B516" i="2"/>
  <c r="B515" i="2"/>
  <c r="B514" i="2"/>
  <c r="B513" i="2"/>
  <c r="B512" i="2"/>
  <c r="B511" i="2"/>
  <c r="B510" i="2"/>
  <c r="B509" i="2"/>
  <c r="B508" i="2"/>
  <c r="B507" i="2"/>
  <c r="B506" i="2"/>
  <c r="B505" i="2"/>
  <c r="B504" i="2"/>
  <c r="B503" i="2"/>
  <c r="B502" i="2"/>
  <c r="B501" i="2"/>
  <c r="B500" i="2"/>
  <c r="B499" i="2"/>
  <c r="B498" i="2"/>
  <c r="B497" i="2"/>
  <c r="B496" i="2"/>
  <c r="B495" i="2"/>
  <c r="B494" i="2"/>
  <c r="B493" i="2"/>
  <c r="B492" i="2"/>
  <c r="B491" i="2"/>
  <c r="B490" i="2"/>
  <c r="B489" i="2"/>
  <c r="B488" i="2"/>
  <c r="B486" i="2"/>
  <c r="B485" i="2"/>
  <c r="B484" i="2"/>
  <c r="B483" i="2"/>
  <c r="B482" i="2"/>
  <c r="B481" i="2"/>
  <c r="B480" i="2"/>
  <c r="B479" i="2"/>
  <c r="B478" i="2"/>
  <c r="B477" i="2"/>
  <c r="B476" i="2"/>
  <c r="B475" i="2"/>
  <c r="B474" i="2"/>
  <c r="B473" i="2"/>
  <c r="B472" i="2"/>
  <c r="B471" i="2"/>
  <c r="B470" i="2"/>
  <c r="B469" i="2"/>
  <c r="B468" i="2"/>
  <c r="B467" i="2"/>
  <c r="B466" i="2"/>
  <c r="B465" i="2"/>
  <c r="B464" i="2"/>
  <c r="B463" i="2"/>
  <c r="B462" i="2"/>
  <c r="B461" i="2"/>
  <c r="B460" i="2"/>
  <c r="B459" i="2"/>
  <c r="B458" i="2"/>
  <c r="B457" i="2"/>
  <c r="B456" i="2"/>
  <c r="B455" i="2"/>
  <c r="B454" i="2"/>
  <c r="B453" i="2"/>
  <c r="B452" i="2"/>
  <c r="B451" i="2"/>
  <c r="B450" i="2"/>
  <c r="B449" i="2"/>
  <c r="B448" i="2"/>
  <c r="B447" i="2"/>
  <c r="B446" i="2"/>
  <c r="B445" i="2"/>
  <c r="B444" i="2"/>
  <c r="B443" i="2"/>
  <c r="B442" i="2"/>
  <c r="B441" i="2"/>
  <c r="B440" i="2"/>
  <c r="B439" i="2"/>
  <c r="B438" i="2"/>
  <c r="B437" i="2"/>
  <c r="B436" i="2"/>
  <c r="B435" i="2"/>
  <c r="B434" i="2"/>
  <c r="B433" i="2"/>
  <c r="B432" i="2"/>
  <c r="B431" i="2"/>
  <c r="B430" i="2"/>
  <c r="B429" i="2"/>
  <c r="B428" i="2"/>
  <c r="B427" i="2"/>
  <c r="B426" i="2"/>
  <c r="B425" i="2"/>
  <c r="B424" i="2"/>
  <c r="B423" i="2"/>
  <c r="B422" i="2"/>
  <c r="B421" i="2"/>
  <c r="B420" i="2"/>
  <c r="B418" i="2"/>
  <c r="B417" i="2"/>
  <c r="B416" i="2"/>
  <c r="B415" i="2"/>
  <c r="B414" i="2"/>
  <c r="B413" i="2"/>
  <c r="B412" i="2"/>
  <c r="B411" i="2"/>
  <c r="B410" i="2"/>
  <c r="B409" i="2"/>
  <c r="B408" i="2"/>
  <c r="B407" i="2"/>
  <c r="B406" i="2"/>
  <c r="B405" i="2"/>
  <c r="B404" i="2"/>
  <c r="B403" i="2"/>
  <c r="B402" i="2"/>
  <c r="B401" i="2"/>
  <c r="B400" i="2"/>
  <c r="B399" i="2"/>
  <c r="B398" i="2"/>
  <c r="B397" i="2"/>
  <c r="B396" i="2"/>
  <c r="B395" i="2"/>
  <c r="B394" i="2"/>
  <c r="B393" i="2"/>
  <c r="B392" i="2"/>
  <c r="B391" i="2"/>
  <c r="B390" i="2"/>
  <c r="B389" i="2"/>
  <c r="B388" i="2"/>
  <c r="B387" i="2"/>
  <c r="B386" i="2"/>
  <c r="B385" i="2"/>
  <c r="B384" i="2"/>
  <c r="B383" i="2"/>
  <c r="B382" i="2"/>
  <c r="B381" i="2"/>
  <c r="B380" i="2"/>
  <c r="B379" i="2"/>
  <c r="B378" i="2"/>
  <c r="B377" i="2"/>
  <c r="B376" i="2"/>
  <c r="B375" i="2"/>
  <c r="B374" i="2"/>
  <c r="B373" i="2"/>
  <c r="B372" i="2"/>
  <c r="B371" i="2"/>
  <c r="B370" i="2"/>
  <c r="B369" i="2"/>
  <c r="B368" i="2"/>
  <c r="B367" i="2"/>
  <c r="B366" i="2"/>
  <c r="B365" i="2"/>
  <c r="B364" i="2"/>
  <c r="B363" i="2"/>
  <c r="B362" i="2"/>
  <c r="B361" i="2"/>
  <c r="B360" i="2"/>
  <c r="B359" i="2"/>
  <c r="B358" i="2"/>
  <c r="B357" i="2"/>
  <c r="B356" i="2"/>
  <c r="B355" i="2"/>
  <c r="B354" i="2"/>
  <c r="B353" i="2"/>
  <c r="B352" i="2"/>
  <c r="B351" i="2"/>
  <c r="B350" i="2"/>
  <c r="B349" i="2"/>
  <c r="B348" i="2"/>
  <c r="B347" i="2"/>
  <c r="B346" i="2"/>
  <c r="B345" i="2"/>
  <c r="B344" i="2"/>
  <c r="B343" i="2"/>
  <c r="B342" i="2"/>
  <c r="B341" i="2"/>
  <c r="B340" i="2"/>
  <c r="B339" i="2"/>
  <c r="B338" i="2"/>
  <c r="B337" i="2"/>
  <c r="B336" i="2"/>
  <c r="B335" i="2"/>
  <c r="B334" i="2"/>
  <c r="B333" i="2"/>
  <c r="B332" i="2"/>
  <c r="B331" i="2"/>
  <c r="B330" i="2"/>
  <c r="B329" i="2"/>
  <c r="B328" i="2"/>
  <c r="B327" i="2"/>
  <c r="B326" i="2"/>
  <c r="B325" i="2"/>
  <c r="B324" i="2"/>
  <c r="B323" i="2"/>
  <c r="B322" i="2"/>
  <c r="B321" i="2"/>
  <c r="B320" i="2"/>
  <c r="B319" i="2"/>
  <c r="B318" i="2"/>
  <c r="B317" i="2"/>
  <c r="B316" i="2"/>
  <c r="B315" i="2"/>
  <c r="B314" i="2"/>
  <c r="B313" i="2"/>
  <c r="B312" i="2"/>
  <c r="B311" i="2"/>
  <c r="B310" i="2"/>
  <c r="B309" i="2"/>
  <c r="B308" i="2"/>
  <c r="B307" i="2"/>
  <c r="B306" i="2"/>
  <c r="B305" i="2"/>
  <c r="B304" i="2"/>
  <c r="B303" i="2"/>
  <c r="B302" i="2"/>
  <c r="B301" i="2"/>
  <c r="B300" i="2"/>
  <c r="B299" i="2"/>
  <c r="B298" i="2"/>
  <c r="B297" i="2"/>
  <c r="B296" i="2"/>
  <c r="B295" i="2"/>
  <c r="B294" i="2"/>
  <c r="B293" i="2"/>
  <c r="B292" i="2"/>
  <c r="B291" i="2"/>
  <c r="B290" i="2"/>
  <c r="B289" i="2"/>
  <c r="B288" i="2"/>
  <c r="B287" i="2"/>
  <c r="B286" i="2"/>
  <c r="B285" i="2"/>
  <c r="B284" i="2"/>
  <c r="B283" i="2"/>
  <c r="B282" i="2"/>
  <c r="B281" i="2"/>
  <c r="B280" i="2"/>
  <c r="B279" i="2"/>
  <c r="B278" i="2"/>
  <c r="B277" i="2"/>
  <c r="B276" i="2"/>
  <c r="B275" i="2"/>
  <c r="B274" i="2"/>
  <c r="B273" i="2"/>
  <c r="B272" i="2"/>
  <c r="B271" i="2"/>
  <c r="B270" i="2"/>
  <c r="B269" i="2"/>
  <c r="B268" i="2"/>
  <c r="B267" i="2"/>
  <c r="B266" i="2"/>
  <c r="B265" i="2"/>
  <c r="B264" i="2"/>
  <c r="B263" i="2"/>
  <c r="B262" i="2"/>
  <c r="B261" i="2"/>
  <c r="B260" i="2"/>
  <c r="B259" i="2"/>
  <c r="B258" i="2"/>
  <c r="B257" i="2"/>
  <c r="B256" i="2"/>
  <c r="B255" i="2"/>
  <c r="B254" i="2"/>
  <c r="B253" i="2"/>
  <c r="B252" i="2"/>
  <c r="B251" i="2"/>
  <c r="B250" i="2"/>
  <c r="B249" i="2"/>
  <c r="B248" i="2"/>
  <c r="B247" i="2"/>
  <c r="B246" i="2"/>
  <c r="B245" i="2"/>
  <c r="B244" i="2"/>
  <c r="B243" i="2"/>
  <c r="B242" i="2"/>
  <c r="B241" i="2"/>
  <c r="B240" i="2"/>
  <c r="B239" i="2"/>
  <c r="B238" i="2"/>
  <c r="B237" i="2"/>
  <c r="B236" i="2"/>
  <c r="B235" i="2"/>
  <c r="B234" i="2"/>
  <c r="B233" i="2"/>
  <c r="B232" i="2"/>
  <c r="B231" i="2"/>
  <c r="B230" i="2"/>
  <c r="B229" i="2"/>
  <c r="B228" i="2"/>
  <c r="B227" i="2"/>
  <c r="B226" i="2"/>
  <c r="B225" i="2"/>
  <c r="B224" i="2"/>
  <c r="B223" i="2"/>
  <c r="B222" i="2"/>
  <c r="B221" i="2"/>
  <c r="B220" i="2"/>
  <c r="B219" i="2"/>
  <c r="B218" i="2"/>
  <c r="B217" i="2"/>
  <c r="B216" i="2"/>
  <c r="B215" i="2"/>
  <c r="B214" i="2"/>
  <c r="B213" i="2"/>
  <c r="B212" i="2"/>
  <c r="B211" i="2"/>
  <c r="B210" i="2"/>
  <c r="B209" i="2"/>
  <c r="B208" i="2"/>
  <c r="B207" i="2"/>
  <c r="B206" i="2"/>
  <c r="B205" i="2"/>
  <c r="B204" i="2"/>
  <c r="B203" i="2"/>
  <c r="B202" i="2"/>
  <c r="B201" i="2"/>
  <c r="B200" i="2"/>
  <c r="B199" i="2"/>
  <c r="B198" i="2"/>
  <c r="B197" i="2"/>
  <c r="B196" i="2"/>
  <c r="B195" i="2"/>
  <c r="B194" i="2"/>
  <c r="B193" i="2"/>
  <c r="B192" i="2"/>
  <c r="B191" i="2"/>
  <c r="B190" i="2"/>
  <c r="B189" i="2"/>
  <c r="B188" i="2"/>
  <c r="B187" i="2"/>
  <c r="B186" i="2"/>
  <c r="B185" i="2"/>
  <c r="B184" i="2"/>
  <c r="B183" i="2"/>
  <c r="B182" i="2"/>
  <c r="B181" i="2"/>
  <c r="B180" i="2"/>
  <c r="B179" i="2"/>
  <c r="B178" i="2"/>
  <c r="B177" i="2"/>
  <c r="B176" i="2"/>
  <c r="B175" i="2"/>
  <c r="B174" i="2"/>
  <c r="B173" i="2"/>
  <c r="B172" i="2"/>
  <c r="B171" i="2"/>
  <c r="B170" i="2"/>
  <c r="B169" i="2"/>
  <c r="B168" i="2"/>
  <c r="B167" i="2"/>
  <c r="B166" i="2"/>
  <c r="B165" i="2"/>
  <c r="B164" i="2"/>
  <c r="B163" i="2"/>
  <c r="B162" i="2"/>
  <c r="B161" i="2"/>
  <c r="B160" i="2"/>
  <c r="B159" i="2"/>
  <c r="B158" i="2"/>
  <c r="B157" i="2"/>
  <c r="B156" i="2"/>
  <c r="B155" i="2"/>
  <c r="B154" i="2"/>
  <c r="B153" i="2"/>
  <c r="B152" i="2"/>
  <c r="B151" i="2"/>
  <c r="B150" i="2"/>
  <c r="B149" i="2"/>
  <c r="B148" i="2"/>
  <c r="B147" i="2"/>
  <c r="B146" i="2"/>
  <c r="B145" i="2"/>
  <c r="B144" i="2"/>
  <c r="B143" i="2"/>
  <c r="B142" i="2"/>
  <c r="B141" i="2"/>
  <c r="B140" i="2"/>
  <c r="B139" i="2"/>
  <c r="B138" i="2"/>
  <c r="B137" i="2"/>
  <c r="B136" i="2"/>
  <c r="B135" i="2"/>
  <c r="B134" i="2"/>
  <c r="B133" i="2"/>
  <c r="B132" i="2"/>
  <c r="B131" i="2"/>
  <c r="B130" i="2"/>
  <c r="B129" i="2"/>
  <c r="B128" i="2"/>
  <c r="B127" i="2"/>
  <c r="B126" i="2"/>
  <c r="B125" i="2"/>
  <c r="B124" i="2"/>
  <c r="B123" i="2"/>
  <c r="B122" i="2"/>
  <c r="B121" i="2"/>
  <c r="B120" i="2"/>
  <c r="B119" i="2"/>
  <c r="B118" i="2"/>
  <c r="B117" i="2"/>
  <c r="B116" i="2"/>
  <c r="B115" i="2"/>
  <c r="B114" i="2"/>
  <c r="B113" i="2"/>
  <c r="B112" i="2"/>
  <c r="B111" i="2"/>
  <c r="B110" i="2"/>
  <c r="B109" i="2"/>
  <c r="B108" i="2"/>
  <c r="B107" i="2"/>
  <c r="B106" i="2"/>
  <c r="B105" i="2"/>
  <c r="B104" i="2"/>
  <c r="B103" i="2"/>
  <c r="B102" i="2"/>
  <c r="B101" i="2"/>
  <c r="B100" i="2"/>
  <c r="B99" i="2"/>
  <c r="B98" i="2"/>
  <c r="B97" i="2"/>
  <c r="B96" i="2"/>
  <c r="B95" i="2"/>
  <c r="B94" i="2"/>
  <c r="B93" i="2"/>
  <c r="B92" i="2"/>
  <c r="B91" i="2"/>
  <c r="B90" i="2"/>
  <c r="B89" i="2"/>
  <c r="B88" i="2"/>
  <c r="B87" i="2"/>
  <c r="B86" i="2"/>
  <c r="B85" i="2"/>
  <c r="B84" i="2"/>
  <c r="B83" i="2"/>
  <c r="B82" i="2"/>
  <c r="B81" i="2"/>
  <c r="B80" i="2"/>
  <c r="B79" i="2"/>
  <c r="B78" i="2"/>
  <c r="B77" i="2"/>
  <c r="B76" i="2"/>
  <c r="B75" i="2"/>
  <c r="B74" i="2"/>
  <c r="B73" i="2"/>
  <c r="B72" i="2"/>
  <c r="B71" i="2"/>
  <c r="B70" i="2"/>
  <c r="B69" i="2"/>
  <c r="B68" i="2"/>
  <c r="B67" i="2"/>
  <c r="B66" i="2"/>
  <c r="B65" i="2"/>
  <c r="B64" i="2"/>
  <c r="B63" i="2"/>
  <c r="B62" i="2"/>
  <c r="B61" i="2"/>
  <c r="B60" i="2"/>
  <c r="B59" i="2"/>
  <c r="B58" i="2"/>
  <c r="B57" i="2"/>
  <c r="B56" i="2"/>
  <c r="B55" i="2"/>
  <c r="B54" i="2"/>
  <c r="B53" i="2"/>
  <c r="B52" i="2"/>
  <c r="B51" i="2"/>
  <c r="B50" i="2"/>
  <c r="B49" i="2"/>
  <c r="B48" i="2"/>
  <c r="B47" i="2"/>
  <c r="B46" i="2"/>
  <c r="B45" i="2"/>
  <c r="B44" i="2"/>
  <c r="B43" i="2"/>
  <c r="B42" i="2"/>
  <c r="B41" i="2"/>
  <c r="B40" i="2"/>
  <c r="B39" i="2"/>
  <c r="B38" i="2"/>
  <c r="B37" i="2"/>
  <c r="B36" i="2"/>
  <c r="B35" i="2"/>
  <c r="B34" i="2"/>
  <c r="B33" i="2"/>
  <c r="B32" i="2"/>
  <c r="B31" i="2"/>
  <c r="B30" i="2"/>
  <c r="B29" i="2"/>
  <c r="B28" i="2"/>
  <c r="B27" i="2"/>
  <c r="B26" i="2"/>
  <c r="B25" i="2"/>
  <c r="B24" i="2"/>
  <c r="B23" i="2"/>
  <c r="B22" i="2"/>
  <c r="B21" i="2"/>
  <c r="B20" i="2"/>
  <c r="B19" i="2"/>
  <c r="B18" i="2"/>
  <c r="B17" i="2"/>
  <c r="B16" i="2"/>
  <c r="B15" i="2"/>
  <c r="B14" i="2"/>
  <c r="B13" i="2"/>
  <c r="B12" i="2"/>
  <c r="B11" i="2"/>
  <c r="B10" i="2"/>
  <c r="B9" i="2"/>
  <c r="B8" i="2"/>
  <c r="B7" i="2"/>
  <c r="B6" i="2"/>
  <c r="B5" i="2"/>
  <c r="B4" i="2"/>
  <c r="B3" i="2"/>
  <c r="B2" i="2"/>
  <c r="CN77" i="1" l="1"/>
  <c r="CM77" i="1"/>
  <c r="CL77" i="1"/>
  <c r="CK77" i="1"/>
  <c r="CJ77" i="1"/>
  <c r="CI77" i="1"/>
  <c r="CH77" i="1"/>
  <c r="CG77" i="1"/>
  <c r="CF77" i="1"/>
  <c r="CE77" i="1"/>
  <c r="CD77" i="1"/>
  <c r="CC77" i="1"/>
  <c r="CB77" i="1"/>
  <c r="CA77" i="1"/>
  <c r="BZ77" i="1"/>
  <c r="BY77" i="1"/>
  <c r="BX77" i="1"/>
  <c r="BW77" i="1"/>
  <c r="BV77" i="1"/>
  <c r="BU77" i="1"/>
  <c r="BT77" i="1"/>
  <c r="BS77" i="1"/>
  <c r="BR77" i="1"/>
  <c r="BQ77" i="1"/>
  <c r="BP77" i="1"/>
  <c r="BO77" i="1"/>
  <c r="BN77" i="1"/>
  <c r="BM77" i="1"/>
  <c r="BL77" i="1"/>
  <c r="BK77" i="1"/>
  <c r="BJ77" i="1"/>
  <c r="BI77" i="1"/>
  <c r="BH77" i="1"/>
  <c r="BG77" i="1"/>
  <c r="BF77" i="1"/>
  <c r="BE77" i="1"/>
  <c r="BD77" i="1"/>
  <c r="BC77" i="1"/>
  <c r="BB77" i="1"/>
  <c r="BA77" i="1"/>
  <c r="AZ77" i="1"/>
  <c r="AY77" i="1"/>
  <c r="AX77" i="1"/>
  <c r="AW77" i="1"/>
  <c r="AV77" i="1"/>
  <c r="AU77" i="1"/>
  <c r="AT77" i="1"/>
  <c r="AS77" i="1"/>
  <c r="AR77" i="1"/>
  <c r="AQ77" i="1"/>
  <c r="AP77" i="1"/>
  <c r="AO77" i="1"/>
  <c r="AN77" i="1"/>
  <c r="AM77" i="1"/>
  <c r="AL77" i="1"/>
  <c r="AK77" i="1"/>
  <c r="AJ77" i="1"/>
  <c r="AI77" i="1"/>
  <c r="AH77" i="1"/>
  <c r="AG77" i="1"/>
  <c r="AF77" i="1"/>
  <c r="AE77" i="1"/>
  <c r="AD77" i="1"/>
  <c r="AC77" i="1"/>
  <c r="AB77" i="1"/>
  <c r="AA77" i="1"/>
  <c r="Z77" i="1"/>
  <c r="Y77" i="1"/>
  <c r="X77" i="1"/>
  <c r="W77" i="1"/>
  <c r="V77" i="1"/>
  <c r="U77" i="1"/>
  <c r="T77" i="1"/>
  <c r="S77" i="1"/>
  <c r="R77" i="1"/>
  <c r="Q77" i="1"/>
  <c r="P77" i="1"/>
  <c r="O77" i="1"/>
  <c r="N77" i="1"/>
  <c r="M77" i="1"/>
  <c r="L77" i="1"/>
  <c r="K77" i="1"/>
  <c r="J77" i="1"/>
  <c r="I77" i="1"/>
  <c r="H77" i="1"/>
  <c r="CU75" i="1"/>
  <c r="CS75" i="1"/>
  <c r="CR75" i="1"/>
  <c r="G75" i="1"/>
  <c r="F75" i="1"/>
  <c r="E75" i="1"/>
  <c r="D75" i="1"/>
  <c r="CT75" i="1" s="1"/>
  <c r="C75" i="1"/>
  <c r="CQ74" i="1"/>
  <c r="F74" i="1"/>
  <c r="E74" i="1"/>
  <c r="D74" i="1"/>
  <c r="C74" i="1"/>
  <c r="CU73" i="1"/>
  <c r="CS73" i="1"/>
  <c r="CR73" i="1"/>
  <c r="G73" i="1"/>
  <c r="F73" i="1"/>
  <c r="E73" i="1"/>
  <c r="D73" i="1"/>
  <c r="CT73" i="1" s="1"/>
  <c r="C73" i="1"/>
  <c r="F72" i="1"/>
  <c r="E72" i="1"/>
  <c r="D72" i="1"/>
  <c r="CV72" i="1" s="1"/>
  <c r="C72" i="1"/>
  <c r="CU71" i="1"/>
  <c r="CS71" i="1"/>
  <c r="CR71" i="1"/>
  <c r="G71" i="1"/>
  <c r="F71" i="1"/>
  <c r="E71" i="1"/>
  <c r="D71" i="1"/>
  <c r="CT71" i="1" s="1"/>
  <c r="C71" i="1"/>
  <c r="CQ70" i="1"/>
  <c r="F70" i="1"/>
  <c r="E70" i="1"/>
  <c r="D70" i="1"/>
  <c r="C70" i="1"/>
  <c r="CU69" i="1"/>
  <c r="CS69" i="1"/>
  <c r="CR69" i="1"/>
  <c r="G69" i="1"/>
  <c r="F69" i="1"/>
  <c r="E69" i="1"/>
  <c r="D69" i="1"/>
  <c r="CT69" i="1" s="1"/>
  <c r="C69" i="1"/>
  <c r="F68" i="1"/>
  <c r="E68" i="1"/>
  <c r="D68" i="1"/>
  <c r="C68" i="1"/>
  <c r="CU67" i="1"/>
  <c r="CS67" i="1"/>
  <c r="CR67" i="1"/>
  <c r="G67" i="1"/>
  <c r="F67" i="1"/>
  <c r="E67" i="1"/>
  <c r="D67" i="1"/>
  <c r="CT67" i="1" s="1"/>
  <c r="C67" i="1"/>
  <c r="CQ66" i="1"/>
  <c r="F66" i="1"/>
  <c r="E66" i="1"/>
  <c r="D66" i="1"/>
  <c r="C66" i="1"/>
  <c r="CU65" i="1"/>
  <c r="CS65" i="1"/>
  <c r="CR65" i="1"/>
  <c r="G65" i="1"/>
  <c r="F65" i="1"/>
  <c r="E65" i="1"/>
  <c r="D65" i="1"/>
  <c r="CT65" i="1" s="1"/>
  <c r="C65" i="1"/>
  <c r="CV64" i="1"/>
  <c r="CQ64" i="1"/>
  <c r="F64" i="1"/>
  <c r="E64" i="1"/>
  <c r="D64" i="1"/>
  <c r="C64" i="1"/>
  <c r="CU63" i="1"/>
  <c r="CS63" i="1"/>
  <c r="CR63" i="1"/>
  <c r="G63" i="1"/>
  <c r="F63" i="1"/>
  <c r="E63" i="1"/>
  <c r="D63" i="1"/>
  <c r="CT63" i="1" s="1"/>
  <c r="C63" i="1"/>
  <c r="CV62" i="1"/>
  <c r="F62" i="1"/>
  <c r="E62" i="1"/>
  <c r="D62" i="1"/>
  <c r="CQ62" i="1" s="1"/>
  <c r="C62" i="1"/>
  <c r="CU61" i="1"/>
  <c r="CS61" i="1"/>
  <c r="CR61" i="1"/>
  <c r="G61" i="1"/>
  <c r="F61" i="1"/>
  <c r="E61" i="1"/>
  <c r="D61" i="1"/>
  <c r="CT61" i="1" s="1"/>
  <c r="C61" i="1"/>
  <c r="F60" i="1"/>
  <c r="E60" i="1"/>
  <c r="D60" i="1"/>
  <c r="CR60" i="1" s="1"/>
  <c r="C60" i="1"/>
  <c r="CU59" i="1"/>
  <c r="CS59" i="1"/>
  <c r="CR59" i="1"/>
  <c r="G59" i="1"/>
  <c r="F59" i="1"/>
  <c r="E59" i="1"/>
  <c r="D59" i="1"/>
  <c r="CT59" i="1" s="1"/>
  <c r="C59" i="1"/>
  <c r="CQ58" i="1"/>
  <c r="F58" i="1"/>
  <c r="E58" i="1"/>
  <c r="D58" i="1"/>
  <c r="C58" i="1"/>
  <c r="CU57" i="1"/>
  <c r="CS57" i="1"/>
  <c r="CR57" i="1"/>
  <c r="G57" i="1"/>
  <c r="F57" i="1"/>
  <c r="E57" i="1"/>
  <c r="D57" i="1"/>
  <c r="CT57" i="1" s="1"/>
  <c r="C57" i="1"/>
  <c r="CV56" i="1"/>
  <c r="CQ56" i="1"/>
  <c r="F56" i="1"/>
  <c r="E56" i="1"/>
  <c r="D56" i="1"/>
  <c r="C56" i="1"/>
  <c r="CU55" i="1"/>
  <c r="CS55" i="1"/>
  <c r="G55" i="1"/>
  <c r="F55" i="1"/>
  <c r="E55" i="1"/>
  <c r="D55" i="1"/>
  <c r="CT55" i="1" s="1"/>
  <c r="C55" i="1"/>
  <c r="F54" i="1"/>
  <c r="E54" i="1"/>
  <c r="D54" i="1"/>
  <c r="C54" i="1"/>
  <c r="CU53" i="1"/>
  <c r="CS53" i="1"/>
  <c r="G53" i="1"/>
  <c r="F53" i="1"/>
  <c r="E53" i="1"/>
  <c r="D53" i="1"/>
  <c r="CT53" i="1" s="1"/>
  <c r="C53" i="1"/>
  <c r="CQ52" i="1"/>
  <c r="F52" i="1"/>
  <c r="E52" i="1"/>
  <c r="D52" i="1"/>
  <c r="C52" i="1"/>
  <c r="F51" i="1"/>
  <c r="E51" i="1"/>
  <c r="D51" i="1"/>
  <c r="CQ51" i="1" s="1"/>
  <c r="C51" i="1"/>
  <c r="F50" i="1"/>
  <c r="E50" i="1"/>
  <c r="D50" i="1"/>
  <c r="CR50" i="1" s="1"/>
  <c r="C50" i="1"/>
  <c r="CU49" i="1"/>
  <c r="CS49" i="1"/>
  <c r="F49" i="1"/>
  <c r="E49" i="1"/>
  <c r="D49" i="1"/>
  <c r="CV49" i="1" s="1"/>
  <c r="C49" i="1"/>
  <c r="CV48" i="1"/>
  <c r="CS48" i="1"/>
  <c r="F48" i="1"/>
  <c r="E48" i="1"/>
  <c r="D48" i="1"/>
  <c r="CQ48" i="1" s="1"/>
  <c r="C48" i="1"/>
  <c r="CV47" i="1"/>
  <c r="CU47" i="1"/>
  <c r="CS47" i="1"/>
  <c r="G47" i="1"/>
  <c r="F47" i="1"/>
  <c r="E47" i="1"/>
  <c r="D47" i="1"/>
  <c r="C47" i="1"/>
  <c r="CV46" i="1"/>
  <c r="CS46" i="1"/>
  <c r="CQ46" i="1"/>
  <c r="F46" i="1"/>
  <c r="E46" i="1"/>
  <c r="D46" i="1"/>
  <c r="C46" i="1"/>
  <c r="CV45" i="1"/>
  <c r="CU45" i="1"/>
  <c r="G45" i="1"/>
  <c r="F45" i="1"/>
  <c r="E45" i="1"/>
  <c r="D45" i="1"/>
  <c r="C45" i="1"/>
  <c r="CV44" i="1"/>
  <c r="CQ44" i="1"/>
  <c r="F44" i="1"/>
  <c r="E44" i="1"/>
  <c r="D44" i="1"/>
  <c r="C44" i="1"/>
  <c r="F43" i="1"/>
  <c r="E43" i="1"/>
  <c r="D43" i="1"/>
  <c r="G43" i="1" s="1"/>
  <c r="C43" i="1"/>
  <c r="CQ42" i="1"/>
  <c r="F42" i="1"/>
  <c r="E42" i="1"/>
  <c r="D42" i="1"/>
  <c r="C42" i="1"/>
  <c r="F41" i="1"/>
  <c r="E41" i="1"/>
  <c r="D41" i="1"/>
  <c r="CQ41" i="1" s="1"/>
  <c r="C41" i="1"/>
  <c r="CR40" i="1"/>
  <c r="F40" i="1"/>
  <c r="E40" i="1"/>
  <c r="D40" i="1"/>
  <c r="C40" i="1"/>
  <c r="CV39" i="1"/>
  <c r="CU39" i="1"/>
  <c r="CS39" i="1"/>
  <c r="G39" i="1"/>
  <c r="F39" i="1"/>
  <c r="E39" i="1"/>
  <c r="D39" i="1"/>
  <c r="C39" i="1"/>
  <c r="CV38" i="1"/>
  <c r="CS38" i="1"/>
  <c r="CQ38" i="1"/>
  <c r="F38" i="1"/>
  <c r="E38" i="1"/>
  <c r="D38" i="1"/>
  <c r="C38" i="1"/>
  <c r="CV37" i="1"/>
  <c r="CU37" i="1"/>
  <c r="G37" i="1"/>
  <c r="F37" i="1"/>
  <c r="E37" i="1"/>
  <c r="D37" i="1"/>
  <c r="C37" i="1"/>
  <c r="CV36" i="1"/>
  <c r="CQ36" i="1"/>
  <c r="F36" i="1"/>
  <c r="E36" i="1"/>
  <c r="D36" i="1"/>
  <c r="C36" i="1"/>
  <c r="CV35" i="1"/>
  <c r="F35" i="1"/>
  <c r="E35" i="1"/>
  <c r="D35" i="1"/>
  <c r="G35" i="1" s="1"/>
  <c r="C35" i="1"/>
  <c r="CQ34" i="1"/>
  <c r="F34" i="1"/>
  <c r="E34" i="1"/>
  <c r="D34" i="1"/>
  <c r="C34" i="1"/>
  <c r="F33" i="1"/>
  <c r="E33" i="1"/>
  <c r="D33" i="1"/>
  <c r="CQ33" i="1" s="1"/>
  <c r="C33" i="1"/>
  <c r="CR32" i="1"/>
  <c r="F32" i="1"/>
  <c r="E32" i="1"/>
  <c r="D32" i="1"/>
  <c r="C32" i="1"/>
  <c r="CV31" i="1"/>
  <c r="CU31" i="1"/>
  <c r="CS31" i="1"/>
  <c r="G31" i="1"/>
  <c r="F31" i="1"/>
  <c r="E31" i="1"/>
  <c r="D31" i="1"/>
  <c r="C31" i="1"/>
  <c r="CV30" i="1"/>
  <c r="CS30" i="1"/>
  <c r="CQ30" i="1"/>
  <c r="F30" i="1"/>
  <c r="E30" i="1"/>
  <c r="D30" i="1"/>
  <c r="C30" i="1"/>
  <c r="CV29" i="1"/>
  <c r="CU29" i="1"/>
  <c r="G29" i="1"/>
  <c r="F29" i="1"/>
  <c r="E29" i="1"/>
  <c r="D29" i="1"/>
  <c r="C29" i="1"/>
  <c r="CV28" i="1"/>
  <c r="CQ28" i="1"/>
  <c r="F28" i="1"/>
  <c r="E28" i="1"/>
  <c r="D28" i="1"/>
  <c r="C28" i="1"/>
  <c r="G27" i="1"/>
  <c r="F27" i="1"/>
  <c r="E27" i="1"/>
  <c r="D27" i="1"/>
  <c r="C27" i="1"/>
  <c r="F26" i="1"/>
  <c r="E26" i="1"/>
  <c r="D26" i="1"/>
  <c r="CQ26" i="1" s="1"/>
  <c r="C26" i="1"/>
  <c r="CQ25" i="1"/>
  <c r="F25" i="1"/>
  <c r="E25" i="1"/>
  <c r="D25" i="1"/>
  <c r="C25" i="1"/>
  <c r="F24" i="1"/>
  <c r="E24" i="1"/>
  <c r="D24" i="1"/>
  <c r="CR24" i="1" s="1"/>
  <c r="C24" i="1"/>
  <c r="CV23" i="1"/>
  <c r="CU23" i="1"/>
  <c r="CS23" i="1"/>
  <c r="G23" i="1"/>
  <c r="F23" i="1"/>
  <c r="E23" i="1"/>
  <c r="D23" i="1"/>
  <c r="C23" i="1"/>
  <c r="CV22" i="1"/>
  <c r="CS22" i="1"/>
  <c r="CQ22" i="1"/>
  <c r="F22" i="1"/>
  <c r="E22" i="1"/>
  <c r="D22" i="1"/>
  <c r="C22" i="1"/>
  <c r="CV21" i="1"/>
  <c r="CU21" i="1"/>
  <c r="G21" i="1"/>
  <c r="F21" i="1"/>
  <c r="E21" i="1"/>
  <c r="D21" i="1"/>
  <c r="C21" i="1"/>
  <c r="CV20" i="1"/>
  <c r="CQ20" i="1"/>
  <c r="F20" i="1"/>
  <c r="E20" i="1"/>
  <c r="D20" i="1"/>
  <c r="C20" i="1"/>
  <c r="G19" i="1"/>
  <c r="F19" i="1"/>
  <c r="E19" i="1"/>
  <c r="D19" i="1"/>
  <c r="C19" i="1"/>
  <c r="CQ18" i="1"/>
  <c r="F18" i="1"/>
  <c r="E18" i="1"/>
  <c r="D18" i="1"/>
  <c r="C18" i="1"/>
  <c r="F17" i="1"/>
  <c r="E17" i="1"/>
  <c r="D17" i="1"/>
  <c r="CQ17" i="1" s="1"/>
  <c r="C17" i="1"/>
  <c r="CR16" i="1"/>
  <c r="F16" i="1"/>
  <c r="E16" i="1"/>
  <c r="D16" i="1"/>
  <c r="C16" i="1"/>
  <c r="CV15" i="1"/>
  <c r="CU15" i="1"/>
  <c r="CS15" i="1"/>
  <c r="G15" i="1"/>
  <c r="F15" i="1"/>
  <c r="E15" i="1"/>
  <c r="D15" i="1"/>
  <c r="C15" i="1"/>
  <c r="CV14" i="1"/>
  <c r="CS14" i="1"/>
  <c r="CQ14" i="1"/>
  <c r="F14" i="1"/>
  <c r="E14" i="1"/>
  <c r="D14" i="1"/>
  <c r="C14" i="1"/>
  <c r="G13" i="1"/>
  <c r="F13" i="1"/>
  <c r="E13" i="1"/>
  <c r="D13" i="1"/>
  <c r="C13" i="1"/>
  <c r="G12" i="1"/>
  <c r="F12" i="1"/>
  <c r="E12" i="1"/>
  <c r="D12" i="1"/>
  <c r="C12" i="1"/>
  <c r="D11" i="1"/>
  <c r="CU11" i="1" s="1"/>
  <c r="C11" i="1"/>
  <c r="G10" i="1"/>
  <c r="F10" i="1"/>
  <c r="E10" i="1"/>
  <c r="D10" i="1"/>
  <c r="CT10" i="1" s="1"/>
  <c r="C10" i="1"/>
  <c r="G9" i="1"/>
  <c r="F9" i="1"/>
  <c r="E9" i="1"/>
  <c r="D9" i="1"/>
  <c r="CT9" i="1" s="1"/>
  <c r="C9" i="1"/>
  <c r="G8" i="1"/>
  <c r="F8" i="1"/>
  <c r="E8" i="1"/>
  <c r="D8" i="1"/>
  <c r="CT8" i="1" s="1"/>
  <c r="C8" i="1"/>
  <c r="F7" i="1"/>
  <c r="E7" i="1"/>
  <c r="D7" i="1"/>
  <c r="G7" i="1" s="1"/>
  <c r="CN5" i="1"/>
  <c r="CM5" i="1"/>
  <c r="CL5" i="1"/>
  <c r="CK5" i="1"/>
  <c r="CJ5" i="1"/>
  <c r="CI5" i="1"/>
  <c r="CH5" i="1"/>
  <c r="CG5" i="1"/>
  <c r="CF5" i="1"/>
  <c r="CE5" i="1"/>
  <c r="CD5" i="1"/>
  <c r="CC5" i="1"/>
  <c r="CB5" i="1"/>
  <c r="CA5" i="1"/>
  <c r="BZ5" i="1"/>
  <c r="BY5" i="1"/>
  <c r="BX5" i="1"/>
  <c r="BW5" i="1"/>
  <c r="BV5" i="1"/>
  <c r="BU5" i="1"/>
  <c r="BT5" i="1"/>
  <c r="BS5" i="1"/>
  <c r="BR5" i="1"/>
  <c r="BQ5" i="1"/>
  <c r="BP5" i="1"/>
  <c r="BO5" i="1"/>
  <c r="BN5" i="1"/>
  <c r="BM5" i="1"/>
  <c r="BL5" i="1"/>
  <c r="BK5" i="1"/>
  <c r="BJ5" i="1"/>
  <c r="BI5" i="1"/>
  <c r="BH5" i="1"/>
  <c r="BG5" i="1"/>
  <c r="BF5" i="1"/>
  <c r="BE5" i="1"/>
  <c r="BD5" i="1"/>
  <c r="BC5" i="1"/>
  <c r="BB5" i="1"/>
  <c r="BA5" i="1"/>
  <c r="AZ5" i="1"/>
  <c r="AY5" i="1"/>
  <c r="AX5" i="1"/>
  <c r="AW5" i="1"/>
  <c r="AV5" i="1"/>
  <c r="AU5" i="1"/>
  <c r="AT5" i="1"/>
  <c r="AS5" i="1"/>
  <c r="AR5" i="1"/>
  <c r="AQ5" i="1"/>
  <c r="AP5" i="1"/>
  <c r="AO5" i="1"/>
  <c r="AN5" i="1"/>
  <c r="AM5" i="1"/>
  <c r="AL5" i="1"/>
  <c r="AK5" i="1"/>
  <c r="AJ5" i="1"/>
  <c r="AI5" i="1"/>
  <c r="AH5" i="1"/>
  <c r="AG5" i="1"/>
  <c r="AF5" i="1"/>
  <c r="AE5" i="1"/>
  <c r="AD5" i="1"/>
  <c r="AC5" i="1"/>
  <c r="AB5" i="1"/>
  <c r="AA5" i="1"/>
  <c r="Z5" i="1"/>
  <c r="Y5" i="1"/>
  <c r="X5" i="1"/>
  <c r="W5" i="1"/>
  <c r="V5" i="1"/>
  <c r="U5" i="1"/>
  <c r="T5" i="1"/>
  <c r="S5" i="1"/>
  <c r="R5" i="1"/>
  <c r="Q5" i="1"/>
  <c r="P5" i="1"/>
  <c r="O5" i="1"/>
  <c r="N5" i="1"/>
  <c r="M5" i="1"/>
  <c r="L5" i="1"/>
  <c r="K5" i="1"/>
  <c r="J5" i="1"/>
  <c r="I5" i="1"/>
  <c r="CN2" i="1"/>
  <c r="CM2" i="1"/>
  <c r="CL2" i="1"/>
  <c r="CK2" i="1"/>
  <c r="CJ2" i="1"/>
  <c r="CI2" i="1"/>
  <c r="CH2" i="1"/>
  <c r="CG2" i="1"/>
  <c r="CF2" i="1"/>
  <c r="CE2" i="1"/>
  <c r="CD2" i="1"/>
  <c r="CC2" i="1"/>
  <c r="CB2" i="1"/>
  <c r="CA2" i="1"/>
  <c r="BZ2" i="1"/>
  <c r="BY2" i="1"/>
  <c r="BX2" i="1"/>
  <c r="BW2" i="1"/>
  <c r="BV2" i="1"/>
  <c r="BU2" i="1"/>
  <c r="BT2" i="1"/>
  <c r="BS2" i="1"/>
  <c r="BR2" i="1"/>
  <c r="BQ2" i="1"/>
  <c r="BP2" i="1"/>
  <c r="BO2" i="1"/>
  <c r="BN2" i="1"/>
  <c r="BM2" i="1"/>
  <c r="BL2" i="1"/>
  <c r="BK2" i="1"/>
  <c r="BJ2" i="1"/>
  <c r="BI2" i="1"/>
  <c r="BH2" i="1"/>
  <c r="BG2" i="1"/>
  <c r="BF2" i="1"/>
  <c r="BE2" i="1"/>
  <c r="BD2" i="1"/>
  <c r="BC2" i="1"/>
  <c r="BB2" i="1"/>
  <c r="BA2" i="1"/>
  <c r="AZ2" i="1"/>
  <c r="AY2" i="1"/>
  <c r="AX2" i="1"/>
  <c r="AW2" i="1"/>
  <c r="AV2" i="1"/>
  <c r="AU2" i="1"/>
  <c r="AT2" i="1"/>
  <c r="AS2" i="1"/>
  <c r="AR2" i="1"/>
  <c r="AQ2" i="1"/>
  <c r="AP2" i="1"/>
  <c r="AO2" i="1"/>
  <c r="AN2" i="1"/>
  <c r="AM2" i="1"/>
  <c r="AL2" i="1"/>
  <c r="AK2" i="1"/>
  <c r="AJ2" i="1"/>
  <c r="AI2" i="1"/>
  <c r="AH2" i="1"/>
  <c r="AG2" i="1"/>
  <c r="AF2" i="1"/>
  <c r="AE2" i="1"/>
  <c r="AD2" i="1"/>
  <c r="AC2" i="1"/>
  <c r="AB2" i="1"/>
  <c r="AA2" i="1"/>
  <c r="Z2" i="1"/>
  <c r="Y2" i="1"/>
  <c r="X2" i="1"/>
  <c r="W2" i="1"/>
  <c r="V2" i="1"/>
  <c r="U2" i="1"/>
  <c r="T2" i="1"/>
  <c r="S2" i="1"/>
  <c r="R2" i="1"/>
  <c r="Q2" i="1"/>
  <c r="P2" i="1"/>
  <c r="O2" i="1"/>
  <c r="N2" i="1"/>
  <c r="M2" i="1"/>
  <c r="L2" i="1"/>
  <c r="K2" i="1"/>
  <c r="J2" i="1"/>
  <c r="I2" i="1"/>
  <c r="H2" i="1"/>
  <c r="CT16" i="1" l="1"/>
  <c r="CU16" i="1"/>
  <c r="G16" i="1"/>
  <c r="CQ16" i="1"/>
  <c r="CS16" i="1"/>
  <c r="CU17" i="1"/>
  <c r="CT19" i="1"/>
  <c r="CR19" i="1"/>
  <c r="CU19" i="1"/>
  <c r="CS19" i="1"/>
  <c r="CQ19" i="1"/>
  <c r="CT32" i="1"/>
  <c r="CU32" i="1"/>
  <c r="G32" i="1"/>
  <c r="CQ32" i="1"/>
  <c r="CV32" i="1"/>
  <c r="CS32" i="1"/>
  <c r="CT34" i="1"/>
  <c r="CU34" i="1"/>
  <c r="G34" i="1"/>
  <c r="CV34" i="1"/>
  <c r="CS34" i="1"/>
  <c r="CR34" i="1"/>
  <c r="CV43" i="1"/>
  <c r="CT54" i="1"/>
  <c r="CU54" i="1"/>
  <c r="G54" i="1"/>
  <c r="CS54" i="1"/>
  <c r="CQ54" i="1"/>
  <c r="CV54" i="1"/>
  <c r="CT68" i="1"/>
  <c r="CU68" i="1"/>
  <c r="G68" i="1"/>
  <c r="CS68" i="1"/>
  <c r="CR68" i="1"/>
  <c r="CQ68" i="1"/>
  <c r="CT7" i="1"/>
  <c r="CT12" i="1"/>
  <c r="CU12" i="1"/>
  <c r="CS12" i="1"/>
  <c r="CQ12" i="1"/>
  <c r="CT13" i="1"/>
  <c r="CR13" i="1"/>
  <c r="CS13" i="1"/>
  <c r="CQ13" i="1"/>
  <c r="CV16" i="1"/>
  <c r="CV19" i="1"/>
  <c r="CT25" i="1"/>
  <c r="CR25" i="1"/>
  <c r="CV25" i="1"/>
  <c r="G25" i="1"/>
  <c r="CU25" i="1"/>
  <c r="CS25" i="1"/>
  <c r="CT27" i="1"/>
  <c r="CR27" i="1"/>
  <c r="CU27" i="1"/>
  <c r="CS27" i="1"/>
  <c r="CQ27" i="1"/>
  <c r="CT40" i="1"/>
  <c r="CU40" i="1"/>
  <c r="G40" i="1"/>
  <c r="CQ40" i="1"/>
  <c r="CV40" i="1"/>
  <c r="CS40" i="1"/>
  <c r="CT42" i="1"/>
  <c r="CU42" i="1"/>
  <c r="G42" i="1"/>
  <c r="CV42" i="1"/>
  <c r="CS42" i="1"/>
  <c r="CR42" i="1"/>
  <c r="CT18" i="1"/>
  <c r="CU18" i="1"/>
  <c r="G18" i="1"/>
  <c r="CV18" i="1"/>
  <c r="CS18" i="1"/>
  <c r="CR18" i="1"/>
  <c r="CV27" i="1"/>
  <c r="CT33" i="1"/>
  <c r="CR33" i="1"/>
  <c r="CV33" i="1"/>
  <c r="G33" i="1"/>
  <c r="CU33" i="1"/>
  <c r="CS33" i="1"/>
  <c r="CT35" i="1"/>
  <c r="CR35" i="1"/>
  <c r="CU35" i="1"/>
  <c r="CS35" i="1"/>
  <c r="CQ35" i="1"/>
  <c r="CT50" i="1"/>
  <c r="CU50" i="1"/>
  <c r="G50" i="1"/>
  <c r="CQ50" i="1"/>
  <c r="CV50" i="1"/>
  <c r="CS50" i="1"/>
  <c r="CT72" i="1"/>
  <c r="CU72" i="1"/>
  <c r="G72" i="1"/>
  <c r="CS72" i="1"/>
  <c r="CR72" i="1"/>
  <c r="CQ72" i="1"/>
  <c r="CR12" i="1"/>
  <c r="CU13" i="1"/>
  <c r="CR11" i="1"/>
  <c r="CV12" i="1"/>
  <c r="CV13" i="1"/>
  <c r="CT17" i="1"/>
  <c r="CR17" i="1"/>
  <c r="CV17" i="1"/>
  <c r="G17" i="1"/>
  <c r="CS17" i="1"/>
  <c r="CT24" i="1"/>
  <c r="CU24" i="1"/>
  <c r="G24" i="1"/>
  <c r="CQ24" i="1"/>
  <c r="CV24" i="1"/>
  <c r="CS24" i="1"/>
  <c r="CT26" i="1"/>
  <c r="CU26" i="1"/>
  <c r="G26" i="1"/>
  <c r="CV26" i="1"/>
  <c r="CS26" i="1"/>
  <c r="CR26" i="1"/>
  <c r="CT41" i="1"/>
  <c r="CR41" i="1"/>
  <c r="CV41" i="1"/>
  <c r="G41" i="1"/>
  <c r="CU41" i="1"/>
  <c r="CS41" i="1"/>
  <c r="CT43" i="1"/>
  <c r="CR43" i="1"/>
  <c r="CU43" i="1"/>
  <c r="CS43" i="1"/>
  <c r="CQ43" i="1"/>
  <c r="CT51" i="1"/>
  <c r="CR51" i="1"/>
  <c r="CV51" i="1"/>
  <c r="G51" i="1"/>
  <c r="CU51" i="1"/>
  <c r="CS51" i="1"/>
  <c r="CR54" i="1"/>
  <c r="CT60" i="1"/>
  <c r="CU60" i="1"/>
  <c r="G60" i="1"/>
  <c r="CS60" i="1"/>
  <c r="CQ60" i="1"/>
  <c r="CV60" i="1"/>
  <c r="CV68" i="1"/>
  <c r="CT52" i="1"/>
  <c r="CU52" i="1"/>
  <c r="G52" i="1"/>
  <c r="CR52" i="1"/>
  <c r="CT58" i="1"/>
  <c r="CU58" i="1"/>
  <c r="G58" i="1"/>
  <c r="CS58" i="1"/>
  <c r="CR58" i="1"/>
  <c r="CT66" i="1"/>
  <c r="CU66" i="1"/>
  <c r="G66" i="1"/>
  <c r="CS66" i="1"/>
  <c r="CR66" i="1"/>
  <c r="CT20" i="1"/>
  <c r="CU20" i="1"/>
  <c r="G20" i="1"/>
  <c r="CR20" i="1"/>
  <c r="CT21" i="1"/>
  <c r="CR21" i="1"/>
  <c r="CQ21" i="1"/>
  <c r="CT28" i="1"/>
  <c r="CU28" i="1"/>
  <c r="G28" i="1"/>
  <c r="CR28" i="1"/>
  <c r="CT29" i="1"/>
  <c r="CR29" i="1"/>
  <c r="CQ29" i="1"/>
  <c r="CT36" i="1"/>
  <c r="CU36" i="1"/>
  <c r="G36" i="1"/>
  <c r="CR36" i="1"/>
  <c r="CT37" i="1"/>
  <c r="CR37" i="1"/>
  <c r="CQ37" i="1"/>
  <c r="CT44" i="1"/>
  <c r="CU44" i="1"/>
  <c r="G44" i="1"/>
  <c r="CR44" i="1"/>
  <c r="CT45" i="1"/>
  <c r="CR45" i="1"/>
  <c r="CQ45" i="1"/>
  <c r="CT14" i="1"/>
  <c r="CU14" i="1"/>
  <c r="G14" i="1"/>
  <c r="CR14" i="1"/>
  <c r="CT15" i="1"/>
  <c r="CR15" i="1"/>
  <c r="CQ15" i="1"/>
  <c r="CS20" i="1"/>
  <c r="CS21" i="1"/>
  <c r="CT22" i="1"/>
  <c r="CU22" i="1"/>
  <c r="G22" i="1"/>
  <c r="CR22" i="1"/>
  <c r="CT23" i="1"/>
  <c r="CR23" i="1"/>
  <c r="CQ23" i="1"/>
  <c r="CS28" i="1"/>
  <c r="CS29" i="1"/>
  <c r="CT30" i="1"/>
  <c r="CU30" i="1"/>
  <c r="G30" i="1"/>
  <c r="CR30" i="1"/>
  <c r="CT31" i="1"/>
  <c r="CR31" i="1"/>
  <c r="CQ31" i="1"/>
  <c r="CS36" i="1"/>
  <c r="CS37" i="1"/>
  <c r="CT38" i="1"/>
  <c r="CU38" i="1"/>
  <c r="G38" i="1"/>
  <c r="CR38" i="1"/>
  <c r="CT39" i="1"/>
  <c r="CR39" i="1"/>
  <c r="CQ39" i="1"/>
  <c r="CS44" i="1"/>
  <c r="CS45" i="1"/>
  <c r="CT46" i="1"/>
  <c r="CU46" i="1"/>
  <c r="G46" i="1"/>
  <c r="CR46" i="1"/>
  <c r="CT47" i="1"/>
  <c r="CR47" i="1"/>
  <c r="CQ47" i="1"/>
  <c r="G49" i="1"/>
  <c r="CS52" i="1"/>
  <c r="CT56" i="1"/>
  <c r="CU56" i="1"/>
  <c r="G56" i="1"/>
  <c r="CS56" i="1"/>
  <c r="CR56" i="1"/>
  <c r="CV58" i="1"/>
  <c r="CT64" i="1"/>
  <c r="CU64" i="1"/>
  <c r="G64" i="1"/>
  <c r="CS64" i="1"/>
  <c r="CR64" i="1"/>
  <c r="CV66" i="1"/>
  <c r="CT70" i="1"/>
  <c r="CU70" i="1"/>
  <c r="G70" i="1"/>
  <c r="CS70" i="1"/>
  <c r="CR70" i="1"/>
  <c r="CV70" i="1"/>
  <c r="CT74" i="1"/>
  <c r="CU74" i="1"/>
  <c r="G74" i="1"/>
  <c r="CS74" i="1"/>
  <c r="CR74" i="1"/>
  <c r="CV74" i="1"/>
  <c r="CT48" i="1"/>
  <c r="CU48" i="1"/>
  <c r="G48" i="1"/>
  <c r="CR48" i="1"/>
  <c r="CT49" i="1"/>
  <c r="CR49" i="1"/>
  <c r="CQ49" i="1"/>
  <c r="CV52" i="1"/>
  <c r="CT62" i="1"/>
  <c r="CU62" i="1"/>
  <c r="G62" i="1"/>
  <c r="CS62" i="1"/>
  <c r="CR62" i="1"/>
  <c r="CQ53" i="1"/>
  <c r="CV53" i="1"/>
  <c r="CQ55" i="1"/>
  <c r="CV55" i="1"/>
  <c r="CQ57" i="1"/>
  <c r="CV57" i="1"/>
  <c r="CQ59" i="1"/>
  <c r="CV59" i="1"/>
  <c r="CQ61" i="1"/>
  <c r="CV61" i="1"/>
  <c r="CQ63" i="1"/>
  <c r="CV63" i="1"/>
  <c r="CQ65" i="1"/>
  <c r="CV65" i="1"/>
  <c r="CQ67" i="1"/>
  <c r="CV67" i="1"/>
  <c r="CQ69" i="1"/>
  <c r="CV69" i="1"/>
  <c r="CQ71" i="1"/>
  <c r="CV71" i="1"/>
  <c r="CQ73" i="1"/>
  <c r="CV73" i="1"/>
  <c r="CQ75" i="1"/>
  <c r="CV75" i="1"/>
  <c r="CR53" i="1"/>
  <c r="CR55" i="1"/>
  <c r="CP75" i="1"/>
  <c r="CP74" i="1"/>
  <c r="CP73" i="1"/>
  <c r="CP72" i="1"/>
  <c r="CP71" i="1"/>
  <c r="CP70" i="1"/>
  <c r="CP69" i="1"/>
  <c r="CP68" i="1"/>
  <c r="CP67" i="1"/>
  <c r="CP66" i="1"/>
  <c r="CP65" i="1"/>
  <c r="CP64" i="1"/>
  <c r="CP63" i="1"/>
  <c r="CP62" i="1"/>
  <c r="CP61" i="1"/>
  <c r="CP60" i="1"/>
  <c r="CP59" i="1"/>
  <c r="CP58" i="1"/>
  <c r="CP57" i="1"/>
  <c r="CP56" i="1"/>
  <c r="CP55" i="1"/>
  <c r="CP54" i="1"/>
  <c r="CP53" i="1"/>
  <c r="CP52" i="1"/>
  <c r="CP51" i="1"/>
  <c r="CP50" i="1"/>
  <c r="CP49" i="1"/>
  <c r="CP48" i="1"/>
  <c r="CP47" i="1"/>
  <c r="CP46" i="1"/>
  <c r="CP45" i="1"/>
  <c r="CP44" i="1"/>
  <c r="CP43" i="1"/>
  <c r="CP42" i="1"/>
  <c r="CP41" i="1"/>
  <c r="CP40" i="1"/>
  <c r="CP39" i="1"/>
  <c r="CP38" i="1"/>
  <c r="CP37" i="1"/>
  <c r="CP36" i="1"/>
  <c r="CP35" i="1"/>
  <c r="CP34" i="1"/>
  <c r="CP33" i="1"/>
  <c r="CP32" i="1"/>
  <c r="CP31" i="1"/>
  <c r="CP30" i="1"/>
  <c r="CP29" i="1"/>
  <c r="CP28" i="1"/>
  <c r="CP27" i="1"/>
  <c r="CP26" i="1"/>
  <c r="CP25" i="1"/>
  <c r="CP24" i="1"/>
  <c r="CP23" i="1"/>
  <c r="CP22" i="1"/>
  <c r="CP21" i="1"/>
  <c r="CP20" i="1"/>
  <c r="CP19" i="1"/>
  <c r="CP18" i="1"/>
  <c r="CP17" i="1"/>
  <c r="CP16" i="1"/>
  <c r="CP15" i="1"/>
  <c r="CP14" i="1"/>
  <c r="CP13" i="1"/>
  <c r="CP12" i="1"/>
  <c r="CP11" i="1"/>
  <c r="CV7" i="1"/>
  <c r="CR7" i="1"/>
  <c r="CU7" i="1"/>
  <c r="CQ7" i="1"/>
  <c r="CP7" i="1"/>
  <c r="CV8" i="1"/>
  <c r="CR8" i="1"/>
  <c r="CU8" i="1"/>
  <c r="CQ8" i="1"/>
  <c r="CP8" i="1"/>
  <c r="CV9" i="1"/>
  <c r="CR9" i="1"/>
  <c r="CU9" i="1"/>
  <c r="CQ9" i="1"/>
  <c r="CP9" i="1"/>
  <c r="CV10" i="1"/>
  <c r="CR10" i="1"/>
  <c r="CU10" i="1"/>
  <c r="CQ10" i="1"/>
  <c r="CP10" i="1"/>
  <c r="CT11" i="1"/>
  <c r="CS11" i="1"/>
  <c r="G11" i="1"/>
  <c r="CV11" i="1"/>
  <c r="CS7" i="1"/>
  <c r="CS8" i="1"/>
  <c r="CS9" i="1"/>
  <c r="CS10" i="1"/>
  <c r="CQ11" i="1"/>
  <c r="CP77" i="1" l="1"/>
  <c r="D662" i="2"/>
  <c r="D496" i="2"/>
  <c r="D669" i="2"/>
  <c r="D729" i="2"/>
  <c r="D697" i="2"/>
  <c r="D818" i="2"/>
  <c r="D737" i="2"/>
  <c r="D675" i="2"/>
  <c r="D499" i="2"/>
  <c r="D619" i="2"/>
  <c r="D462" i="2"/>
  <c r="D732" i="2"/>
  <c r="D617" i="2"/>
  <c r="D495" i="2"/>
  <c r="D745" i="2"/>
  <c r="D774" i="2"/>
  <c r="D551" i="2"/>
  <c r="D569" i="2"/>
  <c r="D821" i="2"/>
  <c r="D502" i="2"/>
  <c r="D755" i="2"/>
  <c r="D607" i="2"/>
  <c r="D721" i="2"/>
  <c r="D699" i="2"/>
  <c r="D805" i="2"/>
  <c r="D815" i="2"/>
  <c r="D798" i="2"/>
  <c r="D668" i="2"/>
  <c r="D658" i="2"/>
  <c r="D768" i="2"/>
  <c r="D543" i="2"/>
  <c r="D630" i="2"/>
  <c r="D777" i="2"/>
  <c r="D435" i="2"/>
  <c r="D618" i="2"/>
  <c r="D549" i="2"/>
  <c r="D655" i="2"/>
  <c r="D760" i="2"/>
  <c r="D679" i="2"/>
  <c r="D820" i="2"/>
  <c r="D795" i="2"/>
  <c r="D739" i="2"/>
  <c r="D610" i="2"/>
  <c r="D751" i="2"/>
  <c r="D822" i="2"/>
  <c r="D598" i="2"/>
  <c r="D571" i="2"/>
  <c r="D670" i="2"/>
  <c r="D756" i="2"/>
  <c r="D520" i="2"/>
  <c r="D641" i="2"/>
  <c r="D432" i="2"/>
  <c r="D517" i="2"/>
  <c r="D664" i="2"/>
  <c r="D624" i="2"/>
  <c r="D695" i="2"/>
  <c r="D609" i="2"/>
  <c r="D778" i="2"/>
  <c r="D530" i="2"/>
  <c r="D622" i="2"/>
  <c r="D659" i="2"/>
  <c r="D766" i="2"/>
  <c r="D726" i="2"/>
  <c r="D427" i="2"/>
  <c r="D799" i="2"/>
  <c r="D686" i="2"/>
  <c r="D763" i="2"/>
  <c r="D723" i="2"/>
  <c r="D593" i="2"/>
  <c r="D749" i="2"/>
  <c r="D584" i="2"/>
  <c r="D539" i="2"/>
  <c r="D472" i="2"/>
  <c r="D458" i="2"/>
  <c r="D529" i="2"/>
  <c r="D678" i="2"/>
  <c r="D803" i="2"/>
  <c r="D786" i="2"/>
  <c r="D573" i="2"/>
  <c r="D812" i="2"/>
  <c r="D555" i="2"/>
  <c r="D681" i="2"/>
  <c r="D635" i="2"/>
  <c r="D545" i="2"/>
  <c r="D591" i="2"/>
  <c r="D747" i="2"/>
  <c r="D691" i="2"/>
  <c r="D447" i="2"/>
  <c r="D765" i="2"/>
  <c r="D509" i="2"/>
  <c r="D544" i="2"/>
  <c r="D650" i="2"/>
  <c r="D471" i="2"/>
  <c r="D561" i="2"/>
  <c r="D528" i="2"/>
  <c r="D519" i="2"/>
  <c r="D759" i="2"/>
  <c r="D707" i="2"/>
  <c r="D444" i="2"/>
  <c r="D649" i="2"/>
  <c r="D722" i="2"/>
  <c r="D744" i="2"/>
  <c r="D657" i="2"/>
  <c r="D702" i="2"/>
  <c r="D572" i="2"/>
  <c r="D489" i="2"/>
  <c r="D644" i="2"/>
  <c r="D594" i="2"/>
  <c r="D491" i="2"/>
  <c r="D465" i="2"/>
  <c r="D648" i="2"/>
  <c r="D570" i="2"/>
  <c r="D534" i="2"/>
  <c r="D481" i="2"/>
  <c r="D606" i="2"/>
  <c r="D620" i="2"/>
  <c r="D453" i="2"/>
  <c r="D665" i="2"/>
  <c r="D526" i="2"/>
  <c r="D810" i="2"/>
  <c r="D779" i="2"/>
  <c r="D469" i="2"/>
  <c r="D706" i="2"/>
  <c r="D692" i="2"/>
  <c r="D532" i="2"/>
  <c r="D446" i="2"/>
  <c r="D797" i="2"/>
  <c r="D428" i="2"/>
  <c r="D505" i="2"/>
  <c r="D696" i="2"/>
  <c r="D473" i="2"/>
  <c r="D742" i="2"/>
  <c r="D485" i="2"/>
  <c r="D647" i="2"/>
  <c r="D804" i="2"/>
  <c r="D463" i="2"/>
  <c r="D445" i="2"/>
  <c r="D792" i="2"/>
  <c r="D783" i="2"/>
  <c r="D429" i="2"/>
  <c r="D522" i="2"/>
  <c r="D459" i="2"/>
  <c r="D740" i="2"/>
  <c r="D710" i="2"/>
  <c r="D510" i="2"/>
  <c r="D587" i="2"/>
  <c r="D454" i="2"/>
  <c r="D746" i="2"/>
  <c r="D725" i="2"/>
  <c r="D767" i="2"/>
  <c r="D631" i="2"/>
  <c r="D651" i="2"/>
  <c r="D586" i="2"/>
  <c r="D589" i="2"/>
  <c r="D716" i="2"/>
  <c r="D436" i="2"/>
  <c r="D460" i="2"/>
  <c r="D784" i="2"/>
  <c r="D793" i="2"/>
  <c r="D457" i="2"/>
  <c r="D819" i="2"/>
  <c r="D704" i="2"/>
  <c r="D585" i="2"/>
  <c r="D451" i="2"/>
  <c r="D654" i="2"/>
  <c r="D442" i="2"/>
  <c r="D540" i="2"/>
  <c r="D478" i="2"/>
  <c r="D672" i="2"/>
  <c r="D486" i="2"/>
  <c r="D420" i="2"/>
  <c r="D734" i="2"/>
  <c r="D627" i="2"/>
  <c r="D511" i="2"/>
  <c r="D698" i="2"/>
  <c r="D754" i="2"/>
  <c r="D576" i="2"/>
  <c r="D689" i="2"/>
  <c r="D494" i="2"/>
  <c r="D769" i="2"/>
  <c r="D523" i="2"/>
  <c r="D596" i="2"/>
  <c r="D475" i="2"/>
  <c r="D813" i="2"/>
  <c r="D449" i="2"/>
  <c r="D806" i="2"/>
  <c r="D450" i="2"/>
  <c r="D701" i="2"/>
  <c r="D683" i="2"/>
  <c r="D513" i="2"/>
  <c r="D477" i="2"/>
  <c r="D761" i="2"/>
  <c r="D426" i="2"/>
  <c r="D781" i="2"/>
  <c r="D476" i="2"/>
  <c r="D712" i="2"/>
  <c r="D470" i="2"/>
  <c r="D566" i="2"/>
  <c r="D503" i="2"/>
  <c r="D616" i="2"/>
  <c r="D547" i="2"/>
  <c r="D605" i="2"/>
  <c r="D542" i="2"/>
  <c r="D601" i="2"/>
  <c r="D590" i="2"/>
  <c r="D419" i="2"/>
  <c r="D728" i="2"/>
  <c r="D628" i="2"/>
  <c r="D717" i="2"/>
  <c r="D652" i="2"/>
  <c r="D709" i="2"/>
  <c r="D750" i="2"/>
  <c r="D753" i="2"/>
  <c r="D506" i="2"/>
  <c r="D677" i="2"/>
  <c r="D422" i="2"/>
  <c r="D814" i="2"/>
  <c r="D632" i="2"/>
  <c r="D645" i="2"/>
  <c r="D785" i="2"/>
  <c r="D516" i="2"/>
  <c r="D487" i="2"/>
  <c r="D515" i="2"/>
  <c r="D424" i="2"/>
  <c r="D560" i="2"/>
  <c r="D588" i="2"/>
  <c r="D455" i="2"/>
  <c r="D557" i="2"/>
  <c r="D602" i="2"/>
  <c r="D541" i="2"/>
  <c r="D438" i="2"/>
  <c r="D562" i="2"/>
  <c r="D711" i="2"/>
  <c r="D484" i="2"/>
  <c r="D466" i="2"/>
  <c r="D690" i="2"/>
  <c r="D637" i="2"/>
  <c r="D431" i="2"/>
  <c r="D597" i="2"/>
  <c r="D640" i="2"/>
  <c r="D425" i="2"/>
  <c r="D514" i="2"/>
  <c r="D660" i="2"/>
  <c r="D552" i="2"/>
  <c r="D629" i="2"/>
  <c r="D773" i="2"/>
  <c r="D811" i="2"/>
  <c r="D565" i="2"/>
  <c r="D714" i="2"/>
  <c r="D802" i="2"/>
  <c r="D703" i="2"/>
  <c r="D474" i="2"/>
  <c r="D546" i="2"/>
  <c r="D611" i="2"/>
  <c r="D577" i="2"/>
  <c r="D579" i="2"/>
  <c r="D735" i="2"/>
  <c r="D688" i="2"/>
  <c r="D613" i="2"/>
  <c r="D482" i="2"/>
  <c r="D687" i="2"/>
  <c r="D685" i="2"/>
  <c r="D816" i="2"/>
  <c r="D636" i="2"/>
  <c r="D656" i="2"/>
  <c r="D415" i="2"/>
  <c r="D700" i="2"/>
  <c r="D581" i="2"/>
  <c r="D468" i="2"/>
  <c r="D639" i="2"/>
  <c r="D554" i="2"/>
  <c r="D537" i="2"/>
  <c r="D418" i="2"/>
  <c r="D638" i="2"/>
  <c r="D423" i="2"/>
  <c r="D525" i="2"/>
  <c r="D430" i="2"/>
  <c r="D533" i="2"/>
  <c r="D461" i="2"/>
  <c r="D612" i="2"/>
  <c r="D719" i="2"/>
  <c r="D621" i="2"/>
  <c r="D782" i="2"/>
  <c r="D796" i="2"/>
  <c r="D809" i="2"/>
  <c r="D762" i="2"/>
  <c r="D603" i="2"/>
  <c r="D666" i="2"/>
  <c r="D770" i="2"/>
  <c r="D705" i="2"/>
  <c r="D563" i="2"/>
  <c r="D808" i="2"/>
  <c r="D538" i="2"/>
  <c r="D558" i="2"/>
  <c r="D480" i="2"/>
  <c r="D578" i="2"/>
  <c r="D787" i="2"/>
  <c r="D752" i="2"/>
  <c r="D512" i="2"/>
  <c r="D421" i="2"/>
  <c r="D713" i="2"/>
  <c r="D508" i="2"/>
  <c r="D604" i="2"/>
  <c r="D521" i="2"/>
  <c r="D720" i="2"/>
  <c r="D488" i="2"/>
  <c r="D800" i="2"/>
  <c r="D518" i="2"/>
  <c r="D634" i="2"/>
  <c r="D643" i="2"/>
  <c r="D764" i="2"/>
  <c r="D623" i="2"/>
  <c r="D646" i="2"/>
  <c r="D498" i="2"/>
  <c r="D599" i="2"/>
  <c r="D633" i="2"/>
  <c r="D527" i="2"/>
  <c r="D771" i="2"/>
  <c r="D582" i="2"/>
  <c r="D433" i="2"/>
  <c r="D437" i="2"/>
  <c r="D567" i="2"/>
  <c r="D625" i="2"/>
  <c r="D676" i="2"/>
  <c r="D456" i="2"/>
  <c r="D642" i="2"/>
  <c r="D667" i="2"/>
  <c r="D615" i="2"/>
  <c r="D772" i="2"/>
  <c r="D556" i="2"/>
  <c r="D817" i="2"/>
  <c r="D467" i="2"/>
  <c r="D564" i="2"/>
  <c r="D504" i="2"/>
  <c r="D788" i="2"/>
  <c r="D492" i="2"/>
  <c r="D507" i="2"/>
  <c r="D441" i="2"/>
  <c r="D592" i="2"/>
  <c r="D559" i="2"/>
  <c r="D568" i="2"/>
  <c r="D673" i="2"/>
  <c r="D727" i="2"/>
  <c r="D483" i="2"/>
  <c r="D580" i="2"/>
  <c r="D500" i="2"/>
  <c r="D730" i="2"/>
  <c r="D575" i="2"/>
  <c r="D663" i="2"/>
  <c r="D608" i="2"/>
  <c r="D626" i="2"/>
  <c r="D416" i="2"/>
  <c r="D443" i="2"/>
  <c r="D743" i="2"/>
  <c r="D501" i="2"/>
  <c r="D661" i="2"/>
  <c r="D452" i="2"/>
  <c r="D789" i="2"/>
  <c r="D440" i="2"/>
  <c r="D736" i="2"/>
  <c r="D595" i="2"/>
  <c r="D653" i="2"/>
  <c r="D775" i="2"/>
  <c r="D758" i="2"/>
  <c r="D464" i="2"/>
  <c r="D479" i="2"/>
  <c r="D497" i="2"/>
  <c r="D531" i="2"/>
  <c r="D490" i="2"/>
  <c r="D684" i="2"/>
  <c r="D614" i="2"/>
  <c r="D550" i="2"/>
  <c r="D791" i="2"/>
  <c r="D682" i="2"/>
  <c r="D724" i="2"/>
  <c r="D757" i="2"/>
  <c r="D524" i="2"/>
  <c r="D801" i="2"/>
  <c r="D693" i="2"/>
  <c r="D748" i="2"/>
  <c r="D439" i="2"/>
  <c r="D434" i="2"/>
  <c r="D417" i="2"/>
  <c r="D738" i="2"/>
  <c r="D776" i="2"/>
  <c r="D731" i="2"/>
  <c r="D548" i="2"/>
  <c r="D600" i="2"/>
  <c r="D741" i="2"/>
  <c r="D718" i="2"/>
  <c r="D535" i="2"/>
  <c r="D583" i="2"/>
  <c r="D493" i="2"/>
  <c r="D807" i="2"/>
  <c r="D448" i="2"/>
  <c r="D536" i="2"/>
  <c r="D671" i="2"/>
  <c r="D674" i="2"/>
  <c r="D790" i="2"/>
  <c r="D553" i="2"/>
  <c r="D708" i="2"/>
  <c r="D794" i="2"/>
  <c r="D733" i="2"/>
  <c r="D715" i="2"/>
  <c r="D694" i="2"/>
  <c r="D780" i="2"/>
  <c r="D574" i="2"/>
  <c r="D680" i="2"/>
</calcChain>
</file>

<file path=xl/sharedStrings.xml><?xml version="1.0" encoding="utf-8"?>
<sst xmlns="http://schemas.openxmlformats.org/spreadsheetml/2006/main" count="1002" uniqueCount="102">
  <si>
    <t>N° compte</t>
  </si>
  <si>
    <t>N° compte FR</t>
  </si>
  <si>
    <t>Libellé</t>
  </si>
  <si>
    <t>Date début</t>
  </si>
  <si>
    <t>010001</t>
  </si>
  <si>
    <t>Total général</t>
  </si>
  <si>
    <t>Auto+Hide+Values+Formulas=Feuil19,Feuil14,Feuil15</t>
  </si>
  <si>
    <t>Hide</t>
  </si>
  <si>
    <t>Fit</t>
  </si>
  <si>
    <t>Auto</t>
  </si>
  <si>
    <t>Plan comptable belge</t>
  </si>
  <si>
    <t>Correspondance française dans 4D</t>
  </si>
  <si>
    <t>Rubriques conso</t>
  </si>
  <si>
    <t>N°Compte</t>
  </si>
  <si>
    <t>Libellé belge dans 4D</t>
  </si>
  <si>
    <t>Sous-totaux</t>
  </si>
  <si>
    <t>Totaux</t>
  </si>
  <si>
    <t>"ORPEA BE","010010","15","1","100000"</t>
  </si>
  <si>
    <t/>
  </si>
  <si>
    <t>010010</t>
  </si>
  <si>
    <t>010011</t>
  </si>
  <si>
    <t>010012</t>
  </si>
  <si>
    <t>010013</t>
  </si>
  <si>
    <t>010014</t>
  </si>
  <si>
    <t>010017</t>
  </si>
  <si>
    <t>010018</t>
  </si>
  <si>
    <t>010019</t>
  </si>
  <si>
    <t>010020</t>
  </si>
  <si>
    <t>010021</t>
  </si>
  <si>
    <t>010022</t>
  </si>
  <si>
    <t>010023</t>
  </si>
  <si>
    <t>010024</t>
  </si>
  <si>
    <t>010026</t>
  </si>
  <si>
    <t>010027</t>
  </si>
  <si>
    <t>010028</t>
  </si>
  <si>
    <t>010029</t>
  </si>
  <si>
    <t>010030</t>
  </si>
  <si>
    <t>010031</t>
  </si>
  <si>
    <t>010032</t>
  </si>
  <si>
    <t>010033</t>
  </si>
  <si>
    <t>010034</t>
  </si>
  <si>
    <t>010035</t>
  </si>
  <si>
    <t>010036</t>
  </si>
  <si>
    <t>010037</t>
  </si>
  <si>
    <t>010040</t>
  </si>
  <si>
    <t>010041</t>
  </si>
  <si>
    <t>010042</t>
  </si>
  <si>
    <t>010043</t>
  </si>
  <si>
    <t>010044</t>
  </si>
  <si>
    <t>010047</t>
  </si>
  <si>
    <t>010048</t>
  </si>
  <si>
    <t>010049</t>
  </si>
  <si>
    <t>010050</t>
  </si>
  <si>
    <t>010051</t>
  </si>
  <si>
    <t>010052</t>
  </si>
  <si>
    <t>010053</t>
  </si>
  <si>
    <t>010054</t>
  </si>
  <si>
    <t>010055</t>
  </si>
  <si>
    <t>010059</t>
  </si>
  <si>
    <t>010060</t>
  </si>
  <si>
    <t>010061</t>
  </si>
  <si>
    <t>010062</t>
  </si>
  <si>
    <t>010063</t>
  </si>
  <si>
    <t>011001</t>
  </si>
  <si>
    <t>011002</t>
  </si>
  <si>
    <t>011004</t>
  </si>
  <si>
    <t>011005</t>
  </si>
  <si>
    <t>011006</t>
  </si>
  <si>
    <t>011007</t>
  </si>
  <si>
    <t>011008</t>
  </si>
  <si>
    <t>011009</t>
  </si>
  <si>
    <t>011010</t>
  </si>
  <si>
    <t>011011</t>
  </si>
  <si>
    <t>011012</t>
  </si>
  <si>
    <t>011013</t>
  </si>
  <si>
    <t>011014</t>
  </si>
  <si>
    <t>011015</t>
  </si>
  <si>
    <t>011016</t>
  </si>
  <si>
    <t>011019</t>
  </si>
  <si>
    <t>011020</t>
  </si>
  <si>
    <t>011021</t>
  </si>
  <si>
    <t>011022</t>
  </si>
  <si>
    <t>011025</t>
  </si>
  <si>
    <t>011028</t>
  </si>
  <si>
    <t>011034</t>
  </si>
  <si>
    <t>011035</t>
  </si>
  <si>
    <t>011052</t>
  </si>
  <si>
    <t>011053</t>
  </si>
  <si>
    <t>011054</t>
  </si>
  <si>
    <t>011055</t>
  </si>
  <si>
    <t>011056</t>
  </si>
  <si>
    <t>011057</t>
  </si>
  <si>
    <t>011058</t>
  </si>
  <si>
    <t>011059</t>
  </si>
  <si>
    <t>011060</t>
  </si>
  <si>
    <t>011061</t>
  </si>
  <si>
    <t>011062</t>
  </si>
  <si>
    <t>011063</t>
  </si>
  <si>
    <t>011064</t>
  </si>
  <si>
    <t>011065</t>
  </si>
  <si>
    <t>011066</t>
  </si>
  <si>
    <t>011067</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</si>
</sst>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 _€_-;\-* #,##0.00\ _€_-;_-* &quot;-&quot;??\ _€_-;_-@_-"/>
    <numFmt numFmtId="164" formatCode="#,##0.00\ ;#,##0.00\-"/>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sz val="11"/>
      <color theme="4" tint="-0.249977111117893"/>
      <name val="Calibri"/>
      <family val="2"/>
    </font>
    <font>
      <sz val="10"/>
      <color indexed="8"/>
      <name val="Arial"/>
      <family val="2"/>
    </font>
    <font>
      <sz val="11"/>
      <color indexed="8"/>
      <name val="Calibri"/>
      <family val="2"/>
    </font>
    <font>
      <sz val="11"/>
      <name val="Calibri"/>
      <family val="2"/>
    </font>
  </fonts>
  <fills count="6">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8" tint="0.59999389629810485"/>
        <bgColor indexed="64"/>
      </patternFill>
    </fill>
    <fill>
      <patternFill patternType="solid">
        <fgColor theme="4" tint="0.59999389629810485"/>
        <bgColor theme="4" tint="0.79998168889431442"/>
      </patternFill>
    </fill>
  </fills>
  <borders count="10">
    <border>
      <left/>
      <right/>
      <top/>
      <bottom/>
      <diagonal/>
    </border>
    <border>
      <left/>
      <right/>
      <top/>
      <bottom style="thin">
        <color indexed="64"/>
      </bottom>
      <diagonal/>
    </border>
    <border>
      <left/>
      <right style="thin">
        <color indexed="64"/>
      </right>
      <top style="thin">
        <color indexed="64"/>
      </top>
      <bottom/>
      <diagonal/>
    </border>
    <border>
      <left style="hair">
        <color auto="1"/>
      </left>
      <right style="hair">
        <color auto="1"/>
      </right>
      <top/>
      <bottom/>
      <diagonal/>
    </border>
    <border>
      <left/>
      <right style="thin">
        <color indexed="64"/>
      </right>
      <top/>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0" fontId="5" fillId="0" borderId="0"/>
  </cellStyleXfs>
  <cellXfs count="35">
    <xf numFmtId="0" fontId="0" fillId="0" borderId="0" xfId="0"/>
    <xf numFmtId="0" fontId="2" fillId="0" borderId="1" xfId="0" applyFont="1" applyBorder="1" applyAlignment="1">
      <alignment vertical="center"/>
    </xf>
    <xf numFmtId="0" fontId="2" fillId="0" borderId="1" xfId="0" applyFont="1" applyBorder="1" applyAlignment="1">
      <alignment horizontal="center" vertical="center"/>
    </xf>
    <xf numFmtId="0" fontId="0" fillId="0" borderId="1" xfId="0" applyBorder="1" applyAlignment="1">
      <alignment vertical="center"/>
    </xf>
    <xf numFmtId="0" fontId="2" fillId="0" borderId="0" xfId="0" applyFon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0" fontId="2" fillId="0" borderId="2" xfId="0" applyFont="1" applyBorder="1" applyAlignment="1">
      <alignment vertical="center"/>
    </xf>
    <xf numFmtId="0" fontId="0" fillId="0" borderId="0" xfId="0" applyAlignment="1">
      <alignment vertical="center"/>
    </xf>
    <xf numFmtId="4" fontId="0" fillId="0" borderId="3" xfId="1" applyNumberFormat="1" applyFont="1" applyBorder="1" applyAlignment="1">
      <alignment vertical="center"/>
    </xf>
    <xf numFmtId="4" fontId="0" fillId="0" borderId="4" xfId="0" applyNumberFormat="1" applyBorder="1" applyAlignment="1">
      <alignment vertical="center"/>
    </xf>
    <xf numFmtId="4" fontId="0" fillId="0" borderId="6" xfId="0" applyNumberFormat="1" applyBorder="1" applyAlignment="1">
      <alignment vertical="center"/>
    </xf>
    <xf numFmtId="0" fontId="0" fillId="0" borderId="5" xfId="0" applyBorder="1" applyAlignment="1">
      <alignment vertical="center"/>
    </xf>
    <xf numFmtId="4" fontId="0" fillId="0" borderId="7" xfId="0" applyNumberFormat="1" applyBorder="1" applyAlignment="1">
      <alignment vertical="center"/>
    </xf>
    <xf numFmtId="0" fontId="2" fillId="0" borderId="5" xfId="0" applyFont="1" applyBorder="1" applyAlignment="1">
      <alignment horizontal="right" vertical="center" indent="1"/>
    </xf>
    <xf numFmtId="0" fontId="0" fillId="0" borderId="4" xfId="0" applyBorder="1" applyAlignment="1">
      <alignment vertical="center"/>
    </xf>
    <xf numFmtId="164" fontId="3" fillId="2" borderId="9" xfId="0" applyNumberFormat="1" applyFont="1" applyFill="1" applyBorder="1" applyAlignment="1">
      <alignment horizontal="left"/>
    </xf>
    <xf numFmtId="164" fontId="3" fillId="2" borderId="9" xfId="0" applyNumberFormat="1" applyFont="1" applyFill="1" applyBorder="1" applyAlignment="1">
      <alignment horizontal="left" vertical="center" wrapText="1"/>
    </xf>
    <xf numFmtId="164" fontId="3" fillId="3" borderId="9" xfId="0" applyNumberFormat="1" applyFont="1" applyFill="1" applyBorder="1" applyAlignment="1">
      <alignment horizontal="left"/>
    </xf>
    <xf numFmtId="164" fontId="3" fillId="4" borderId="9" xfId="0" applyNumberFormat="1" applyFont="1" applyFill="1" applyBorder="1" applyAlignment="1">
      <alignment horizontal="left"/>
    </xf>
    <xf numFmtId="0" fontId="4" fillId="5" borderId="9" xfId="0" applyNumberFormat="1" applyFont="1" applyFill="1" applyBorder="1"/>
    <xf numFmtId="0" fontId="6" fillId="2" borderId="9" xfId="2" applyNumberFormat="1" applyFont="1" applyFill="1" applyBorder="1"/>
    <xf numFmtId="0" fontId="6" fillId="3" borderId="9" xfId="2" applyNumberFormat="1" applyFont="1" applyFill="1" applyBorder="1"/>
    <xf numFmtId="0" fontId="7" fillId="4" borderId="9" xfId="0" applyNumberFormat="1" applyFont="1" applyFill="1" applyBorder="1" applyAlignment="1">
      <alignment vertical="center"/>
    </xf>
    <xf numFmtId="49" fontId="4" fillId="5" borderId="9" xfId="0" applyNumberFormat="1" applyFont="1" applyFill="1" applyBorder="1"/>
    <xf numFmtId="0" fontId="6" fillId="2" borderId="9" xfId="2" applyFont="1" applyFill="1" applyBorder="1"/>
    <xf numFmtId="0" fontId="6" fillId="3" borderId="9" xfId="2" applyFont="1" applyFill="1" applyBorder="1"/>
    <xf numFmtId="3" fontId="7" fillId="4" borderId="9" xfId="0" applyNumberFormat="1" applyFont="1" applyFill="1" applyBorder="1" applyAlignment="1">
      <alignment vertical="center"/>
    </xf>
    <xf numFmtId="0" fontId="2" fillId="0" borderId="5" xfId="0" applyFont="1" applyBorder="1" applyAlignment="1">
      <alignment horizontal="right" vertical="center" indent="1"/>
    </xf>
    <xf numFmtId="164" fontId="3" fillId="2" borderId="8" xfId="0" applyNumberFormat="1" applyFont="1" applyFill="1" applyBorder="1" applyAlignment="1">
      <alignment horizontal="center" vertical="center" wrapText="1"/>
    </xf>
    <xf numFmtId="164" fontId="3" fillId="2" borderId="7" xfId="0" applyNumberFormat="1" applyFont="1" applyFill="1" applyBorder="1" applyAlignment="1">
      <alignment horizontal="center" vertical="center" wrapText="1"/>
    </xf>
    <xf numFmtId="164" fontId="3" fillId="3" borderId="8" xfId="0" applyNumberFormat="1" applyFont="1" applyFill="1" applyBorder="1" applyAlignment="1">
      <alignment horizontal="center" vertical="center" wrapText="1"/>
    </xf>
    <xf numFmtId="164" fontId="3" fillId="3" borderId="7" xfId="0" applyNumberFormat="1" applyFont="1" applyFill="1" applyBorder="1" applyAlignment="1">
      <alignment horizontal="center" vertical="center" wrapText="1"/>
    </xf>
    <xf numFmtId="164" fontId="3" fillId="4" borderId="8" xfId="0" applyNumberFormat="1" applyFont="1" applyFill="1" applyBorder="1" applyAlignment="1">
      <alignment horizontal="center" vertical="center" wrapText="1"/>
    </xf>
    <xf numFmtId="164" fontId="3" fillId="4" borderId="7" xfId="0" applyNumberFormat="1" applyFont="1" applyFill="1" applyBorder="1" applyAlignment="1">
      <alignment horizontal="center" vertical="center" wrapText="1"/>
    </xf>
  </cellXfs>
  <cellStyles count="3">
    <cellStyle name="Milliers" xfId="1" builtinId="3"/>
    <cellStyle name="Normal" xfId="0" builtinId="0"/>
    <cellStyle name="Normal 2" xfId="2"/>
  </cellStyles>
  <dxfs count="2">
    <dxf>
      <fill>
        <patternFill>
          <bgColor rgb="FF92D050"/>
        </patternFill>
      </fill>
    </dxf>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14</xdr:col>
      <xdr:colOff>523875</xdr:colOff>
      <xdr:row>13</xdr:row>
      <xdr:rowOff>180975</xdr:rowOff>
    </xdr:from>
    <xdr:to>
      <xdr:col>22</xdr:col>
      <xdr:colOff>47625</xdr:colOff>
      <xdr:row>33</xdr:row>
      <xdr:rowOff>180975</xdr:rowOff>
    </xdr:to>
    <xdr:sp macro="" textlink="">
      <xdr:nvSpPr>
        <xdr:cNvPr id="2" name="ZoneTexte 1"/>
        <xdr:cNvSpPr txBox="1"/>
      </xdr:nvSpPr>
      <xdr:spPr>
        <a:xfrm>
          <a:off x="12039600" y="2657475"/>
          <a:ext cx="4400550" cy="381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Voici mon problème,</a:t>
          </a:r>
          <a:br>
            <a:rPr lang="fr-FR"/>
          </a:br>
          <a:r>
            <a:rPr lang="fr-FR"/>
            <a:t/>
          </a:r>
          <a:br>
            <a:rPr lang="fr-FR"/>
          </a:br>
          <a:r>
            <a:rPr lang="fr-FR"/>
            <a:t>J'ai un fichier avec en colonne des numéros de sociétés (qui peut varier), en lignes j'ai des numéro de compte (qui peut varier aussi) et au milieu les soldes des comptes.</a:t>
          </a:r>
          <a:br>
            <a:rPr lang="fr-FR"/>
          </a:br>
          <a:r>
            <a:rPr lang="fr-FR"/>
            <a:t/>
          </a:r>
          <a:br>
            <a:rPr lang="fr-FR"/>
          </a:br>
          <a:r>
            <a:rPr lang="fr-FR"/>
            <a:t>Je souhaite créer une macro qui va créer un nouveau tableau dans un nouvel onglet. ce tableau doit récupérer en boucle le numéro de la société, le numéro de compte et la valeur associée.9a me fait du coup plus de données mais c'est le seul moyen pour le retravailler derrière.</a:t>
          </a:r>
          <a:br>
            <a:rPr lang="fr-FR"/>
          </a:br>
          <a:r>
            <a:rPr lang="fr-FR"/>
            <a:t>Je vous joins mon fichier avec ma macro qui ne fonctionne qu'à moitié. </a:t>
          </a:r>
          <a:br>
            <a:rPr lang="fr-FR"/>
          </a:br>
          <a:r>
            <a:rPr lang="fr-FR"/>
            <a:t/>
          </a:r>
          <a:br>
            <a:rPr lang="fr-FR"/>
          </a:br>
          <a:r>
            <a:rPr lang="fr-FR"/>
            <a:t>Merci d'avance pour votre aide car je suis perdu!!</a:t>
          </a:r>
          <a:endParaRPr lang="fr-FR" sz="1100"/>
        </a:p>
      </xdr:txBody>
    </xdr:sp>
    <xdr:clientData/>
  </xdr:twoCellAnchor>
  <xdr:twoCellAnchor>
    <xdr:from>
      <xdr:col>15</xdr:col>
      <xdr:colOff>400051</xdr:colOff>
      <xdr:row>3</xdr:row>
      <xdr:rowOff>19050</xdr:rowOff>
    </xdr:from>
    <xdr:to>
      <xdr:col>18</xdr:col>
      <xdr:colOff>381001</xdr:colOff>
      <xdr:row>6</xdr:row>
      <xdr:rowOff>47625</xdr:rowOff>
    </xdr:to>
    <xdr:sp macro="[0]!recopie" textlink="">
      <xdr:nvSpPr>
        <xdr:cNvPr id="3" name="ZoneTexte 2"/>
        <xdr:cNvSpPr txBox="1"/>
      </xdr:nvSpPr>
      <xdr:spPr>
        <a:xfrm>
          <a:off x="12525376" y="590550"/>
          <a:ext cx="1809750" cy="600075"/>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600" b="1">
              <a:solidFill>
                <a:srgbClr val="FF0000"/>
              </a:solidFill>
            </a:rPr>
            <a:t>Action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roupe%20OB%20balances%20conso%20_v2%20-%20Copi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ta/AppData/Local/Microsoft/Windows/INetCache/Content.Outlook/YM4DKP9X/Groupe%20OB%20balances%20conso%20_v2%20(0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est Form"/>
      <sheetName val="Mappage de compte"/>
      <sheetName val="Feuil1"/>
      <sheetName val="Feuil3"/>
      <sheetName val="Feuil12"/>
      <sheetName val="Feuil13"/>
      <sheetName val="Feuil14"/>
      <sheetName val="Feuil15"/>
      <sheetName val="Feuil16"/>
      <sheetName val="Feuil17"/>
      <sheetName val="Feuil18"/>
      <sheetName val="Feuil19"/>
      <sheetName val="Feuil20"/>
      <sheetName val="Report"/>
    </sheetNames>
    <sheetDataSet>
      <sheetData sheetId="0">
        <row r="2">
          <cell r="C2" t="str">
            <v>01/01/2015</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est Form"/>
      <sheetName val="Mappage de compte"/>
      <sheetName val="PERIMÈTRE"/>
      <sheetName val="Report"/>
      <sheetName val="INTRAGROUPE"/>
      <sheetName val="Feuil12"/>
      <sheetName val="Feuil13"/>
      <sheetName val="Feuil14"/>
      <sheetName val="Feuil15"/>
      <sheetName val="Feuil16"/>
      <sheetName val="Feuil17"/>
      <sheetName val="Feuil18"/>
      <sheetName val="Feuil19"/>
      <sheetName val="Feuil20"/>
    </sheetNames>
    <sheetDataSet>
      <sheetData sheetId="0"/>
      <sheetData sheetId="1">
        <row r="2">
          <cell r="B2" t="str">
            <v>Plan comptable belge</v>
          </cell>
          <cell r="C2"/>
          <cell r="D2" t="str">
            <v>Correspondance française dans 4D</v>
          </cell>
          <cell r="E2"/>
          <cell r="F2" t="str">
            <v>Rubriques conso</v>
          </cell>
          <cell r="G2"/>
        </row>
        <row r="3">
          <cell r="B3" t="str">
            <v>N°Compte</v>
          </cell>
          <cell r="C3" t="str">
            <v>Libellé belge dans 4D</v>
          </cell>
          <cell r="D3" t="str">
            <v>N°Compte</v>
          </cell>
          <cell r="E3" t="str">
            <v>Libellé</v>
          </cell>
          <cell r="F3" t="str">
            <v>Sous-totaux</v>
          </cell>
          <cell r="G3" t="str">
            <v>Totaux</v>
          </cell>
        </row>
        <row r="4">
          <cell r="B4" t="str">
            <v>100000</v>
          </cell>
          <cell r="C4" t="str">
            <v>Capital Souscrit</v>
          </cell>
          <cell r="D4" t="str">
            <v>101300</v>
          </cell>
          <cell r="E4" t="str">
            <v xml:space="preserve">CAPITAL SOUSCRIT APPELE VERSE          </v>
          </cell>
          <cell r="F4" t="str">
            <v>Capital</v>
          </cell>
          <cell r="G4" t="str">
            <v>Capitaux propres part du groupe</v>
          </cell>
        </row>
        <row r="5">
          <cell r="B5" t="str">
            <v>101100</v>
          </cell>
          <cell r="C5" t="str">
            <v>Fonds Associatif</v>
          </cell>
          <cell r="D5" t="str">
            <v>467951</v>
          </cell>
          <cell r="E5" t="str">
            <v>ACHAT - BELGIQUE</v>
          </cell>
          <cell r="F5" t="str">
            <v>Autres passifs courants</v>
          </cell>
          <cell r="G5" t="str">
            <v>PASSIFS COURANTS</v>
          </cell>
        </row>
        <row r="6">
          <cell r="B6" t="str">
            <v>110000</v>
          </cell>
          <cell r="C6" t="str">
            <v>Prime d'émission</v>
          </cell>
          <cell r="D6" t="str">
            <v>101100</v>
          </cell>
          <cell r="E6" t="str">
            <v>CAPITAL SOUSC NON APPELE</v>
          </cell>
          <cell r="F6" t="str">
            <v>Capital</v>
          </cell>
          <cell r="G6" t="str">
            <v>Capitaux propres part du groupe</v>
          </cell>
        </row>
        <row r="7">
          <cell r="B7" t="str">
            <v>121000</v>
          </cell>
          <cell r="C7" t="str">
            <v>+value réévaluat° s/immo corp</v>
          </cell>
          <cell r="D7" t="str">
            <v>104100</v>
          </cell>
          <cell r="E7" t="str">
            <v>PRIME EMISSION</v>
          </cell>
          <cell r="F7" t="str">
            <v>Primes</v>
          </cell>
          <cell r="G7" t="str">
            <v>Capitaux propres part du groupe</v>
          </cell>
        </row>
        <row r="8">
          <cell r="B8" t="str">
            <v>121001</v>
          </cell>
          <cell r="C8" t="str">
            <v>+value réévaluat° s/immo corp</v>
          </cell>
          <cell r="D8" t="str">
            <v>106881</v>
          </cell>
          <cell r="E8" t="str">
            <v>RESERVES DIVERSES réev.</v>
          </cell>
          <cell r="F8" t="str">
            <v>Réserves Sociales</v>
          </cell>
          <cell r="G8" t="str">
            <v>Capitaux propres part du groupe</v>
          </cell>
        </row>
        <row r="9">
          <cell r="B9" t="str">
            <v>122000</v>
          </cell>
          <cell r="C9" t="str">
            <v>+value réévaluat° s/participat</v>
          </cell>
          <cell r="D9" t="str">
            <v>106881</v>
          </cell>
          <cell r="E9" t="str">
            <v>RESERVES DIVERSES réev.</v>
          </cell>
          <cell r="F9" t="str">
            <v>Réserves Sociales</v>
          </cell>
          <cell r="G9" t="str">
            <v>Capitaux propres part du groupe</v>
          </cell>
        </row>
        <row r="10">
          <cell r="B10" t="str">
            <v>130000</v>
          </cell>
          <cell r="C10" t="str">
            <v>Réserve légale</v>
          </cell>
          <cell r="D10" t="str">
            <v>106881</v>
          </cell>
          <cell r="E10" t="str">
            <v>RESERVES DIVERSES réev.</v>
          </cell>
          <cell r="F10" t="str">
            <v>Réserves Sociales</v>
          </cell>
          <cell r="G10" t="str">
            <v>Capitaux propres part du groupe</v>
          </cell>
        </row>
        <row r="11">
          <cell r="B11" t="str">
            <v>131000</v>
          </cell>
          <cell r="C11" t="str">
            <v>Réserve indisponible</v>
          </cell>
          <cell r="D11" t="str">
            <v>106200</v>
          </cell>
          <cell r="E11" t="str">
            <v>RESERVES INDISPONIBLES</v>
          </cell>
          <cell r="F11" t="str">
            <v>Réserves Sociales</v>
          </cell>
          <cell r="G11" t="str">
            <v>Capitaux propres part du groupe</v>
          </cell>
        </row>
        <row r="12">
          <cell r="B12" t="str">
            <v>132000</v>
          </cell>
          <cell r="C12" t="str">
            <v>Réserve immunisée</v>
          </cell>
          <cell r="D12" t="str">
            <v>106200</v>
          </cell>
          <cell r="E12" t="str">
            <v>RESERVES INDISPONIBLES</v>
          </cell>
          <cell r="F12" t="str">
            <v>Réserves Sociales</v>
          </cell>
          <cell r="G12" t="str">
            <v>Capitaux propres part du groupe</v>
          </cell>
        </row>
        <row r="13">
          <cell r="B13" t="str">
            <v>132100</v>
          </cell>
          <cell r="C13" t="str">
            <v>Rés. immunisée investissement</v>
          </cell>
          <cell r="D13" t="str">
            <v>106200</v>
          </cell>
          <cell r="E13" t="str">
            <v>RESERVES INDISPONIBLES</v>
          </cell>
          <cell r="F13" t="str">
            <v>Réserves Sociales</v>
          </cell>
          <cell r="G13" t="str">
            <v>Capitaux propres part du groupe</v>
          </cell>
        </row>
        <row r="14">
          <cell r="B14" t="str">
            <v>133000</v>
          </cell>
          <cell r="C14" t="str">
            <v>Réserve disponible</v>
          </cell>
          <cell r="D14" t="str">
            <v>106880</v>
          </cell>
          <cell r="E14" t="str">
            <v>RESERVES DIVERSES</v>
          </cell>
          <cell r="F14" t="str">
            <v>Réserves Sociales</v>
          </cell>
          <cell r="G14" t="str">
            <v>Capitaux propres part du groupe</v>
          </cell>
        </row>
        <row r="15">
          <cell r="B15" t="str">
            <v>133100</v>
          </cell>
          <cell r="C15" t="str">
            <v>Amortissement s/Plus Value I</v>
          </cell>
          <cell r="D15" t="str">
            <v>106880</v>
          </cell>
          <cell r="E15" t="str">
            <v>RESERVES DIVERSES</v>
          </cell>
          <cell r="F15" t="str">
            <v>Réserves Sociales</v>
          </cell>
          <cell r="G15" t="str">
            <v>Capitaux propres part du groupe</v>
          </cell>
        </row>
        <row r="16">
          <cell r="B16" t="str">
            <v>140000</v>
          </cell>
          <cell r="C16" t="str">
            <v>Bénéfice reporté</v>
          </cell>
          <cell r="D16" t="str">
            <v>119000</v>
          </cell>
          <cell r="E16" t="str">
            <v xml:space="preserve">REPORT A NOUVEAU SOLDE DEBITEUR        </v>
          </cell>
          <cell r="F16" t="str">
            <v>Réserves Sociales</v>
          </cell>
          <cell r="G16" t="str">
            <v>Capitaux propres part du groupe</v>
          </cell>
        </row>
        <row r="17">
          <cell r="B17" t="str">
            <v>141000</v>
          </cell>
          <cell r="C17" t="str">
            <v>Perte reportée</v>
          </cell>
          <cell r="D17" t="str">
            <v>119000</v>
          </cell>
          <cell r="E17" t="str">
            <v xml:space="preserve">REPORT A NOUVEAU SOLDE DEBITEUR        </v>
          </cell>
          <cell r="F17" t="str">
            <v>Réserves Sociales</v>
          </cell>
          <cell r="G17" t="str">
            <v>Capitaux propres part du groupe</v>
          </cell>
        </row>
        <row r="18">
          <cell r="B18" t="str">
            <v>160000</v>
          </cell>
          <cell r="C18" t="str">
            <v>PROV. PENSION-OBLIGATION</v>
          </cell>
          <cell r="D18">
            <v>151800</v>
          </cell>
          <cell r="E18" t="str">
            <v xml:space="preserve">PROVISIONS POUR IMPOTS        </v>
          </cell>
          <cell r="F18" t="str">
            <v>Provisions courantes ou non courantes</v>
          </cell>
          <cell r="G18" t="str">
            <v>Passifs courants ou non courants</v>
          </cell>
        </row>
        <row r="19">
          <cell r="B19" t="str">
            <v>161000</v>
          </cell>
          <cell r="C19" t="str">
            <v>Prov. charges fiscales</v>
          </cell>
          <cell r="D19">
            <v>151800</v>
          </cell>
          <cell r="E19" t="str">
            <v xml:space="preserve">PROVISIONS POUR IMPOTS        </v>
          </cell>
          <cell r="F19" t="str">
            <v>Provisions courantes ou non courantes</v>
          </cell>
          <cell r="G19" t="str">
            <v>Passifs courants ou non courants</v>
          </cell>
        </row>
        <row r="20">
          <cell r="B20" t="str">
            <v>162000</v>
          </cell>
          <cell r="C20" t="str">
            <v>Prov. grosse réparat°-entr.</v>
          </cell>
          <cell r="D20" t="str">
            <v>151800</v>
          </cell>
          <cell r="E20" t="str">
            <v>AUTRES PROVISIONS POUR RISQUES</v>
          </cell>
          <cell r="F20" t="str">
            <v>Provisions courantes ou non courantes</v>
          </cell>
          <cell r="G20" t="str">
            <v>Passifs courants ou non courants</v>
          </cell>
        </row>
        <row r="21">
          <cell r="B21" t="str">
            <v>163000</v>
          </cell>
          <cell r="C21" t="str">
            <v>Prov risques et charges</v>
          </cell>
          <cell r="D21">
            <v>151100</v>
          </cell>
          <cell r="E21" t="str">
            <v>AUTRES PROVISIONS POUR RISQUES</v>
          </cell>
          <cell r="F21" t="str">
            <v>Provisions courantes ou non courantes</v>
          </cell>
          <cell r="G21" t="str">
            <v>Passifs courants ou non courants</v>
          </cell>
        </row>
        <row r="22">
          <cell r="B22" t="str">
            <v>163001</v>
          </cell>
          <cell r="C22" t="str">
            <v>Prov risques et charges "autres"</v>
          </cell>
          <cell r="D22" t="str">
            <v>151800</v>
          </cell>
          <cell r="E22" t="str">
            <v>AUTRES PROVISIONS POUR RISQUES</v>
          </cell>
          <cell r="F22" t="str">
            <v>Provisions courantes ou non courantes</v>
          </cell>
          <cell r="G22" t="str">
            <v>Passifs courants ou non courants</v>
          </cell>
        </row>
        <row r="23">
          <cell r="B23" t="str">
            <v>165000</v>
          </cell>
          <cell r="C23" t="str">
            <v>Prov. prépension</v>
          </cell>
          <cell r="D23" t="str">
            <v>151800</v>
          </cell>
          <cell r="E23" t="str">
            <v>AUTRES PROVISIONS POUR RISQUES</v>
          </cell>
          <cell r="F23" t="str">
            <v>Provisions courantes ou non courantes</v>
          </cell>
          <cell r="G23" t="str">
            <v>Passifs courants ou non courants</v>
          </cell>
        </row>
        <row r="24">
          <cell r="B24" t="str">
            <v>168000</v>
          </cell>
          <cell r="C24" t="str">
            <v>Impôts diff. s/+value exprimée</v>
          </cell>
          <cell r="D24">
            <v>151810</v>
          </cell>
          <cell r="E24" t="str">
            <v xml:space="preserve">PROVISIONS POUR IMPOTS        </v>
          </cell>
          <cell r="F24" t="str">
            <v>Provisions courantes ou non courantes</v>
          </cell>
          <cell r="G24" t="str">
            <v>Passifs courants ou non courants</v>
          </cell>
        </row>
        <row r="25">
          <cell r="B25" t="str">
            <v>168001</v>
          </cell>
          <cell r="C25" t="str">
            <v>Impôts diff. s/+value exprimée</v>
          </cell>
          <cell r="D25">
            <v>151810</v>
          </cell>
          <cell r="E25" t="str">
            <v xml:space="preserve">PROVISIONS POUR IMPOTS        </v>
          </cell>
          <cell r="F25" t="str">
            <v>Provisions courantes ou non courantes</v>
          </cell>
          <cell r="G25" t="str">
            <v>Passifs courants ou non courants</v>
          </cell>
        </row>
        <row r="26">
          <cell r="B26" t="str">
            <v>168002</v>
          </cell>
          <cell r="C26" t="str">
            <v>Impôts diff. s/+value réalisée</v>
          </cell>
          <cell r="D26">
            <v>151810</v>
          </cell>
          <cell r="E26" t="str">
            <v xml:space="preserve">PROVISIONS POUR IMPOTS        </v>
          </cell>
          <cell r="F26" t="str">
            <v>Provisions courantes ou non courantes</v>
          </cell>
          <cell r="G26" t="str">
            <v>Passifs courants ou non courants</v>
          </cell>
        </row>
        <row r="27">
          <cell r="B27" t="str">
            <v>171101</v>
          </cell>
          <cell r="C27" t="str">
            <v>Emprunt Oblig non convertible</v>
          </cell>
          <cell r="D27" t="str">
            <v>161000</v>
          </cell>
          <cell r="E27" t="str">
            <v>EMPRUNT OBLIGATAIRE</v>
          </cell>
          <cell r="F27" t="str">
            <v>Passifs courants ou non courants portant intérêts ou non</v>
          </cell>
          <cell r="G27" t="str">
            <v>Passifs courants ou non courants</v>
          </cell>
        </row>
        <row r="28">
          <cell r="B28" t="str">
            <v>171102</v>
          </cell>
          <cell r="C28" t="str">
            <v>Emprunt oblig non convertible</v>
          </cell>
          <cell r="D28" t="str">
            <v>161000</v>
          </cell>
          <cell r="E28" t="str">
            <v>EMPRUNT OBLIGATAIRE</v>
          </cell>
          <cell r="F28" t="str">
            <v>Passifs courants ou non courants portant intérêts ou non</v>
          </cell>
          <cell r="G28" t="str">
            <v>Passifs courants ou non courants</v>
          </cell>
        </row>
        <row r="29">
          <cell r="B29" t="str">
            <v>172000</v>
          </cell>
          <cell r="C29" t="str">
            <v>Fortis - Créance locat°-Fin.</v>
          </cell>
          <cell r="D29" t="str">
            <v>164001</v>
          </cell>
          <cell r="E29" t="str">
            <v xml:space="preserve">EMPRUNT BELGIQUE      </v>
          </cell>
          <cell r="F29" t="str">
            <v>Passifs courants ou non courants portant intérêts ou non</v>
          </cell>
          <cell r="G29" t="str">
            <v>Passifs courants ou non courants</v>
          </cell>
        </row>
        <row r="30">
          <cell r="B30" t="str">
            <v>172010</v>
          </cell>
          <cell r="C30" t="str">
            <v>Dexia - Créance locat°-Fin.</v>
          </cell>
          <cell r="D30" t="str">
            <v>164001</v>
          </cell>
          <cell r="E30" t="str">
            <v xml:space="preserve">EMPRUNT BELGIQUE      </v>
          </cell>
          <cell r="F30" t="str">
            <v>Passifs courants ou non courants portant intérêts ou non</v>
          </cell>
          <cell r="G30" t="str">
            <v>Passifs courants ou non courants</v>
          </cell>
        </row>
        <row r="31">
          <cell r="B31" t="str">
            <v>172020</v>
          </cell>
          <cell r="C31" t="str">
            <v>ING - Créance locat°-Fin.</v>
          </cell>
          <cell r="D31" t="str">
            <v>164001</v>
          </cell>
          <cell r="E31" t="str">
            <v xml:space="preserve">EMPRUNT BELGIQUE      </v>
          </cell>
          <cell r="F31" t="str">
            <v>Passifs courants ou non courants portant intérêts ou non</v>
          </cell>
          <cell r="G31" t="str">
            <v>Passifs courants ou non courants</v>
          </cell>
        </row>
        <row r="32">
          <cell r="B32" t="str">
            <v>172030</v>
          </cell>
          <cell r="C32" t="str">
            <v>CBC - Créance locat°-Fin.</v>
          </cell>
          <cell r="D32" t="str">
            <v>164001</v>
          </cell>
          <cell r="E32" t="str">
            <v xml:space="preserve">EMPRUNT BELGIQUE      </v>
          </cell>
          <cell r="F32" t="str">
            <v>Passifs courants ou non courants portant intérêts ou non</v>
          </cell>
          <cell r="G32" t="str">
            <v>Passifs courants ou non courants</v>
          </cell>
        </row>
        <row r="33">
          <cell r="B33" t="str">
            <v>172040</v>
          </cell>
          <cell r="C33" t="str">
            <v>KBC - Créance locat°-Fin.</v>
          </cell>
          <cell r="D33" t="str">
            <v>164001</v>
          </cell>
          <cell r="E33" t="str">
            <v xml:space="preserve">EMPRUNT BELGIQUE      </v>
          </cell>
          <cell r="F33" t="str">
            <v>Passifs courants ou non courants portant intérêts ou non</v>
          </cell>
          <cell r="G33" t="str">
            <v>Passifs courants ou non courants</v>
          </cell>
        </row>
        <row r="34">
          <cell r="B34" t="str">
            <v>172050</v>
          </cell>
          <cell r="C34" t="str">
            <v>AXA - Créance locat°-Fin.</v>
          </cell>
          <cell r="D34" t="str">
            <v>164001</v>
          </cell>
          <cell r="E34" t="str">
            <v xml:space="preserve">EMPRUNT BELGIQUE      </v>
          </cell>
          <cell r="F34" t="str">
            <v>Passifs courants ou non courants portant intérêts ou non</v>
          </cell>
          <cell r="G34" t="str">
            <v>Passifs courants ou non courants</v>
          </cell>
        </row>
        <row r="35">
          <cell r="B35" t="str">
            <v>172060</v>
          </cell>
          <cell r="C35" t="str">
            <v>Vanbreda - Créance locat°-Fin.</v>
          </cell>
          <cell r="D35" t="str">
            <v>164001</v>
          </cell>
          <cell r="E35" t="str">
            <v xml:space="preserve">EMPRUNT BELGIQUE      </v>
          </cell>
          <cell r="F35" t="str">
            <v>Passifs courants ou non courants portant intérêts ou non</v>
          </cell>
          <cell r="G35" t="str">
            <v>Passifs courants ou non courants</v>
          </cell>
        </row>
        <row r="36">
          <cell r="B36" t="str">
            <v>172070</v>
          </cell>
          <cell r="C36" t="str">
            <v>XXX - Créance locat°-Fin.</v>
          </cell>
          <cell r="D36" t="str">
            <v>164001</v>
          </cell>
          <cell r="E36" t="str">
            <v xml:space="preserve">EMPRUNT BELGIQUE      </v>
          </cell>
          <cell r="F36" t="str">
            <v>Passifs courants ou non courants portant intérêts ou non</v>
          </cell>
          <cell r="G36" t="str">
            <v>Passifs courants ou non courants</v>
          </cell>
        </row>
        <row r="37">
          <cell r="B37" t="str">
            <v>172080</v>
          </cell>
          <cell r="C37" t="str">
            <v>XXX - Créance locat°-Fin.</v>
          </cell>
          <cell r="D37" t="str">
            <v>164001</v>
          </cell>
          <cell r="E37" t="str">
            <v xml:space="preserve">EMPRUNT BELGIQUE      </v>
          </cell>
          <cell r="F37" t="str">
            <v>Passifs courants ou non courants portant intérêts ou non</v>
          </cell>
          <cell r="G37" t="str">
            <v>Passifs courants ou non courants</v>
          </cell>
        </row>
        <row r="38">
          <cell r="B38" t="str">
            <v>172090</v>
          </cell>
          <cell r="C38" t="str">
            <v>XXX - Créance locat°-Fin.</v>
          </cell>
          <cell r="D38" t="str">
            <v>164001</v>
          </cell>
          <cell r="E38" t="str">
            <v xml:space="preserve">EMPRUNT BELGIQUE      </v>
          </cell>
          <cell r="F38" t="str">
            <v>Passifs courants ou non courants portant intérêts ou non</v>
          </cell>
          <cell r="G38" t="str">
            <v>Passifs courants ou non courants</v>
          </cell>
        </row>
        <row r="39">
          <cell r="B39" t="str">
            <v>173000</v>
          </cell>
          <cell r="C39" t="str">
            <v>FORTIS - EMPRUNT</v>
          </cell>
          <cell r="D39" t="str">
            <v>164001</v>
          </cell>
          <cell r="E39" t="str">
            <v xml:space="preserve">EMPRUNT BELGIQUE      </v>
          </cell>
          <cell r="F39" t="str">
            <v>Passifs courants ou non courants portant intérêts ou non</v>
          </cell>
          <cell r="G39" t="str">
            <v>Passifs courants ou non courants</v>
          </cell>
        </row>
        <row r="40">
          <cell r="B40" t="str">
            <v>173010</v>
          </cell>
          <cell r="C40" t="str">
            <v>Dexia - Emprunt</v>
          </cell>
          <cell r="D40" t="str">
            <v>164001</v>
          </cell>
          <cell r="E40" t="str">
            <v xml:space="preserve">EMPRUNT BELGIQUE      </v>
          </cell>
          <cell r="F40" t="str">
            <v>Passifs courants ou non courants portant intérêts ou non</v>
          </cell>
          <cell r="G40" t="str">
            <v>Passifs courants ou non courants</v>
          </cell>
        </row>
        <row r="41">
          <cell r="B41" t="str">
            <v>173020</v>
          </cell>
          <cell r="C41" t="str">
            <v>ING - Emprunt</v>
          </cell>
          <cell r="D41" t="str">
            <v>164001</v>
          </cell>
          <cell r="E41" t="str">
            <v xml:space="preserve">EMPRUNT BELGIQUE      </v>
          </cell>
          <cell r="F41" t="str">
            <v>Passifs courants ou non courants portant intérêts ou non</v>
          </cell>
          <cell r="G41" t="str">
            <v>Passifs courants ou non courants</v>
          </cell>
        </row>
        <row r="42">
          <cell r="B42" t="str">
            <v>173030</v>
          </cell>
          <cell r="C42" t="str">
            <v>CBC - EMPRUNT</v>
          </cell>
          <cell r="D42" t="str">
            <v>164001</v>
          </cell>
          <cell r="E42" t="str">
            <v xml:space="preserve">EMPRUNT BELGIQUE      </v>
          </cell>
          <cell r="F42" t="str">
            <v>Passifs courants ou non courants portant intérêts ou non</v>
          </cell>
          <cell r="G42" t="str">
            <v>Passifs courants ou non courants</v>
          </cell>
        </row>
        <row r="43">
          <cell r="B43" t="str">
            <v>173040</v>
          </cell>
          <cell r="C43" t="str">
            <v>KBC  EMPRUNT</v>
          </cell>
          <cell r="D43" t="str">
            <v>164001</v>
          </cell>
          <cell r="E43" t="str">
            <v xml:space="preserve">EMPRUNT BELGIQUE      </v>
          </cell>
          <cell r="F43" t="str">
            <v>Passifs courants ou non courants portant intérêts ou non</v>
          </cell>
          <cell r="G43" t="str">
            <v>Passifs courants ou non courants</v>
          </cell>
        </row>
        <row r="44">
          <cell r="B44" t="str">
            <v>173050</v>
          </cell>
          <cell r="C44" t="str">
            <v>AXA - EMPRUNT</v>
          </cell>
          <cell r="D44" t="str">
            <v>164001</v>
          </cell>
          <cell r="E44" t="str">
            <v xml:space="preserve">EMPRUNT BELGIQUE      </v>
          </cell>
          <cell r="F44" t="str">
            <v>Passifs courants ou non courants portant intérêts ou non</v>
          </cell>
          <cell r="G44" t="str">
            <v>Passifs courants ou non courants</v>
          </cell>
        </row>
        <row r="45">
          <cell r="B45" t="str">
            <v>173060</v>
          </cell>
          <cell r="C45" t="str">
            <v>Crédit Agricole - Emprunt</v>
          </cell>
          <cell r="D45" t="str">
            <v>164001</v>
          </cell>
          <cell r="E45" t="str">
            <v xml:space="preserve">EMPRUNT BELGIQUE      </v>
          </cell>
          <cell r="F45" t="str">
            <v>Passifs courants ou non courants portant intérêts ou non</v>
          </cell>
          <cell r="G45" t="str">
            <v>Passifs courants ou non courants</v>
          </cell>
        </row>
        <row r="46">
          <cell r="B46" t="str">
            <v>173070</v>
          </cell>
          <cell r="C46" t="str">
            <v>XXX - Emprunt</v>
          </cell>
          <cell r="D46" t="str">
            <v>164001</v>
          </cell>
          <cell r="E46" t="str">
            <v xml:space="preserve">EMPRUNT BELGIQUE      </v>
          </cell>
          <cell r="F46" t="str">
            <v>Passifs courants ou non courants portant intérêts ou non</v>
          </cell>
          <cell r="G46" t="str">
            <v>Passifs courants ou non courants</v>
          </cell>
        </row>
        <row r="47">
          <cell r="B47" t="str">
            <v>173080</v>
          </cell>
          <cell r="C47" t="str">
            <v>XXX - Emprunt</v>
          </cell>
          <cell r="D47" t="str">
            <v>164001</v>
          </cell>
          <cell r="E47" t="str">
            <v xml:space="preserve">EMPRUNT BELGIQUE      </v>
          </cell>
          <cell r="F47" t="str">
            <v>Passifs courants ou non courants portant intérêts ou non</v>
          </cell>
          <cell r="G47" t="str">
            <v>Passifs courants ou non courants</v>
          </cell>
        </row>
        <row r="48">
          <cell r="B48" t="str">
            <v>173090</v>
          </cell>
          <cell r="C48" t="str">
            <v>XXX - Emprunt</v>
          </cell>
          <cell r="D48" t="str">
            <v>164001</v>
          </cell>
          <cell r="E48" t="str">
            <v xml:space="preserve">EMPRUNT BELGIQUE      </v>
          </cell>
          <cell r="F48" t="str">
            <v>Passifs courants ou non courants portant intérêts ou non</v>
          </cell>
          <cell r="G48" t="str">
            <v>Passifs courants ou non courants</v>
          </cell>
        </row>
        <row r="49">
          <cell r="B49" t="str">
            <v>173100</v>
          </cell>
          <cell r="C49" t="str">
            <v>XXX - Crédit d'investissement</v>
          </cell>
          <cell r="D49" t="str">
            <v>164001</v>
          </cell>
          <cell r="E49" t="str">
            <v xml:space="preserve">EMPRUNT BELGIQUE      </v>
          </cell>
          <cell r="F49" t="str">
            <v>Passifs courants ou non courants portant intérêts ou non</v>
          </cell>
          <cell r="G49" t="str">
            <v>Passifs courants ou non courants</v>
          </cell>
        </row>
        <row r="50">
          <cell r="B50" t="str">
            <v>173101</v>
          </cell>
          <cell r="C50" t="str">
            <v>XXX - Crédit d'investissement</v>
          </cell>
          <cell r="D50" t="str">
            <v>164001</v>
          </cell>
          <cell r="E50" t="str">
            <v xml:space="preserve">EMPRUNT BELGIQUE      </v>
          </cell>
          <cell r="F50" t="str">
            <v>Passifs courants ou non courants portant intérêts ou non</v>
          </cell>
          <cell r="G50" t="str">
            <v>Passifs courants ou non courants</v>
          </cell>
        </row>
        <row r="51">
          <cell r="B51" t="str">
            <v>173102</v>
          </cell>
          <cell r="C51" t="str">
            <v>XXX - Crédit d'investissement</v>
          </cell>
          <cell r="D51" t="str">
            <v>164001</v>
          </cell>
          <cell r="E51" t="str">
            <v xml:space="preserve">EMPRUNT BELGIQUE      </v>
          </cell>
          <cell r="F51" t="str">
            <v>Passifs courants ou non courants portant intérêts ou non</v>
          </cell>
          <cell r="G51" t="str">
            <v>Passifs courants ou non courants</v>
          </cell>
        </row>
        <row r="52">
          <cell r="B52" t="str">
            <v>173103</v>
          </cell>
          <cell r="C52" t="str">
            <v>XXX - Crédit d'investissement</v>
          </cell>
          <cell r="D52" t="str">
            <v>164001</v>
          </cell>
          <cell r="E52" t="str">
            <v xml:space="preserve">EMPRUNT BELGIQUE      </v>
          </cell>
          <cell r="F52" t="str">
            <v>Passifs courants ou non courants portant intérêts ou non</v>
          </cell>
          <cell r="G52" t="str">
            <v>Passifs courants ou non courants</v>
          </cell>
        </row>
        <row r="53">
          <cell r="B53" t="str">
            <v>173104</v>
          </cell>
          <cell r="C53" t="str">
            <v>XXX - Crédit d'investissement</v>
          </cell>
          <cell r="D53" t="str">
            <v>164001</v>
          </cell>
          <cell r="E53" t="str">
            <v xml:space="preserve">EMPRUNT BELGIQUE      </v>
          </cell>
          <cell r="F53" t="str">
            <v>Passifs courants ou non courants portant intérêts ou non</v>
          </cell>
          <cell r="G53" t="str">
            <v>Passifs courants ou non courants</v>
          </cell>
        </row>
        <row r="54">
          <cell r="B54" t="str">
            <v>173105</v>
          </cell>
          <cell r="C54" t="str">
            <v>XXX - Crédit d'investissement</v>
          </cell>
          <cell r="D54" t="str">
            <v>164001</v>
          </cell>
          <cell r="E54" t="str">
            <v xml:space="preserve">EMPRUNT BELGIQUE      </v>
          </cell>
          <cell r="F54" t="str">
            <v>Passifs courants ou non courants portant intérêts ou non</v>
          </cell>
          <cell r="G54" t="str">
            <v>Passifs courants ou non courants</v>
          </cell>
        </row>
        <row r="55">
          <cell r="B55" t="str">
            <v>173106</v>
          </cell>
          <cell r="C55" t="str">
            <v>XXX - Crédit d'investissement</v>
          </cell>
          <cell r="D55" t="str">
            <v>164001</v>
          </cell>
          <cell r="E55" t="str">
            <v xml:space="preserve">EMPRUNT BELGIQUE      </v>
          </cell>
          <cell r="F55" t="str">
            <v>Passifs courants ou non courants portant intérêts ou non</v>
          </cell>
          <cell r="G55" t="str">
            <v>Passifs courants ou non courants</v>
          </cell>
        </row>
        <row r="56">
          <cell r="B56" t="str">
            <v>173107</v>
          </cell>
          <cell r="C56" t="str">
            <v>XXX - Crédit d'investissement</v>
          </cell>
          <cell r="D56" t="str">
            <v>164001</v>
          </cell>
          <cell r="E56" t="str">
            <v xml:space="preserve">EMPRUNT BELGIQUE      </v>
          </cell>
          <cell r="F56" t="str">
            <v>Passifs courants ou non courants portant intérêts ou non</v>
          </cell>
          <cell r="G56" t="str">
            <v>Passifs courants ou non courants</v>
          </cell>
        </row>
        <row r="57">
          <cell r="B57" t="str">
            <v>173108</v>
          </cell>
          <cell r="C57" t="str">
            <v>XXX - Crédit d'investissement</v>
          </cell>
          <cell r="D57" t="str">
            <v>164001</v>
          </cell>
          <cell r="E57" t="str">
            <v xml:space="preserve">EMPRUNT BELGIQUE      </v>
          </cell>
          <cell r="F57" t="str">
            <v>Passifs courants ou non courants portant intérêts ou non</v>
          </cell>
          <cell r="G57" t="str">
            <v>Passifs courants ou non courants</v>
          </cell>
        </row>
        <row r="58">
          <cell r="B58" t="str">
            <v>173109</v>
          </cell>
          <cell r="C58" t="str">
            <v>XXX - Crédit d'investissement</v>
          </cell>
          <cell r="D58" t="str">
            <v>164001</v>
          </cell>
          <cell r="E58" t="str">
            <v xml:space="preserve">EMPRUNT BELGIQUE      </v>
          </cell>
          <cell r="F58" t="str">
            <v>Passifs courants ou non courants portant intérêts ou non</v>
          </cell>
          <cell r="G58" t="str">
            <v>Passifs courants ou non courants</v>
          </cell>
        </row>
        <row r="59">
          <cell r="B59" t="str">
            <v>173110</v>
          </cell>
          <cell r="C59" t="str">
            <v>XXX - Crédit d'investissement</v>
          </cell>
          <cell r="D59" t="str">
            <v>164001</v>
          </cell>
          <cell r="E59" t="str">
            <v xml:space="preserve">EMPRUNT BELGIQUE      </v>
          </cell>
          <cell r="F59" t="str">
            <v>Passifs courants ou non courants portant intérêts ou non</v>
          </cell>
          <cell r="G59" t="str">
            <v>Passifs courants ou non courants</v>
          </cell>
        </row>
        <row r="60">
          <cell r="B60" t="str">
            <v>173120</v>
          </cell>
          <cell r="C60" t="str">
            <v>XXX - Crédit d'investissement</v>
          </cell>
          <cell r="D60" t="str">
            <v>164001</v>
          </cell>
          <cell r="E60" t="str">
            <v xml:space="preserve">EMPRUNT BELGIQUE      </v>
          </cell>
          <cell r="F60" t="str">
            <v>Passifs courants ou non courants portant intérêts ou non</v>
          </cell>
          <cell r="G60" t="str">
            <v>Passifs courants ou non courants</v>
          </cell>
        </row>
        <row r="61">
          <cell r="B61" t="str">
            <v>173130</v>
          </cell>
          <cell r="C61" t="str">
            <v>XXX - Crédit d'investissement</v>
          </cell>
          <cell r="D61" t="str">
            <v>164001</v>
          </cell>
          <cell r="E61" t="str">
            <v xml:space="preserve">EMPRUNT BELGIQUE      </v>
          </cell>
          <cell r="F61" t="str">
            <v>Passifs courants ou non courants portant intérêts ou non</v>
          </cell>
          <cell r="G61" t="str">
            <v>Passifs courants ou non courants</v>
          </cell>
        </row>
        <row r="62">
          <cell r="B62" t="str">
            <v>173140</v>
          </cell>
          <cell r="C62" t="str">
            <v>XXX - Crédit d'investissement</v>
          </cell>
          <cell r="D62" t="str">
            <v>164001</v>
          </cell>
          <cell r="E62" t="str">
            <v xml:space="preserve">EMPRUNT BELGIQUE      </v>
          </cell>
          <cell r="F62" t="str">
            <v>Passifs courants ou non courants portant intérêts ou non</v>
          </cell>
          <cell r="G62" t="str">
            <v>Passifs courants ou non courants</v>
          </cell>
        </row>
        <row r="63">
          <cell r="B63" t="str">
            <v>178000</v>
          </cell>
          <cell r="C63" t="str">
            <v>Caution reçue en numéraire</v>
          </cell>
          <cell r="D63" t="str">
            <v>165000</v>
          </cell>
          <cell r="E63" t="str">
            <v>DEPOTS ET CAUTIONNEMENTS RECUS - AUTRES</v>
          </cell>
          <cell r="F63" t="str">
            <v>Passifs courants ou non courants portant intérêts ou non</v>
          </cell>
          <cell r="G63" t="str">
            <v>Passifs courants ou non courants</v>
          </cell>
        </row>
        <row r="64">
          <cell r="B64" t="str">
            <v>178001</v>
          </cell>
          <cell r="C64" t="str">
            <v>CAUTIONS XXX</v>
          </cell>
          <cell r="D64" t="str">
            <v>165000</v>
          </cell>
          <cell r="E64" t="str">
            <v>DEPOTS ET CAUTIONNEMENTS RECUS - AUTRES</v>
          </cell>
          <cell r="F64" t="str">
            <v>Passifs courants ou non courants portant intérêts ou non</v>
          </cell>
          <cell r="G64" t="str">
            <v>Passifs courants ou non courants</v>
          </cell>
        </row>
        <row r="65">
          <cell r="B65" t="str">
            <v>178002</v>
          </cell>
          <cell r="C65" t="str">
            <v>CAUTIONS YYY</v>
          </cell>
          <cell r="D65" t="str">
            <v>165000</v>
          </cell>
          <cell r="E65" t="str">
            <v>DEPOTS ET CAUTIONNEMENTS RECUS - AUTRES</v>
          </cell>
          <cell r="F65" t="str">
            <v>Passifs courants ou non courants portant intérêts ou non</v>
          </cell>
          <cell r="G65" t="str">
            <v>Passifs courants ou non courants</v>
          </cell>
        </row>
        <row r="66">
          <cell r="B66" t="str">
            <v>178003</v>
          </cell>
          <cell r="C66" t="str">
            <v>CAUTIONS ZZZ</v>
          </cell>
          <cell r="D66" t="str">
            <v>165000</v>
          </cell>
          <cell r="E66" t="str">
            <v>DEPOTS ET CAUTIONNEMENTS RECUS - AUTRES</v>
          </cell>
          <cell r="F66" t="str">
            <v>Passifs courants ou non courants portant intérêts ou non</v>
          </cell>
          <cell r="G66" t="str">
            <v>Passifs courants ou non courants</v>
          </cell>
        </row>
        <row r="67">
          <cell r="B67" t="str">
            <v>178004</v>
          </cell>
          <cell r="C67" t="str">
            <v>Provision pour cautions à rece</v>
          </cell>
          <cell r="D67" t="str">
            <v>165000</v>
          </cell>
          <cell r="E67" t="str">
            <v>DEPOTS ET CAUTIONNEMENTS RECUS - AUTRES</v>
          </cell>
          <cell r="F67" t="str">
            <v>Passifs courants ou non courants portant intérêts ou non</v>
          </cell>
          <cell r="G67" t="str">
            <v>Passifs courants ou non courants</v>
          </cell>
        </row>
        <row r="68">
          <cell r="B68" t="str">
            <v>178009</v>
          </cell>
          <cell r="C68" t="str">
            <v>Garantie Passif</v>
          </cell>
          <cell r="D68" t="str">
            <v>165000</v>
          </cell>
          <cell r="E68" t="str">
            <v>DEPOTS ET CAUTIONNEMENTS RECUS - AUTRES</v>
          </cell>
          <cell r="F68" t="str">
            <v>Passifs courants ou non courants portant intérêts ou non</v>
          </cell>
          <cell r="G68" t="str">
            <v>Passifs courants ou non courants</v>
          </cell>
        </row>
        <row r="69">
          <cell r="B69" t="str">
            <v>178010</v>
          </cell>
          <cell r="C69" t="str">
            <v>Garantie Passif</v>
          </cell>
          <cell r="D69" t="str">
            <v>165000</v>
          </cell>
          <cell r="E69" t="str">
            <v>DEPOTS ET CAUTIONNEMENTS RECUS - AUTRES</v>
          </cell>
          <cell r="F69" t="str">
            <v>Passifs courants ou non courants portant intérêts ou non</v>
          </cell>
          <cell r="G69" t="str">
            <v>Passifs courants ou non courants</v>
          </cell>
        </row>
        <row r="70">
          <cell r="B70" t="str">
            <v>178015</v>
          </cell>
          <cell r="C70" t="str">
            <v>Garantie Passif</v>
          </cell>
          <cell r="D70" t="str">
            <v>165000</v>
          </cell>
          <cell r="E70" t="str">
            <v>DEPOTS ET CAUTIONNEMENTS RECUS - AUTRES</v>
          </cell>
          <cell r="F70" t="str">
            <v>Passifs courants ou non courants portant intérêts ou non</v>
          </cell>
          <cell r="G70" t="str">
            <v>Passifs courants ou non courants</v>
          </cell>
        </row>
        <row r="71">
          <cell r="B71" t="str">
            <v>178100</v>
          </cell>
          <cell r="C71" t="str">
            <v>Garantie locative</v>
          </cell>
          <cell r="D71" t="str">
            <v>165000</v>
          </cell>
          <cell r="E71" t="str">
            <v>DEPOTS ET CAUTIONNEMENTS RECUS - AUTRES</v>
          </cell>
          <cell r="F71" t="str">
            <v>Passifs courants ou non courants portant intérêts ou non</v>
          </cell>
          <cell r="G71" t="str">
            <v>Passifs courants ou non courants</v>
          </cell>
        </row>
        <row r="72">
          <cell r="B72" t="str">
            <v>179000</v>
          </cell>
          <cell r="C72" t="str">
            <v>AVANCES ORPEA FRANCE</v>
          </cell>
          <cell r="D72" t="str">
            <v>456000</v>
          </cell>
          <cell r="E72" t="str">
            <v>COMPTES COURANTS</v>
          </cell>
          <cell r="F72" t="str">
            <v>Passifs non courants portant ou non intérêts</v>
          </cell>
          <cell r="G72" t="str">
            <v>PASSIFS NON COURANTS</v>
          </cell>
        </row>
        <row r="73">
          <cell r="B73" t="str">
            <v>200000</v>
          </cell>
          <cell r="C73" t="str">
            <v>Frais constit. &amp; augment. K</v>
          </cell>
          <cell r="D73" t="str">
            <v>201200</v>
          </cell>
          <cell r="E73" t="str">
            <v xml:space="preserve">FRAIS 1ER ETABLISSEMENT       </v>
          </cell>
          <cell r="F73" t="str">
            <v>Immobilisations Incorporelles</v>
          </cell>
          <cell r="G73" t="str">
            <v>ACTIFS NON COURANTS</v>
          </cell>
        </row>
        <row r="74">
          <cell r="B74" t="str">
            <v>200009</v>
          </cell>
          <cell r="C74" t="str">
            <v>AMORT. S/FRAIS DE CONSTITUT°</v>
          </cell>
          <cell r="D74" t="str">
            <v>280120</v>
          </cell>
          <cell r="E74" t="str">
            <v xml:space="preserve">AMORT FRAIS 1ER ETABLISSEMENT       </v>
          </cell>
          <cell r="F74" t="str">
            <v>Immobilisations Incorporelles</v>
          </cell>
          <cell r="G74" t="str">
            <v>ACTIFS NON COURANTS</v>
          </cell>
        </row>
        <row r="75">
          <cell r="B75" t="str">
            <v>201000</v>
          </cell>
          <cell r="C75" t="str">
            <v>Frais d'Emission Emprunt Oblig</v>
          </cell>
          <cell r="D75" t="str">
            <v>201200</v>
          </cell>
          <cell r="E75" t="str">
            <v xml:space="preserve">FRAIS 1ER ETABLISSEMENT       </v>
          </cell>
          <cell r="F75" t="str">
            <v>Immobilisations Incorporelles</v>
          </cell>
          <cell r="G75" t="str">
            <v>ACTIFS NON COURANTS</v>
          </cell>
        </row>
        <row r="76">
          <cell r="B76" t="str">
            <v>201009</v>
          </cell>
          <cell r="C76" t="str">
            <v>Amort s/Frais d'Emis Empr Obl</v>
          </cell>
          <cell r="D76" t="str">
            <v>280120</v>
          </cell>
          <cell r="E76" t="str">
            <v xml:space="preserve">AMORT FRAIS 1ER ETABLISSEMENT       </v>
          </cell>
          <cell r="F76" t="str">
            <v>Immobilisations Incorporelles</v>
          </cell>
          <cell r="G76" t="str">
            <v>ACTIFS NON COURANTS</v>
          </cell>
        </row>
        <row r="77">
          <cell r="B77" t="str">
            <v>202000</v>
          </cell>
          <cell r="C77" t="str">
            <v>Autre frais d'établissement</v>
          </cell>
          <cell r="D77" t="str">
            <v>201200</v>
          </cell>
          <cell r="E77" t="str">
            <v xml:space="preserve">FRAIS 1ER ETABLISSEMENT       </v>
          </cell>
          <cell r="F77" t="str">
            <v>Immobilisations Incorporelles</v>
          </cell>
          <cell r="G77" t="str">
            <v>ACTIFS NON COURANTS</v>
          </cell>
        </row>
        <row r="78">
          <cell r="B78" t="str">
            <v>202009</v>
          </cell>
          <cell r="C78" t="str">
            <v>Amort. s/autre frais constit.</v>
          </cell>
          <cell r="D78" t="str">
            <v>280120</v>
          </cell>
          <cell r="E78" t="str">
            <v xml:space="preserve">AMORT FRAIS 1ER ETABLISSEMENT       </v>
          </cell>
          <cell r="F78" t="str">
            <v>Immobilisations Incorporelles</v>
          </cell>
          <cell r="G78" t="str">
            <v>ACTIFS NON COURANTS</v>
          </cell>
        </row>
        <row r="79">
          <cell r="B79" t="str">
            <v>204100</v>
          </cell>
          <cell r="C79" t="str">
            <v>Frais de Restructuration</v>
          </cell>
          <cell r="D79" t="str">
            <v>207000</v>
          </cell>
          <cell r="E79" t="str">
            <v xml:space="preserve">FONDS DE COMMERCE                      </v>
          </cell>
          <cell r="F79" t="str">
            <v>Immobilisations Incorporelles</v>
          </cell>
          <cell r="G79" t="str">
            <v>ACTIFS NON COURANTS</v>
          </cell>
        </row>
        <row r="80">
          <cell r="B80" t="str">
            <v>204900</v>
          </cell>
          <cell r="C80" t="str">
            <v>Amort. s/dito</v>
          </cell>
          <cell r="D80">
            <v>281110</v>
          </cell>
          <cell r="E80"/>
          <cell r="F80" t="str">
            <v>Immobilisations Incorporelles</v>
          </cell>
          <cell r="G80" t="str">
            <v>ACTIFS NON COURANTS</v>
          </cell>
        </row>
        <row r="81">
          <cell r="B81" t="str">
            <v>210000</v>
          </cell>
          <cell r="C81" t="str">
            <v>Frais de Développement</v>
          </cell>
          <cell r="D81" t="str">
            <v>205000</v>
          </cell>
          <cell r="E81" t="str">
            <v>CONCESSIONS, BREVETS, LICENCES</v>
          </cell>
          <cell r="F81" t="str">
            <v>Immobilisations Incorporelles</v>
          </cell>
          <cell r="G81" t="str">
            <v>ACTIFS NON COURANTS</v>
          </cell>
        </row>
        <row r="82">
          <cell r="B82" t="str">
            <v>210009</v>
          </cell>
          <cell r="C82" t="str">
            <v>Amort. s/Frais Développement</v>
          </cell>
          <cell r="D82" t="str">
            <v>280500</v>
          </cell>
          <cell r="E82" t="str">
            <v>AMORT. CONCESSIONS, BREVETS, LICENCES</v>
          </cell>
          <cell r="F82" t="str">
            <v>Immobilisations Incorporelles</v>
          </cell>
          <cell r="G82" t="str">
            <v>ACTIFS NON COURANTS</v>
          </cell>
        </row>
        <row r="83">
          <cell r="B83" t="str">
            <v>212000</v>
          </cell>
          <cell r="C83" t="str">
            <v>GOODWILL</v>
          </cell>
          <cell r="D83" t="str">
            <v>207000</v>
          </cell>
          <cell r="E83" t="str">
            <v xml:space="preserve">FONDS DE COMMERCE                      </v>
          </cell>
          <cell r="F83" t="str">
            <v>Immobilisations Incorporelles</v>
          </cell>
          <cell r="G83" t="str">
            <v>ACTIFS NON COURANTS</v>
          </cell>
        </row>
        <row r="84">
          <cell r="B84" t="str">
            <v>212009</v>
          </cell>
          <cell r="C84" t="str">
            <v>AMORT. S/GOODWILL</v>
          </cell>
          <cell r="D84" t="str">
            <v>280120</v>
          </cell>
          <cell r="E84" t="str">
            <v xml:space="preserve">AMORT FRAIS 1ER ETABLISSEMENT       </v>
          </cell>
          <cell r="F84" t="str">
            <v>Immobilisations Incorporelles</v>
          </cell>
          <cell r="G84" t="str">
            <v>ACTIFS NON COURANTS</v>
          </cell>
        </row>
        <row r="85">
          <cell r="B85" t="str">
            <v>212100</v>
          </cell>
          <cell r="C85" t="str">
            <v>Fonds de Commerce XXX</v>
          </cell>
          <cell r="D85" t="str">
            <v>207000</v>
          </cell>
          <cell r="E85" t="str">
            <v xml:space="preserve">FONDS DE COMMERCE                      </v>
          </cell>
          <cell r="F85" t="str">
            <v>Immobilisations Incorporelles</v>
          </cell>
          <cell r="G85" t="str">
            <v>ACTIFS NON COURANTS</v>
          </cell>
        </row>
        <row r="86">
          <cell r="B86" t="str">
            <v>212109</v>
          </cell>
          <cell r="C86" t="str">
            <v>Amort s/Fonds de Commerce</v>
          </cell>
          <cell r="D86" t="str">
            <v>280120</v>
          </cell>
          <cell r="E86" t="str">
            <v xml:space="preserve">AMORT FRAIS 1ER ETABLISSEMENT       </v>
          </cell>
          <cell r="F86" t="str">
            <v>Immobilisations Incorporelles</v>
          </cell>
          <cell r="G86" t="str">
            <v>ACTIFS NON COURANTS</v>
          </cell>
        </row>
        <row r="87">
          <cell r="B87" t="str">
            <v>212200</v>
          </cell>
          <cell r="C87" t="str">
            <v>Fonds de Commerce YYY</v>
          </cell>
          <cell r="D87" t="str">
            <v>207000</v>
          </cell>
          <cell r="E87" t="str">
            <v xml:space="preserve">FONDS DE COMMERCE                      </v>
          </cell>
          <cell r="F87" t="str">
            <v>Immobilisations Incorporelles</v>
          </cell>
          <cell r="G87" t="str">
            <v>ACTIFS NON COURANTS</v>
          </cell>
        </row>
        <row r="88">
          <cell r="B88" t="str">
            <v>212209</v>
          </cell>
          <cell r="C88" t="str">
            <v>Amort s/Fonds de Commerce</v>
          </cell>
          <cell r="D88" t="str">
            <v>280120</v>
          </cell>
          <cell r="E88" t="str">
            <v xml:space="preserve">AMORT FRAIS 1ER ETABLISSEMENT       </v>
          </cell>
          <cell r="F88" t="str">
            <v>Immobilisations Incorporelles</v>
          </cell>
          <cell r="G88" t="str">
            <v>ACTIFS NON COURANTS</v>
          </cell>
        </row>
        <row r="89">
          <cell r="B89" t="str">
            <v>215000</v>
          </cell>
          <cell r="C89" t="str">
            <v>Logiciels &amp; Site Internet</v>
          </cell>
          <cell r="D89" t="str">
            <v>205000</v>
          </cell>
          <cell r="E89" t="str">
            <v>CONCESSIONS, BREVETS, LICENCES</v>
          </cell>
          <cell r="F89" t="str">
            <v>Immobilisations Incorporelles</v>
          </cell>
          <cell r="G89" t="str">
            <v>ACTIFS NON COURANTS</v>
          </cell>
        </row>
        <row r="90">
          <cell r="B90" t="str">
            <v>215009</v>
          </cell>
          <cell r="C90" t="str">
            <v>Amort. s/Logiciels &amp; Site Int.</v>
          </cell>
          <cell r="D90" t="str">
            <v>280500</v>
          </cell>
          <cell r="E90" t="str">
            <v>AMORT. CONCESSIONS, BREVETS, LICENCES</v>
          </cell>
          <cell r="F90" t="str">
            <v>Immobilisations Incorporelles</v>
          </cell>
          <cell r="G90" t="str">
            <v>ACTIFS NON COURANTS</v>
          </cell>
        </row>
        <row r="91">
          <cell r="B91" t="str">
            <v>220000</v>
          </cell>
          <cell r="C91" t="str">
            <v>Terrain</v>
          </cell>
          <cell r="D91" t="str">
            <v>211000</v>
          </cell>
          <cell r="E91" t="str">
            <v xml:space="preserve">TERRAINS        </v>
          </cell>
          <cell r="F91" t="str">
            <v>Immobilisations Corporelles</v>
          </cell>
          <cell r="G91" t="str">
            <v>ACTIFS NON COURANTS</v>
          </cell>
        </row>
        <row r="92">
          <cell r="B92" t="str">
            <v>220001</v>
          </cell>
          <cell r="C92" t="str">
            <v>Frais d'Acquisition Terrain</v>
          </cell>
          <cell r="D92" t="str">
            <v>211000</v>
          </cell>
          <cell r="E92" t="str">
            <v xml:space="preserve">TERRAINS        </v>
          </cell>
          <cell r="F92" t="str">
            <v>Immobilisations Corporelles</v>
          </cell>
          <cell r="G92" t="str">
            <v>ACTIFS NON COURANTS</v>
          </cell>
        </row>
        <row r="93">
          <cell r="B93" t="str">
            <v>220002</v>
          </cell>
          <cell r="C93" t="str">
            <v>Intérêts intercalalaires</v>
          </cell>
          <cell r="D93" t="str">
            <v>211000</v>
          </cell>
          <cell r="E93" t="str">
            <v xml:space="preserve">TERRAINS        </v>
          </cell>
          <cell r="F93" t="str">
            <v>Immobilisations Corporelles</v>
          </cell>
          <cell r="G93" t="str">
            <v>ACTIFS NON COURANTS</v>
          </cell>
        </row>
        <row r="94">
          <cell r="B94" t="str">
            <v>220003</v>
          </cell>
          <cell r="C94" t="str">
            <v>Terrain</v>
          </cell>
          <cell r="D94" t="str">
            <v>211000</v>
          </cell>
          <cell r="E94" t="str">
            <v xml:space="preserve">TERRAINS        </v>
          </cell>
          <cell r="F94" t="str">
            <v>Immobilisations Corporelles</v>
          </cell>
          <cell r="G94" t="str">
            <v>ACTIFS NON COURANTS</v>
          </cell>
        </row>
        <row r="95">
          <cell r="B95" t="str">
            <v>220008</v>
          </cell>
          <cell r="C95" t="str">
            <v>+ value sur terrain</v>
          </cell>
          <cell r="D95" t="str">
            <v>211000</v>
          </cell>
          <cell r="E95" t="str">
            <v xml:space="preserve">TERRAINS        </v>
          </cell>
          <cell r="F95" t="str">
            <v>Immobilisations Corporelles</v>
          </cell>
          <cell r="G95" t="str">
            <v>ACTIFS NON COURANTS</v>
          </cell>
        </row>
        <row r="96">
          <cell r="B96" t="str">
            <v>220009</v>
          </cell>
          <cell r="C96" t="str">
            <v>Amort.s/Frais d'acq.</v>
          </cell>
          <cell r="D96" t="str">
            <v>281310</v>
          </cell>
          <cell r="E96" t="str">
            <v>AMORT DES CONSTRUCTIONS - BATIMENTS</v>
          </cell>
          <cell r="F96" t="str">
            <v>Immobilisations Corporelles</v>
          </cell>
          <cell r="G96" t="str">
            <v>ACTIFS NON COURANTS</v>
          </cell>
        </row>
        <row r="97">
          <cell r="B97" t="str">
            <v>220100</v>
          </cell>
          <cell r="C97" t="str">
            <v>Terrain / Bis</v>
          </cell>
          <cell r="D97" t="str">
            <v>211000</v>
          </cell>
          <cell r="E97" t="str">
            <v xml:space="preserve">TERRAINS        </v>
          </cell>
          <cell r="F97" t="str">
            <v>Immobilisations Corporelles</v>
          </cell>
          <cell r="G97" t="str">
            <v>ACTIFS NON COURANTS</v>
          </cell>
        </row>
        <row r="98">
          <cell r="B98" t="str">
            <v>220101</v>
          </cell>
          <cell r="C98" t="str">
            <v>Frais d'Acquisition Terrain</v>
          </cell>
          <cell r="D98" t="str">
            <v>211000</v>
          </cell>
          <cell r="E98" t="str">
            <v xml:space="preserve">TERRAINS        </v>
          </cell>
          <cell r="F98" t="str">
            <v>Immobilisations Corporelles</v>
          </cell>
          <cell r="G98" t="str">
            <v>ACTIFS NON COURANTS</v>
          </cell>
        </row>
        <row r="99">
          <cell r="B99" t="str">
            <v>220109</v>
          </cell>
          <cell r="C99" t="str">
            <v>Amort s/Aménag Terrain</v>
          </cell>
          <cell r="D99" t="str">
            <v>281310</v>
          </cell>
          <cell r="E99" t="str">
            <v>AMORT DES CONSTRUCTIONS - BATIMENTS</v>
          </cell>
          <cell r="F99" t="str">
            <v>Immobilisations Corporelles</v>
          </cell>
          <cell r="G99" t="str">
            <v>ACTIFS NON COURANTS</v>
          </cell>
        </row>
        <row r="100">
          <cell r="B100" t="str">
            <v>221000</v>
          </cell>
          <cell r="C100" t="str">
            <v>Construction XXXX</v>
          </cell>
          <cell r="D100" t="str">
            <v>213100</v>
          </cell>
          <cell r="E100" t="str">
            <v>CONSTRUCTIONS</v>
          </cell>
          <cell r="F100" t="str">
            <v>Immobilisations Corporelles</v>
          </cell>
          <cell r="G100" t="str">
            <v>ACTIFS NON COURANTS</v>
          </cell>
        </row>
        <row r="101">
          <cell r="B101" t="str">
            <v>221001</v>
          </cell>
          <cell r="C101" t="str">
            <v>Frais d'acquisition Immeuble</v>
          </cell>
          <cell r="D101" t="str">
            <v>213100</v>
          </cell>
          <cell r="E101" t="str">
            <v>CONSTRUCTIONS</v>
          </cell>
          <cell r="F101" t="str">
            <v>Immobilisations Corporelles</v>
          </cell>
          <cell r="G101" t="str">
            <v>ACTIFS NON COURANTS</v>
          </cell>
        </row>
        <row r="102">
          <cell r="B102" t="str">
            <v>221008</v>
          </cell>
          <cell r="C102" t="str">
            <v>Red Val / Construction</v>
          </cell>
          <cell r="D102" t="str">
            <v>213100</v>
          </cell>
          <cell r="E102" t="str">
            <v>CONSTRUCTIONS</v>
          </cell>
          <cell r="F102" t="str">
            <v>Immobilisations Corporelles</v>
          </cell>
          <cell r="G102" t="str">
            <v>ACTIFS NON COURANTS</v>
          </cell>
        </row>
        <row r="103">
          <cell r="B103" t="str">
            <v>221009</v>
          </cell>
          <cell r="C103" t="str">
            <v>AMORT. S/CONSTRUCTION</v>
          </cell>
          <cell r="D103" t="str">
            <v>281310</v>
          </cell>
          <cell r="E103" t="str">
            <v>AMORT DES CONSTRUCTIONS - BATIMENTS</v>
          </cell>
          <cell r="F103" t="str">
            <v>Immobilisations Corporelles</v>
          </cell>
          <cell r="G103" t="str">
            <v>ACTIFS NON COURANTS</v>
          </cell>
        </row>
        <row r="104">
          <cell r="B104" t="str">
            <v>221010</v>
          </cell>
          <cell r="C104" t="str">
            <v>TRAVAUX IMMOBILIER</v>
          </cell>
          <cell r="D104" t="str">
            <v>213100</v>
          </cell>
          <cell r="E104" t="str">
            <v>CONSTRUCTIONS</v>
          </cell>
          <cell r="F104" t="str">
            <v>Immobilisations Corporelles</v>
          </cell>
          <cell r="G104" t="str">
            <v>ACTIFS NON COURANTS</v>
          </cell>
        </row>
        <row r="105">
          <cell r="B105" t="str">
            <v>221011</v>
          </cell>
          <cell r="C105" t="str">
            <v>Frais d'Acquisition Immeuble</v>
          </cell>
          <cell r="D105" t="str">
            <v>213100</v>
          </cell>
          <cell r="E105" t="str">
            <v>CONSTRUCTIONS</v>
          </cell>
          <cell r="F105" t="str">
            <v>Immobilisations Corporelles</v>
          </cell>
          <cell r="G105" t="str">
            <v>ACTIFS NON COURANTS</v>
          </cell>
        </row>
        <row r="106">
          <cell r="B106" t="str">
            <v>221018</v>
          </cell>
          <cell r="C106" t="str">
            <v>Red Val/Frais d'Acq Construct°</v>
          </cell>
          <cell r="D106" t="str">
            <v>213100</v>
          </cell>
          <cell r="E106" t="str">
            <v>CONSTRUCTIONS</v>
          </cell>
          <cell r="F106" t="str">
            <v>Immobilisations Corporelles</v>
          </cell>
          <cell r="G106" t="str">
            <v>ACTIFS NON COURANTS</v>
          </cell>
        </row>
        <row r="107">
          <cell r="B107" t="str">
            <v>221019</v>
          </cell>
          <cell r="C107" t="str">
            <v>AMORT. S/TRAVAUX IMMOBILIER</v>
          </cell>
          <cell r="D107" t="str">
            <v>281310</v>
          </cell>
          <cell r="E107" t="str">
            <v>AMORT DES CONSTRUCTIONS - BATIMENTS</v>
          </cell>
          <cell r="F107" t="str">
            <v>Immobilisations Corporelles</v>
          </cell>
          <cell r="G107" t="str">
            <v>ACTIFS NON COURANTS</v>
          </cell>
        </row>
        <row r="108">
          <cell r="B108" t="str">
            <v>221020</v>
          </cell>
          <cell r="C108" t="str">
            <v>Construction ZZZZ</v>
          </cell>
          <cell r="D108" t="str">
            <v>213100</v>
          </cell>
          <cell r="E108" t="str">
            <v>CONSTRUCTIONS</v>
          </cell>
          <cell r="F108" t="str">
            <v>Immobilisations Corporelles</v>
          </cell>
          <cell r="G108" t="str">
            <v>ACTIFS NON COURANTS</v>
          </cell>
        </row>
        <row r="109">
          <cell r="B109" t="str">
            <v>221029</v>
          </cell>
          <cell r="C109" t="str">
            <v>Amort. s/construction ZZZZ</v>
          </cell>
          <cell r="D109" t="str">
            <v>281310</v>
          </cell>
          <cell r="E109" t="str">
            <v>AMORT DES CONSTRUCTIONS - BATIMENTS</v>
          </cell>
          <cell r="F109" t="str">
            <v>Immobilisations Corporelles</v>
          </cell>
          <cell r="G109" t="str">
            <v>ACTIFS NON COURANTS</v>
          </cell>
        </row>
        <row r="110">
          <cell r="B110" t="str">
            <v>221030</v>
          </cell>
          <cell r="C110" t="str">
            <v>Construction ZZZZ</v>
          </cell>
          <cell r="D110" t="str">
            <v>213100</v>
          </cell>
          <cell r="E110" t="str">
            <v>CONSTRUCTIONS</v>
          </cell>
          <cell r="F110" t="str">
            <v>Immobilisations Corporelles</v>
          </cell>
          <cell r="G110" t="str">
            <v>ACTIFS NON COURANTS</v>
          </cell>
        </row>
        <row r="111">
          <cell r="B111" t="str">
            <v>221039</v>
          </cell>
          <cell r="C111" t="str">
            <v>Amort s/construction ZZZZ</v>
          </cell>
          <cell r="D111" t="str">
            <v>281310</v>
          </cell>
          <cell r="E111" t="str">
            <v>AMORT DES CONSTRUCTIONS - BATIMENTS</v>
          </cell>
          <cell r="F111" t="str">
            <v>Immobilisations Corporelles</v>
          </cell>
          <cell r="G111" t="str">
            <v>ACTIFS NON COURANTS</v>
          </cell>
        </row>
        <row r="112">
          <cell r="B112" t="str">
            <v>221040</v>
          </cell>
          <cell r="C112" t="str">
            <v>TRAVAUX S/IMMOBILIER</v>
          </cell>
          <cell r="D112" t="str">
            <v>213100</v>
          </cell>
          <cell r="E112" t="str">
            <v>CONSTRUCTIONS</v>
          </cell>
          <cell r="F112" t="str">
            <v>Immobilisations Corporelles</v>
          </cell>
          <cell r="G112" t="str">
            <v>ACTIFS NON COURANTS</v>
          </cell>
        </row>
        <row r="113">
          <cell r="B113" t="str">
            <v>221049</v>
          </cell>
          <cell r="C113" t="str">
            <v>Amort. s/Travaux Immobilier</v>
          </cell>
          <cell r="D113" t="str">
            <v>281310</v>
          </cell>
          <cell r="E113" t="str">
            <v>AMORT DES CONSTRUCTIONS - BATIMENTS</v>
          </cell>
          <cell r="F113" t="str">
            <v>Immobilisations Corporelles</v>
          </cell>
          <cell r="G113" t="str">
            <v>ACTIFS NON COURANTS</v>
          </cell>
        </row>
        <row r="114">
          <cell r="B114" t="str">
            <v>221800</v>
          </cell>
          <cell r="C114" t="str">
            <v>+ Value Immeuble</v>
          </cell>
          <cell r="D114" t="str">
            <v>213100</v>
          </cell>
          <cell r="E114" t="str">
            <v>CONSTRUCTIONS</v>
          </cell>
          <cell r="F114" t="str">
            <v>Immobilisations Corporelles</v>
          </cell>
          <cell r="G114" t="str">
            <v>ACTIFS NON COURANTS</v>
          </cell>
        </row>
        <row r="115">
          <cell r="B115" t="str">
            <v>221809</v>
          </cell>
          <cell r="C115" t="str">
            <v>Amort s/+ Value Immeuble</v>
          </cell>
          <cell r="D115" t="str">
            <v>281310</v>
          </cell>
          <cell r="E115" t="str">
            <v>AMORT DES CONSTRUCTIONS - BATIMENTS</v>
          </cell>
          <cell r="F115" t="str">
            <v>Immobilisations Corporelles</v>
          </cell>
          <cell r="G115" t="str">
            <v>ACTIFS NON COURANTS</v>
          </cell>
        </row>
        <row r="116">
          <cell r="B116" t="str">
            <v>221810</v>
          </cell>
          <cell r="C116" t="str">
            <v>+ Value Immeuble</v>
          </cell>
          <cell r="D116" t="str">
            <v>213100</v>
          </cell>
          <cell r="E116" t="str">
            <v>CONSTRUCTIONS</v>
          </cell>
          <cell r="F116" t="str">
            <v>Immobilisations Corporelles</v>
          </cell>
          <cell r="G116" t="str">
            <v>ACTIFS NON COURANTS</v>
          </cell>
        </row>
        <row r="117">
          <cell r="B117" t="str">
            <v>221819</v>
          </cell>
          <cell r="C117" t="str">
            <v>Amort s/+ Value Immeuble</v>
          </cell>
          <cell r="D117" t="str">
            <v>281310</v>
          </cell>
          <cell r="E117" t="str">
            <v>AMORT DES CONSTRUCTIONS - BATIMENTS</v>
          </cell>
          <cell r="F117" t="str">
            <v>Immobilisations Corporelles</v>
          </cell>
          <cell r="G117" t="str">
            <v>ACTIFS NON COURANTS</v>
          </cell>
        </row>
        <row r="118">
          <cell r="B118" t="str">
            <v>222000</v>
          </cell>
          <cell r="C118" t="str">
            <v>Transformation XXXX</v>
          </cell>
          <cell r="D118" t="str">
            <v>335200</v>
          </cell>
          <cell r="E118" t="str">
            <v>TRAVAUX EN COURS - CONSTRUCTIONS</v>
          </cell>
          <cell r="F118" t="str">
            <v>Stocks</v>
          </cell>
          <cell r="G118" t="str">
            <v>ACTIFS COURANTS</v>
          </cell>
        </row>
        <row r="119">
          <cell r="B119" t="str">
            <v>222010</v>
          </cell>
          <cell r="C119" t="str">
            <v>Transformation YYYY</v>
          </cell>
          <cell r="D119" t="str">
            <v>335200</v>
          </cell>
          <cell r="E119" t="str">
            <v>TRAVAUX EN COURS - CONSTRUCTIONS</v>
          </cell>
          <cell r="F119" t="str">
            <v>Stocks</v>
          </cell>
          <cell r="G119" t="str">
            <v>ACTIFS COURANTS</v>
          </cell>
        </row>
        <row r="120">
          <cell r="B120" t="str">
            <v>223000</v>
          </cell>
          <cell r="C120" t="str">
            <v>Autre Droit réel s/Immeuble</v>
          </cell>
          <cell r="D120" t="str">
            <v>213100</v>
          </cell>
          <cell r="E120" t="str">
            <v>CONSTRUCTIONS</v>
          </cell>
          <cell r="F120" t="str">
            <v>Immobilisations Corporelles</v>
          </cell>
          <cell r="G120" t="str">
            <v>ACTIFS NON COURANTS</v>
          </cell>
        </row>
        <row r="121">
          <cell r="B121" t="str">
            <v>223009</v>
          </cell>
          <cell r="C121" t="str">
            <v>Amort. s/dito</v>
          </cell>
          <cell r="D121" t="str">
            <v>281310</v>
          </cell>
          <cell r="E121" t="str">
            <v>AMORT DES CONSTRUCTIONS - BATIMENTS</v>
          </cell>
          <cell r="F121" t="str">
            <v>Immobilisations Corporelles</v>
          </cell>
          <cell r="G121" t="str">
            <v>ACTIFS NON COURANTS</v>
          </cell>
        </row>
        <row r="122">
          <cell r="B122" t="str">
            <v>223010</v>
          </cell>
          <cell r="C122" t="str">
            <v>Aménagement Bâtiment YYYY</v>
          </cell>
          <cell r="D122" t="str">
            <v>213100</v>
          </cell>
          <cell r="E122" t="str">
            <v>CONSTRUCTIONS</v>
          </cell>
          <cell r="F122" t="str">
            <v>Immobilisations Corporelles</v>
          </cell>
          <cell r="G122" t="str">
            <v>ACTIFS NON COURANTS</v>
          </cell>
        </row>
        <row r="123">
          <cell r="B123" t="str">
            <v>223019</v>
          </cell>
          <cell r="C123" t="str">
            <v>Amort. s/Aménag. Bât. YYYY</v>
          </cell>
          <cell r="D123" t="str">
            <v>281310</v>
          </cell>
          <cell r="E123" t="str">
            <v>AMORT DES CONSTRUCTIONS - BATIMENTS</v>
          </cell>
          <cell r="F123" t="str">
            <v>Immobilisations Corporelles</v>
          </cell>
          <cell r="G123" t="str">
            <v>ACTIFS NON COURANTS</v>
          </cell>
        </row>
        <row r="124">
          <cell r="B124" t="str">
            <v>224000</v>
          </cell>
          <cell r="C124" t="str">
            <v>Honor. Architecte/Ingén/Dessin</v>
          </cell>
          <cell r="D124" t="str">
            <v>213100</v>
          </cell>
          <cell r="E124" t="str">
            <v>CONSTRUCTIONS</v>
          </cell>
          <cell r="F124" t="str">
            <v>Immobilisations Corporelles</v>
          </cell>
          <cell r="G124" t="str">
            <v>ACTIFS NON COURANTS</v>
          </cell>
        </row>
        <row r="125">
          <cell r="B125" t="str">
            <v>224009</v>
          </cell>
          <cell r="C125" t="str">
            <v>Amort. s/Honor Arch/Ingen/Dess</v>
          </cell>
          <cell r="D125" t="str">
            <v>281310</v>
          </cell>
          <cell r="E125" t="str">
            <v>AMORT DES CONSTRUCTIONS - BATIMENTS</v>
          </cell>
          <cell r="F125" t="str">
            <v>Immobilisations Corporelles</v>
          </cell>
          <cell r="G125" t="str">
            <v>ACTIFS NON COURANTS</v>
          </cell>
        </row>
        <row r="126">
          <cell r="B126" t="str">
            <v>224010</v>
          </cell>
          <cell r="C126" t="str">
            <v>Honoraires Développement</v>
          </cell>
          <cell r="D126" t="str">
            <v>213100</v>
          </cell>
          <cell r="E126" t="str">
            <v>CONSTRUCTIONS</v>
          </cell>
          <cell r="F126" t="str">
            <v>Immobilisations Corporelles</v>
          </cell>
          <cell r="G126" t="str">
            <v>ACTIFS NON COURANTS</v>
          </cell>
        </row>
        <row r="127">
          <cell r="B127" t="str">
            <v>224020</v>
          </cell>
          <cell r="C127" t="str">
            <v>Honoraires Expertises</v>
          </cell>
          <cell r="D127" t="str">
            <v>213100</v>
          </cell>
          <cell r="E127" t="str">
            <v>CONSTRUCTIONS</v>
          </cell>
          <cell r="F127" t="str">
            <v>Immobilisations Corporelles</v>
          </cell>
          <cell r="G127" t="str">
            <v>ACTIFS NON COURANTS</v>
          </cell>
        </row>
        <row r="128">
          <cell r="B128" t="str">
            <v>230000</v>
          </cell>
          <cell r="C128" t="str">
            <v>Installat° techn. &amp; machines</v>
          </cell>
          <cell r="D128" t="str">
            <v>215400</v>
          </cell>
          <cell r="E128" t="str">
            <v>INSTAL. TECH. MATERIELS</v>
          </cell>
          <cell r="F128" t="str">
            <v>Immobilisations Corporelles</v>
          </cell>
          <cell r="G128" t="str">
            <v>ACTIFS NON COURANTS</v>
          </cell>
        </row>
        <row r="129">
          <cell r="B129" t="str">
            <v>230009</v>
          </cell>
          <cell r="C129" t="str">
            <v>AMORT. S/INSTALLAT° TECHN.</v>
          </cell>
          <cell r="D129" t="str">
            <v>281540</v>
          </cell>
          <cell r="E129" t="str">
            <v>AMORT INSTAL. TECH. MATERIELS</v>
          </cell>
          <cell r="F129" t="str">
            <v>Immobilisations Corporelles</v>
          </cell>
          <cell r="G129" t="str">
            <v>ACTIFS NON COURANTS</v>
          </cell>
        </row>
        <row r="130">
          <cell r="B130" t="str">
            <v>230010</v>
          </cell>
          <cell r="C130" t="str">
            <v>Installat° techn.&amp; machine 20%</v>
          </cell>
          <cell r="D130" t="str">
            <v>215400</v>
          </cell>
          <cell r="E130" t="str">
            <v>INSTAL. TECH. MATERIELS</v>
          </cell>
          <cell r="F130" t="str">
            <v>Immobilisations Corporelles</v>
          </cell>
          <cell r="G130" t="str">
            <v>ACTIFS NON COURANTS</v>
          </cell>
        </row>
        <row r="131">
          <cell r="B131" t="str">
            <v>230019</v>
          </cell>
          <cell r="C131" t="str">
            <v>AMORT. S/INSTALL° TECH 20%</v>
          </cell>
          <cell r="D131" t="str">
            <v>281540</v>
          </cell>
          <cell r="E131" t="str">
            <v>AMORT INSTAL. TECH. MATERIELS</v>
          </cell>
          <cell r="F131" t="str">
            <v>Immobilisations Corporelles</v>
          </cell>
          <cell r="G131" t="str">
            <v>ACTIFS NON COURANTS</v>
          </cell>
        </row>
        <row r="132">
          <cell r="B132" t="str">
            <v>230020</v>
          </cell>
          <cell r="C132" t="str">
            <v>Installat° tech &amp; machines 33%</v>
          </cell>
          <cell r="D132" t="str">
            <v>215400</v>
          </cell>
          <cell r="E132" t="str">
            <v>INSTAL. TECH. MATERIELS</v>
          </cell>
          <cell r="F132" t="str">
            <v>Immobilisations Corporelles</v>
          </cell>
          <cell r="G132" t="str">
            <v>ACTIFS NON COURANTS</v>
          </cell>
        </row>
        <row r="133">
          <cell r="B133" t="str">
            <v>230029</v>
          </cell>
          <cell r="C133" t="str">
            <v>AMORT. S/INSTALLAT° TECH 33%</v>
          </cell>
          <cell r="D133" t="str">
            <v>281540</v>
          </cell>
          <cell r="E133" t="str">
            <v>AMORT INSTAL. TECH. MATERIELS</v>
          </cell>
          <cell r="F133" t="str">
            <v>Immobilisations Corporelles</v>
          </cell>
          <cell r="G133" t="str">
            <v>ACTIFS NON COURANTS</v>
          </cell>
        </row>
        <row r="134">
          <cell r="B134" t="str">
            <v>231000</v>
          </cell>
          <cell r="C134" t="str">
            <v>Autres installations</v>
          </cell>
          <cell r="D134" t="str">
            <v>215400</v>
          </cell>
          <cell r="E134" t="str">
            <v>INSTAL. TECH. MATERIELS</v>
          </cell>
          <cell r="F134" t="str">
            <v>Immobilisations Corporelles</v>
          </cell>
          <cell r="G134" t="str">
            <v>ACTIFS NON COURANTS</v>
          </cell>
        </row>
        <row r="135">
          <cell r="B135" t="str">
            <v>231009</v>
          </cell>
          <cell r="C135" t="str">
            <v>AMORT. S/AUTRES INSTALLATIONS</v>
          </cell>
          <cell r="D135" t="str">
            <v>281540</v>
          </cell>
          <cell r="E135" t="str">
            <v>AMORT INSTAL. TECH. MATERIELS</v>
          </cell>
          <cell r="F135" t="str">
            <v>Immobilisations Corporelles</v>
          </cell>
          <cell r="G135" t="str">
            <v>ACTIFS NON COURANTS</v>
          </cell>
        </row>
        <row r="136">
          <cell r="B136" t="str">
            <v>231010</v>
          </cell>
          <cell r="C136" t="str">
            <v>Autres installation (20%)</v>
          </cell>
          <cell r="D136" t="str">
            <v>215400</v>
          </cell>
          <cell r="E136" t="str">
            <v>INSTAL. TECH. MATERIELS</v>
          </cell>
          <cell r="F136" t="str">
            <v>Immobilisations Corporelles</v>
          </cell>
          <cell r="G136" t="str">
            <v>ACTIFS NON COURANTS</v>
          </cell>
        </row>
        <row r="137">
          <cell r="B137" t="str">
            <v>231019</v>
          </cell>
          <cell r="C137" t="str">
            <v>Amort.s/autres install (20%)</v>
          </cell>
          <cell r="D137" t="str">
            <v>281540</v>
          </cell>
          <cell r="E137" t="str">
            <v>AMORT INSTAL. TECH. MATERIELS</v>
          </cell>
          <cell r="F137" t="str">
            <v>Immobilisations Corporelles</v>
          </cell>
          <cell r="G137" t="str">
            <v>ACTIFS NON COURANTS</v>
          </cell>
        </row>
        <row r="138">
          <cell r="B138" t="str">
            <v>231020</v>
          </cell>
          <cell r="C138" t="str">
            <v>Autres Installations (33%)</v>
          </cell>
          <cell r="D138" t="str">
            <v>215400</v>
          </cell>
          <cell r="E138" t="str">
            <v>INSTAL. TECH. MATERIELS</v>
          </cell>
          <cell r="F138" t="str">
            <v>Immobilisations Corporelles</v>
          </cell>
          <cell r="G138" t="str">
            <v>ACTIFS NON COURANTS</v>
          </cell>
        </row>
        <row r="139">
          <cell r="B139" t="str">
            <v>231029</v>
          </cell>
          <cell r="C139" t="str">
            <v>Amort. s/autres install (33%)</v>
          </cell>
          <cell r="D139" t="str">
            <v>281540</v>
          </cell>
          <cell r="E139" t="str">
            <v>AMORT INSTAL. TECH. MATERIELS</v>
          </cell>
          <cell r="F139" t="str">
            <v>Immobilisations Corporelles</v>
          </cell>
          <cell r="G139" t="str">
            <v>ACTIFS NON COURANTS</v>
          </cell>
        </row>
        <row r="140">
          <cell r="B140" t="str">
            <v>232000</v>
          </cell>
          <cell r="C140" t="str">
            <v>Outillage</v>
          </cell>
          <cell r="D140" t="str">
            <v>215400</v>
          </cell>
          <cell r="E140" t="str">
            <v>INSTAL. TECH. MATERIELS</v>
          </cell>
          <cell r="F140" t="str">
            <v>Immobilisations Corporelles</v>
          </cell>
          <cell r="G140" t="str">
            <v>ACTIFS NON COURANTS</v>
          </cell>
        </row>
        <row r="141">
          <cell r="B141" t="str">
            <v>232009</v>
          </cell>
          <cell r="C141" t="str">
            <v>AMORT. S/OUTILLAGE</v>
          </cell>
          <cell r="D141" t="str">
            <v>281540</v>
          </cell>
          <cell r="E141" t="str">
            <v>AMORT INSTAL. TECH. MATERIELS</v>
          </cell>
          <cell r="F141" t="str">
            <v>Immobilisations Corporelles</v>
          </cell>
          <cell r="G141" t="str">
            <v>ACTIFS NON COURANTS</v>
          </cell>
        </row>
        <row r="142">
          <cell r="B142" t="str">
            <v>233000</v>
          </cell>
          <cell r="C142" t="str">
            <v>MATERIEL EXPLOITATION CUISINE</v>
          </cell>
          <cell r="D142" t="str">
            <v>215400</v>
          </cell>
          <cell r="E142" t="str">
            <v>INSTAL. TECH. MATERIELS</v>
          </cell>
          <cell r="F142" t="str">
            <v>Immobilisations Corporelles</v>
          </cell>
          <cell r="G142" t="str">
            <v>ACTIFS NON COURANTS</v>
          </cell>
        </row>
        <row r="143">
          <cell r="B143" t="str">
            <v>233009</v>
          </cell>
          <cell r="C143" t="str">
            <v>AMORT.S/MAT.D'EXPLOITATION CU.</v>
          </cell>
          <cell r="D143" t="str">
            <v>281540</v>
          </cell>
          <cell r="E143" t="str">
            <v>AMORT INSTAL. TECH. MATERIELS</v>
          </cell>
          <cell r="F143" t="str">
            <v>Immobilisations Corporelles</v>
          </cell>
          <cell r="G143" t="str">
            <v>ACTIFS NON COURANTS</v>
          </cell>
        </row>
        <row r="144">
          <cell r="B144" t="str">
            <v>233010</v>
          </cell>
          <cell r="C144" t="str">
            <v>AUTRES MAT.MOB. D'EXPLOITATION</v>
          </cell>
          <cell r="D144" t="str">
            <v>215400</v>
          </cell>
          <cell r="E144" t="str">
            <v>INSTAL. TECH. MATERIELS</v>
          </cell>
          <cell r="F144" t="str">
            <v>Immobilisations Corporelles</v>
          </cell>
          <cell r="G144" t="str">
            <v>ACTIFS NON COURANTS</v>
          </cell>
        </row>
        <row r="145">
          <cell r="B145" t="str">
            <v>233019</v>
          </cell>
          <cell r="C145" t="str">
            <v>AMORT S/AUTRE MAT MOB.EXPLOIT.</v>
          </cell>
          <cell r="D145" t="str">
            <v>281540</v>
          </cell>
          <cell r="E145" t="str">
            <v>AMORT INSTAL. TECH. MATERIELS</v>
          </cell>
          <cell r="F145" t="str">
            <v>Immobilisations Corporelles</v>
          </cell>
          <cell r="G145" t="str">
            <v>ACTIFS NON COURANTS</v>
          </cell>
        </row>
        <row r="146">
          <cell r="B146" t="str">
            <v>240000</v>
          </cell>
          <cell r="C146" t="str">
            <v>Mobilier &amp; matériel bureau</v>
          </cell>
          <cell r="D146" t="str">
            <v>218400</v>
          </cell>
          <cell r="E146" t="str">
            <v>MOBILIER / MATERIEL DE BUREAU</v>
          </cell>
          <cell r="F146" t="str">
            <v>Immobilisations Corporelles</v>
          </cell>
          <cell r="G146" t="str">
            <v>ACTIFS NON COURANTS</v>
          </cell>
        </row>
        <row r="147">
          <cell r="B147" t="str">
            <v>240009</v>
          </cell>
          <cell r="C147" t="str">
            <v>Amort. s/mob. &amp; mat. bureau</v>
          </cell>
          <cell r="D147" t="str">
            <v>281840</v>
          </cell>
          <cell r="E147" t="str">
            <v xml:space="preserve">AMORT. MOB., MAT. BUREAU &amp; INFO.       </v>
          </cell>
          <cell r="F147" t="str">
            <v>Immobilisations Corporelles</v>
          </cell>
          <cell r="G147" t="str">
            <v>ACTIFS NON COURANTS</v>
          </cell>
        </row>
        <row r="148">
          <cell r="B148" t="str">
            <v>240010</v>
          </cell>
          <cell r="C148" t="str">
            <v>Matériel inform./téléph.</v>
          </cell>
          <cell r="D148" t="str">
            <v>218300</v>
          </cell>
          <cell r="E148" t="str">
            <v>MOB., MAT. BUREAU &amp; INFORMATIQUE</v>
          </cell>
          <cell r="F148" t="str">
            <v>Immobilisations Corporelles</v>
          </cell>
          <cell r="G148" t="str">
            <v>ACTIFS NON COURANTS</v>
          </cell>
        </row>
        <row r="149">
          <cell r="B149" t="str">
            <v>240019</v>
          </cell>
          <cell r="C149" t="str">
            <v>Amort. s/mat. inform./téléph.</v>
          </cell>
          <cell r="D149" t="str">
            <v>281840</v>
          </cell>
          <cell r="E149" t="str">
            <v xml:space="preserve">AMORT. MOB., MAT. BUREAU &amp; INFO.       </v>
          </cell>
          <cell r="F149" t="str">
            <v>Immobilisations Corporelles</v>
          </cell>
          <cell r="G149" t="str">
            <v>ACTIFS NON COURANTS</v>
          </cell>
        </row>
        <row r="150">
          <cell r="B150" t="str">
            <v>240020</v>
          </cell>
          <cell r="C150" t="str">
            <v>Matériel d'exploitation</v>
          </cell>
          <cell r="D150" t="str">
            <v>218400</v>
          </cell>
          <cell r="E150" t="str">
            <v>MOBILIER / MATERIEL DE BUREAU</v>
          </cell>
          <cell r="F150" t="str">
            <v>Immobilisations Corporelles</v>
          </cell>
          <cell r="G150" t="str">
            <v>ACTIFS NON COURANTS</v>
          </cell>
        </row>
        <row r="151">
          <cell r="B151" t="str">
            <v>240029</v>
          </cell>
          <cell r="C151" t="str">
            <v>AMORT. S/MAT. EXPLOITAT°</v>
          </cell>
          <cell r="D151" t="str">
            <v>281840</v>
          </cell>
          <cell r="E151" t="str">
            <v xml:space="preserve">AMORT. MOB., MAT. BUREAU &amp; INFO.       </v>
          </cell>
          <cell r="F151" t="str">
            <v>Immobilisations Corporelles</v>
          </cell>
          <cell r="G151" t="str">
            <v>ACTIFS NON COURANTS</v>
          </cell>
        </row>
        <row r="152">
          <cell r="B152" t="str">
            <v>240030</v>
          </cell>
          <cell r="C152" t="str">
            <v>MOBILIER D'EXPLOITATION</v>
          </cell>
          <cell r="D152" t="str">
            <v>218400</v>
          </cell>
          <cell r="E152" t="str">
            <v>MOBILIER / MATERIEL DE BUREAU</v>
          </cell>
          <cell r="F152" t="str">
            <v>Immobilisations Corporelles</v>
          </cell>
          <cell r="G152" t="str">
            <v>ACTIFS NON COURANTS</v>
          </cell>
        </row>
        <row r="153">
          <cell r="B153" t="str">
            <v>240039</v>
          </cell>
          <cell r="C153" t="str">
            <v>AMORT. S/MOBILIER D'EXPLOITATI</v>
          </cell>
          <cell r="D153" t="str">
            <v>281840</v>
          </cell>
          <cell r="E153" t="str">
            <v xml:space="preserve">AMORT. MOB., MAT. BUREAU &amp; INFO.       </v>
          </cell>
          <cell r="F153" t="str">
            <v>Immobilisations Corporelles</v>
          </cell>
          <cell r="G153" t="str">
            <v>ACTIFS NON COURANTS</v>
          </cell>
        </row>
        <row r="154">
          <cell r="B154" t="str">
            <v>240040</v>
          </cell>
          <cell r="C154" t="str">
            <v>Matériel d'Exploitation (20%)</v>
          </cell>
          <cell r="D154" t="str">
            <v>218400</v>
          </cell>
          <cell r="E154" t="str">
            <v>MOBILIER / MATERIEL DE BUREAU</v>
          </cell>
          <cell r="F154" t="str">
            <v>Immobilisations Corporelles</v>
          </cell>
          <cell r="G154" t="str">
            <v>ACTIFS NON COURANTS</v>
          </cell>
        </row>
        <row r="155">
          <cell r="B155" t="str">
            <v>240049</v>
          </cell>
          <cell r="C155" t="str">
            <v>Amort.s/Mat d'Exploitation 20%</v>
          </cell>
          <cell r="D155" t="str">
            <v>281840</v>
          </cell>
          <cell r="E155" t="str">
            <v xml:space="preserve">AMORT. MOB., MAT. BUREAU &amp; INFO.       </v>
          </cell>
          <cell r="F155" t="str">
            <v>Immobilisations Corporelles</v>
          </cell>
          <cell r="G155" t="str">
            <v>ACTIFS NON COURANTS</v>
          </cell>
        </row>
        <row r="156">
          <cell r="B156" t="str">
            <v>240050</v>
          </cell>
          <cell r="C156" t="str">
            <v>Matériel d'Exploitation (33%)</v>
          </cell>
          <cell r="D156" t="str">
            <v>218400</v>
          </cell>
          <cell r="E156" t="str">
            <v>MOBILIER / MATERIEL DE BUREAU</v>
          </cell>
          <cell r="F156" t="str">
            <v>Immobilisations Corporelles</v>
          </cell>
          <cell r="G156" t="str">
            <v>ACTIFS NON COURANTS</v>
          </cell>
        </row>
        <row r="157">
          <cell r="B157" t="str">
            <v>240060</v>
          </cell>
          <cell r="C157" t="str">
            <v>MOBILIER D'EXPLOITATION (20%)</v>
          </cell>
          <cell r="D157" t="str">
            <v>218400</v>
          </cell>
          <cell r="E157" t="str">
            <v>MOBILIER / MATERIEL DE BUREAU</v>
          </cell>
          <cell r="F157" t="str">
            <v>Immobilisations Corporelles</v>
          </cell>
          <cell r="G157" t="str">
            <v>ACTIFS NON COURANTS</v>
          </cell>
        </row>
        <row r="158">
          <cell r="B158" t="str">
            <v>240069</v>
          </cell>
          <cell r="C158" t="str">
            <v>AMORT S/MOBILIER EXPLOIT. 20%</v>
          </cell>
          <cell r="D158" t="str">
            <v>281840</v>
          </cell>
          <cell r="E158" t="str">
            <v xml:space="preserve">AMORT. MOB., MAT. BUREAU &amp; INFO.       </v>
          </cell>
          <cell r="F158" t="str">
            <v>Immobilisations Corporelles</v>
          </cell>
          <cell r="G158" t="str">
            <v>ACTIFS NON COURANTS</v>
          </cell>
        </row>
        <row r="159">
          <cell r="B159" t="str">
            <v>240070</v>
          </cell>
          <cell r="C159" t="str">
            <v>Mobilier d'Exploitation (33%)</v>
          </cell>
          <cell r="D159" t="str">
            <v>218400</v>
          </cell>
          <cell r="E159" t="str">
            <v>MOBILIER / MATERIEL DE BUREAU</v>
          </cell>
          <cell r="F159" t="str">
            <v>Immobilisations Corporelles</v>
          </cell>
          <cell r="G159" t="str">
            <v>ACTIFS NON COURANTS</v>
          </cell>
        </row>
        <row r="160">
          <cell r="B160" t="str">
            <v>240079</v>
          </cell>
          <cell r="C160" t="str">
            <v>Amort s/Mob. d'Exploitat 33%</v>
          </cell>
          <cell r="D160" t="str">
            <v>281840</v>
          </cell>
          <cell r="E160" t="str">
            <v xml:space="preserve">AMORT. MOB., MAT. BUREAU &amp; INFO.       </v>
          </cell>
          <cell r="F160" t="str">
            <v>Immobilisations Corporelles</v>
          </cell>
          <cell r="G160" t="str">
            <v>ACTIFS NON COURANTS</v>
          </cell>
        </row>
        <row r="161">
          <cell r="B161" t="str">
            <v>240080</v>
          </cell>
          <cell r="C161" t="str">
            <v>Mobilier de jardin</v>
          </cell>
          <cell r="D161" t="str">
            <v>218400</v>
          </cell>
          <cell r="E161" t="str">
            <v>MOBILIER / MATERIEL DE BUREAU</v>
          </cell>
          <cell r="F161" t="str">
            <v>Immobilisations Corporelles</v>
          </cell>
          <cell r="G161" t="str">
            <v>ACTIFS NON COURANTS</v>
          </cell>
        </row>
        <row r="162">
          <cell r="B162" t="str">
            <v>240089</v>
          </cell>
          <cell r="C162" t="str">
            <v>Amort s/Mobilier de jardin</v>
          </cell>
          <cell r="D162" t="str">
            <v>281840</v>
          </cell>
          <cell r="E162" t="str">
            <v xml:space="preserve">AMORT. MOB., MAT. BUREAU &amp; INFO.       </v>
          </cell>
          <cell r="F162" t="str">
            <v>Immobilisations Corporelles</v>
          </cell>
          <cell r="G162" t="str">
            <v>ACTIFS NON COURANTS</v>
          </cell>
        </row>
        <row r="163">
          <cell r="B163" t="str">
            <v>240090</v>
          </cell>
          <cell r="C163" t="str">
            <v>AUTRES ACQUISITIONS</v>
          </cell>
          <cell r="D163" t="str">
            <v>217000</v>
          </cell>
          <cell r="E163" t="str">
            <v xml:space="preserve">SPECIFICITES                           </v>
          </cell>
          <cell r="F163" t="str">
            <v>Immobilisations Corporelles</v>
          </cell>
          <cell r="G163" t="str">
            <v>ACTIFS NON COURANTS</v>
          </cell>
        </row>
        <row r="164">
          <cell r="B164" t="str">
            <v>240099</v>
          </cell>
          <cell r="C164" t="str">
            <v>PROV. AMORTISS.</v>
          </cell>
          <cell r="D164" t="str">
            <v>281700</v>
          </cell>
          <cell r="E164" t="str">
            <v xml:space="preserve">AMORTS SPECIFICITES                    </v>
          </cell>
          <cell r="F164" t="str">
            <v>Immobilisations Corporelles</v>
          </cell>
          <cell r="G164" t="str">
            <v>ACTIFS NON COURANTS</v>
          </cell>
        </row>
        <row r="165">
          <cell r="B165" t="str">
            <v>241000</v>
          </cell>
          <cell r="C165" t="str">
            <v>Voiture (90%)</v>
          </cell>
          <cell r="D165" t="str">
            <v>218200</v>
          </cell>
          <cell r="E165" t="str">
            <v xml:space="preserve">MATERIEL DE TRANSPORT                  </v>
          </cell>
          <cell r="F165" t="str">
            <v>Immobilisations Corporelles</v>
          </cell>
          <cell r="G165" t="str">
            <v>ACTIFS NON COURANTS</v>
          </cell>
        </row>
        <row r="166">
          <cell r="B166" t="str">
            <v>241009</v>
          </cell>
          <cell r="C166" t="str">
            <v>Amort. s/voiture (90%)</v>
          </cell>
          <cell r="D166" t="str">
            <v>281820</v>
          </cell>
          <cell r="E166" t="str">
            <v xml:space="preserve">AMORT. MATERIEL DE TRANSPORT           </v>
          </cell>
          <cell r="F166" t="str">
            <v>Immobilisations Corporelles</v>
          </cell>
          <cell r="G166" t="str">
            <v>ACTIFS NON COURANTS</v>
          </cell>
        </row>
        <row r="167">
          <cell r="B167" t="str">
            <v>241010</v>
          </cell>
          <cell r="C167" t="str">
            <v>Voiture (80%)</v>
          </cell>
          <cell r="D167" t="str">
            <v>218200</v>
          </cell>
          <cell r="E167" t="str">
            <v xml:space="preserve">MATERIEL DE TRANSPORT                  </v>
          </cell>
          <cell r="F167" t="str">
            <v>Immobilisations Corporelles</v>
          </cell>
          <cell r="G167" t="str">
            <v>ACTIFS NON COURANTS</v>
          </cell>
        </row>
        <row r="168">
          <cell r="B168" t="str">
            <v>241019</v>
          </cell>
          <cell r="C168" t="str">
            <v>Amort. s/voiture (80%)</v>
          </cell>
          <cell r="D168" t="str">
            <v>281820</v>
          </cell>
          <cell r="E168" t="str">
            <v xml:space="preserve">AMORT. MATERIEL DE TRANSPORT           </v>
          </cell>
          <cell r="F168" t="str">
            <v>Immobilisations Corporelles</v>
          </cell>
          <cell r="G168" t="str">
            <v>ACTIFS NON COURANTS</v>
          </cell>
        </row>
        <row r="169">
          <cell r="B169" t="str">
            <v>241020</v>
          </cell>
          <cell r="C169" t="str">
            <v>VOITURE (75%)</v>
          </cell>
          <cell r="D169" t="str">
            <v>218200</v>
          </cell>
          <cell r="E169" t="str">
            <v xml:space="preserve">MATERIEL DE TRANSPORT                  </v>
          </cell>
          <cell r="F169" t="str">
            <v>Immobilisations Corporelles</v>
          </cell>
          <cell r="G169" t="str">
            <v>ACTIFS NON COURANTS</v>
          </cell>
        </row>
        <row r="170">
          <cell r="B170" t="str">
            <v>241029</v>
          </cell>
          <cell r="C170" t="str">
            <v>AMORT. S/VOITURE (75%)</v>
          </cell>
          <cell r="D170" t="str">
            <v>281820</v>
          </cell>
          <cell r="E170" t="str">
            <v xml:space="preserve">AMORT. MATERIEL DE TRANSPORT           </v>
          </cell>
          <cell r="F170" t="str">
            <v>Immobilisations Corporelles</v>
          </cell>
          <cell r="G170" t="str">
            <v>ACTIFS NON COURANTS</v>
          </cell>
        </row>
        <row r="171">
          <cell r="B171" t="str">
            <v>241030</v>
          </cell>
          <cell r="C171" t="str">
            <v>Voiture (70%)</v>
          </cell>
          <cell r="D171" t="str">
            <v>218200</v>
          </cell>
          <cell r="E171" t="str">
            <v xml:space="preserve">MATERIEL DE TRANSPORT                  </v>
          </cell>
          <cell r="F171" t="str">
            <v>Immobilisations Corporelles</v>
          </cell>
          <cell r="G171" t="str">
            <v>ACTIFS NON COURANTS</v>
          </cell>
        </row>
        <row r="172">
          <cell r="B172" t="str">
            <v>241039</v>
          </cell>
          <cell r="C172" t="str">
            <v>Amort. s/voiture (70%)</v>
          </cell>
          <cell r="D172" t="str">
            <v>281820</v>
          </cell>
          <cell r="E172" t="str">
            <v xml:space="preserve">AMORT. MATERIEL DE TRANSPORT           </v>
          </cell>
          <cell r="F172" t="str">
            <v>Immobilisations Corporelles</v>
          </cell>
          <cell r="G172" t="str">
            <v>ACTIFS NON COURANTS</v>
          </cell>
        </row>
        <row r="173">
          <cell r="B173" t="str">
            <v>241040</v>
          </cell>
          <cell r="C173" t="str">
            <v>Voiture (60%)</v>
          </cell>
          <cell r="D173" t="str">
            <v>218200</v>
          </cell>
          <cell r="E173" t="str">
            <v xml:space="preserve">MATERIEL DE TRANSPORT                  </v>
          </cell>
          <cell r="F173" t="str">
            <v>Immobilisations Corporelles</v>
          </cell>
          <cell r="G173" t="str">
            <v>ACTIFS NON COURANTS</v>
          </cell>
        </row>
        <row r="174">
          <cell r="B174" t="str">
            <v>241049</v>
          </cell>
          <cell r="C174" t="str">
            <v>Amort. s/voiture (60%)</v>
          </cell>
          <cell r="D174" t="str">
            <v>281820</v>
          </cell>
          <cell r="E174" t="str">
            <v xml:space="preserve">AMORT. MATERIEL DE TRANSPORT           </v>
          </cell>
          <cell r="F174" t="str">
            <v>Immobilisations Corporelles</v>
          </cell>
          <cell r="G174" t="str">
            <v>ACTIFS NON COURANTS</v>
          </cell>
        </row>
        <row r="175">
          <cell r="B175" t="str">
            <v>241050</v>
          </cell>
          <cell r="C175" t="str">
            <v>Camionettes</v>
          </cell>
          <cell r="D175" t="str">
            <v>218200</v>
          </cell>
          <cell r="E175" t="str">
            <v xml:space="preserve">MATERIEL DE TRANSPORT                  </v>
          </cell>
          <cell r="F175" t="str">
            <v>Immobilisations Corporelles</v>
          </cell>
          <cell r="G175" t="str">
            <v>ACTIFS NON COURANTS</v>
          </cell>
        </row>
        <row r="176">
          <cell r="B176" t="str">
            <v>241059</v>
          </cell>
          <cell r="C176" t="str">
            <v>Amort. s/Camionettes</v>
          </cell>
          <cell r="D176" t="str">
            <v>281820</v>
          </cell>
          <cell r="E176" t="str">
            <v xml:space="preserve">AMORT. MATERIEL DE TRANSPORT           </v>
          </cell>
          <cell r="F176" t="str">
            <v>Immobilisations Corporelles</v>
          </cell>
          <cell r="G176" t="str">
            <v>ACTIFS NON COURANTS</v>
          </cell>
        </row>
        <row r="177">
          <cell r="B177" t="str">
            <v>241060</v>
          </cell>
          <cell r="C177" t="str">
            <v>Matériel Roulant XXX</v>
          </cell>
          <cell r="D177" t="str">
            <v>218200</v>
          </cell>
          <cell r="E177" t="str">
            <v xml:space="preserve">MATERIEL DE TRANSPORT                  </v>
          </cell>
          <cell r="F177" t="str">
            <v>Immobilisations Corporelles</v>
          </cell>
          <cell r="G177" t="str">
            <v>ACTIFS NON COURANTS</v>
          </cell>
        </row>
        <row r="178">
          <cell r="B178" t="str">
            <v>241069</v>
          </cell>
          <cell r="C178" t="str">
            <v>Amort. s/Matériel roulant XXX</v>
          </cell>
          <cell r="D178" t="str">
            <v>281820</v>
          </cell>
          <cell r="E178" t="str">
            <v xml:space="preserve">AMORT. MATERIEL DE TRANSPORT           </v>
          </cell>
          <cell r="F178" t="str">
            <v>Immobilisations Corporelles</v>
          </cell>
          <cell r="G178" t="str">
            <v>ACTIFS NON COURANTS</v>
          </cell>
        </row>
        <row r="179">
          <cell r="B179" t="str">
            <v>241100</v>
          </cell>
          <cell r="C179" t="str">
            <v xml:space="preserve"> </v>
          </cell>
          <cell r="D179" t="str">
            <v>218200</v>
          </cell>
          <cell r="E179" t="str">
            <v xml:space="preserve">MATERIEL DE TRANSPORT                  </v>
          </cell>
          <cell r="F179" t="str">
            <v>Immobilisations Corporelles</v>
          </cell>
          <cell r="G179" t="str">
            <v>ACTIFS NON COURANTS</v>
          </cell>
        </row>
        <row r="180">
          <cell r="B180" t="str">
            <v>251000</v>
          </cell>
          <cell r="C180" t="str">
            <v>Instal.,Mach. &amp; Outillage (L-</v>
          </cell>
          <cell r="D180" t="str">
            <v>218400</v>
          </cell>
          <cell r="E180" t="str">
            <v>MOBILIER / MATERIEL DE BUREAU</v>
          </cell>
          <cell r="F180" t="str">
            <v>Immobilisations Corporelles</v>
          </cell>
          <cell r="G180" t="str">
            <v>ACTIFS NON COURANTS</v>
          </cell>
        </row>
        <row r="181">
          <cell r="B181" t="str">
            <v>251009</v>
          </cell>
          <cell r="C181" t="str">
            <v>AMORT. S/I-M-O EN LOC-FIN</v>
          </cell>
          <cell r="D181" t="str">
            <v>281840</v>
          </cell>
          <cell r="E181" t="str">
            <v xml:space="preserve">AMORT. MOB., MAT. BUREAU &amp; INFO.       </v>
          </cell>
          <cell r="F181" t="str">
            <v>Immobilisations Corporelles</v>
          </cell>
          <cell r="G181" t="str">
            <v>ACTIFS NON COURANTS</v>
          </cell>
        </row>
        <row r="182">
          <cell r="B182" t="str">
            <v>260000</v>
          </cell>
          <cell r="C182" t="str">
            <v>Aménag. MR détenue en nu-propr</v>
          </cell>
          <cell r="D182" t="str">
            <v>213500</v>
          </cell>
          <cell r="E182" t="str">
            <v>INST GENE - AGENCTS - AMENAGTS CONST</v>
          </cell>
          <cell r="F182" t="str">
            <v>Immobilisations Corporelles</v>
          </cell>
          <cell r="G182" t="str">
            <v>ACTIFS NON COURANTS</v>
          </cell>
        </row>
        <row r="183">
          <cell r="B183" t="str">
            <v>260008</v>
          </cell>
          <cell r="C183" t="str">
            <v>Red Val/actée s/Aménagement</v>
          </cell>
          <cell r="D183" t="str">
            <v>213500</v>
          </cell>
          <cell r="E183" t="str">
            <v>INST GENE - AGENCTS - AMENAGTS CONST</v>
          </cell>
          <cell r="F183" t="str">
            <v>Immobilisations Corporelles</v>
          </cell>
          <cell r="G183" t="str">
            <v>ACTIFS NON COURANTS</v>
          </cell>
        </row>
        <row r="184">
          <cell r="B184" t="str">
            <v>260009</v>
          </cell>
          <cell r="C184" t="str">
            <v>Amort. s/aménag. MR en nu-prop</v>
          </cell>
          <cell r="D184" t="str">
            <v>281350</v>
          </cell>
          <cell r="E184" t="str">
            <v>AMORT INST GENE - AGENCTS - AMENAGTS CO</v>
          </cell>
          <cell r="F184" t="str">
            <v>Immobilisations Corporelles</v>
          </cell>
          <cell r="G184" t="str">
            <v>ACTIFS NON COURANTS</v>
          </cell>
        </row>
        <row r="185">
          <cell r="B185" t="str">
            <v>260010</v>
          </cell>
          <cell r="C185" t="str">
            <v>Autre aménagement corporel (20</v>
          </cell>
          <cell r="D185" t="str">
            <v>213500</v>
          </cell>
          <cell r="E185" t="str">
            <v>INST GENE - AGENCTS - AMENAGTS CONST</v>
          </cell>
          <cell r="F185" t="str">
            <v>Immobilisations Corporelles</v>
          </cell>
          <cell r="G185" t="str">
            <v>ACTIFS NON COURANTS</v>
          </cell>
        </row>
        <row r="186">
          <cell r="B186" t="str">
            <v>260019</v>
          </cell>
          <cell r="C186" t="str">
            <v>Amort. s/autre aménag. Corpore</v>
          </cell>
          <cell r="D186" t="str">
            <v>281350</v>
          </cell>
          <cell r="E186" t="str">
            <v>AMORT INST GENE - AGENCTS - AMENAGTS CO</v>
          </cell>
          <cell r="F186" t="str">
            <v>Immobilisations Corporelles</v>
          </cell>
          <cell r="G186" t="str">
            <v>ACTIFS NON COURANTS</v>
          </cell>
        </row>
        <row r="187">
          <cell r="B187" t="str">
            <v>260020</v>
          </cell>
          <cell r="C187" t="str">
            <v>Aménag. des locaux</v>
          </cell>
          <cell r="D187" t="str">
            <v>213500</v>
          </cell>
          <cell r="E187" t="str">
            <v>INST GENE - AGENCTS - AMENAGTS CONST</v>
          </cell>
          <cell r="F187" t="str">
            <v>Immobilisations Corporelles</v>
          </cell>
          <cell r="G187" t="str">
            <v>ACTIFS NON COURANTS</v>
          </cell>
        </row>
        <row r="188">
          <cell r="B188" t="str">
            <v>260029</v>
          </cell>
          <cell r="C188" t="str">
            <v>Amort.s/Aménag. des locaux</v>
          </cell>
          <cell r="D188" t="str">
            <v>281350</v>
          </cell>
          <cell r="E188" t="str">
            <v>AMORT INST GENE - AGENCTS - AMENAGTS CO</v>
          </cell>
          <cell r="F188" t="str">
            <v>Immobilisations Corporelles</v>
          </cell>
          <cell r="G188" t="str">
            <v>ACTIFS NON COURANTS</v>
          </cell>
        </row>
        <row r="189">
          <cell r="B189" t="str">
            <v>260030</v>
          </cell>
          <cell r="C189" t="str">
            <v>Aménag. des Abords et jardins</v>
          </cell>
          <cell r="D189" t="str">
            <v>213500</v>
          </cell>
          <cell r="E189" t="str">
            <v>INST GENE - AGENCTS - AMENAGTS CONST</v>
          </cell>
          <cell r="F189" t="str">
            <v>Immobilisations Corporelles</v>
          </cell>
          <cell r="G189" t="str">
            <v>ACTIFS NON COURANTS</v>
          </cell>
        </row>
        <row r="190">
          <cell r="B190" t="str">
            <v>260039</v>
          </cell>
          <cell r="C190" t="str">
            <v>Amort.s/Amén. Abords et jardin</v>
          </cell>
          <cell r="D190" t="str">
            <v>281350</v>
          </cell>
          <cell r="E190" t="str">
            <v>AMORT INST GENE - AGENCTS - AMENAGTS CO</v>
          </cell>
          <cell r="F190" t="str">
            <v>Immobilisations Corporelles</v>
          </cell>
          <cell r="G190" t="str">
            <v>ACTIFS NON COURANTS</v>
          </cell>
        </row>
        <row r="191">
          <cell r="B191" t="str">
            <v>260040</v>
          </cell>
          <cell r="C191" t="str">
            <v>HONORAIRES ARCHITECTES</v>
          </cell>
          <cell r="D191" t="str">
            <v>213500</v>
          </cell>
          <cell r="E191" t="str">
            <v>INST GENE - AGENCTS - AMENAGTS CONST</v>
          </cell>
          <cell r="F191" t="str">
            <v>Immobilisations Corporelles</v>
          </cell>
          <cell r="G191" t="str">
            <v>ACTIFS NON COURANTS</v>
          </cell>
        </row>
        <row r="192">
          <cell r="B192" t="str">
            <v>260049</v>
          </cell>
          <cell r="C192" t="str">
            <v>AMORT. S/HONORAIRES ARCHITECTE</v>
          </cell>
          <cell r="D192" t="str">
            <v>281350</v>
          </cell>
          <cell r="E192" t="str">
            <v>AMORT INST GENE - AGENCTS - AMENAGTS CO</v>
          </cell>
          <cell r="F192" t="str">
            <v>Immobilisations Corporelles</v>
          </cell>
          <cell r="G192" t="str">
            <v>ACTIFS NON COURANTS</v>
          </cell>
        </row>
        <row r="193">
          <cell r="B193" t="str">
            <v>260050</v>
          </cell>
          <cell r="C193" t="str">
            <v>Expertises Immobilières</v>
          </cell>
          <cell r="D193" t="str">
            <v>201200</v>
          </cell>
          <cell r="E193" t="str">
            <v xml:space="preserve">FRAIS 1ER ETABLISSEMENT       </v>
          </cell>
          <cell r="F193" t="str">
            <v>Immobilisations Incorporelles</v>
          </cell>
          <cell r="G193" t="str">
            <v>ACTIFS NON COURANTS</v>
          </cell>
        </row>
        <row r="194">
          <cell r="B194" t="str">
            <v>260059</v>
          </cell>
          <cell r="C194" t="str">
            <v>Amort. s/expertises immobilièr</v>
          </cell>
          <cell r="D194" t="str">
            <v>280120</v>
          </cell>
          <cell r="E194" t="str">
            <v xml:space="preserve">AMORT FRAIS 1ER ETABLISSEMENT       </v>
          </cell>
          <cell r="F194" t="str">
            <v>Immobilisations Incorporelles</v>
          </cell>
          <cell r="G194" t="str">
            <v>ACTIFS NON COURANTS</v>
          </cell>
        </row>
        <row r="195">
          <cell r="B195" t="str">
            <v>260060</v>
          </cell>
          <cell r="C195" t="str">
            <v>Frais de développement</v>
          </cell>
          <cell r="D195" t="str">
            <v>201200</v>
          </cell>
          <cell r="E195" t="str">
            <v xml:space="preserve">FRAIS 1ER ETABLISSEMENT       </v>
          </cell>
          <cell r="F195" t="str">
            <v>Immobilisations Incorporelles</v>
          </cell>
          <cell r="G195" t="str">
            <v>ACTIFS NON COURANTS</v>
          </cell>
        </row>
        <row r="196">
          <cell r="B196" t="str">
            <v>260069</v>
          </cell>
          <cell r="C196" t="str">
            <v>Amort. s/frais de développemen</v>
          </cell>
          <cell r="D196" t="str">
            <v>280120</v>
          </cell>
          <cell r="E196" t="str">
            <v xml:space="preserve">AMORT FRAIS 1ER ETABLISSEMENT       </v>
          </cell>
          <cell r="F196" t="str">
            <v>Immobilisations Incorporelles</v>
          </cell>
          <cell r="G196" t="str">
            <v>ACTIFS NON COURANTS</v>
          </cell>
        </row>
        <row r="197">
          <cell r="B197" t="str">
            <v>270000</v>
          </cell>
          <cell r="C197" t="str">
            <v>PROVISION D'AMORTISSEMENT</v>
          </cell>
          <cell r="D197" t="str">
            <v>281350</v>
          </cell>
          <cell r="E197" t="str">
            <v>AMORT INST GENE - AGENCTS - AMENAGTS CO</v>
          </cell>
          <cell r="F197" t="str">
            <v>Immobilisations Corporelles</v>
          </cell>
          <cell r="G197" t="str">
            <v>ACTIFS NON COURANTS</v>
          </cell>
        </row>
        <row r="198">
          <cell r="B198" t="str">
            <v>270001</v>
          </cell>
          <cell r="C198" t="str">
            <v>Immob. en Cours - Travaux</v>
          </cell>
          <cell r="D198" t="str">
            <v>231000</v>
          </cell>
          <cell r="E198" t="str">
            <v>IMMO. EN COURS REFINANCEMENT</v>
          </cell>
          <cell r="F198" t="str">
            <v>Immobilisations Corporelles</v>
          </cell>
          <cell r="G198" t="str">
            <v>ACTIFS NON COURANTS</v>
          </cell>
        </row>
        <row r="199">
          <cell r="B199" t="str">
            <v>270002</v>
          </cell>
          <cell r="C199" t="str">
            <v>Immob. en Cours - Honoraires</v>
          </cell>
          <cell r="D199" t="str">
            <v>231000</v>
          </cell>
          <cell r="E199" t="str">
            <v>IMMO. EN COURS REFINANCEMENT</v>
          </cell>
          <cell r="F199" t="str">
            <v>Immobilisations Corporelles</v>
          </cell>
          <cell r="G199" t="str">
            <v>ACTIFS NON COURANTS</v>
          </cell>
        </row>
        <row r="200">
          <cell r="B200" t="str">
            <v>270003</v>
          </cell>
          <cell r="C200" t="str">
            <v>Immob. en cours</v>
          </cell>
          <cell r="D200" t="str">
            <v>231000</v>
          </cell>
          <cell r="E200" t="str">
            <v>IMMO. EN COURS REFINANCEMENT</v>
          </cell>
          <cell r="F200" t="str">
            <v>Immobilisations Corporelles</v>
          </cell>
          <cell r="G200" t="str">
            <v>ACTIFS NON COURANTS</v>
          </cell>
        </row>
        <row r="201">
          <cell r="B201" t="str">
            <v>270004</v>
          </cell>
          <cell r="C201" t="str">
            <v>Immob. en cours</v>
          </cell>
          <cell r="D201" t="str">
            <v>231000</v>
          </cell>
          <cell r="E201" t="str">
            <v>IMMO. EN COURS REFINANCEMENT</v>
          </cell>
          <cell r="F201" t="str">
            <v>Immobilisations Corporelles</v>
          </cell>
          <cell r="G201" t="str">
            <v>ACTIFS NON COURANTS</v>
          </cell>
        </row>
        <row r="202">
          <cell r="B202" t="str">
            <v>281000</v>
          </cell>
          <cell r="C202" t="str">
            <v>Créance en compte</v>
          </cell>
          <cell r="D202"/>
          <cell r="E202"/>
          <cell r="F202"/>
          <cell r="G202"/>
        </row>
        <row r="203">
          <cell r="B203" t="str">
            <v>282000</v>
          </cell>
          <cell r="C203" t="str">
            <v>Participat° ds entrepr. liées</v>
          </cell>
          <cell r="D203" t="str">
            <v>261000</v>
          </cell>
          <cell r="E203" t="str">
            <v xml:space="preserve">TITRES DE PARTICIPATION                </v>
          </cell>
          <cell r="F203" t="str">
            <v>Actifs Financiers Non Courants</v>
          </cell>
          <cell r="G203" t="str">
            <v>ACTIFS NON COURANTS</v>
          </cell>
        </row>
        <row r="204">
          <cell r="B204" t="str">
            <v>282001</v>
          </cell>
          <cell r="C204" t="str">
            <v>Participat° ds entrepr. liées</v>
          </cell>
          <cell r="D204" t="str">
            <v>261000</v>
          </cell>
          <cell r="E204" t="str">
            <v xml:space="preserve">TITRES DE PARTICIPATION                </v>
          </cell>
          <cell r="F204" t="str">
            <v>Actifs Financiers Non Courants</v>
          </cell>
          <cell r="G204" t="str">
            <v>ACTIFS NON COURANTS</v>
          </cell>
        </row>
        <row r="205">
          <cell r="B205" t="str">
            <v>282002</v>
          </cell>
          <cell r="C205" t="str">
            <v>Participat° ds entrepr. liées</v>
          </cell>
          <cell r="D205" t="str">
            <v>261000</v>
          </cell>
          <cell r="E205" t="str">
            <v xml:space="preserve">TITRES DE PARTICIPATION                </v>
          </cell>
          <cell r="F205" t="str">
            <v>Actifs Financiers Non Courants</v>
          </cell>
          <cell r="G205" t="str">
            <v>ACTIFS NON COURANTS</v>
          </cell>
        </row>
        <row r="206">
          <cell r="B206" t="str">
            <v>282003</v>
          </cell>
          <cell r="C206" t="str">
            <v>Participat° ds entrepr. liées</v>
          </cell>
          <cell r="D206" t="str">
            <v>261000</v>
          </cell>
          <cell r="E206" t="str">
            <v xml:space="preserve">TITRES DE PARTICIPATION                </v>
          </cell>
          <cell r="F206" t="str">
            <v>Actifs Financiers Non Courants</v>
          </cell>
          <cell r="G206" t="str">
            <v>ACTIFS NON COURANTS</v>
          </cell>
        </row>
        <row r="207">
          <cell r="B207" t="str">
            <v>282004</v>
          </cell>
          <cell r="C207" t="str">
            <v>Participat° ds entrepr. liées</v>
          </cell>
          <cell r="D207" t="str">
            <v>261000</v>
          </cell>
          <cell r="E207" t="str">
            <v xml:space="preserve">TITRES DE PARTICIPATION                </v>
          </cell>
          <cell r="F207" t="str">
            <v>Actifs Financiers Non Courants</v>
          </cell>
          <cell r="G207" t="str">
            <v>ACTIFS NON COURANTS</v>
          </cell>
        </row>
        <row r="208">
          <cell r="B208" t="str">
            <v>282005</v>
          </cell>
          <cell r="C208" t="str">
            <v>Participat° ds entrepr. liées</v>
          </cell>
          <cell r="D208" t="str">
            <v>261000</v>
          </cell>
          <cell r="E208" t="str">
            <v xml:space="preserve">TITRES DE PARTICIPATION                </v>
          </cell>
          <cell r="F208" t="str">
            <v>Actifs Financiers Non Courants</v>
          </cell>
          <cell r="G208" t="str">
            <v>ACTIFS NON COURANTS</v>
          </cell>
        </row>
        <row r="209">
          <cell r="B209" t="str">
            <v>282006</v>
          </cell>
          <cell r="C209" t="str">
            <v>Participat° ds entrepr. liées</v>
          </cell>
          <cell r="D209" t="str">
            <v>261000</v>
          </cell>
          <cell r="E209" t="str">
            <v xml:space="preserve">TITRES DE PARTICIPATION                </v>
          </cell>
          <cell r="F209" t="str">
            <v>Actifs Financiers Non Courants</v>
          </cell>
          <cell r="G209" t="str">
            <v>ACTIFS NON COURANTS</v>
          </cell>
        </row>
        <row r="210">
          <cell r="B210" t="str">
            <v>282007</v>
          </cell>
          <cell r="C210" t="str">
            <v>Participat° ds entrepr. liées</v>
          </cell>
          <cell r="D210" t="str">
            <v>261000</v>
          </cell>
          <cell r="E210" t="str">
            <v xml:space="preserve">TITRES DE PARTICIPATION                </v>
          </cell>
          <cell r="F210" t="str">
            <v>Actifs Financiers Non Courants</v>
          </cell>
          <cell r="G210" t="str">
            <v>ACTIFS NON COURANTS</v>
          </cell>
        </row>
        <row r="211">
          <cell r="B211" t="str">
            <v>282008</v>
          </cell>
          <cell r="C211" t="str">
            <v>Participat° ds entrepr. liées</v>
          </cell>
          <cell r="D211" t="str">
            <v>261000</v>
          </cell>
          <cell r="E211" t="str">
            <v xml:space="preserve">TITRES DE PARTICIPATION                </v>
          </cell>
          <cell r="F211" t="str">
            <v>Actifs Financiers Non Courants</v>
          </cell>
          <cell r="G211" t="str">
            <v>ACTIFS NON COURANTS</v>
          </cell>
        </row>
        <row r="212">
          <cell r="B212" t="str">
            <v>282009</v>
          </cell>
          <cell r="C212" t="str">
            <v>Participat° ds entrepr. liées</v>
          </cell>
          <cell r="D212" t="str">
            <v>261000</v>
          </cell>
          <cell r="E212" t="str">
            <v xml:space="preserve">TITRES DE PARTICIPATION                </v>
          </cell>
          <cell r="F212" t="str">
            <v>Actifs Financiers Non Courants</v>
          </cell>
          <cell r="G212" t="str">
            <v>ACTIFS NON COURANTS</v>
          </cell>
        </row>
        <row r="213">
          <cell r="B213" t="str">
            <v>282010</v>
          </cell>
          <cell r="C213" t="str">
            <v>Participat° ds entrepr. liées</v>
          </cell>
          <cell r="D213" t="str">
            <v>261000</v>
          </cell>
          <cell r="E213" t="str">
            <v xml:space="preserve">TITRES DE PARTICIPATION                </v>
          </cell>
          <cell r="F213" t="str">
            <v>Actifs Financiers Non Courants</v>
          </cell>
          <cell r="G213" t="str">
            <v>ACTIFS NON COURANTS</v>
          </cell>
        </row>
        <row r="214">
          <cell r="B214" t="str">
            <v>282011</v>
          </cell>
          <cell r="C214" t="str">
            <v>Participat° ds entrepr. liées</v>
          </cell>
          <cell r="D214" t="str">
            <v>261000</v>
          </cell>
          <cell r="E214" t="str">
            <v xml:space="preserve">TITRES DE PARTICIPATION                </v>
          </cell>
          <cell r="F214" t="str">
            <v>Actifs Financiers Non Courants</v>
          </cell>
          <cell r="G214" t="str">
            <v>ACTIFS NON COURANTS</v>
          </cell>
        </row>
        <row r="215">
          <cell r="B215" t="str">
            <v>282012</v>
          </cell>
          <cell r="C215" t="str">
            <v>Participat° ds entrepr. liées</v>
          </cell>
          <cell r="D215" t="str">
            <v>261000</v>
          </cell>
          <cell r="E215" t="str">
            <v xml:space="preserve">TITRES DE PARTICIPATION                </v>
          </cell>
          <cell r="F215" t="str">
            <v>Actifs Financiers Non Courants</v>
          </cell>
          <cell r="G215" t="str">
            <v>ACTIFS NON COURANTS</v>
          </cell>
        </row>
        <row r="216">
          <cell r="B216" t="str">
            <v>282013</v>
          </cell>
          <cell r="C216" t="str">
            <v>Participat° ds entrepr. liées</v>
          </cell>
          <cell r="D216" t="str">
            <v>261000</v>
          </cell>
          <cell r="E216" t="str">
            <v xml:space="preserve">TITRES DE PARTICIPATION                </v>
          </cell>
          <cell r="F216" t="str">
            <v>Actifs Financiers Non Courants</v>
          </cell>
          <cell r="G216" t="str">
            <v>ACTIFS NON COURANTS</v>
          </cell>
        </row>
        <row r="217">
          <cell r="B217" t="str">
            <v>282014</v>
          </cell>
          <cell r="C217" t="str">
            <v>Participat° ds entrepr. liées</v>
          </cell>
          <cell r="D217" t="str">
            <v>261000</v>
          </cell>
          <cell r="E217" t="str">
            <v xml:space="preserve">TITRES DE PARTICIPATION                </v>
          </cell>
          <cell r="F217" t="str">
            <v>Actifs Financiers Non Courants</v>
          </cell>
          <cell r="G217" t="str">
            <v>ACTIFS NON COURANTS</v>
          </cell>
        </row>
        <row r="218">
          <cell r="B218" t="str">
            <v>282015</v>
          </cell>
          <cell r="C218" t="str">
            <v>Participat° ds entrepr. liées</v>
          </cell>
          <cell r="D218" t="str">
            <v>261000</v>
          </cell>
          <cell r="E218" t="str">
            <v xml:space="preserve">TITRES DE PARTICIPATION                </v>
          </cell>
          <cell r="F218" t="str">
            <v>Actifs Financiers Non Courants</v>
          </cell>
          <cell r="G218" t="str">
            <v>ACTIFS NON COURANTS</v>
          </cell>
        </row>
        <row r="219">
          <cell r="B219" t="str">
            <v>282016</v>
          </cell>
          <cell r="C219" t="str">
            <v>Participat° ds entrepr. liées</v>
          </cell>
          <cell r="D219" t="str">
            <v>261000</v>
          </cell>
          <cell r="E219" t="str">
            <v xml:space="preserve">TITRES DE PARTICIPATION                </v>
          </cell>
          <cell r="F219" t="str">
            <v>Actifs Financiers Non Courants</v>
          </cell>
          <cell r="G219" t="str">
            <v>ACTIFS NON COURANTS</v>
          </cell>
        </row>
        <row r="220">
          <cell r="B220" t="str">
            <v>282017</v>
          </cell>
          <cell r="C220" t="str">
            <v>Participat° ds entrepr. liées</v>
          </cell>
          <cell r="D220" t="str">
            <v>261000</v>
          </cell>
          <cell r="E220" t="str">
            <v xml:space="preserve">TITRES DE PARTICIPATION                </v>
          </cell>
          <cell r="F220" t="str">
            <v>Actifs Financiers Non Courants</v>
          </cell>
          <cell r="G220" t="str">
            <v>ACTIFS NON COURANTS</v>
          </cell>
        </row>
        <row r="221">
          <cell r="B221" t="str">
            <v>282018</v>
          </cell>
          <cell r="C221" t="str">
            <v>Participat° ds entrepr. liées</v>
          </cell>
          <cell r="D221" t="str">
            <v>261000</v>
          </cell>
          <cell r="E221" t="str">
            <v xml:space="preserve">TITRES DE PARTICIPATION                </v>
          </cell>
          <cell r="F221" t="str">
            <v>Actifs Financiers Non Courants</v>
          </cell>
          <cell r="G221" t="str">
            <v>ACTIFS NON COURANTS</v>
          </cell>
        </row>
        <row r="222">
          <cell r="B222" t="str">
            <v>282019</v>
          </cell>
          <cell r="C222" t="str">
            <v>Participat° ds entrepr. liées</v>
          </cell>
          <cell r="D222" t="str">
            <v>261000</v>
          </cell>
          <cell r="E222" t="str">
            <v xml:space="preserve">TITRES DE PARTICIPATION                </v>
          </cell>
          <cell r="F222" t="str">
            <v>Actifs Financiers Non Courants</v>
          </cell>
          <cell r="G222" t="str">
            <v>ACTIFS NON COURANTS</v>
          </cell>
        </row>
        <row r="223">
          <cell r="B223" t="str">
            <v>282020</v>
          </cell>
          <cell r="C223" t="str">
            <v>Participat° ds entrepr. liées</v>
          </cell>
          <cell r="D223" t="str">
            <v>261000</v>
          </cell>
          <cell r="E223" t="str">
            <v xml:space="preserve">TITRES DE PARTICIPATION                </v>
          </cell>
          <cell r="F223" t="str">
            <v>Actifs Financiers Non Courants</v>
          </cell>
          <cell r="G223" t="str">
            <v>ACTIFS NON COURANTS</v>
          </cell>
        </row>
        <row r="224">
          <cell r="B224" t="str">
            <v>282021</v>
          </cell>
          <cell r="C224" t="str">
            <v>Participat° ds entrepr. liées</v>
          </cell>
          <cell r="D224" t="str">
            <v>261000</v>
          </cell>
          <cell r="E224" t="str">
            <v xml:space="preserve">TITRES DE PARTICIPATION                </v>
          </cell>
          <cell r="F224" t="str">
            <v>Actifs Financiers Non Courants</v>
          </cell>
          <cell r="G224" t="str">
            <v>ACTIFS NON COURANTS</v>
          </cell>
        </row>
        <row r="225">
          <cell r="B225" t="str">
            <v>282022</v>
          </cell>
          <cell r="C225" t="str">
            <v>Participat° ds entrepr. liées</v>
          </cell>
          <cell r="D225" t="str">
            <v>261000</v>
          </cell>
          <cell r="E225" t="str">
            <v xml:space="preserve">TITRES DE PARTICIPATION                </v>
          </cell>
          <cell r="F225" t="str">
            <v>Actifs Financiers Non Courants</v>
          </cell>
          <cell r="G225" t="str">
            <v>ACTIFS NON COURANTS</v>
          </cell>
        </row>
        <row r="226">
          <cell r="B226" t="str">
            <v>282023</v>
          </cell>
          <cell r="C226" t="str">
            <v>Participat° ds entrepr. liées</v>
          </cell>
          <cell r="D226" t="str">
            <v>261000</v>
          </cell>
          <cell r="E226" t="str">
            <v xml:space="preserve">TITRES DE PARTICIPATION                </v>
          </cell>
          <cell r="F226" t="str">
            <v>Actifs Financiers Non Courants</v>
          </cell>
          <cell r="G226" t="str">
            <v>ACTIFS NON COURANTS</v>
          </cell>
        </row>
        <row r="227">
          <cell r="B227" t="str">
            <v>282024</v>
          </cell>
          <cell r="C227" t="str">
            <v>Participat° ds entrepr. liées</v>
          </cell>
          <cell r="D227" t="str">
            <v>261000</v>
          </cell>
          <cell r="E227" t="str">
            <v xml:space="preserve">TITRES DE PARTICIPATION                </v>
          </cell>
          <cell r="F227" t="str">
            <v>Actifs Financiers Non Courants</v>
          </cell>
          <cell r="G227" t="str">
            <v>ACTIFS NON COURANTS</v>
          </cell>
        </row>
        <row r="228">
          <cell r="B228" t="str">
            <v>282025</v>
          </cell>
          <cell r="C228" t="str">
            <v>Participat° ds entrepr. liées</v>
          </cell>
          <cell r="D228" t="str">
            <v>261000</v>
          </cell>
          <cell r="E228" t="str">
            <v xml:space="preserve">TITRES DE PARTICIPATION                </v>
          </cell>
          <cell r="F228" t="str">
            <v>Actifs Financiers Non Courants</v>
          </cell>
          <cell r="G228" t="str">
            <v>ACTIFS NON COURANTS</v>
          </cell>
        </row>
        <row r="229">
          <cell r="B229" t="str">
            <v>282026</v>
          </cell>
          <cell r="C229" t="str">
            <v>Participat° ds entrepr. liées</v>
          </cell>
          <cell r="D229" t="str">
            <v>261000</v>
          </cell>
          <cell r="E229" t="str">
            <v xml:space="preserve">TITRES DE PARTICIPATION                </v>
          </cell>
          <cell r="F229" t="str">
            <v>Actifs Financiers Non Courants</v>
          </cell>
          <cell r="G229" t="str">
            <v>ACTIFS NON COURANTS</v>
          </cell>
        </row>
        <row r="230">
          <cell r="B230" t="str">
            <v>282027</v>
          </cell>
          <cell r="C230" t="str">
            <v>Participat° ds entrepr. liées</v>
          </cell>
          <cell r="D230" t="str">
            <v>261000</v>
          </cell>
          <cell r="E230" t="str">
            <v xml:space="preserve">TITRES DE PARTICIPATION                </v>
          </cell>
          <cell r="F230" t="str">
            <v>Actifs Financiers Non Courants</v>
          </cell>
          <cell r="G230" t="str">
            <v>ACTIFS NON COURANTS</v>
          </cell>
        </row>
        <row r="231">
          <cell r="B231" t="str">
            <v>282028</v>
          </cell>
          <cell r="C231" t="str">
            <v>Participat° ds entrepr. liées</v>
          </cell>
          <cell r="D231" t="str">
            <v>261000</v>
          </cell>
          <cell r="E231" t="str">
            <v xml:space="preserve">TITRES DE PARTICIPATION                </v>
          </cell>
          <cell r="F231" t="str">
            <v>Actifs Financiers Non Courants</v>
          </cell>
          <cell r="G231" t="str">
            <v>ACTIFS NON COURANTS</v>
          </cell>
        </row>
        <row r="232">
          <cell r="B232" t="str">
            <v>282029</v>
          </cell>
          <cell r="C232" t="str">
            <v>Participat° ds entrepr. liées</v>
          </cell>
          <cell r="D232" t="str">
            <v>261000</v>
          </cell>
          <cell r="E232" t="str">
            <v xml:space="preserve">TITRES DE PARTICIPATION                </v>
          </cell>
          <cell r="F232" t="str">
            <v>Actifs Financiers Non Courants</v>
          </cell>
          <cell r="G232" t="str">
            <v>ACTIFS NON COURANTS</v>
          </cell>
        </row>
        <row r="233">
          <cell r="B233" t="str">
            <v>282030</v>
          </cell>
          <cell r="C233" t="str">
            <v>Participat° ds entrepr. liées</v>
          </cell>
          <cell r="D233" t="str">
            <v>261000</v>
          </cell>
          <cell r="E233" t="str">
            <v xml:space="preserve">TITRES DE PARTICIPATION                </v>
          </cell>
          <cell r="F233" t="str">
            <v>Actifs Financiers Non Courants</v>
          </cell>
          <cell r="G233" t="str">
            <v>ACTIFS NON COURANTS</v>
          </cell>
        </row>
        <row r="234">
          <cell r="B234" t="str">
            <v>282031</v>
          </cell>
          <cell r="C234" t="str">
            <v>Participat° ds entrepr. liées</v>
          </cell>
          <cell r="D234" t="str">
            <v>261000</v>
          </cell>
          <cell r="E234" t="str">
            <v xml:space="preserve">TITRES DE PARTICIPATION                </v>
          </cell>
          <cell r="F234" t="str">
            <v>Actifs Financiers Non Courants</v>
          </cell>
          <cell r="G234" t="str">
            <v>ACTIFS NON COURANTS</v>
          </cell>
        </row>
        <row r="235">
          <cell r="B235" t="str">
            <v>282032</v>
          </cell>
          <cell r="C235" t="str">
            <v>Participat° ds entrepr. liées</v>
          </cell>
          <cell r="D235" t="str">
            <v>261000</v>
          </cell>
          <cell r="E235" t="str">
            <v xml:space="preserve">TITRES DE PARTICIPATION                </v>
          </cell>
          <cell r="F235" t="str">
            <v>Actifs Financiers Non Courants</v>
          </cell>
          <cell r="G235" t="str">
            <v>ACTIFS NON COURANTS</v>
          </cell>
        </row>
        <row r="236">
          <cell r="B236" t="str">
            <v>282033</v>
          </cell>
          <cell r="C236" t="str">
            <v>Participat° ds entrepr. liées</v>
          </cell>
          <cell r="D236" t="str">
            <v>261000</v>
          </cell>
          <cell r="E236" t="str">
            <v xml:space="preserve">TITRES DE PARTICIPATION                </v>
          </cell>
          <cell r="F236" t="str">
            <v>Actifs Financiers Non Courants</v>
          </cell>
          <cell r="G236" t="str">
            <v>ACTIFS NON COURANTS</v>
          </cell>
        </row>
        <row r="237">
          <cell r="B237" t="str">
            <v>282034</v>
          </cell>
          <cell r="C237" t="str">
            <v>Participat° ds entrepr. liées</v>
          </cell>
          <cell r="D237" t="str">
            <v>261000</v>
          </cell>
          <cell r="E237" t="str">
            <v xml:space="preserve">TITRES DE PARTICIPATION                </v>
          </cell>
          <cell r="F237" t="str">
            <v>Actifs Financiers Non Courants</v>
          </cell>
          <cell r="G237" t="str">
            <v>ACTIFS NON COURANTS</v>
          </cell>
        </row>
        <row r="238">
          <cell r="B238" t="str">
            <v>282035</v>
          </cell>
          <cell r="C238" t="str">
            <v>Participat° ds entrepr. liées</v>
          </cell>
          <cell r="D238" t="str">
            <v>261000</v>
          </cell>
          <cell r="E238" t="str">
            <v xml:space="preserve">TITRES DE PARTICIPATION                </v>
          </cell>
          <cell r="F238" t="str">
            <v>Actifs Financiers Non Courants</v>
          </cell>
          <cell r="G238" t="str">
            <v>ACTIFS NON COURANTS</v>
          </cell>
        </row>
        <row r="239">
          <cell r="B239" t="str">
            <v>282036</v>
          </cell>
          <cell r="C239" t="str">
            <v>Participat° ds entrepr. liées</v>
          </cell>
          <cell r="D239" t="str">
            <v>261000</v>
          </cell>
          <cell r="E239" t="str">
            <v xml:space="preserve">TITRES DE PARTICIPATION                </v>
          </cell>
          <cell r="F239" t="str">
            <v>Actifs Financiers Non Courants</v>
          </cell>
          <cell r="G239" t="str">
            <v>ACTIFS NON COURANTS</v>
          </cell>
        </row>
        <row r="240">
          <cell r="B240" t="str">
            <v>282037</v>
          </cell>
          <cell r="C240" t="str">
            <v>Participat° ds entrepr. liées</v>
          </cell>
          <cell r="D240" t="str">
            <v>261000</v>
          </cell>
          <cell r="E240" t="str">
            <v xml:space="preserve">TITRES DE PARTICIPATION                </v>
          </cell>
          <cell r="F240" t="str">
            <v>Actifs Financiers Non Courants</v>
          </cell>
          <cell r="G240" t="str">
            <v>ACTIFS NON COURANTS</v>
          </cell>
        </row>
        <row r="241">
          <cell r="B241" t="str">
            <v>282038</v>
          </cell>
          <cell r="C241" t="str">
            <v>Participat° ds entrepr. liées</v>
          </cell>
          <cell r="D241" t="str">
            <v>261000</v>
          </cell>
          <cell r="E241" t="str">
            <v xml:space="preserve">TITRES DE PARTICIPATION                </v>
          </cell>
          <cell r="F241" t="str">
            <v>Actifs Financiers Non Courants</v>
          </cell>
          <cell r="G241" t="str">
            <v>ACTIFS NON COURANTS</v>
          </cell>
        </row>
        <row r="242">
          <cell r="B242" t="str">
            <v>282039</v>
          </cell>
          <cell r="C242" t="str">
            <v>Participat° ds entrepr. liées</v>
          </cell>
          <cell r="D242" t="str">
            <v>261000</v>
          </cell>
          <cell r="E242" t="str">
            <v xml:space="preserve">TITRES DE PARTICIPATION                </v>
          </cell>
          <cell r="F242" t="str">
            <v>Actifs Financiers Non Courants</v>
          </cell>
          <cell r="G242" t="str">
            <v>ACTIFS NON COURANTS</v>
          </cell>
        </row>
        <row r="243">
          <cell r="B243" t="str">
            <v>282040</v>
          </cell>
          <cell r="C243" t="str">
            <v>Participat° ds entrepr. liées</v>
          </cell>
          <cell r="D243" t="str">
            <v>261000</v>
          </cell>
          <cell r="E243" t="str">
            <v xml:space="preserve">TITRES DE PARTICIPATION                </v>
          </cell>
          <cell r="F243" t="str">
            <v>Actifs Financiers Non Courants</v>
          </cell>
          <cell r="G243" t="str">
            <v>ACTIFS NON COURANTS</v>
          </cell>
        </row>
        <row r="244">
          <cell r="B244" t="str">
            <v>282041</v>
          </cell>
          <cell r="C244" t="str">
            <v>Participat° ds entrepr. liées</v>
          </cell>
          <cell r="D244" t="str">
            <v>261000</v>
          </cell>
          <cell r="E244" t="str">
            <v xml:space="preserve">TITRES DE PARTICIPATION                </v>
          </cell>
          <cell r="F244" t="str">
            <v>Actifs Financiers Non Courants</v>
          </cell>
          <cell r="G244" t="str">
            <v>ACTIFS NON COURANTS</v>
          </cell>
        </row>
        <row r="245">
          <cell r="B245" t="str">
            <v>282042</v>
          </cell>
          <cell r="C245" t="str">
            <v>Participat° ds entrepr. liées</v>
          </cell>
          <cell r="D245" t="str">
            <v>261000</v>
          </cell>
          <cell r="E245" t="str">
            <v xml:space="preserve">TITRES DE PARTICIPATION                </v>
          </cell>
          <cell r="F245" t="str">
            <v>Actifs Financiers Non Courants</v>
          </cell>
          <cell r="G245" t="str">
            <v>ACTIFS NON COURANTS</v>
          </cell>
        </row>
        <row r="246">
          <cell r="B246" t="str">
            <v>282043</v>
          </cell>
          <cell r="C246" t="str">
            <v>Participat° ds entrepr. liées</v>
          </cell>
          <cell r="D246" t="str">
            <v>261000</v>
          </cell>
          <cell r="E246" t="str">
            <v xml:space="preserve">TITRES DE PARTICIPATION                </v>
          </cell>
          <cell r="F246" t="str">
            <v>Actifs Financiers Non Courants</v>
          </cell>
          <cell r="G246" t="str">
            <v>ACTIFS NON COURANTS</v>
          </cell>
        </row>
        <row r="247">
          <cell r="B247" t="str">
            <v>282044</v>
          </cell>
          <cell r="C247" t="str">
            <v>Participat° ds entrepr. liées</v>
          </cell>
          <cell r="D247" t="str">
            <v>261000</v>
          </cell>
          <cell r="E247" t="str">
            <v xml:space="preserve">TITRES DE PARTICIPATION                </v>
          </cell>
          <cell r="F247" t="str">
            <v>Actifs Financiers Non Courants</v>
          </cell>
          <cell r="G247" t="str">
            <v>ACTIFS NON COURANTS</v>
          </cell>
        </row>
        <row r="248">
          <cell r="B248" t="str">
            <v>282045</v>
          </cell>
          <cell r="C248" t="str">
            <v>Participat° ds entrepr. liées</v>
          </cell>
          <cell r="D248" t="str">
            <v>261000</v>
          </cell>
          <cell r="E248" t="str">
            <v xml:space="preserve">TITRES DE PARTICIPATION                </v>
          </cell>
          <cell r="F248" t="str">
            <v>Actifs Financiers Non Courants</v>
          </cell>
          <cell r="G248" t="str">
            <v>ACTIFS NON COURANTS</v>
          </cell>
        </row>
        <row r="249">
          <cell r="B249" t="str">
            <v>282046</v>
          </cell>
          <cell r="C249" t="str">
            <v>Participat° ds entrepr. liées</v>
          </cell>
          <cell r="D249" t="str">
            <v>261000</v>
          </cell>
          <cell r="E249" t="str">
            <v xml:space="preserve">TITRES DE PARTICIPATION                </v>
          </cell>
          <cell r="F249" t="str">
            <v>Actifs Financiers Non Courants</v>
          </cell>
          <cell r="G249" t="str">
            <v>ACTIFS NON COURANTS</v>
          </cell>
        </row>
        <row r="250">
          <cell r="B250" t="str">
            <v>282047</v>
          </cell>
          <cell r="C250" t="str">
            <v>Participat° ds entrepr. liées</v>
          </cell>
          <cell r="D250" t="str">
            <v>261000</v>
          </cell>
          <cell r="E250" t="str">
            <v xml:space="preserve">TITRES DE PARTICIPATION                </v>
          </cell>
          <cell r="F250" t="str">
            <v>Actifs Financiers Non Courants</v>
          </cell>
          <cell r="G250" t="str">
            <v>ACTIFS NON COURANTS</v>
          </cell>
        </row>
        <row r="251">
          <cell r="B251" t="str">
            <v>282048</v>
          </cell>
          <cell r="C251" t="str">
            <v>Participat° ds entrepr. liées</v>
          </cell>
          <cell r="D251" t="str">
            <v>261000</v>
          </cell>
          <cell r="E251" t="str">
            <v xml:space="preserve">TITRES DE PARTICIPATION                </v>
          </cell>
          <cell r="F251" t="str">
            <v>Actifs Financiers Non Courants</v>
          </cell>
          <cell r="G251" t="str">
            <v>ACTIFS NON COURANTS</v>
          </cell>
        </row>
        <row r="252">
          <cell r="B252" t="str">
            <v>282801</v>
          </cell>
          <cell r="C252" t="str">
            <v>+ value s/Participat°</v>
          </cell>
          <cell r="D252" t="str">
            <v>261000</v>
          </cell>
          <cell r="E252" t="str">
            <v xml:space="preserve">TITRES DE PARTICIPATION                </v>
          </cell>
          <cell r="F252" t="str">
            <v>Actifs Financiers Non Courants</v>
          </cell>
          <cell r="G252" t="str">
            <v>ACTIFS NON COURANTS</v>
          </cell>
        </row>
        <row r="253">
          <cell r="B253" t="str">
            <v>285000</v>
          </cell>
          <cell r="C253" t="str">
            <v>Frais Acces. Architecte/Dessin</v>
          </cell>
          <cell r="D253" t="str">
            <v>261001</v>
          </cell>
          <cell r="E253" t="str">
            <v>TITRES DE PARTICIPATION ACCESS</v>
          </cell>
          <cell r="F253" t="str">
            <v>Actifs Financiers Non Courants</v>
          </cell>
          <cell r="G253" t="str">
            <v>ACTIFS NON COURANTS</v>
          </cell>
        </row>
        <row r="254">
          <cell r="B254" t="str">
            <v>285010</v>
          </cell>
          <cell r="C254" t="str">
            <v>Frais Acces. Expertises Immob.</v>
          </cell>
          <cell r="D254" t="str">
            <v>261001</v>
          </cell>
          <cell r="E254" t="str">
            <v>TITRES DE PARTICIPATION ACCESS</v>
          </cell>
          <cell r="F254" t="str">
            <v>Actifs Financiers Non Courants</v>
          </cell>
          <cell r="G254" t="str">
            <v>ACTIFS NON COURANTS</v>
          </cell>
        </row>
        <row r="255">
          <cell r="B255" t="str">
            <v>285020</v>
          </cell>
          <cell r="C255" t="str">
            <v>Frais Acces. Avocat/Fiscaliste</v>
          </cell>
          <cell r="D255" t="str">
            <v>261001</v>
          </cell>
          <cell r="E255" t="str">
            <v>TITRES DE PARTICIPATION ACCESS</v>
          </cell>
          <cell r="F255" t="str">
            <v>Actifs Financiers Non Courants</v>
          </cell>
          <cell r="G255" t="str">
            <v>ACTIFS NON COURANTS</v>
          </cell>
        </row>
        <row r="256">
          <cell r="B256" t="str">
            <v>285030</v>
          </cell>
          <cell r="C256" t="str">
            <v>Frais Acces. Apport. d'Affaire</v>
          </cell>
          <cell r="D256" t="str">
            <v>261001</v>
          </cell>
          <cell r="E256" t="str">
            <v>TITRES DE PARTICIPATION ACCESS</v>
          </cell>
          <cell r="F256" t="str">
            <v>Actifs Financiers Non Courants</v>
          </cell>
          <cell r="G256" t="str">
            <v>ACTIFS NON COURANTS</v>
          </cell>
        </row>
        <row r="257">
          <cell r="B257" t="str">
            <v>285040</v>
          </cell>
          <cell r="C257" t="str">
            <v>Frais Acces. Audit/Closing</v>
          </cell>
          <cell r="D257" t="str">
            <v>261001</v>
          </cell>
          <cell r="E257" t="str">
            <v>TITRES DE PARTICIPATION ACCESS</v>
          </cell>
          <cell r="F257" t="str">
            <v>Actifs Financiers Non Courants</v>
          </cell>
          <cell r="G257" t="str">
            <v>ACTIFS NON COURANTS</v>
          </cell>
        </row>
        <row r="258">
          <cell r="B258" t="str">
            <v>286001</v>
          </cell>
          <cell r="C258" t="str">
            <v>Participat° ds entrepr. liées</v>
          </cell>
          <cell r="D258" t="str">
            <v>261001</v>
          </cell>
          <cell r="E258" t="str">
            <v>TITRES DE PARTICIPATION ACCESS</v>
          </cell>
          <cell r="F258" t="str">
            <v>Actifs Financiers Non Courants</v>
          </cell>
          <cell r="G258" t="str">
            <v>ACTIFS NON COURANTS</v>
          </cell>
        </row>
        <row r="259">
          <cell r="B259" t="str">
            <v>286002</v>
          </cell>
          <cell r="C259" t="str">
            <v>Participat° ds entrepr. liées</v>
          </cell>
          <cell r="D259" t="str">
            <v>261001</v>
          </cell>
          <cell r="E259" t="str">
            <v>TITRES DE PARTICIPATION ACCESS</v>
          </cell>
          <cell r="F259" t="str">
            <v>Actifs Financiers Non Courants</v>
          </cell>
          <cell r="G259" t="str">
            <v>ACTIFS NON COURANTS</v>
          </cell>
        </row>
        <row r="260">
          <cell r="B260" t="str">
            <v>286003</v>
          </cell>
          <cell r="C260" t="str">
            <v>Participat° ds entrepr. liées</v>
          </cell>
          <cell r="D260" t="str">
            <v>261001</v>
          </cell>
          <cell r="E260" t="str">
            <v>TITRES DE PARTICIPATION ACCESS</v>
          </cell>
          <cell r="F260" t="str">
            <v>Actifs Financiers Non Courants</v>
          </cell>
          <cell r="G260" t="str">
            <v>ACTIFS NON COURANTS</v>
          </cell>
        </row>
        <row r="261">
          <cell r="B261" t="str">
            <v>286004</v>
          </cell>
          <cell r="C261" t="str">
            <v>Participat° ds entrepr. liées</v>
          </cell>
          <cell r="D261" t="str">
            <v>261001</v>
          </cell>
          <cell r="E261" t="str">
            <v>TITRES DE PARTICIPATION ACCESS</v>
          </cell>
          <cell r="F261" t="str">
            <v>Actifs Financiers Non Courants</v>
          </cell>
          <cell r="G261" t="str">
            <v>ACTIFS NON COURANTS</v>
          </cell>
        </row>
        <row r="262">
          <cell r="B262" t="str">
            <v>286005</v>
          </cell>
          <cell r="C262" t="str">
            <v>Participat° ds entrepr. liées</v>
          </cell>
          <cell r="D262" t="str">
            <v>261001</v>
          </cell>
          <cell r="E262" t="str">
            <v>TITRES DE PARTICIPATION ACCESS</v>
          </cell>
          <cell r="F262" t="str">
            <v>Actifs Financiers Non Courants</v>
          </cell>
          <cell r="G262" t="str">
            <v>ACTIFS NON COURANTS</v>
          </cell>
        </row>
        <row r="263">
          <cell r="B263" t="str">
            <v>286006</v>
          </cell>
          <cell r="C263" t="str">
            <v>Participat° ds entrepr. liées</v>
          </cell>
          <cell r="D263" t="str">
            <v>261001</v>
          </cell>
          <cell r="E263" t="str">
            <v>TITRES DE PARTICIPATION ACCESS</v>
          </cell>
          <cell r="F263" t="str">
            <v>Actifs Financiers Non Courants</v>
          </cell>
          <cell r="G263" t="str">
            <v>ACTIFS NON COURANTS</v>
          </cell>
        </row>
        <row r="264">
          <cell r="B264" t="str">
            <v>286007</v>
          </cell>
          <cell r="C264" t="str">
            <v>Participat° ds entrepr. liées</v>
          </cell>
          <cell r="D264" t="str">
            <v>261001</v>
          </cell>
          <cell r="E264" t="str">
            <v>TITRES DE PARTICIPATION ACCESS</v>
          </cell>
          <cell r="F264" t="str">
            <v>Actifs Financiers Non Courants</v>
          </cell>
          <cell r="G264" t="str">
            <v>ACTIFS NON COURANTS</v>
          </cell>
        </row>
        <row r="265">
          <cell r="B265" t="str">
            <v>286008</v>
          </cell>
          <cell r="C265" t="str">
            <v>Participat° ds entrepr. liées</v>
          </cell>
          <cell r="D265" t="str">
            <v>261001</v>
          </cell>
          <cell r="E265" t="str">
            <v>TITRES DE PARTICIPATION ACCESS</v>
          </cell>
          <cell r="F265" t="str">
            <v>Actifs Financiers Non Courants</v>
          </cell>
          <cell r="G265" t="str">
            <v>ACTIFS NON COURANTS</v>
          </cell>
        </row>
        <row r="266">
          <cell r="B266" t="str">
            <v>286009</v>
          </cell>
          <cell r="C266" t="str">
            <v>Participat° ds entrepr. liées</v>
          </cell>
          <cell r="D266" t="str">
            <v>261001</v>
          </cell>
          <cell r="E266" t="str">
            <v>TITRES DE PARTICIPATION ACCESS</v>
          </cell>
          <cell r="F266" t="str">
            <v>Actifs Financiers Non Courants</v>
          </cell>
          <cell r="G266" t="str">
            <v>ACTIFS NON COURANTS</v>
          </cell>
        </row>
        <row r="267">
          <cell r="B267" t="str">
            <v>286010</v>
          </cell>
          <cell r="C267" t="str">
            <v>Participat° ds entrepr. liées</v>
          </cell>
          <cell r="D267" t="str">
            <v>261001</v>
          </cell>
          <cell r="E267" t="str">
            <v>TITRES DE PARTICIPATION ACCESS</v>
          </cell>
          <cell r="F267" t="str">
            <v>Actifs Financiers Non Courants</v>
          </cell>
          <cell r="G267" t="str">
            <v>ACTIFS NON COURANTS</v>
          </cell>
        </row>
        <row r="268">
          <cell r="B268" t="str">
            <v>286011</v>
          </cell>
          <cell r="C268" t="str">
            <v>Participat° ds entrepr. liées</v>
          </cell>
          <cell r="D268" t="str">
            <v>261001</v>
          </cell>
          <cell r="E268" t="str">
            <v>TITRES DE PARTICIPATION ACCESS</v>
          </cell>
          <cell r="F268" t="str">
            <v>Actifs Financiers Non Courants</v>
          </cell>
          <cell r="G268" t="str">
            <v>ACTIFS NON COURANTS</v>
          </cell>
        </row>
        <row r="269">
          <cell r="B269" t="str">
            <v>286012</v>
          </cell>
          <cell r="C269" t="str">
            <v>Participat° ds entrepr. liées</v>
          </cell>
          <cell r="D269" t="str">
            <v>261001</v>
          </cell>
          <cell r="E269" t="str">
            <v>TITRES DE PARTICIPATION ACCESS</v>
          </cell>
          <cell r="F269" t="str">
            <v>Actifs Financiers Non Courants</v>
          </cell>
          <cell r="G269" t="str">
            <v>ACTIFS NON COURANTS</v>
          </cell>
        </row>
        <row r="270">
          <cell r="B270" t="str">
            <v>286013</v>
          </cell>
          <cell r="C270" t="str">
            <v>Participat° ds entrepr. liées</v>
          </cell>
          <cell r="D270" t="str">
            <v>261001</v>
          </cell>
          <cell r="E270" t="str">
            <v>TITRES DE PARTICIPATION ACCESS</v>
          </cell>
          <cell r="F270" t="str">
            <v>Actifs Financiers Non Courants</v>
          </cell>
          <cell r="G270" t="str">
            <v>ACTIFS NON COURANTS</v>
          </cell>
        </row>
        <row r="271">
          <cell r="B271" t="str">
            <v>286014</v>
          </cell>
          <cell r="C271" t="str">
            <v>Participat° ds entrepr. liées</v>
          </cell>
          <cell r="D271" t="str">
            <v>261001</v>
          </cell>
          <cell r="E271" t="str">
            <v>TITRES DE PARTICIPATION ACCESS</v>
          </cell>
          <cell r="F271" t="str">
            <v>Actifs Financiers Non Courants</v>
          </cell>
          <cell r="G271" t="str">
            <v>ACTIFS NON COURANTS</v>
          </cell>
        </row>
        <row r="272">
          <cell r="B272" t="str">
            <v>286015</v>
          </cell>
          <cell r="C272" t="str">
            <v>Participat° ds entrepr. liées</v>
          </cell>
          <cell r="D272" t="str">
            <v>261001</v>
          </cell>
          <cell r="E272" t="str">
            <v>TITRES DE PARTICIPATION ACCESS</v>
          </cell>
          <cell r="F272" t="str">
            <v>Actifs Financiers Non Courants</v>
          </cell>
          <cell r="G272" t="str">
            <v>ACTIFS NON COURANTS</v>
          </cell>
        </row>
        <row r="273">
          <cell r="B273" t="str">
            <v>286016</v>
          </cell>
          <cell r="C273" t="str">
            <v>Participat° ds entrepr. liées</v>
          </cell>
          <cell r="D273" t="str">
            <v>261001</v>
          </cell>
          <cell r="E273" t="str">
            <v>TITRES DE PARTICIPATION ACCESS</v>
          </cell>
          <cell r="F273" t="str">
            <v>Actifs Financiers Non Courants</v>
          </cell>
          <cell r="G273" t="str">
            <v>ACTIFS NON COURANTS</v>
          </cell>
        </row>
        <row r="274">
          <cell r="B274" t="str">
            <v>286017</v>
          </cell>
          <cell r="C274" t="str">
            <v>Participat° ds entrepr. liées</v>
          </cell>
          <cell r="D274" t="str">
            <v>261001</v>
          </cell>
          <cell r="E274" t="str">
            <v>TITRES DE PARTICIPATION ACCESS</v>
          </cell>
          <cell r="F274" t="str">
            <v>Actifs Financiers Non Courants</v>
          </cell>
          <cell r="G274" t="str">
            <v>ACTIFS NON COURANTS</v>
          </cell>
        </row>
        <row r="275">
          <cell r="B275" t="str">
            <v>286018</v>
          </cell>
          <cell r="C275" t="str">
            <v>Participat° ds entrepr. liées</v>
          </cell>
          <cell r="D275" t="str">
            <v>261001</v>
          </cell>
          <cell r="E275" t="str">
            <v>TITRES DE PARTICIPATION ACCESS</v>
          </cell>
          <cell r="F275" t="str">
            <v>Actifs Financiers Non Courants</v>
          </cell>
          <cell r="G275" t="str">
            <v>ACTIFS NON COURANTS</v>
          </cell>
        </row>
        <row r="276">
          <cell r="B276" t="str">
            <v>286019</v>
          </cell>
          <cell r="C276" t="str">
            <v>Participat° ds entrepr. liées</v>
          </cell>
          <cell r="D276" t="str">
            <v>261001</v>
          </cell>
          <cell r="E276" t="str">
            <v>TITRES DE PARTICIPATION ACCESS</v>
          </cell>
          <cell r="F276" t="str">
            <v>Actifs Financiers Non Courants</v>
          </cell>
          <cell r="G276" t="str">
            <v>ACTIFS NON COURANTS</v>
          </cell>
        </row>
        <row r="277">
          <cell r="B277" t="str">
            <v>286020</v>
          </cell>
          <cell r="C277" t="str">
            <v>Participat° ds entrepr. liées</v>
          </cell>
          <cell r="D277" t="str">
            <v>261001</v>
          </cell>
          <cell r="E277" t="str">
            <v>TITRES DE PARTICIPATION ACCESS</v>
          </cell>
          <cell r="F277" t="str">
            <v>Actifs Financiers Non Courants</v>
          </cell>
          <cell r="G277" t="str">
            <v>ACTIFS NON COURANTS</v>
          </cell>
        </row>
        <row r="278">
          <cell r="B278" t="str">
            <v>286021</v>
          </cell>
          <cell r="C278" t="str">
            <v>Participat° ds entrepr. liées</v>
          </cell>
          <cell r="D278" t="str">
            <v>261001</v>
          </cell>
          <cell r="E278" t="str">
            <v>TITRES DE PARTICIPATION ACCESS</v>
          </cell>
          <cell r="F278" t="str">
            <v>Actifs Financiers Non Courants</v>
          </cell>
          <cell r="G278" t="str">
            <v>ACTIFS NON COURANTS</v>
          </cell>
        </row>
        <row r="279">
          <cell r="B279" t="str">
            <v>286022</v>
          </cell>
          <cell r="C279" t="str">
            <v>Participat° ds entrepr. liées</v>
          </cell>
          <cell r="D279" t="str">
            <v>261001</v>
          </cell>
          <cell r="E279" t="str">
            <v>TITRES DE PARTICIPATION ACCESS</v>
          </cell>
          <cell r="F279" t="str">
            <v>Actifs Financiers Non Courants</v>
          </cell>
          <cell r="G279" t="str">
            <v>ACTIFS NON COURANTS</v>
          </cell>
        </row>
        <row r="280">
          <cell r="B280" t="str">
            <v>286023</v>
          </cell>
          <cell r="C280" t="str">
            <v>Participat° ds entrepr. liées</v>
          </cell>
          <cell r="D280" t="str">
            <v>261001</v>
          </cell>
          <cell r="E280" t="str">
            <v>TITRES DE PARTICIPATION ACCESS</v>
          </cell>
          <cell r="F280" t="str">
            <v>Actifs Financiers Non Courants</v>
          </cell>
          <cell r="G280" t="str">
            <v>ACTIFS NON COURANTS</v>
          </cell>
        </row>
        <row r="281">
          <cell r="B281" t="str">
            <v>286024</v>
          </cell>
          <cell r="C281" t="str">
            <v>Participat° ds entrepr. liées</v>
          </cell>
          <cell r="D281" t="str">
            <v>261001</v>
          </cell>
          <cell r="E281" t="str">
            <v>TITRES DE PARTICIPATION ACCESS</v>
          </cell>
          <cell r="F281" t="str">
            <v>Actifs Financiers Non Courants</v>
          </cell>
          <cell r="G281" t="str">
            <v>ACTIFS NON COURANTS</v>
          </cell>
        </row>
        <row r="282">
          <cell r="B282" t="str">
            <v>286025</v>
          </cell>
          <cell r="C282" t="str">
            <v>Participat° ds entrepr. liées</v>
          </cell>
          <cell r="D282" t="str">
            <v>261001</v>
          </cell>
          <cell r="E282" t="str">
            <v>TITRES DE PARTICIPATION ACCESS</v>
          </cell>
          <cell r="F282" t="str">
            <v>Actifs Financiers Non Courants</v>
          </cell>
          <cell r="G282" t="str">
            <v>ACTIFS NON COURANTS</v>
          </cell>
        </row>
        <row r="283">
          <cell r="B283" t="str">
            <v>286026</v>
          </cell>
          <cell r="C283" t="str">
            <v>Participat° ds entrepr. liées</v>
          </cell>
          <cell r="D283" t="str">
            <v>261001</v>
          </cell>
          <cell r="E283" t="str">
            <v>TITRES DE PARTICIPATION ACCESS</v>
          </cell>
          <cell r="F283" t="str">
            <v>Actifs Financiers Non Courants</v>
          </cell>
          <cell r="G283" t="str">
            <v>ACTIFS NON COURANTS</v>
          </cell>
        </row>
        <row r="284">
          <cell r="B284" t="str">
            <v>286027</v>
          </cell>
          <cell r="C284" t="str">
            <v>Participat° ds entrepr. liées</v>
          </cell>
          <cell r="D284" t="str">
            <v>261001</v>
          </cell>
          <cell r="E284" t="str">
            <v>TITRES DE PARTICIPATION ACCESS</v>
          </cell>
          <cell r="F284" t="str">
            <v>Actifs Financiers Non Courants</v>
          </cell>
          <cell r="G284" t="str">
            <v>ACTIFS NON COURANTS</v>
          </cell>
        </row>
        <row r="285">
          <cell r="B285" t="str">
            <v>286028</v>
          </cell>
          <cell r="C285" t="str">
            <v>Participat° ds entrepr. liées</v>
          </cell>
          <cell r="D285" t="str">
            <v>261001</v>
          </cell>
          <cell r="E285" t="str">
            <v>TITRES DE PARTICIPATION ACCESS</v>
          </cell>
          <cell r="F285" t="str">
            <v>Actifs Financiers Non Courants</v>
          </cell>
          <cell r="G285" t="str">
            <v>ACTIFS NON COURANTS</v>
          </cell>
        </row>
        <row r="286">
          <cell r="B286" t="str">
            <v>286031</v>
          </cell>
          <cell r="C286" t="str">
            <v>Participat° ds entrepr. liées</v>
          </cell>
          <cell r="D286" t="str">
            <v>261001</v>
          </cell>
          <cell r="E286" t="str">
            <v>TITRES DE PARTICIPATION ACCESS</v>
          </cell>
          <cell r="F286" t="str">
            <v>Actifs Financiers Non Courants</v>
          </cell>
          <cell r="G286" t="str">
            <v>ACTIFS NON COURANTS</v>
          </cell>
        </row>
        <row r="287">
          <cell r="B287" t="str">
            <v>286032</v>
          </cell>
          <cell r="C287" t="str">
            <v>Participat° ds entrepr. liées</v>
          </cell>
          <cell r="D287" t="str">
            <v>261001</v>
          </cell>
          <cell r="E287" t="str">
            <v>TITRES DE PARTICIPATION ACCESS</v>
          </cell>
          <cell r="F287" t="str">
            <v>Actifs Financiers Non Courants</v>
          </cell>
          <cell r="G287" t="str">
            <v>ACTIFS NON COURANTS</v>
          </cell>
        </row>
        <row r="288">
          <cell r="B288" t="str">
            <v>286033</v>
          </cell>
          <cell r="C288" t="str">
            <v>Participat° ds entrepr. liées</v>
          </cell>
          <cell r="D288" t="str">
            <v>261001</v>
          </cell>
          <cell r="E288" t="str">
            <v>TITRES DE PARTICIPATION ACCESS</v>
          </cell>
          <cell r="F288" t="str">
            <v>Actifs Financiers Non Courants</v>
          </cell>
          <cell r="G288" t="str">
            <v>ACTIFS NON COURANTS</v>
          </cell>
        </row>
        <row r="289">
          <cell r="B289" t="str">
            <v>286035</v>
          </cell>
          <cell r="C289" t="str">
            <v>Participat° ds entrepr. liées</v>
          </cell>
          <cell r="D289" t="str">
            <v>261001</v>
          </cell>
          <cell r="E289" t="str">
            <v>TITRES DE PARTICIPATION ACCESS</v>
          </cell>
          <cell r="F289" t="str">
            <v>Actifs Financiers Non Courants</v>
          </cell>
          <cell r="G289" t="str">
            <v>ACTIFS NON COURANTS</v>
          </cell>
        </row>
        <row r="290">
          <cell r="B290" t="str">
            <v>286036</v>
          </cell>
          <cell r="C290" t="str">
            <v>Participat° ds entrepr. liées</v>
          </cell>
          <cell r="D290" t="str">
            <v>261001</v>
          </cell>
          <cell r="E290" t="str">
            <v>TITRES DE PARTICIPATION ACCESS</v>
          </cell>
          <cell r="F290" t="str">
            <v>Actifs Financiers Non Courants</v>
          </cell>
          <cell r="G290" t="str">
            <v>ACTIFS NON COURANTS</v>
          </cell>
        </row>
        <row r="291">
          <cell r="B291" t="str">
            <v>286037</v>
          </cell>
          <cell r="C291" t="str">
            <v>Participat° ds entrepr. liées</v>
          </cell>
          <cell r="D291" t="str">
            <v>261001</v>
          </cell>
          <cell r="E291" t="str">
            <v>TITRES DE PARTICIPATION ACCESS</v>
          </cell>
          <cell r="F291" t="str">
            <v>Actifs Financiers Non Courants</v>
          </cell>
          <cell r="G291" t="str">
            <v>ACTIFS NON COURANTS</v>
          </cell>
        </row>
        <row r="292">
          <cell r="B292" t="str">
            <v>286038</v>
          </cell>
          <cell r="C292" t="str">
            <v>Participat° ds entrepr. liées</v>
          </cell>
          <cell r="D292" t="str">
            <v>261001</v>
          </cell>
          <cell r="E292" t="str">
            <v>TITRES DE PARTICIPATION ACCESS</v>
          </cell>
          <cell r="F292" t="str">
            <v>Actifs Financiers Non Courants</v>
          </cell>
          <cell r="G292" t="str">
            <v>ACTIFS NON COURANTS</v>
          </cell>
        </row>
        <row r="293">
          <cell r="B293" t="str">
            <v>286039</v>
          </cell>
          <cell r="C293" t="str">
            <v>Participat° ds entrepr. liées</v>
          </cell>
          <cell r="D293" t="str">
            <v>261001</v>
          </cell>
          <cell r="E293" t="str">
            <v>TITRES DE PARTICIPATION ACCESS</v>
          </cell>
          <cell r="F293" t="str">
            <v>Actifs Financiers Non Courants</v>
          </cell>
          <cell r="G293" t="str">
            <v>ACTIFS NON COURANTS</v>
          </cell>
        </row>
        <row r="294">
          <cell r="B294" t="str">
            <v>286040</v>
          </cell>
          <cell r="C294" t="str">
            <v>Participat° ds entrepr. liées</v>
          </cell>
          <cell r="D294" t="str">
            <v>261001</v>
          </cell>
          <cell r="E294" t="str">
            <v>TITRES DE PARTICIPATION ACCESS</v>
          </cell>
          <cell r="F294" t="str">
            <v>Actifs Financiers Non Courants</v>
          </cell>
          <cell r="G294" t="str">
            <v>ACTIFS NON COURANTS</v>
          </cell>
        </row>
        <row r="295">
          <cell r="B295" t="str">
            <v>286041</v>
          </cell>
          <cell r="C295" t="str">
            <v>Participat° ds entrepr. liées</v>
          </cell>
          <cell r="D295" t="str">
            <v>261001</v>
          </cell>
          <cell r="E295" t="str">
            <v>TITRES DE PARTICIPATION ACCESS</v>
          </cell>
          <cell r="F295" t="str">
            <v>Actifs Financiers Non Courants</v>
          </cell>
          <cell r="G295" t="str">
            <v>ACTIFS NON COURANTS</v>
          </cell>
        </row>
        <row r="296">
          <cell r="B296" t="str">
            <v>286042</v>
          </cell>
          <cell r="C296" t="str">
            <v>Participat° ds entrepr. liées</v>
          </cell>
          <cell r="D296" t="str">
            <v>261001</v>
          </cell>
          <cell r="E296" t="str">
            <v>TITRES DE PARTICIPATION ACCESS</v>
          </cell>
          <cell r="F296" t="str">
            <v>Actifs Financiers Non Courants</v>
          </cell>
          <cell r="G296" t="str">
            <v>ACTIFS NON COURANTS</v>
          </cell>
        </row>
        <row r="297">
          <cell r="B297" t="str">
            <v>288000</v>
          </cell>
          <cell r="C297" t="str">
            <v>Caution versée en numéraire</v>
          </cell>
          <cell r="D297" t="str">
            <v>275000</v>
          </cell>
          <cell r="E297" t="str">
            <v>DEPOTS ET CATIONNEMENTS VERSES</v>
          </cell>
          <cell r="F297" t="str">
            <v>Actifs Financiers courants ou non courants</v>
          </cell>
          <cell r="G297" t="str">
            <v>Actifs courants ou non courants</v>
          </cell>
        </row>
        <row r="298">
          <cell r="B298" t="str">
            <v>288100</v>
          </cell>
          <cell r="C298" t="str">
            <v>QUART PROVISIONNEL ONSS</v>
          </cell>
          <cell r="D298" t="str">
            <v>275000</v>
          </cell>
          <cell r="E298" t="str">
            <v>DEPOTS ET CATIONNEMENTS VERSES</v>
          </cell>
          <cell r="F298" t="str">
            <v>Actifs Financiers courants ou non courants</v>
          </cell>
          <cell r="G298" t="str">
            <v>Actifs courants ou non courants</v>
          </cell>
        </row>
        <row r="299">
          <cell r="B299" t="str">
            <v>288200</v>
          </cell>
          <cell r="C299" t="str">
            <v>PRIMES SYNDICALES</v>
          </cell>
          <cell r="D299" t="str">
            <v>275000</v>
          </cell>
          <cell r="E299" t="str">
            <v>DEPOTS ET CATIONNEMENTS VERSES</v>
          </cell>
          <cell r="F299" t="str">
            <v>Actifs Financiers courants ou non courants</v>
          </cell>
          <cell r="G299" t="str">
            <v>Actifs courants ou non courants</v>
          </cell>
        </row>
        <row r="300">
          <cell r="B300" t="str">
            <v>288300</v>
          </cell>
          <cell r="C300" t="str">
            <v>Caution Secrétariat social</v>
          </cell>
          <cell r="D300" t="str">
            <v>275000</v>
          </cell>
          <cell r="E300" t="str">
            <v>DEPOTS ET CATIONNEMENTS VERSES</v>
          </cell>
          <cell r="F300" t="str">
            <v>Actifs Financiers courants ou non courants</v>
          </cell>
          <cell r="G300" t="str">
            <v>Actifs courants ou non courants</v>
          </cell>
        </row>
        <row r="301">
          <cell r="B301" t="str">
            <v>288400</v>
          </cell>
          <cell r="C301" t="str">
            <v>CAUTION XXXX</v>
          </cell>
          <cell r="D301" t="str">
            <v>275000</v>
          </cell>
          <cell r="E301" t="str">
            <v>DEPOTS ET CATIONNEMENTS VERSES</v>
          </cell>
          <cell r="F301" t="str">
            <v>Actifs Financiers courants ou non courants</v>
          </cell>
          <cell r="G301" t="str">
            <v>Actifs courants ou non courants</v>
          </cell>
        </row>
        <row r="302">
          <cell r="B302" t="str">
            <v>288500</v>
          </cell>
          <cell r="C302" t="str">
            <v>Caution ZZZZ</v>
          </cell>
          <cell r="D302" t="str">
            <v>275000</v>
          </cell>
          <cell r="E302" t="str">
            <v>DEPOTS ET CATIONNEMENTS VERSES</v>
          </cell>
          <cell r="F302" t="str">
            <v>Actifs Financiers courants ou non courants</v>
          </cell>
          <cell r="G302" t="str">
            <v>Actifs courants ou non courants</v>
          </cell>
        </row>
        <row r="303">
          <cell r="B303" t="str">
            <v>291000</v>
          </cell>
          <cell r="C303" t="str">
            <v>Autres créances</v>
          </cell>
          <cell r="D303" t="str">
            <v>467000</v>
          </cell>
          <cell r="E303" t="str">
            <v>AUTRES COMPTES DEBITEURS OU CREDITEURS</v>
          </cell>
          <cell r="F303" t="str">
            <v>Actifs Financiers Non Courants</v>
          </cell>
          <cell r="G303" t="str">
            <v>ACTIFS NON COURANTS</v>
          </cell>
        </row>
        <row r="304">
          <cell r="B304" t="str">
            <v>300000</v>
          </cell>
          <cell r="C304" t="str">
            <v>Caution versée en numéraire</v>
          </cell>
          <cell r="D304" t="str">
            <v>275000</v>
          </cell>
          <cell r="E304" t="str">
            <v>DEPOTS ET CATIONNEMENTS VERSES</v>
          </cell>
          <cell r="F304" t="str">
            <v>Actifs Financiers courants ou non courants</v>
          </cell>
          <cell r="G304" t="str">
            <v>Actifs courants ou non courants</v>
          </cell>
        </row>
        <row r="305">
          <cell r="B305" t="str">
            <v>340000</v>
          </cell>
          <cell r="C305" t="str">
            <v>Marchandises</v>
          </cell>
          <cell r="D305" t="str">
            <v>322400</v>
          </cell>
          <cell r="E305" t="str">
            <v>STOCK DE FOURNITURES AUTRES</v>
          </cell>
          <cell r="F305" t="str">
            <v>Stocks</v>
          </cell>
          <cell r="G305" t="str">
            <v>ACTIFS COURANTS</v>
          </cell>
        </row>
        <row r="306">
          <cell r="B306" t="str">
            <v>340001</v>
          </cell>
          <cell r="C306" t="str">
            <v>Stock Produits d'entretien</v>
          </cell>
          <cell r="D306" t="str">
            <v>321200</v>
          </cell>
          <cell r="E306" t="str">
            <v xml:space="preserve">STOCK DES PRODUITS D'ENTRETIEN         </v>
          </cell>
          <cell r="F306" t="str">
            <v>Stocks</v>
          </cell>
          <cell r="G306" t="str">
            <v>ACTIFS COURANTS</v>
          </cell>
        </row>
        <row r="307">
          <cell r="B307" t="str">
            <v>340002</v>
          </cell>
          <cell r="C307" t="str">
            <v>Stock lingerie/buanderie</v>
          </cell>
          <cell r="D307" t="str">
            <v>321200</v>
          </cell>
          <cell r="E307" t="str">
            <v xml:space="preserve">STOCK DES PRODUITS D'ENTRETIEN         </v>
          </cell>
          <cell r="F307" t="str">
            <v>Stocks</v>
          </cell>
          <cell r="G307" t="str">
            <v>ACTIFS COURANTS</v>
          </cell>
        </row>
        <row r="308">
          <cell r="B308" t="str">
            <v>340003</v>
          </cell>
          <cell r="C308" t="str">
            <v>Stock alimentaire</v>
          </cell>
          <cell r="D308" t="str">
            <v>321100</v>
          </cell>
          <cell r="E308" t="str">
            <v xml:space="preserve">STOCK D'ALIMENTATION                   </v>
          </cell>
          <cell r="F308" t="str">
            <v>Stocks</v>
          </cell>
          <cell r="G308" t="str">
            <v>ACTIFS COURANTS</v>
          </cell>
        </row>
        <row r="309">
          <cell r="B309" t="str">
            <v>340004</v>
          </cell>
          <cell r="C309" t="str">
            <v>Stock fournit. Bureau/inform.</v>
          </cell>
          <cell r="D309" t="str">
            <v>322100</v>
          </cell>
          <cell r="E309" t="str">
            <v xml:space="preserve">STOCK DE FOURNITURES BUREAU            </v>
          </cell>
          <cell r="F309" t="str">
            <v>Stocks</v>
          </cell>
          <cell r="G309" t="str">
            <v>ACTIFS COURANTS</v>
          </cell>
        </row>
        <row r="310">
          <cell r="B310" t="str">
            <v>340005</v>
          </cell>
          <cell r="C310" t="str">
            <v>Stock matériel de soins</v>
          </cell>
          <cell r="D310" t="str">
            <v>322400</v>
          </cell>
          <cell r="E310" t="str">
            <v>STOCK DE FOURNITURES AUTRES</v>
          </cell>
          <cell r="F310" t="str">
            <v>Stocks</v>
          </cell>
          <cell r="G310" t="str">
            <v>ACTIFS COURANTS</v>
          </cell>
        </row>
        <row r="311">
          <cell r="B311" t="str">
            <v>340006</v>
          </cell>
          <cell r="C311" t="str">
            <v>Stock Incontinence</v>
          </cell>
          <cell r="D311" t="str">
            <v>322400</v>
          </cell>
          <cell r="E311" t="str">
            <v>STOCK DE FOURNITURES AUTRES</v>
          </cell>
          <cell r="F311" t="str">
            <v>Stocks</v>
          </cell>
          <cell r="G311" t="str">
            <v>ACTIFS COURANTS</v>
          </cell>
        </row>
        <row r="312">
          <cell r="B312" t="str">
            <v>352000</v>
          </cell>
          <cell r="C312" t="str">
            <v>Immeuble destiné à la vente</v>
          </cell>
          <cell r="D312" t="str">
            <v>335200</v>
          </cell>
          <cell r="E312" t="str">
            <v>TRAVAUX EN COURS - CONSTRUCTIONS</v>
          </cell>
          <cell r="F312" t="str">
            <v>Stocks</v>
          </cell>
          <cell r="G312" t="str">
            <v>ACTIFS COURANTS</v>
          </cell>
        </row>
        <row r="313">
          <cell r="B313" t="str">
            <v>400000</v>
          </cell>
          <cell r="C313" t="str">
            <v>CLIENTS</v>
          </cell>
          <cell r="D313" t="str">
            <v>411000</v>
          </cell>
          <cell r="E313" t="str">
            <v>CLIENTS</v>
          </cell>
          <cell r="F313" t="str">
            <v>Créances Clients</v>
          </cell>
          <cell r="G313" t="str">
            <v>ACTIFS COURANTS</v>
          </cell>
        </row>
        <row r="314">
          <cell r="B314" t="str">
            <v>400001</v>
          </cell>
          <cell r="C314" t="str">
            <v>Clients Mutuelle</v>
          </cell>
          <cell r="D314" t="str">
            <v>411000</v>
          </cell>
          <cell r="E314" t="str">
            <v>CLIENTS</v>
          </cell>
          <cell r="F314" t="str">
            <v>Créances Clients</v>
          </cell>
          <cell r="G314" t="str">
            <v>ACTIFS COURANTS</v>
          </cell>
        </row>
        <row r="315">
          <cell r="B315" t="str">
            <v>404000</v>
          </cell>
          <cell r="C315" t="str">
            <v>Facture à établir</v>
          </cell>
          <cell r="D315" t="str">
            <v>418100</v>
          </cell>
          <cell r="E315" t="str">
            <v xml:space="preserve">CLIENTS - FACTURES A ETABLIR           </v>
          </cell>
          <cell r="F315" t="str">
            <v>Créances Clients</v>
          </cell>
          <cell r="G315" t="str">
            <v>ACTIFS COURANTS</v>
          </cell>
        </row>
        <row r="316">
          <cell r="B316" t="str">
            <v>404001</v>
          </cell>
          <cell r="C316" t="str">
            <v>N-E Mutuelles</v>
          </cell>
          <cell r="D316" t="str">
            <v>418100</v>
          </cell>
          <cell r="E316" t="str">
            <v xml:space="preserve">CLIENTS - FACTURES A ETABLIR           </v>
          </cell>
          <cell r="F316" t="str">
            <v>Créances Clients</v>
          </cell>
          <cell r="G316" t="str">
            <v>ACTIFS COURANTS</v>
          </cell>
        </row>
        <row r="317">
          <cell r="B317" t="str">
            <v>404100</v>
          </cell>
          <cell r="C317" t="str">
            <v>Notes de Crédit à Recevoir</v>
          </cell>
          <cell r="D317" t="str">
            <v>409800</v>
          </cell>
          <cell r="E317" t="str">
            <v xml:space="preserve">FOURNISSEURS - RRR A OBTENIR           </v>
          </cell>
          <cell r="F317" t="str">
            <v>Créances Clients</v>
          </cell>
          <cell r="G317" t="str">
            <v>ACTIFS COURANTS</v>
          </cell>
        </row>
        <row r="318">
          <cell r="B318" t="str">
            <v>405000</v>
          </cell>
          <cell r="C318" t="str">
            <v>Fournisseurs Débiteurs</v>
          </cell>
          <cell r="D318" t="str">
            <v>409700</v>
          </cell>
          <cell r="E318" t="str">
            <v>FOURN. DEBITEURS - PRESENTAT° BILAN</v>
          </cell>
          <cell r="F318" t="str">
            <v>Créances Clients</v>
          </cell>
          <cell r="G318" t="str">
            <v>ACTIFS COURANTS</v>
          </cell>
        </row>
        <row r="319">
          <cell r="B319" t="str">
            <v>406000</v>
          </cell>
          <cell r="C319" t="str">
            <v>Acomptes versés</v>
          </cell>
          <cell r="D319" t="str">
            <v>411000</v>
          </cell>
          <cell r="E319" t="str">
            <v>CLIENTS</v>
          </cell>
          <cell r="F319" t="str">
            <v>Créances Clients</v>
          </cell>
          <cell r="G319" t="str">
            <v>ACTIFS COURANTS</v>
          </cell>
        </row>
        <row r="320">
          <cell r="B320" t="str">
            <v>407000</v>
          </cell>
          <cell r="C320" t="str">
            <v>Créances Douteuses</v>
          </cell>
          <cell r="D320" t="str">
            <v>416000</v>
          </cell>
          <cell r="E320" t="str">
            <v xml:space="preserve">CLIENTS DOUTEUX                        </v>
          </cell>
          <cell r="F320" t="str">
            <v>Créances Clients</v>
          </cell>
          <cell r="G320" t="str">
            <v>ACTIFS COURANTS</v>
          </cell>
        </row>
        <row r="321">
          <cell r="B321" t="str">
            <v>409000</v>
          </cell>
          <cell r="C321" t="str">
            <v>Réduct° s/valeur actée</v>
          </cell>
          <cell r="D321" t="str">
            <v>491000</v>
          </cell>
          <cell r="E321" t="str">
            <v xml:space="preserve">PROV. DEPRECIAT° COMPTES CLIENTS   </v>
          </cell>
          <cell r="F321" t="str">
            <v>Créances Clients</v>
          </cell>
          <cell r="G321" t="str">
            <v>ACTIFS COURANTS</v>
          </cell>
        </row>
        <row r="322">
          <cell r="B322" t="str">
            <v>411000</v>
          </cell>
          <cell r="C322" t="str">
            <v>TVA à récupérer</v>
          </cell>
          <cell r="D322" t="str">
            <v>445800</v>
          </cell>
          <cell r="E322" t="str">
            <v xml:space="preserve">T.V.A. A REGULARISER                   </v>
          </cell>
          <cell r="F322" t="str">
            <v>Autres Débiteurs Courants</v>
          </cell>
          <cell r="G322" t="str">
            <v>ACTIFS COURANTS</v>
          </cell>
        </row>
        <row r="323">
          <cell r="B323" t="str">
            <v>411001</v>
          </cell>
          <cell r="C323" t="str">
            <v>TVA XXXXX</v>
          </cell>
          <cell r="D323" t="str">
            <v>445800</v>
          </cell>
          <cell r="E323" t="str">
            <v xml:space="preserve">T.V.A. A REGULARISER                   </v>
          </cell>
          <cell r="F323" t="str">
            <v>Autres Débiteurs Courants</v>
          </cell>
          <cell r="G323" t="str">
            <v>ACTIFS COURANTS</v>
          </cell>
        </row>
        <row r="324">
          <cell r="B324" t="str">
            <v>411003</v>
          </cell>
          <cell r="C324" t="str">
            <v>C/c Tva à Récupérer</v>
          </cell>
          <cell r="D324" t="str">
            <v>445800</v>
          </cell>
          <cell r="E324" t="str">
            <v xml:space="preserve">T.V.A. A REGULARISER                   </v>
          </cell>
          <cell r="F324" t="str">
            <v>Autres Débiteurs Courants</v>
          </cell>
          <cell r="G324" t="str">
            <v>ACTIFS COURANTS</v>
          </cell>
        </row>
        <row r="325">
          <cell r="B325" t="str">
            <v>412000</v>
          </cell>
          <cell r="C325" t="str">
            <v>Impôts/précomptes à récup.</v>
          </cell>
          <cell r="D325" t="str">
            <v>448660</v>
          </cell>
          <cell r="E325" t="str">
            <v>CHARGES A PAYER : AUTRES</v>
          </cell>
          <cell r="F325" t="str">
            <v>Autres Débiteurs Courants</v>
          </cell>
          <cell r="G325" t="str">
            <v>ACTIFS COURANTS</v>
          </cell>
        </row>
        <row r="326">
          <cell r="B326" t="str">
            <v>414000</v>
          </cell>
          <cell r="C326" t="str">
            <v>Produits à recevoir</v>
          </cell>
          <cell r="D326" t="str">
            <v>468700</v>
          </cell>
          <cell r="E326" t="str">
            <v xml:space="preserve">DIVERS - PRODUITS A RECEVOIR           </v>
          </cell>
          <cell r="F326" t="str">
            <v>Autres Débiteurs Courants</v>
          </cell>
          <cell r="G326" t="str">
            <v>ACTIFS COURANTS</v>
          </cell>
        </row>
        <row r="327">
          <cell r="B327" t="str">
            <v>416000</v>
          </cell>
          <cell r="C327" t="str">
            <v>Créance en C/c </v>
          </cell>
          <cell r="D327" t="str">
            <v>456000</v>
          </cell>
          <cell r="E327" t="str">
            <v>COMPTES COURANTS</v>
          </cell>
          <cell r="F327" t="str">
            <v>Autres Débiteurs Courants</v>
          </cell>
          <cell r="G327" t="str">
            <v>ACTIFS COURANTS</v>
          </cell>
        </row>
        <row r="328">
          <cell r="B328" t="str">
            <v>416001</v>
          </cell>
          <cell r="C328" t="str">
            <v>Créance en C/c </v>
          </cell>
          <cell r="D328" t="str">
            <v>456000</v>
          </cell>
          <cell r="E328" t="str">
            <v>COMPTES COURANTS</v>
          </cell>
          <cell r="F328" t="str">
            <v>Autres Débiteurs Courants</v>
          </cell>
          <cell r="G328" t="str">
            <v>ACTIFS COURANTS</v>
          </cell>
        </row>
        <row r="329">
          <cell r="B329" t="str">
            <v>416002</v>
          </cell>
          <cell r="C329" t="str">
            <v>Créance en C/c </v>
          </cell>
          <cell r="D329" t="str">
            <v>456000</v>
          </cell>
          <cell r="E329" t="str">
            <v>COMPTES COURANTS</v>
          </cell>
          <cell r="F329" t="str">
            <v>Autres Débiteurs Courants</v>
          </cell>
          <cell r="G329" t="str">
            <v>ACTIFS COURANTS</v>
          </cell>
        </row>
        <row r="330">
          <cell r="B330" t="str">
            <v>416003</v>
          </cell>
          <cell r="C330" t="str">
            <v>Créance en C/c </v>
          </cell>
          <cell r="D330" t="str">
            <v>456000</v>
          </cell>
          <cell r="E330" t="str">
            <v>COMPTES COURANTS</v>
          </cell>
          <cell r="F330" t="str">
            <v>Autres Débiteurs Courants</v>
          </cell>
          <cell r="G330" t="str">
            <v>ACTIFS COURANTS</v>
          </cell>
        </row>
        <row r="331">
          <cell r="B331" t="str">
            <v>416004</v>
          </cell>
          <cell r="C331" t="str">
            <v>Créance en C/c</v>
          </cell>
          <cell r="D331" t="str">
            <v>456000</v>
          </cell>
          <cell r="E331" t="str">
            <v>COMPTES COURANTS</v>
          </cell>
          <cell r="F331" t="str">
            <v>Autres Débiteurs Courants</v>
          </cell>
          <cell r="G331" t="str">
            <v>ACTIFS COURANTS</v>
          </cell>
        </row>
        <row r="332">
          <cell r="B332" t="str">
            <v>416005</v>
          </cell>
          <cell r="C332" t="str">
            <v>Créance en C/c </v>
          </cell>
          <cell r="D332" t="str">
            <v>456000</v>
          </cell>
          <cell r="E332" t="str">
            <v>COMPTES COURANTS</v>
          </cell>
          <cell r="F332" t="str">
            <v>Autres Débiteurs Courants</v>
          </cell>
          <cell r="G332" t="str">
            <v>ACTIFS COURANTS</v>
          </cell>
        </row>
        <row r="333">
          <cell r="B333" t="str">
            <v>416006</v>
          </cell>
          <cell r="C333" t="str">
            <v>Créance en C/c </v>
          </cell>
          <cell r="D333" t="str">
            <v>456000</v>
          </cell>
          <cell r="E333" t="str">
            <v>COMPTES COURANTS</v>
          </cell>
          <cell r="F333" t="str">
            <v>Autres Débiteurs Courants</v>
          </cell>
          <cell r="G333" t="str">
            <v>ACTIFS COURANTS</v>
          </cell>
        </row>
        <row r="334">
          <cell r="B334" t="str">
            <v>416007</v>
          </cell>
          <cell r="C334" t="str">
            <v>Créance en C/c </v>
          </cell>
          <cell r="D334" t="str">
            <v>456000</v>
          </cell>
          <cell r="E334" t="str">
            <v>COMPTES COURANTS</v>
          </cell>
          <cell r="F334" t="str">
            <v>Autres Débiteurs Courants</v>
          </cell>
          <cell r="G334" t="str">
            <v>ACTIFS COURANTS</v>
          </cell>
        </row>
        <row r="335">
          <cell r="B335" t="str">
            <v>416008</v>
          </cell>
          <cell r="C335" t="str">
            <v>Créance en C/c </v>
          </cell>
          <cell r="D335" t="str">
            <v>456000</v>
          </cell>
          <cell r="E335" t="str">
            <v>COMPTES COURANTS</v>
          </cell>
          <cell r="F335" t="str">
            <v>Autres Débiteurs Courants</v>
          </cell>
          <cell r="G335" t="str">
            <v>ACTIFS COURANTS</v>
          </cell>
        </row>
        <row r="336">
          <cell r="B336" t="str">
            <v>416009</v>
          </cell>
          <cell r="C336" t="str">
            <v>Créance en C/c </v>
          </cell>
          <cell r="D336" t="str">
            <v>456000</v>
          </cell>
          <cell r="E336" t="str">
            <v>COMPTES COURANTS</v>
          </cell>
          <cell r="F336" t="str">
            <v>Autres Débiteurs Courants</v>
          </cell>
          <cell r="G336" t="str">
            <v>ACTIFS COURANTS</v>
          </cell>
        </row>
        <row r="337">
          <cell r="B337" t="str">
            <v>416010</v>
          </cell>
          <cell r="C337" t="str">
            <v>Créance en C/c </v>
          </cell>
          <cell r="D337" t="str">
            <v>456000</v>
          </cell>
          <cell r="E337" t="str">
            <v>COMPTES COURANTS</v>
          </cell>
          <cell r="F337" t="str">
            <v>Autres Débiteurs Courants</v>
          </cell>
          <cell r="G337" t="str">
            <v>ACTIFS COURANTS</v>
          </cell>
        </row>
        <row r="338">
          <cell r="B338" t="str">
            <v>416011</v>
          </cell>
          <cell r="C338" t="str">
            <v>Créance en C/c </v>
          </cell>
          <cell r="D338" t="str">
            <v>456000</v>
          </cell>
          <cell r="E338" t="str">
            <v>COMPTES COURANTS</v>
          </cell>
          <cell r="F338" t="str">
            <v>Autres Débiteurs Courants</v>
          </cell>
          <cell r="G338" t="str">
            <v>ACTIFS COURANTS</v>
          </cell>
        </row>
        <row r="339">
          <cell r="B339" t="str">
            <v>416012</v>
          </cell>
          <cell r="C339" t="str">
            <v>Créance en C/c </v>
          </cell>
          <cell r="D339" t="str">
            <v>456000</v>
          </cell>
          <cell r="E339" t="str">
            <v>COMPTES COURANTS</v>
          </cell>
          <cell r="F339" t="str">
            <v>Autres Débiteurs Courants</v>
          </cell>
          <cell r="G339" t="str">
            <v>ACTIFS COURANTS</v>
          </cell>
        </row>
        <row r="340">
          <cell r="B340" t="str">
            <v>416013</v>
          </cell>
          <cell r="C340" t="str">
            <v>Créance en C/c </v>
          </cell>
          <cell r="D340" t="str">
            <v>456000</v>
          </cell>
          <cell r="E340" t="str">
            <v>COMPTES COURANTS</v>
          </cell>
          <cell r="F340" t="str">
            <v>Autres Débiteurs Courants</v>
          </cell>
          <cell r="G340" t="str">
            <v>ACTIFS COURANTS</v>
          </cell>
        </row>
        <row r="341">
          <cell r="B341" t="str">
            <v>416014</v>
          </cell>
          <cell r="C341" t="str">
            <v>Créance en C/c </v>
          </cell>
          <cell r="D341" t="str">
            <v>456000</v>
          </cell>
          <cell r="E341" t="str">
            <v>COMPTES COURANTS</v>
          </cell>
          <cell r="F341" t="str">
            <v>Autres Débiteurs Courants</v>
          </cell>
          <cell r="G341" t="str">
            <v>ACTIFS COURANTS</v>
          </cell>
        </row>
        <row r="342">
          <cell r="B342" t="str">
            <v>416015</v>
          </cell>
          <cell r="C342" t="str">
            <v>Créance en C/c </v>
          </cell>
          <cell r="D342" t="str">
            <v>456000</v>
          </cell>
          <cell r="E342" t="str">
            <v>COMPTES COURANTS</v>
          </cell>
          <cell r="F342" t="str">
            <v>Autres Débiteurs Courants</v>
          </cell>
          <cell r="G342" t="str">
            <v>ACTIFS COURANTS</v>
          </cell>
        </row>
        <row r="343">
          <cell r="B343" t="str">
            <v>416016</v>
          </cell>
          <cell r="C343" t="str">
            <v>Créance en C/c </v>
          </cell>
          <cell r="D343" t="str">
            <v>456000</v>
          </cell>
          <cell r="E343" t="str">
            <v>COMPTES COURANTS</v>
          </cell>
          <cell r="F343" t="str">
            <v>Autres Débiteurs Courants</v>
          </cell>
          <cell r="G343" t="str">
            <v>ACTIFS COURANTS</v>
          </cell>
        </row>
        <row r="344">
          <cell r="B344" t="str">
            <v>416017</v>
          </cell>
          <cell r="C344" t="str">
            <v>Créance en C/c </v>
          </cell>
          <cell r="D344" t="str">
            <v>456000</v>
          </cell>
          <cell r="E344" t="str">
            <v>COMPTES COURANTS</v>
          </cell>
          <cell r="F344" t="str">
            <v>Autres Débiteurs Courants</v>
          </cell>
          <cell r="G344" t="str">
            <v>ACTIFS COURANTS</v>
          </cell>
        </row>
        <row r="345">
          <cell r="B345" t="str">
            <v>416018</v>
          </cell>
          <cell r="C345" t="str">
            <v>Créance en C/c </v>
          </cell>
          <cell r="D345" t="str">
            <v>456000</v>
          </cell>
          <cell r="E345" t="str">
            <v>COMPTES COURANTS</v>
          </cell>
          <cell r="F345" t="str">
            <v>Autres Débiteurs Courants</v>
          </cell>
          <cell r="G345" t="str">
            <v>ACTIFS COURANTS</v>
          </cell>
        </row>
        <row r="346">
          <cell r="B346" t="str">
            <v>416019</v>
          </cell>
          <cell r="C346" t="str">
            <v>Créance en C/c </v>
          </cell>
          <cell r="D346" t="str">
            <v>456000</v>
          </cell>
          <cell r="E346" t="str">
            <v>COMPTES COURANTS</v>
          </cell>
          <cell r="F346" t="str">
            <v>Autres Débiteurs Courants</v>
          </cell>
          <cell r="G346" t="str">
            <v>ACTIFS COURANTS</v>
          </cell>
        </row>
        <row r="347">
          <cell r="B347" t="str">
            <v>416020</v>
          </cell>
          <cell r="C347" t="str">
            <v>Créance en C/c </v>
          </cell>
          <cell r="D347" t="str">
            <v>456000</v>
          </cell>
          <cell r="E347" t="str">
            <v>COMPTES COURANTS</v>
          </cell>
          <cell r="F347" t="str">
            <v>Autres Débiteurs Courants</v>
          </cell>
          <cell r="G347" t="str">
            <v>ACTIFS COURANTS</v>
          </cell>
        </row>
        <row r="348">
          <cell r="B348" t="str">
            <v>416021</v>
          </cell>
          <cell r="C348" t="str">
            <v>Créance en C/c </v>
          </cell>
          <cell r="D348" t="str">
            <v>456000</v>
          </cell>
          <cell r="E348" t="str">
            <v>COMPTES COURANTS</v>
          </cell>
          <cell r="F348" t="str">
            <v>Autres Débiteurs Courants</v>
          </cell>
          <cell r="G348" t="str">
            <v>ACTIFS COURANTS</v>
          </cell>
        </row>
        <row r="349">
          <cell r="B349" t="str">
            <v>416022</v>
          </cell>
          <cell r="C349" t="str">
            <v>Créance en C/c</v>
          </cell>
          <cell r="D349" t="str">
            <v>456000</v>
          </cell>
          <cell r="E349" t="str">
            <v>COMPTES COURANTS</v>
          </cell>
          <cell r="F349" t="str">
            <v>Autres Débiteurs Courants</v>
          </cell>
          <cell r="G349" t="str">
            <v>ACTIFS COURANTS</v>
          </cell>
        </row>
        <row r="350">
          <cell r="B350" t="str">
            <v>416023</v>
          </cell>
          <cell r="C350" t="str">
            <v>Créance en C/c</v>
          </cell>
          <cell r="D350" t="str">
            <v>456000</v>
          </cell>
          <cell r="E350" t="str">
            <v>COMPTES COURANTS</v>
          </cell>
          <cell r="F350" t="str">
            <v>Autres Débiteurs Courants</v>
          </cell>
          <cell r="G350" t="str">
            <v>ACTIFS COURANTS</v>
          </cell>
        </row>
        <row r="351">
          <cell r="B351" t="str">
            <v>416024</v>
          </cell>
          <cell r="C351" t="str">
            <v>Créance en C/c</v>
          </cell>
          <cell r="D351" t="str">
            <v>456000</v>
          </cell>
          <cell r="E351" t="str">
            <v>COMPTES COURANTS</v>
          </cell>
          <cell r="F351" t="str">
            <v>Autres Débiteurs Courants</v>
          </cell>
          <cell r="G351" t="str">
            <v>ACTIFS COURANTS</v>
          </cell>
        </row>
        <row r="352">
          <cell r="B352" t="str">
            <v>416025</v>
          </cell>
          <cell r="C352" t="str">
            <v>Créance en C/c</v>
          </cell>
          <cell r="D352" t="str">
            <v>456000</v>
          </cell>
          <cell r="E352" t="str">
            <v>COMPTES COURANTS</v>
          </cell>
          <cell r="F352" t="str">
            <v>Autres Débiteurs Courants</v>
          </cell>
          <cell r="G352" t="str">
            <v>ACTIFS COURANTS</v>
          </cell>
        </row>
        <row r="353">
          <cell r="B353" t="str">
            <v>416026</v>
          </cell>
          <cell r="C353" t="str">
            <v>Créance en C/c</v>
          </cell>
          <cell r="D353" t="str">
            <v>456000</v>
          </cell>
          <cell r="E353" t="str">
            <v>COMPTES COURANTS</v>
          </cell>
          <cell r="F353" t="str">
            <v>Autres Débiteurs Courants</v>
          </cell>
          <cell r="G353" t="str">
            <v>ACTIFS COURANTS</v>
          </cell>
        </row>
        <row r="354">
          <cell r="B354" t="str">
            <v>416027</v>
          </cell>
          <cell r="C354" t="str">
            <v>Créance en C/c</v>
          </cell>
          <cell r="D354" t="str">
            <v>456000</v>
          </cell>
          <cell r="E354" t="str">
            <v>COMPTES COURANTS</v>
          </cell>
          <cell r="F354" t="str">
            <v>Autres Débiteurs Courants</v>
          </cell>
          <cell r="G354" t="str">
            <v>ACTIFS COURANTS</v>
          </cell>
        </row>
        <row r="355">
          <cell r="B355" t="str">
            <v>416028</v>
          </cell>
          <cell r="C355" t="str">
            <v>Créance en C/c</v>
          </cell>
          <cell r="D355" t="str">
            <v>456000</v>
          </cell>
          <cell r="E355" t="str">
            <v>COMPTES COURANTS</v>
          </cell>
          <cell r="F355" t="str">
            <v>Autres Débiteurs Courants</v>
          </cell>
          <cell r="G355" t="str">
            <v>ACTIFS COURANTS</v>
          </cell>
        </row>
        <row r="356">
          <cell r="B356" t="str">
            <v>416029</v>
          </cell>
          <cell r="C356" t="str">
            <v>Créance en C/c</v>
          </cell>
          <cell r="D356" t="str">
            <v>456000</v>
          </cell>
          <cell r="E356" t="str">
            <v>COMPTES COURANTS</v>
          </cell>
          <cell r="F356" t="str">
            <v>Autres Débiteurs Courants</v>
          </cell>
          <cell r="G356" t="str">
            <v>ACTIFS COURANTS</v>
          </cell>
        </row>
        <row r="357">
          <cell r="B357" t="str">
            <v>416030</v>
          </cell>
          <cell r="C357" t="str">
            <v>Créance en C/c</v>
          </cell>
          <cell r="D357" t="str">
            <v>456000</v>
          </cell>
          <cell r="E357" t="str">
            <v>COMPTES COURANTS</v>
          </cell>
          <cell r="F357" t="str">
            <v>Autres Débiteurs Courants</v>
          </cell>
          <cell r="G357" t="str">
            <v>ACTIFS COURANTS</v>
          </cell>
        </row>
        <row r="358">
          <cell r="B358" t="str">
            <v>416031</v>
          </cell>
          <cell r="C358" t="str">
            <v>Créance en C/c</v>
          </cell>
          <cell r="D358" t="str">
            <v>456000</v>
          </cell>
          <cell r="E358" t="str">
            <v>COMPTES COURANTS</v>
          </cell>
          <cell r="F358" t="str">
            <v>Autres Débiteurs Courants</v>
          </cell>
          <cell r="G358" t="str">
            <v>ACTIFS COURANTS</v>
          </cell>
        </row>
        <row r="359">
          <cell r="B359" t="str">
            <v>416032</v>
          </cell>
          <cell r="C359" t="str">
            <v>Créance en C/c</v>
          </cell>
          <cell r="D359" t="str">
            <v>456000</v>
          </cell>
          <cell r="E359" t="str">
            <v>COMPTES COURANTS</v>
          </cell>
          <cell r="F359" t="str">
            <v>Autres Débiteurs Courants</v>
          </cell>
          <cell r="G359" t="str">
            <v>ACTIFS COURANTS</v>
          </cell>
        </row>
        <row r="360">
          <cell r="B360" t="str">
            <v>416033</v>
          </cell>
          <cell r="C360" t="str">
            <v>Créance en C/c</v>
          </cell>
          <cell r="D360" t="str">
            <v>456000</v>
          </cell>
          <cell r="E360" t="str">
            <v>COMPTES COURANTS</v>
          </cell>
          <cell r="F360" t="str">
            <v>Autres Débiteurs Courants</v>
          </cell>
          <cell r="G360" t="str">
            <v>ACTIFS COURANTS</v>
          </cell>
        </row>
        <row r="361">
          <cell r="B361" t="str">
            <v>416034</v>
          </cell>
          <cell r="C361" t="str">
            <v>Créance en C/c</v>
          </cell>
          <cell r="D361" t="str">
            <v>456000</v>
          </cell>
          <cell r="E361" t="str">
            <v>COMPTES COURANTS</v>
          </cell>
          <cell r="F361" t="str">
            <v>Autres Débiteurs Courants</v>
          </cell>
          <cell r="G361" t="str">
            <v>ACTIFS COURANTS</v>
          </cell>
        </row>
        <row r="362">
          <cell r="B362" t="str">
            <v>416035</v>
          </cell>
          <cell r="C362" t="str">
            <v>Créance en C/c</v>
          </cell>
          <cell r="D362" t="str">
            <v>456000</v>
          </cell>
          <cell r="E362" t="str">
            <v>COMPTES COURANTS</v>
          </cell>
          <cell r="F362" t="str">
            <v>Autres Débiteurs Courants</v>
          </cell>
          <cell r="G362" t="str">
            <v>ACTIFS COURANTS</v>
          </cell>
        </row>
        <row r="363">
          <cell r="B363" t="str">
            <v>416036</v>
          </cell>
          <cell r="C363" t="str">
            <v>C/c</v>
          </cell>
          <cell r="D363" t="str">
            <v>456000</v>
          </cell>
          <cell r="E363" t="str">
            <v>COMPTES COURANTS</v>
          </cell>
          <cell r="F363" t="str">
            <v>Autres Débiteurs Courants</v>
          </cell>
          <cell r="G363" t="str">
            <v>ACTIFS COURANTS</v>
          </cell>
        </row>
        <row r="364">
          <cell r="B364" t="str">
            <v>416037</v>
          </cell>
          <cell r="C364" t="str">
            <v>Créance en C/c</v>
          </cell>
          <cell r="D364" t="str">
            <v>456000</v>
          </cell>
          <cell r="E364" t="str">
            <v>COMPTES COURANTS</v>
          </cell>
          <cell r="F364" t="str">
            <v>Autres Débiteurs Courants</v>
          </cell>
          <cell r="G364" t="str">
            <v>ACTIFS COURANTS</v>
          </cell>
        </row>
        <row r="365">
          <cell r="B365" t="str">
            <v>416038</v>
          </cell>
          <cell r="C365" t="str">
            <v>Créance en C/c</v>
          </cell>
          <cell r="D365" t="str">
            <v>456000</v>
          </cell>
          <cell r="E365" t="str">
            <v>COMPTES COURANTS</v>
          </cell>
          <cell r="F365" t="str">
            <v>Autres Débiteurs Courants</v>
          </cell>
          <cell r="G365" t="str">
            <v>ACTIFS COURANTS</v>
          </cell>
        </row>
        <row r="366">
          <cell r="B366" t="str">
            <v>416039</v>
          </cell>
          <cell r="C366" t="str">
            <v>Créance en C/c</v>
          </cell>
          <cell r="D366" t="str">
            <v>456000</v>
          </cell>
          <cell r="E366" t="str">
            <v>COMPTES COURANTS</v>
          </cell>
          <cell r="F366" t="str">
            <v>Autres Débiteurs Courants</v>
          </cell>
          <cell r="G366" t="str">
            <v>ACTIFS COURANTS</v>
          </cell>
        </row>
        <row r="367">
          <cell r="B367" t="str">
            <v>416040</v>
          </cell>
          <cell r="C367" t="str">
            <v>Créance en C/c</v>
          </cell>
          <cell r="D367" t="str">
            <v>456000</v>
          </cell>
          <cell r="E367" t="str">
            <v>COMPTES COURANTS</v>
          </cell>
          <cell r="F367" t="str">
            <v>Autres Débiteurs Courants</v>
          </cell>
          <cell r="G367" t="str">
            <v>ACTIFS COURANTS</v>
          </cell>
        </row>
        <row r="368">
          <cell r="B368" t="str">
            <v>416041</v>
          </cell>
          <cell r="C368" t="str">
            <v>Créance en C/c</v>
          </cell>
          <cell r="D368" t="str">
            <v>456000</v>
          </cell>
          <cell r="E368" t="str">
            <v>COMPTES COURANTS</v>
          </cell>
          <cell r="F368" t="str">
            <v>Autres Débiteurs Courants</v>
          </cell>
          <cell r="G368" t="str">
            <v>ACTIFS COURANTS</v>
          </cell>
        </row>
        <row r="369">
          <cell r="B369" t="str">
            <v>416042</v>
          </cell>
          <cell r="C369" t="str">
            <v>Créance en C/c</v>
          </cell>
          <cell r="D369" t="str">
            <v>456000</v>
          </cell>
          <cell r="E369" t="str">
            <v>COMPTES COURANTS</v>
          </cell>
          <cell r="F369" t="str">
            <v>Autres Débiteurs Courants</v>
          </cell>
          <cell r="G369" t="str">
            <v>ACTIFS COURANTS</v>
          </cell>
        </row>
        <row r="370">
          <cell r="B370" t="str">
            <v>416043</v>
          </cell>
          <cell r="C370" t="str">
            <v>Créance en C/c</v>
          </cell>
          <cell r="D370" t="str">
            <v>456000</v>
          </cell>
          <cell r="E370" t="str">
            <v>COMPTES COURANTS</v>
          </cell>
          <cell r="F370" t="str">
            <v>Autres Débiteurs Courants</v>
          </cell>
          <cell r="G370" t="str">
            <v>ACTIFS COURANTS</v>
          </cell>
        </row>
        <row r="371">
          <cell r="B371" t="str">
            <v>416044</v>
          </cell>
          <cell r="C371" t="str">
            <v>Créance en C/c</v>
          </cell>
          <cell r="D371" t="str">
            <v>456000</v>
          </cell>
          <cell r="E371" t="str">
            <v>COMPTES COURANTS</v>
          </cell>
          <cell r="F371" t="str">
            <v>Autres Débiteurs Courants</v>
          </cell>
          <cell r="G371" t="str">
            <v>ACTIFS COURANTS</v>
          </cell>
        </row>
        <row r="372">
          <cell r="B372" t="str">
            <v>416045</v>
          </cell>
          <cell r="C372" t="str">
            <v>Créance en C/c</v>
          </cell>
          <cell r="D372" t="str">
            <v>456000</v>
          </cell>
          <cell r="E372" t="str">
            <v>COMPTES COURANTS</v>
          </cell>
          <cell r="F372" t="str">
            <v>Autres Débiteurs Courants</v>
          </cell>
          <cell r="G372" t="str">
            <v>ACTIFS COURANTS</v>
          </cell>
        </row>
        <row r="373">
          <cell r="B373" t="str">
            <v>416046</v>
          </cell>
          <cell r="C373" t="str">
            <v>Créance en C/c</v>
          </cell>
          <cell r="D373" t="str">
            <v>456000</v>
          </cell>
          <cell r="E373" t="str">
            <v>COMPTES COURANTS</v>
          </cell>
          <cell r="F373" t="str">
            <v>Autres Débiteurs Courants</v>
          </cell>
          <cell r="G373" t="str">
            <v>ACTIFS COURANTS</v>
          </cell>
        </row>
        <row r="374">
          <cell r="B374" t="str">
            <v>416047</v>
          </cell>
          <cell r="C374" t="str">
            <v>Créance en C/c</v>
          </cell>
          <cell r="D374" t="str">
            <v>456000</v>
          </cell>
          <cell r="E374" t="str">
            <v>COMPTES COURANTS</v>
          </cell>
          <cell r="F374" t="str">
            <v>Autres Débiteurs Courants</v>
          </cell>
          <cell r="G374" t="str">
            <v>ACTIFS COURANTS</v>
          </cell>
        </row>
        <row r="375">
          <cell r="B375" t="str">
            <v>416048</v>
          </cell>
          <cell r="C375" t="str">
            <v>Créance en C/c</v>
          </cell>
          <cell r="D375" t="str">
            <v>456000</v>
          </cell>
          <cell r="E375" t="str">
            <v>COMPTES COURANTS</v>
          </cell>
          <cell r="F375" t="str">
            <v>Autres Débiteurs Courants</v>
          </cell>
          <cell r="G375" t="str">
            <v>ACTIFS COURANTS</v>
          </cell>
        </row>
        <row r="376">
          <cell r="B376" t="str">
            <v>416049</v>
          </cell>
          <cell r="C376" t="str">
            <v>Créance en C/c</v>
          </cell>
          <cell r="D376" t="str">
            <v>456000</v>
          </cell>
          <cell r="E376" t="str">
            <v>COMPTES COURANTS</v>
          </cell>
          <cell r="F376" t="str">
            <v>Autres Débiteurs Courants</v>
          </cell>
          <cell r="G376" t="str">
            <v>ACTIFS COURANTS</v>
          </cell>
        </row>
        <row r="377">
          <cell r="B377" t="str">
            <v>416057</v>
          </cell>
          <cell r="C377" t="str">
            <v>Créance en C/c</v>
          </cell>
          <cell r="D377" t="str">
            <v>456000</v>
          </cell>
          <cell r="E377" t="str">
            <v>COMPTES COURANTS</v>
          </cell>
          <cell r="F377" t="str">
            <v>Autres Débiteurs Courants</v>
          </cell>
          <cell r="G377" t="str">
            <v>ACTIFS COURANTS</v>
          </cell>
        </row>
        <row r="378">
          <cell r="B378" t="str">
            <v>416058</v>
          </cell>
          <cell r="C378" t="str">
            <v>Créance en C/c</v>
          </cell>
          <cell r="D378" t="str">
            <v>456000</v>
          </cell>
          <cell r="E378" t="str">
            <v>COMPTES COURANTS</v>
          </cell>
          <cell r="F378" t="str">
            <v>Autres Débiteurs Courants</v>
          </cell>
          <cell r="G378" t="str">
            <v>ACTIFS COURANTS</v>
          </cell>
        </row>
        <row r="379">
          <cell r="B379" t="str">
            <v>416059</v>
          </cell>
          <cell r="C379" t="str">
            <v>Créance en C/c</v>
          </cell>
          <cell r="D379" t="str">
            <v>456000</v>
          </cell>
          <cell r="E379" t="str">
            <v>COMPTES COURANTS</v>
          </cell>
          <cell r="F379" t="str">
            <v>Autres Débiteurs Courants</v>
          </cell>
          <cell r="G379" t="str">
            <v>ACTIFS COURANTS</v>
          </cell>
        </row>
        <row r="380">
          <cell r="B380" t="str">
            <v>416060</v>
          </cell>
          <cell r="C380" t="str">
            <v>Créance en C/c</v>
          </cell>
          <cell r="D380" t="str">
            <v>456000</v>
          </cell>
          <cell r="E380" t="str">
            <v>COMPTES COURANTS</v>
          </cell>
          <cell r="F380" t="str">
            <v>Autres Débiteurs Courants</v>
          </cell>
          <cell r="G380" t="str">
            <v>ACTIFS COURANTS</v>
          </cell>
        </row>
        <row r="381">
          <cell r="B381" t="str">
            <v>416090</v>
          </cell>
          <cell r="C381" t="str">
            <v>C/c XXX</v>
          </cell>
          <cell r="D381" t="str">
            <v>456000</v>
          </cell>
          <cell r="E381" t="str">
            <v>COMPTES COURANTS</v>
          </cell>
          <cell r="F381" t="str">
            <v>Autres Débiteurs Courants</v>
          </cell>
          <cell r="G381" t="str">
            <v>ACTIFS COURANTS</v>
          </cell>
        </row>
        <row r="382">
          <cell r="B382" t="str">
            <v>416091</v>
          </cell>
          <cell r="C382" t="str">
            <v>Créance en C/c</v>
          </cell>
          <cell r="D382" t="str">
            <v>456000</v>
          </cell>
          <cell r="E382" t="str">
            <v>COMPTES COURANTS</v>
          </cell>
          <cell r="F382" t="str">
            <v>Autres Débiteurs Courants</v>
          </cell>
          <cell r="G382" t="str">
            <v>ACTIFS COURANTS</v>
          </cell>
        </row>
        <row r="383">
          <cell r="B383" t="str">
            <v>416092</v>
          </cell>
          <cell r="C383" t="str">
            <v>Créance en C/c</v>
          </cell>
          <cell r="D383" t="str">
            <v>456000</v>
          </cell>
          <cell r="E383" t="str">
            <v>COMPTES COURANTS</v>
          </cell>
          <cell r="F383" t="str">
            <v>Autres Débiteurs Courants</v>
          </cell>
          <cell r="G383" t="str">
            <v>ACTIFS COURANTS</v>
          </cell>
        </row>
        <row r="384">
          <cell r="B384" t="str">
            <v>416093</v>
          </cell>
          <cell r="C384" t="str">
            <v>Créance en C/c</v>
          </cell>
          <cell r="D384" t="str">
            <v>456000</v>
          </cell>
          <cell r="E384" t="str">
            <v>COMPTES COURANTS</v>
          </cell>
          <cell r="F384" t="str">
            <v>Autres Débiteurs Courants</v>
          </cell>
          <cell r="G384" t="str">
            <v>ACTIFS COURANTS</v>
          </cell>
        </row>
        <row r="385">
          <cell r="B385" t="str">
            <v>416094</v>
          </cell>
          <cell r="C385" t="str">
            <v>Créance en C/c</v>
          </cell>
          <cell r="D385" t="str">
            <v>456000</v>
          </cell>
          <cell r="E385" t="str">
            <v>COMPTES COURANTS</v>
          </cell>
          <cell r="F385" t="str">
            <v>Autres Débiteurs Courants</v>
          </cell>
          <cell r="G385" t="str">
            <v>ACTIFS COURANTS</v>
          </cell>
        </row>
        <row r="386">
          <cell r="B386" t="str">
            <v>416095</v>
          </cell>
          <cell r="C386" t="str">
            <v>Créance en C/c</v>
          </cell>
          <cell r="D386" t="str">
            <v>456000</v>
          </cell>
          <cell r="E386" t="str">
            <v>COMPTES COURANTS</v>
          </cell>
          <cell r="F386" t="str">
            <v>Autres Débiteurs Courants</v>
          </cell>
          <cell r="G386" t="str">
            <v>ACTIFS COURANTS</v>
          </cell>
        </row>
        <row r="387">
          <cell r="B387" t="str">
            <v>416096</v>
          </cell>
          <cell r="C387" t="str">
            <v>Créance en C/c</v>
          </cell>
          <cell r="D387" t="str">
            <v>456000</v>
          </cell>
          <cell r="E387" t="str">
            <v>COMPTES COURANTS</v>
          </cell>
          <cell r="F387" t="str">
            <v>Autres Débiteurs Courants</v>
          </cell>
          <cell r="G387" t="str">
            <v>ACTIFS COURANTS</v>
          </cell>
        </row>
        <row r="388">
          <cell r="B388" t="str">
            <v>416097</v>
          </cell>
          <cell r="C388" t="str">
            <v>Créance en C/c</v>
          </cell>
          <cell r="D388" t="str">
            <v>456000</v>
          </cell>
          <cell r="E388" t="str">
            <v>COMPTES COURANTS</v>
          </cell>
          <cell r="F388" t="str">
            <v>Autres Débiteurs Courants</v>
          </cell>
          <cell r="G388" t="str">
            <v>ACTIFS COURANTS</v>
          </cell>
        </row>
        <row r="389">
          <cell r="B389" t="str">
            <v>416098</v>
          </cell>
          <cell r="C389" t="str">
            <v>Créance en C/c</v>
          </cell>
          <cell r="D389" t="str">
            <v>456000</v>
          </cell>
          <cell r="E389" t="str">
            <v>COMPTES COURANTS</v>
          </cell>
          <cell r="F389" t="str">
            <v>Autres Débiteurs Courants</v>
          </cell>
          <cell r="G389" t="str">
            <v>ACTIFS COURANTS</v>
          </cell>
        </row>
        <row r="390">
          <cell r="B390" t="str">
            <v>416099</v>
          </cell>
          <cell r="C390" t="str">
            <v>Créance en C/c</v>
          </cell>
          <cell r="D390" t="str">
            <v>456000</v>
          </cell>
          <cell r="E390" t="str">
            <v>COMPTES COURANTS</v>
          </cell>
          <cell r="F390" t="str">
            <v>Autres Débiteurs Courants</v>
          </cell>
          <cell r="G390" t="str">
            <v>ACTIFS COURANTS</v>
          </cell>
        </row>
        <row r="391">
          <cell r="B391" t="str">
            <v>416100</v>
          </cell>
          <cell r="C391" t="str">
            <v>MANAGEMENT FEES XXXX</v>
          </cell>
          <cell r="D391" t="str">
            <v>456000</v>
          </cell>
          <cell r="E391" t="str">
            <v>COMPTES COURANTS</v>
          </cell>
          <cell r="F391" t="str">
            <v>Autres Débiteurs Courants</v>
          </cell>
          <cell r="G391" t="str">
            <v>ACTIFS COURANTS</v>
          </cell>
        </row>
        <row r="392">
          <cell r="B392" t="str">
            <v>416101</v>
          </cell>
          <cell r="C392" t="str">
            <v>MANAGEMENT FEES XXXX</v>
          </cell>
          <cell r="D392" t="str">
            <v>456000</v>
          </cell>
          <cell r="E392" t="str">
            <v>COMPTES COURANTS</v>
          </cell>
          <cell r="F392" t="str">
            <v>Autres Débiteurs Courants</v>
          </cell>
          <cell r="G392" t="str">
            <v>ACTIFS COURANTS</v>
          </cell>
        </row>
        <row r="393">
          <cell r="B393" t="str">
            <v>416102</v>
          </cell>
          <cell r="C393" t="str">
            <v>MANAGEMENT FEES XXXX</v>
          </cell>
          <cell r="D393" t="str">
            <v>456000</v>
          </cell>
          <cell r="E393" t="str">
            <v>COMPTES COURANTS</v>
          </cell>
          <cell r="F393" t="str">
            <v>Autres Débiteurs Courants</v>
          </cell>
          <cell r="G393" t="str">
            <v>ACTIFS COURANTS</v>
          </cell>
        </row>
        <row r="394">
          <cell r="B394" t="str">
            <v>416103</v>
          </cell>
          <cell r="C394" t="str">
            <v>MANAGEMENT FEES XXXX</v>
          </cell>
          <cell r="D394" t="str">
            <v>456000</v>
          </cell>
          <cell r="E394" t="str">
            <v>COMPTES COURANTS</v>
          </cell>
          <cell r="F394" t="str">
            <v>Autres Débiteurs Courants</v>
          </cell>
          <cell r="G394" t="str">
            <v>ACTIFS COURANTS</v>
          </cell>
        </row>
        <row r="395">
          <cell r="B395" t="str">
            <v>416104</v>
          </cell>
          <cell r="C395" t="str">
            <v>MANAGEMENT FEES XXXX</v>
          </cell>
          <cell r="D395" t="str">
            <v>456000</v>
          </cell>
          <cell r="E395" t="str">
            <v>COMPTES COURANTS</v>
          </cell>
          <cell r="F395" t="str">
            <v>Autres Débiteurs Courants</v>
          </cell>
          <cell r="G395" t="str">
            <v>ACTIFS COURANTS</v>
          </cell>
        </row>
        <row r="396">
          <cell r="B396" t="str">
            <v>416105</v>
          </cell>
          <cell r="C396" t="str">
            <v>MANAGEMENT FEES XXXX</v>
          </cell>
          <cell r="D396" t="str">
            <v>456000</v>
          </cell>
          <cell r="E396" t="str">
            <v>COMPTES COURANTS</v>
          </cell>
          <cell r="F396" t="str">
            <v>Autres Débiteurs Courants</v>
          </cell>
          <cell r="G396" t="str">
            <v>ACTIFS COURANTS</v>
          </cell>
        </row>
        <row r="397">
          <cell r="B397" t="str">
            <v>416106</v>
          </cell>
          <cell r="C397" t="str">
            <v>MANAGEMENT FEES XXXX</v>
          </cell>
          <cell r="D397" t="str">
            <v>456000</v>
          </cell>
          <cell r="E397" t="str">
            <v>COMPTES COURANTS</v>
          </cell>
          <cell r="F397" t="str">
            <v>Autres Débiteurs Courants</v>
          </cell>
          <cell r="G397" t="str">
            <v>ACTIFS COURANTS</v>
          </cell>
        </row>
        <row r="398">
          <cell r="B398" t="str">
            <v>416107</v>
          </cell>
          <cell r="C398" t="str">
            <v>MANAGEMENT FEES XXXX</v>
          </cell>
          <cell r="D398" t="str">
            <v>456000</v>
          </cell>
          <cell r="E398" t="str">
            <v>COMPTES COURANTS</v>
          </cell>
          <cell r="F398" t="str">
            <v>Autres Débiteurs Courants</v>
          </cell>
          <cell r="G398" t="str">
            <v>ACTIFS COURANTS</v>
          </cell>
        </row>
        <row r="399">
          <cell r="B399" t="str">
            <v>416108</v>
          </cell>
          <cell r="C399" t="str">
            <v>MANAGEMENT FEES XXXX</v>
          </cell>
          <cell r="D399" t="str">
            <v>456000</v>
          </cell>
          <cell r="E399" t="str">
            <v>COMPTES COURANTS</v>
          </cell>
          <cell r="F399" t="str">
            <v>Autres Débiteurs Courants</v>
          </cell>
          <cell r="G399" t="str">
            <v>ACTIFS COURANTS</v>
          </cell>
        </row>
        <row r="400">
          <cell r="B400" t="str">
            <v>416109</v>
          </cell>
          <cell r="C400" t="str">
            <v>MANAGEMENT FEES XXXX</v>
          </cell>
          <cell r="D400" t="str">
            <v>456000</v>
          </cell>
          <cell r="E400" t="str">
            <v>COMPTES COURANTS</v>
          </cell>
          <cell r="F400" t="str">
            <v>Autres Débiteurs Courants</v>
          </cell>
          <cell r="G400" t="str">
            <v>ACTIFS COURANTS</v>
          </cell>
        </row>
        <row r="401">
          <cell r="B401" t="str">
            <v>416110</v>
          </cell>
          <cell r="C401" t="str">
            <v>MANAGEMENT FEES XXXX</v>
          </cell>
          <cell r="D401" t="str">
            <v>456000</v>
          </cell>
          <cell r="E401" t="str">
            <v>COMPTES COURANTS</v>
          </cell>
          <cell r="F401" t="str">
            <v>Autres Débiteurs Courants</v>
          </cell>
          <cell r="G401" t="str">
            <v>ACTIFS COURANTS</v>
          </cell>
        </row>
        <row r="402">
          <cell r="B402" t="str">
            <v>416111</v>
          </cell>
          <cell r="C402" t="str">
            <v>MANAGEMENT FEES XXXX</v>
          </cell>
          <cell r="D402" t="str">
            <v>456000</v>
          </cell>
          <cell r="E402" t="str">
            <v>COMPTES COURANTS</v>
          </cell>
          <cell r="F402" t="str">
            <v>Autres Débiteurs Courants</v>
          </cell>
          <cell r="G402" t="str">
            <v>ACTIFS COURANTS</v>
          </cell>
        </row>
        <row r="403">
          <cell r="B403" t="str">
            <v>416112</v>
          </cell>
          <cell r="C403" t="str">
            <v>Management Fees XXXX</v>
          </cell>
          <cell r="D403" t="str">
            <v>456000</v>
          </cell>
          <cell r="E403" t="str">
            <v>COMPTES COURANTS</v>
          </cell>
          <cell r="F403" t="str">
            <v>Autres Débiteurs Courants</v>
          </cell>
          <cell r="G403" t="str">
            <v>ACTIFS COURANTS</v>
          </cell>
        </row>
        <row r="404">
          <cell r="B404" t="str">
            <v>416113</v>
          </cell>
          <cell r="C404" t="str">
            <v>MANAGEMENT FEES XXXX</v>
          </cell>
          <cell r="D404" t="str">
            <v>456000</v>
          </cell>
          <cell r="E404" t="str">
            <v>COMPTES COURANTS</v>
          </cell>
          <cell r="F404" t="str">
            <v>Autres Débiteurs Courants</v>
          </cell>
          <cell r="G404" t="str">
            <v>ACTIFS COURANTS</v>
          </cell>
        </row>
        <row r="405">
          <cell r="B405" t="str">
            <v>416114</v>
          </cell>
          <cell r="C405" t="str">
            <v>Management Fees XXXX</v>
          </cell>
          <cell r="D405" t="str">
            <v>456000</v>
          </cell>
          <cell r="E405" t="str">
            <v>COMPTES COURANTS</v>
          </cell>
          <cell r="F405" t="str">
            <v>Autres Débiteurs Courants</v>
          </cell>
          <cell r="G405" t="str">
            <v>ACTIFS COURANTS</v>
          </cell>
        </row>
        <row r="406">
          <cell r="B406" t="str">
            <v>416115</v>
          </cell>
          <cell r="C406" t="str">
            <v>Management Fees XXXX</v>
          </cell>
          <cell r="D406" t="str">
            <v>456000</v>
          </cell>
          <cell r="E406" t="str">
            <v>COMPTES COURANTS</v>
          </cell>
          <cell r="F406" t="str">
            <v>Autres Débiteurs Courants</v>
          </cell>
          <cell r="G406" t="str">
            <v>ACTIFS COURANTS</v>
          </cell>
        </row>
        <row r="407">
          <cell r="B407" t="str">
            <v>416116</v>
          </cell>
          <cell r="C407" t="str">
            <v>Management Fees XXXX</v>
          </cell>
          <cell r="D407" t="str">
            <v>456000</v>
          </cell>
          <cell r="E407" t="str">
            <v>COMPTES COURANTS</v>
          </cell>
          <cell r="F407" t="str">
            <v>Autres Débiteurs Courants</v>
          </cell>
          <cell r="G407" t="str">
            <v>ACTIFS COURANTS</v>
          </cell>
        </row>
        <row r="408">
          <cell r="B408" t="str">
            <v>416117</v>
          </cell>
          <cell r="C408" t="str">
            <v>Management Fees XXXX</v>
          </cell>
          <cell r="D408" t="str">
            <v>456000</v>
          </cell>
          <cell r="E408" t="str">
            <v>COMPTES COURANTS</v>
          </cell>
          <cell r="F408" t="str">
            <v>Autres Débiteurs Courants</v>
          </cell>
          <cell r="G408" t="str">
            <v>ACTIFS COURANTS</v>
          </cell>
        </row>
        <row r="409">
          <cell r="B409" t="str">
            <v>416118</v>
          </cell>
          <cell r="C409" t="str">
            <v>Management Fees XXXX</v>
          </cell>
          <cell r="D409" t="str">
            <v>456000</v>
          </cell>
          <cell r="E409" t="str">
            <v>COMPTES COURANTS</v>
          </cell>
          <cell r="F409" t="str">
            <v>Autres Débiteurs Courants</v>
          </cell>
          <cell r="G409" t="str">
            <v>ACTIFS COURANTS</v>
          </cell>
        </row>
        <row r="410">
          <cell r="B410" t="str">
            <v>416119</v>
          </cell>
          <cell r="C410" t="str">
            <v>Management Fees XXXX</v>
          </cell>
          <cell r="D410" t="str">
            <v>456000</v>
          </cell>
          <cell r="E410" t="str">
            <v>COMPTES COURANTS</v>
          </cell>
          <cell r="F410" t="str">
            <v>Autres Débiteurs Courants</v>
          </cell>
          <cell r="G410" t="str">
            <v>ACTIFS COURANTS</v>
          </cell>
        </row>
        <row r="411">
          <cell r="B411" t="str">
            <v>416120</v>
          </cell>
          <cell r="C411" t="str">
            <v>Management Fees XXXX</v>
          </cell>
          <cell r="D411" t="str">
            <v>456000</v>
          </cell>
          <cell r="E411" t="str">
            <v>COMPTES COURANTS</v>
          </cell>
          <cell r="F411" t="str">
            <v>Autres Débiteurs Courants</v>
          </cell>
          <cell r="G411" t="str">
            <v>ACTIFS COURANTS</v>
          </cell>
        </row>
        <row r="412">
          <cell r="B412" t="str">
            <v>416121</v>
          </cell>
          <cell r="C412" t="str">
            <v>Management Fees XXXX</v>
          </cell>
          <cell r="D412" t="str">
            <v>456000</v>
          </cell>
          <cell r="E412" t="str">
            <v>COMPTES COURANTS</v>
          </cell>
          <cell r="F412" t="str">
            <v>Autres Débiteurs Courants</v>
          </cell>
          <cell r="G412" t="str">
            <v>ACTIFS COURANTS</v>
          </cell>
        </row>
        <row r="413">
          <cell r="B413" t="str">
            <v>416122</v>
          </cell>
          <cell r="C413" t="str">
            <v>Management Fees XXXX</v>
          </cell>
          <cell r="D413" t="str">
            <v>456000</v>
          </cell>
          <cell r="E413" t="str">
            <v>COMPTES COURANTS</v>
          </cell>
          <cell r="F413" t="str">
            <v>Autres Débiteurs Courants</v>
          </cell>
          <cell r="G413" t="str">
            <v>ACTIFS COURANTS</v>
          </cell>
        </row>
        <row r="414">
          <cell r="B414" t="str">
            <v>416123</v>
          </cell>
          <cell r="C414" t="str">
            <v>Management Fees xXXX</v>
          </cell>
          <cell r="D414" t="str">
            <v>456000</v>
          </cell>
          <cell r="E414" t="str">
            <v>COMPTES COURANTS</v>
          </cell>
          <cell r="F414" t="str">
            <v>Autres Débiteurs Courants</v>
          </cell>
          <cell r="G414" t="str">
            <v>ACTIFS COURANTS</v>
          </cell>
        </row>
        <row r="415">
          <cell r="B415" t="str">
            <v>416124</v>
          </cell>
          <cell r="C415" t="str">
            <v>Management Fees XXX</v>
          </cell>
          <cell r="D415" t="str">
            <v>456000</v>
          </cell>
          <cell r="E415" t="str">
            <v>COMPTES COURANTS</v>
          </cell>
          <cell r="F415" t="str">
            <v>Autres Débiteurs Courants</v>
          </cell>
          <cell r="G415" t="str">
            <v>ACTIFS COURANTS</v>
          </cell>
        </row>
        <row r="416">
          <cell r="B416" t="str">
            <v>416125</v>
          </cell>
          <cell r="C416" t="str">
            <v>Management Fees XXX</v>
          </cell>
          <cell r="D416" t="str">
            <v>456000</v>
          </cell>
          <cell r="E416" t="str">
            <v>COMPTES COURANTS</v>
          </cell>
          <cell r="F416" t="str">
            <v>Autres Débiteurs Courants</v>
          </cell>
          <cell r="G416" t="str">
            <v>ACTIFS COURANTS</v>
          </cell>
        </row>
        <row r="417">
          <cell r="B417" t="str">
            <v>416126</v>
          </cell>
          <cell r="C417" t="str">
            <v>Management Fees XXX</v>
          </cell>
          <cell r="D417" t="str">
            <v>456000</v>
          </cell>
          <cell r="E417" t="str">
            <v>COMPTES COURANTS</v>
          </cell>
          <cell r="F417" t="str">
            <v>Autres Débiteurs Courants</v>
          </cell>
          <cell r="G417" t="str">
            <v>ACTIFS COURANTS</v>
          </cell>
        </row>
        <row r="418">
          <cell r="B418" t="str">
            <v>416127</v>
          </cell>
          <cell r="C418" t="str">
            <v>Management Fees XXX</v>
          </cell>
          <cell r="D418" t="str">
            <v>456000</v>
          </cell>
          <cell r="E418" t="str">
            <v>COMPTES COURANTS</v>
          </cell>
          <cell r="F418" t="str">
            <v>Autres Débiteurs Courants</v>
          </cell>
          <cell r="G418" t="str">
            <v>ACTIFS COURANTS</v>
          </cell>
        </row>
        <row r="419">
          <cell r="B419" t="str">
            <v>416128</v>
          </cell>
          <cell r="C419" t="str">
            <v>Management Fees XXX</v>
          </cell>
          <cell r="D419" t="str">
            <v>456000</v>
          </cell>
          <cell r="E419" t="str">
            <v>COMPTES COURANTS</v>
          </cell>
          <cell r="F419" t="str">
            <v>Autres Débiteurs Courants</v>
          </cell>
          <cell r="G419" t="str">
            <v>ACTIFS COURANTS</v>
          </cell>
        </row>
        <row r="420">
          <cell r="B420" t="str">
            <v>416129</v>
          </cell>
          <cell r="C420" t="str">
            <v>Management Fees XXX</v>
          </cell>
          <cell r="D420" t="str">
            <v>456000</v>
          </cell>
          <cell r="E420" t="str">
            <v>COMPTES COURANTS</v>
          </cell>
          <cell r="F420" t="str">
            <v>Autres Débiteurs Courants</v>
          </cell>
          <cell r="G420" t="str">
            <v>ACTIFS COURANTS</v>
          </cell>
        </row>
        <row r="421">
          <cell r="B421" t="str">
            <v>416130</v>
          </cell>
          <cell r="C421" t="str">
            <v>Management Fees XXX</v>
          </cell>
          <cell r="D421" t="str">
            <v>456000</v>
          </cell>
          <cell r="E421" t="str">
            <v>COMPTES COURANTS</v>
          </cell>
          <cell r="F421" t="str">
            <v>Autres Débiteurs Courants</v>
          </cell>
          <cell r="G421" t="str">
            <v>ACTIFS COURANTS</v>
          </cell>
        </row>
        <row r="422">
          <cell r="B422" t="str">
            <v>416131</v>
          </cell>
          <cell r="C422" t="str">
            <v>Management Fees XXX</v>
          </cell>
          <cell r="D422" t="str">
            <v>456000</v>
          </cell>
          <cell r="E422" t="str">
            <v>COMPTES COURANTS</v>
          </cell>
          <cell r="F422" t="str">
            <v>Autres Débiteurs Courants</v>
          </cell>
          <cell r="G422" t="str">
            <v>ACTIFS COURANTS</v>
          </cell>
        </row>
        <row r="423">
          <cell r="B423" t="str">
            <v>416132</v>
          </cell>
          <cell r="C423" t="str">
            <v>Management Fees XXX</v>
          </cell>
          <cell r="D423" t="str">
            <v>456000</v>
          </cell>
          <cell r="E423" t="str">
            <v>COMPTES COURANTS</v>
          </cell>
          <cell r="F423" t="str">
            <v>Autres Débiteurs Courants</v>
          </cell>
          <cell r="G423" t="str">
            <v>ACTIFS COURANTS</v>
          </cell>
        </row>
        <row r="424">
          <cell r="B424" t="str">
            <v>416133</v>
          </cell>
          <cell r="C424" t="str">
            <v>Management Fees XXX</v>
          </cell>
          <cell r="D424" t="str">
            <v>456000</v>
          </cell>
          <cell r="E424" t="str">
            <v>COMPTES COURANTS</v>
          </cell>
          <cell r="F424" t="str">
            <v>Autres Débiteurs Courants</v>
          </cell>
          <cell r="G424" t="str">
            <v>ACTIFS COURANTS</v>
          </cell>
        </row>
        <row r="425">
          <cell r="B425" t="str">
            <v>416134</v>
          </cell>
          <cell r="C425" t="str">
            <v>Management Fees XXX</v>
          </cell>
          <cell r="D425" t="str">
            <v>456000</v>
          </cell>
          <cell r="E425" t="str">
            <v>COMPTES COURANTS</v>
          </cell>
          <cell r="F425" t="str">
            <v>Autres Débiteurs Courants</v>
          </cell>
          <cell r="G425" t="str">
            <v>ACTIFS COURANTS</v>
          </cell>
        </row>
        <row r="426">
          <cell r="B426" t="str">
            <v>416135</v>
          </cell>
          <cell r="C426" t="str">
            <v>Management Fees XXX</v>
          </cell>
          <cell r="D426" t="str">
            <v>456000</v>
          </cell>
          <cell r="E426" t="str">
            <v>COMPTES COURANTS</v>
          </cell>
          <cell r="F426" t="str">
            <v>Autres Débiteurs Courants</v>
          </cell>
          <cell r="G426" t="str">
            <v>ACTIFS COURANTS</v>
          </cell>
        </row>
        <row r="427">
          <cell r="B427" t="str">
            <v>416136</v>
          </cell>
          <cell r="C427" t="str">
            <v>Management Fees XXX</v>
          </cell>
          <cell r="D427" t="str">
            <v>456000</v>
          </cell>
          <cell r="E427" t="str">
            <v>COMPTES COURANTS</v>
          </cell>
          <cell r="F427" t="str">
            <v>Autres Débiteurs Courants</v>
          </cell>
          <cell r="G427" t="str">
            <v>ACTIFS COURANTS</v>
          </cell>
        </row>
        <row r="428">
          <cell r="B428" t="str">
            <v>416137</v>
          </cell>
          <cell r="C428" t="str">
            <v>Management Fees XXX</v>
          </cell>
          <cell r="D428" t="str">
            <v>456000</v>
          </cell>
          <cell r="E428" t="str">
            <v>COMPTES COURANTS</v>
          </cell>
          <cell r="F428" t="str">
            <v>Autres Débiteurs Courants</v>
          </cell>
          <cell r="G428" t="str">
            <v>ACTIFS COURANTS</v>
          </cell>
        </row>
        <row r="429">
          <cell r="B429" t="str">
            <v>416138</v>
          </cell>
          <cell r="C429" t="str">
            <v>Management Fees XXX</v>
          </cell>
          <cell r="D429" t="str">
            <v>456000</v>
          </cell>
          <cell r="E429" t="str">
            <v>COMPTES COURANTS</v>
          </cell>
          <cell r="F429" t="str">
            <v>Autres Débiteurs Courants</v>
          </cell>
          <cell r="G429" t="str">
            <v>ACTIFS COURANTS</v>
          </cell>
        </row>
        <row r="430">
          <cell r="B430" t="str">
            <v>416139</v>
          </cell>
          <cell r="C430" t="str">
            <v>Management Fees XXX</v>
          </cell>
          <cell r="D430" t="str">
            <v>456000</v>
          </cell>
          <cell r="E430" t="str">
            <v>COMPTES COURANTS</v>
          </cell>
          <cell r="F430" t="str">
            <v>Autres Débiteurs Courants</v>
          </cell>
          <cell r="G430" t="str">
            <v>ACTIFS COURANTS</v>
          </cell>
        </row>
        <row r="431">
          <cell r="B431" t="str">
            <v>416140</v>
          </cell>
          <cell r="C431" t="str">
            <v>Management Fees XXX</v>
          </cell>
          <cell r="D431" t="str">
            <v>456000</v>
          </cell>
          <cell r="E431" t="str">
            <v>COMPTES COURANTS</v>
          </cell>
          <cell r="F431" t="str">
            <v>Autres Débiteurs Courants</v>
          </cell>
          <cell r="G431" t="str">
            <v>ACTIFS COURANTS</v>
          </cell>
        </row>
        <row r="432">
          <cell r="B432" t="str">
            <v>416141</v>
          </cell>
          <cell r="C432" t="str">
            <v>Management Fees XXX</v>
          </cell>
          <cell r="D432" t="str">
            <v>456000</v>
          </cell>
          <cell r="E432" t="str">
            <v>COMPTES COURANTS</v>
          </cell>
          <cell r="F432" t="str">
            <v>Autres Débiteurs Courants</v>
          </cell>
          <cell r="G432" t="str">
            <v>ACTIFS COURANTS</v>
          </cell>
        </row>
        <row r="433">
          <cell r="B433" t="str">
            <v>416900</v>
          </cell>
          <cell r="C433" t="str">
            <v>Réduct° s/valeur actée en C/C</v>
          </cell>
          <cell r="D433" t="str">
            <v>456000</v>
          </cell>
          <cell r="E433" t="str">
            <v>COMPTES COURANTS</v>
          </cell>
          <cell r="F433" t="str">
            <v>Autres Débiteurs Courants</v>
          </cell>
          <cell r="G433" t="str">
            <v>ACTIFS COURANTS</v>
          </cell>
        </row>
        <row r="434">
          <cell r="B434" t="str">
            <v>416998</v>
          </cell>
          <cell r="C434" t="str">
            <v>C/c Hors Hors Groupe</v>
          </cell>
          <cell r="D434" t="str">
            <v>467951</v>
          </cell>
          <cell r="E434" t="str">
            <v>ACHAT - BELGIQUE</v>
          </cell>
          <cell r="F434" t="str">
            <v>Autres passifs courants</v>
          </cell>
          <cell r="G434" t="str">
            <v>PASSIFS COURANTS</v>
          </cell>
        </row>
        <row r="435">
          <cell r="B435" t="str">
            <v>417000</v>
          </cell>
          <cell r="C435" t="str">
            <v>Résultat Manujac SCI</v>
          </cell>
          <cell r="D435" t="str">
            <v>467000</v>
          </cell>
          <cell r="E435" t="str">
            <v>AUTRES COMPTES DEBITEURS OU CREDITEURS</v>
          </cell>
          <cell r="F435" t="str">
            <v>Autres Débiteurs Courants</v>
          </cell>
          <cell r="G435" t="str">
            <v>ACTIFS COURANTS</v>
          </cell>
        </row>
        <row r="436">
          <cell r="B436" t="str">
            <v>418000</v>
          </cell>
          <cell r="C436" t="str">
            <v>PROVISION ONSS</v>
          </cell>
          <cell r="D436" t="str">
            <v>438200</v>
          </cell>
          <cell r="E436" t="str">
            <v xml:space="preserve">PROV. - CHARGES / CONGES PAYES         </v>
          </cell>
          <cell r="F436" t="str">
            <v>Autres passifs courants</v>
          </cell>
          <cell r="G436" t="str">
            <v>PASSIFS COURANTS</v>
          </cell>
        </row>
        <row r="437">
          <cell r="B437" t="str">
            <v>419000</v>
          </cell>
          <cell r="C437" t="str">
            <v>Réduction de Valeurs Actées</v>
          </cell>
          <cell r="D437" t="str">
            <v>496700</v>
          </cell>
          <cell r="E437" t="str">
            <v xml:space="preserve">PROV. DEPRECIAT° DEBITEURS DIVERS </v>
          </cell>
          <cell r="F437" t="str">
            <v>Créances Clients</v>
          </cell>
          <cell r="G437" t="str">
            <v>ACTIFS COURANTS</v>
          </cell>
        </row>
        <row r="438">
          <cell r="B438" t="str">
            <v>422000</v>
          </cell>
          <cell r="C438" t="str">
            <v>Fortis - Dettes locat°-Fin.</v>
          </cell>
          <cell r="D438" t="str">
            <v>164001</v>
          </cell>
          <cell r="E438" t="str">
            <v xml:space="preserve">EMPRUNT BELGIQUE      </v>
          </cell>
          <cell r="F438" t="str">
            <v>Passifs courants ou non courants portant intérêts ou non</v>
          </cell>
          <cell r="G438" t="str">
            <v>Passifs courants ou non courants</v>
          </cell>
        </row>
        <row r="439">
          <cell r="B439" t="str">
            <v>422010</v>
          </cell>
          <cell r="C439" t="str">
            <v>Dexia - Dettes locat°-Fin.</v>
          </cell>
          <cell r="D439" t="str">
            <v>164001</v>
          </cell>
          <cell r="E439" t="str">
            <v xml:space="preserve">EMPRUNT BELGIQUE      </v>
          </cell>
          <cell r="F439" t="str">
            <v>Passifs courants ou non courants portant intérêts ou non</v>
          </cell>
          <cell r="G439" t="str">
            <v>Passifs courants ou non courants</v>
          </cell>
        </row>
        <row r="440">
          <cell r="B440" t="str">
            <v>422020</v>
          </cell>
          <cell r="C440" t="str">
            <v>ING - Dettes locat°- Fin.</v>
          </cell>
          <cell r="D440" t="str">
            <v>164001</v>
          </cell>
          <cell r="E440" t="str">
            <v xml:space="preserve">EMPRUNT BELGIQUE      </v>
          </cell>
          <cell r="F440" t="str">
            <v>Passifs courants ou non courants portant intérêts ou non</v>
          </cell>
          <cell r="G440" t="str">
            <v>Passifs courants ou non courants</v>
          </cell>
        </row>
        <row r="441">
          <cell r="B441" t="str">
            <v>422040</v>
          </cell>
          <cell r="C441" t="str">
            <v>KBC - Dettes locat°- Fin.</v>
          </cell>
          <cell r="D441" t="str">
            <v>164001</v>
          </cell>
          <cell r="E441" t="str">
            <v xml:space="preserve">EMPRUNT BELGIQUE      </v>
          </cell>
          <cell r="F441" t="str">
            <v>Passifs courants ou non courants portant intérêts ou non</v>
          </cell>
          <cell r="G441" t="str">
            <v>Passifs courants ou non courants</v>
          </cell>
        </row>
        <row r="442">
          <cell r="B442" t="str">
            <v>422050</v>
          </cell>
          <cell r="C442" t="str">
            <v>AXA - Dettes locat°- Fin.</v>
          </cell>
          <cell r="D442" t="str">
            <v>164001</v>
          </cell>
          <cell r="E442" t="str">
            <v xml:space="preserve">EMPRUNT BELGIQUE      </v>
          </cell>
          <cell r="F442" t="str">
            <v>Passifs courants ou non courants portant intérêts ou non</v>
          </cell>
          <cell r="G442" t="str">
            <v>Passifs courants ou non courants</v>
          </cell>
        </row>
        <row r="443">
          <cell r="B443" t="str">
            <v>422060</v>
          </cell>
          <cell r="C443" t="str">
            <v>Vanbreda - Dettes locat°- Fin.</v>
          </cell>
          <cell r="D443" t="str">
            <v>164001</v>
          </cell>
          <cell r="E443" t="str">
            <v xml:space="preserve">EMPRUNT BELGIQUE      </v>
          </cell>
          <cell r="F443" t="str">
            <v>Passifs courants ou non courants portant intérêts ou non</v>
          </cell>
          <cell r="G443" t="str">
            <v>Passifs courants ou non courants</v>
          </cell>
        </row>
        <row r="444">
          <cell r="B444" t="str">
            <v>422070</v>
          </cell>
          <cell r="C444" t="str">
            <v>XXX - Dettes locat°- Fin.</v>
          </cell>
          <cell r="D444" t="str">
            <v>164001</v>
          </cell>
          <cell r="E444" t="str">
            <v xml:space="preserve">EMPRUNT BELGIQUE      </v>
          </cell>
          <cell r="F444" t="str">
            <v>Passifs courants ou non courants portant intérêts ou non</v>
          </cell>
          <cell r="G444" t="str">
            <v>Passifs courants ou non courants</v>
          </cell>
        </row>
        <row r="445">
          <cell r="B445" t="str">
            <v>422090</v>
          </cell>
          <cell r="C445" t="str">
            <v>XXX - Dettes locat°- Fin.</v>
          </cell>
          <cell r="D445" t="str">
            <v>164001</v>
          </cell>
          <cell r="E445" t="str">
            <v xml:space="preserve">EMPRUNT BELGIQUE      </v>
          </cell>
          <cell r="F445" t="str">
            <v>Passifs courants ou non courants portant intérêts ou non</v>
          </cell>
          <cell r="G445" t="str">
            <v>Passifs courants ou non courants</v>
          </cell>
        </row>
        <row r="446">
          <cell r="B446" t="str">
            <v>422100</v>
          </cell>
          <cell r="C446" t="str">
            <v>XXX - Dettes locat°- Fin.</v>
          </cell>
          <cell r="D446" t="str">
            <v>164001</v>
          </cell>
          <cell r="E446" t="str">
            <v xml:space="preserve">EMPRUNT BELGIQUE      </v>
          </cell>
          <cell r="F446" t="str">
            <v>Passifs courants ou non courants portant intérêts ou non</v>
          </cell>
          <cell r="G446" t="str">
            <v>Passifs courants ou non courants</v>
          </cell>
        </row>
        <row r="447">
          <cell r="B447" t="str">
            <v>423000</v>
          </cell>
          <cell r="C447" t="str">
            <v>FORTIS - EMPRUNT</v>
          </cell>
          <cell r="D447" t="str">
            <v>164001</v>
          </cell>
          <cell r="E447" t="str">
            <v xml:space="preserve">EMPRUNT BELGIQUE      </v>
          </cell>
          <cell r="F447" t="str">
            <v>Passifs courants ou non courants portant intérêts ou non</v>
          </cell>
          <cell r="G447" t="str">
            <v>Passifs courants ou non courants</v>
          </cell>
        </row>
        <row r="448">
          <cell r="B448" t="str">
            <v>423010</v>
          </cell>
          <cell r="C448" t="str">
            <v>DEXIA - EMPRUNT</v>
          </cell>
          <cell r="D448" t="str">
            <v>164001</v>
          </cell>
          <cell r="E448" t="str">
            <v xml:space="preserve">EMPRUNT BELGIQUE      </v>
          </cell>
          <cell r="F448" t="str">
            <v>Passifs courants ou non courants portant intérêts ou non</v>
          </cell>
          <cell r="G448" t="str">
            <v>Passifs courants ou non courants</v>
          </cell>
        </row>
        <row r="449">
          <cell r="B449" t="str">
            <v>423020</v>
          </cell>
          <cell r="C449" t="str">
            <v>ING - EMPRUNT</v>
          </cell>
          <cell r="D449" t="str">
            <v>164001</v>
          </cell>
          <cell r="E449" t="str">
            <v xml:space="preserve">EMPRUNT BELGIQUE      </v>
          </cell>
          <cell r="F449" t="str">
            <v>Passifs courants ou non courants portant intérêts ou non</v>
          </cell>
          <cell r="G449" t="str">
            <v>Passifs courants ou non courants</v>
          </cell>
        </row>
        <row r="450">
          <cell r="B450" t="str">
            <v>423030</v>
          </cell>
          <cell r="C450" t="str">
            <v>CBC - Emprunt</v>
          </cell>
          <cell r="D450" t="str">
            <v>164001</v>
          </cell>
          <cell r="E450" t="str">
            <v xml:space="preserve">EMPRUNT BELGIQUE      </v>
          </cell>
          <cell r="F450" t="str">
            <v>Passifs courants ou non courants portant intérêts ou non</v>
          </cell>
          <cell r="G450" t="str">
            <v>Passifs courants ou non courants</v>
          </cell>
        </row>
        <row r="451">
          <cell r="B451" t="str">
            <v>423040</v>
          </cell>
          <cell r="C451" t="str">
            <v>KBC - EMPRUNT</v>
          </cell>
          <cell r="D451" t="str">
            <v>164001</v>
          </cell>
          <cell r="E451" t="str">
            <v xml:space="preserve">EMPRUNT BELGIQUE      </v>
          </cell>
          <cell r="F451" t="str">
            <v>Passifs courants ou non courants portant intérêts ou non</v>
          </cell>
          <cell r="G451" t="str">
            <v>Passifs courants ou non courants</v>
          </cell>
        </row>
        <row r="452">
          <cell r="B452" t="str">
            <v>423050</v>
          </cell>
          <cell r="C452" t="str">
            <v>ING - Emprunt</v>
          </cell>
          <cell r="D452" t="str">
            <v>164001</v>
          </cell>
          <cell r="E452" t="str">
            <v xml:space="preserve">EMPRUNT BELGIQUE      </v>
          </cell>
          <cell r="F452" t="str">
            <v>Passifs courants ou non courants portant intérêts ou non</v>
          </cell>
          <cell r="G452" t="str">
            <v>Passifs courants ou non courants</v>
          </cell>
        </row>
        <row r="453">
          <cell r="B453" t="str">
            <v>423060</v>
          </cell>
          <cell r="C453" t="str">
            <v>Crédit Agricole - Emprunt</v>
          </cell>
          <cell r="D453" t="str">
            <v>164001</v>
          </cell>
          <cell r="E453" t="str">
            <v xml:space="preserve">EMPRUNT BELGIQUE      </v>
          </cell>
          <cell r="F453" t="str">
            <v>Passifs courants ou non courants portant intérêts ou non</v>
          </cell>
          <cell r="G453" t="str">
            <v>Passifs courants ou non courants</v>
          </cell>
        </row>
        <row r="454">
          <cell r="B454" t="str">
            <v>423090</v>
          </cell>
          <cell r="C454" t="str">
            <v>XXX - EMPRUNT</v>
          </cell>
          <cell r="D454" t="str">
            <v>164001</v>
          </cell>
          <cell r="E454" t="str">
            <v xml:space="preserve">EMPRUNT BELGIQUE      </v>
          </cell>
          <cell r="F454" t="str">
            <v>Passifs courants ou non courants portant intérêts ou non</v>
          </cell>
          <cell r="G454" t="str">
            <v>Passifs courants ou non courants</v>
          </cell>
        </row>
        <row r="455">
          <cell r="B455" t="str">
            <v>430000</v>
          </cell>
          <cell r="C455" t="str">
            <v>FORTIS - STRAIGHT LOAN</v>
          </cell>
          <cell r="D455" t="str">
            <v>164001</v>
          </cell>
          <cell r="E455" t="str">
            <v xml:space="preserve">EMPRUNT BELGIQUE      </v>
          </cell>
          <cell r="F455" t="str">
            <v>Passifs courants ou non courants portant intérêts ou non</v>
          </cell>
          <cell r="G455" t="str">
            <v>Passifs courants ou non courants</v>
          </cell>
        </row>
        <row r="456">
          <cell r="B456" t="str">
            <v>430010</v>
          </cell>
          <cell r="C456" t="str">
            <v>DEXIA - STRAIGHT LOAN</v>
          </cell>
          <cell r="D456" t="str">
            <v>164001</v>
          </cell>
          <cell r="E456" t="str">
            <v xml:space="preserve">EMPRUNT BELGIQUE      </v>
          </cell>
          <cell r="F456" t="str">
            <v>Passifs courants ou non courants portant intérêts ou non</v>
          </cell>
          <cell r="G456" t="str">
            <v>Passifs courants ou non courants</v>
          </cell>
        </row>
        <row r="457">
          <cell r="B457" t="str">
            <v>430020</v>
          </cell>
          <cell r="C457" t="str">
            <v>ING - Straight Loan</v>
          </cell>
          <cell r="D457" t="str">
            <v>164001</v>
          </cell>
          <cell r="E457" t="str">
            <v xml:space="preserve">EMPRUNT BELGIQUE      </v>
          </cell>
          <cell r="F457" t="str">
            <v>Passifs courants ou non courants portant intérêts ou non</v>
          </cell>
          <cell r="G457" t="str">
            <v>Passifs courants ou non courants</v>
          </cell>
        </row>
        <row r="458">
          <cell r="B458" t="str">
            <v>430030</v>
          </cell>
          <cell r="C458" t="str">
            <v>CBC - Straight Loan</v>
          </cell>
          <cell r="D458" t="str">
            <v>164001</v>
          </cell>
          <cell r="E458" t="str">
            <v xml:space="preserve">EMPRUNT BELGIQUE      </v>
          </cell>
          <cell r="F458" t="str">
            <v>Passifs courants ou non courants portant intérêts ou non</v>
          </cell>
          <cell r="G458" t="str">
            <v>Passifs courants ou non courants</v>
          </cell>
        </row>
        <row r="459">
          <cell r="B459" t="str">
            <v>430040</v>
          </cell>
          <cell r="C459" t="str">
            <v>KBC - STRAIGHT LOAN</v>
          </cell>
          <cell r="D459" t="str">
            <v>164001</v>
          </cell>
          <cell r="E459" t="str">
            <v xml:space="preserve">EMPRUNT BELGIQUE      </v>
          </cell>
          <cell r="F459" t="str">
            <v>Passifs courants ou non courants portant intérêts ou non</v>
          </cell>
          <cell r="G459" t="str">
            <v>Passifs courants ou non courants</v>
          </cell>
        </row>
        <row r="460">
          <cell r="B460" t="str">
            <v>430060</v>
          </cell>
          <cell r="C460" t="str">
            <v>Vanbreda - Straight Loan</v>
          </cell>
          <cell r="D460" t="str">
            <v>164001</v>
          </cell>
          <cell r="E460" t="str">
            <v xml:space="preserve">EMPRUNT BELGIQUE      </v>
          </cell>
          <cell r="F460" t="str">
            <v>Passifs courants ou non courants portant intérêts ou non</v>
          </cell>
          <cell r="G460" t="str">
            <v>Passifs courants ou non courants</v>
          </cell>
        </row>
        <row r="461">
          <cell r="B461" t="str">
            <v>433000</v>
          </cell>
          <cell r="C461" t="str">
            <v>Fortis - C|c</v>
          </cell>
          <cell r="D461" t="str">
            <v>164001</v>
          </cell>
          <cell r="E461" t="str">
            <v xml:space="preserve">EMPRUNT BELGIQUE      </v>
          </cell>
          <cell r="F461" t="str">
            <v>Passifs courants ou non courants portant intérêts ou non</v>
          </cell>
          <cell r="G461" t="str">
            <v>Passifs courants ou non courants</v>
          </cell>
        </row>
        <row r="462">
          <cell r="B462" t="str">
            <v>433010</v>
          </cell>
          <cell r="C462" t="str">
            <v>Dexia - C|c</v>
          </cell>
          <cell r="D462" t="str">
            <v>164001</v>
          </cell>
          <cell r="E462" t="str">
            <v xml:space="preserve">EMPRUNT BELGIQUE      </v>
          </cell>
          <cell r="F462" t="str">
            <v>Passifs courants ou non courants portant intérêts ou non</v>
          </cell>
          <cell r="G462" t="str">
            <v>Passifs courants ou non courants</v>
          </cell>
        </row>
        <row r="463">
          <cell r="B463" t="str">
            <v>433020</v>
          </cell>
          <cell r="C463" t="str">
            <v>ING - C|c</v>
          </cell>
          <cell r="D463" t="str">
            <v>164001</v>
          </cell>
          <cell r="E463" t="str">
            <v xml:space="preserve">EMPRUNT BELGIQUE      </v>
          </cell>
          <cell r="F463" t="str">
            <v>Passifs courants ou non courants portant intérêts ou non</v>
          </cell>
          <cell r="G463" t="str">
            <v>Passifs courants ou non courants</v>
          </cell>
        </row>
        <row r="464">
          <cell r="B464" t="str">
            <v>433040</v>
          </cell>
          <cell r="C464" t="str">
            <v>KBC - C|c</v>
          </cell>
          <cell r="D464" t="str">
            <v>164001</v>
          </cell>
          <cell r="E464" t="str">
            <v xml:space="preserve">EMPRUNT BELGIQUE      </v>
          </cell>
          <cell r="F464" t="str">
            <v>Passifs courants ou non courants portant intérêts ou non</v>
          </cell>
          <cell r="G464" t="str">
            <v>Passifs courants ou non courants</v>
          </cell>
        </row>
        <row r="465">
          <cell r="B465" t="str">
            <v>440000</v>
          </cell>
          <cell r="C465" t="str">
            <v>FOURNISSEURS</v>
          </cell>
          <cell r="D465" t="str">
            <v>401000</v>
          </cell>
          <cell r="E465" t="str">
            <v xml:space="preserve">COMPTE GENERAL - FOURNISSEURS          </v>
          </cell>
          <cell r="F465" t="str">
            <v>Fournisseurs et autres créditeurs courants</v>
          </cell>
          <cell r="G465" t="str">
            <v>PASSIFS COURANTS</v>
          </cell>
        </row>
        <row r="466">
          <cell r="B466" t="str">
            <v>444000</v>
          </cell>
          <cell r="C466" t="str">
            <v>Factures à recevoir</v>
          </cell>
          <cell r="D466" t="str">
            <v>408000</v>
          </cell>
          <cell r="E466" t="str">
            <v xml:space="preserve">FOURNISSEURS - F.N.P.      </v>
          </cell>
          <cell r="F466" t="str">
            <v>Fournisseurs et autres créditeurs courants</v>
          </cell>
          <cell r="G466" t="str">
            <v>PASSIFS COURANTS</v>
          </cell>
        </row>
        <row r="467">
          <cell r="B467" t="str">
            <v>444100</v>
          </cell>
          <cell r="C467" t="str">
            <v>Notes de Crédit à Etablir</v>
          </cell>
          <cell r="D467" t="str">
            <v>419800</v>
          </cell>
          <cell r="E467" t="str">
            <v xml:space="preserve">CLIENTS - RRR A ACCORDER               </v>
          </cell>
          <cell r="F467" t="str">
            <v>Fournisseurs et autres créditeurs courants</v>
          </cell>
          <cell r="G467" t="str">
            <v>PASSIFS COURANTS</v>
          </cell>
        </row>
        <row r="468">
          <cell r="B468" t="str">
            <v>445000</v>
          </cell>
          <cell r="C468" t="str">
            <v>Clients Créditeurs</v>
          </cell>
          <cell r="D468" t="str">
            <v>419700</v>
          </cell>
          <cell r="E468" t="str">
            <v>CLIENTS CREDITEURS - PRESENTAT° BILAN</v>
          </cell>
          <cell r="F468" t="str">
            <v>Fournisseurs et autres créditeurs courants</v>
          </cell>
          <cell r="G468" t="str">
            <v>PASSIFS COURANTS</v>
          </cell>
        </row>
        <row r="469">
          <cell r="B469" t="str">
            <v>445001</v>
          </cell>
          <cell r="C469" t="str">
            <v>Caisse Dépôt &amp; Consignation</v>
          </cell>
          <cell r="D469" t="str">
            <v>419700</v>
          </cell>
          <cell r="E469" t="str">
            <v>CLIENTS CREDITEURS - PRESENTAT° BILAN</v>
          </cell>
          <cell r="F469" t="str">
            <v>Fournisseurs et autres créditeurs courants</v>
          </cell>
          <cell r="G469" t="str">
            <v>PASSIFS COURANTS</v>
          </cell>
        </row>
        <row r="470">
          <cell r="B470" t="str">
            <v>445002</v>
          </cell>
          <cell r="C470" t="str">
            <v>Rbst Clients Débiteurs</v>
          </cell>
          <cell r="D470" t="str">
            <v>419700</v>
          </cell>
          <cell r="E470" t="str">
            <v>CLIENTS CREDITEURS - PRESENTAT° BILAN</v>
          </cell>
          <cell r="F470" t="str">
            <v>Fournisseurs et autres créditeurs courants</v>
          </cell>
          <cell r="G470" t="str">
            <v>PASSIFS COURANTS</v>
          </cell>
        </row>
        <row r="471">
          <cell r="B471" t="str">
            <v>450000</v>
          </cell>
          <cell r="C471" t="str">
            <v>Dettes fiscales estimées</v>
          </cell>
          <cell r="D471" t="str">
            <v>444000</v>
          </cell>
          <cell r="E471" t="str">
            <v>ETAT - IS (ACOMPTES)</v>
          </cell>
          <cell r="F471" t="str">
            <v>Autres passifs courants</v>
          </cell>
          <cell r="G471" t="str">
            <v>PASSIFS COURANTS</v>
          </cell>
        </row>
        <row r="472">
          <cell r="B472" t="str">
            <v>451000</v>
          </cell>
          <cell r="C472" t="str">
            <v>TVA à payer</v>
          </cell>
          <cell r="D472" t="str">
            <v>445510</v>
          </cell>
          <cell r="E472" t="str">
            <v xml:space="preserve">TVA A DECAISSER                       </v>
          </cell>
          <cell r="F472" t="str">
            <v>Autres passifs courants</v>
          </cell>
          <cell r="G472" t="str">
            <v>PASSIFS COURANTS</v>
          </cell>
        </row>
        <row r="473">
          <cell r="B473" t="str">
            <v>451001</v>
          </cell>
          <cell r="C473" t="str">
            <v>TVA XXXXX</v>
          </cell>
          <cell r="D473" t="str">
            <v>448660</v>
          </cell>
          <cell r="E473" t="str">
            <v>CHARGES A PAYER : AUTRES</v>
          </cell>
          <cell r="F473" t="str">
            <v>Autres passifs courants</v>
          </cell>
          <cell r="G473" t="str">
            <v>PASSIFS COURANTS</v>
          </cell>
        </row>
        <row r="474">
          <cell r="B474" t="str">
            <v>451002</v>
          </cell>
          <cell r="C474" t="str">
            <v>TVA ZZZZZ</v>
          </cell>
          <cell r="D474" t="str">
            <v>448660</v>
          </cell>
          <cell r="E474" t="str">
            <v>CHARGES A PAYER : AUTRES</v>
          </cell>
          <cell r="F474" t="str">
            <v>Autres passifs courants</v>
          </cell>
          <cell r="G474" t="str">
            <v>PASSIFS COURANTS</v>
          </cell>
        </row>
        <row r="475">
          <cell r="B475" t="str">
            <v>451003</v>
          </cell>
          <cell r="C475" t="str">
            <v>TVA ZZZZZ</v>
          </cell>
          <cell r="D475" t="str">
            <v>448660</v>
          </cell>
          <cell r="E475" t="str">
            <v>CHARGES A PAYER : AUTRES</v>
          </cell>
          <cell r="F475" t="str">
            <v>Autres passifs courants</v>
          </cell>
          <cell r="G475" t="str">
            <v>PASSIFS COURANTS</v>
          </cell>
        </row>
        <row r="476">
          <cell r="B476" t="str">
            <v>451055</v>
          </cell>
          <cell r="C476" t="str">
            <v>TVA Co contractant</v>
          </cell>
          <cell r="D476" t="str">
            <v>448660</v>
          </cell>
          <cell r="E476" t="str">
            <v>CHARGES A PAYER : AUTRES</v>
          </cell>
          <cell r="F476" t="str">
            <v>Autres passifs courants</v>
          </cell>
          <cell r="G476" t="str">
            <v>PASSIFS COURANTS</v>
          </cell>
        </row>
        <row r="477">
          <cell r="B477" t="str">
            <v>451056</v>
          </cell>
          <cell r="C477" t="str">
            <v>TVA Co contractant due</v>
          </cell>
          <cell r="D477" t="str">
            <v>448660</v>
          </cell>
          <cell r="E477" t="str">
            <v>CHARGES A PAYER : AUTRES</v>
          </cell>
          <cell r="F477" t="str">
            <v>Autres passifs courants</v>
          </cell>
          <cell r="G477" t="str">
            <v>PASSIFS COURANTS</v>
          </cell>
        </row>
        <row r="478">
          <cell r="B478" t="str">
            <v>452000</v>
          </cell>
          <cell r="C478" t="str">
            <v>Impôts et taxes à payer</v>
          </cell>
          <cell r="D478" t="str">
            <v>448660</v>
          </cell>
          <cell r="E478" t="str">
            <v>CHARGES A PAYER : AUTRES</v>
          </cell>
          <cell r="F478" t="str">
            <v>Autres passifs courants</v>
          </cell>
          <cell r="G478" t="str">
            <v>PASSIFS COURANTS</v>
          </cell>
        </row>
        <row r="479">
          <cell r="B479" t="str">
            <v>452010</v>
          </cell>
          <cell r="C479" t="str">
            <v>Précompte Immob. à payer</v>
          </cell>
          <cell r="D479" t="str">
            <v>448660</v>
          </cell>
          <cell r="E479" t="str">
            <v>CHARGES A PAYER : AUTRES</v>
          </cell>
          <cell r="F479" t="str">
            <v>Autres passifs courants</v>
          </cell>
          <cell r="G479" t="str">
            <v>PASSIFS COURANTS</v>
          </cell>
        </row>
        <row r="480">
          <cell r="B480" t="str">
            <v>452020</v>
          </cell>
          <cell r="C480" t="str">
            <v>TAXES BRUXELLES-CAPITALE</v>
          </cell>
          <cell r="D480" t="str">
            <v>448660</v>
          </cell>
          <cell r="E480" t="str">
            <v>CHARGES A PAYER : AUTRES</v>
          </cell>
          <cell r="F480" t="str">
            <v>Autres passifs courants</v>
          </cell>
          <cell r="G480" t="str">
            <v>PASSIFS COURANTS</v>
          </cell>
        </row>
        <row r="481">
          <cell r="B481" t="str">
            <v>452025</v>
          </cell>
          <cell r="C481" t="str">
            <v>TAXES COMMUNALES PARKING</v>
          </cell>
          <cell r="D481" t="str">
            <v>448660</v>
          </cell>
          <cell r="E481" t="str">
            <v>CHARGES A PAYER : AUTRES</v>
          </cell>
          <cell r="F481" t="str">
            <v>Autres passifs courants</v>
          </cell>
          <cell r="G481" t="str">
            <v>PASSIFS COURANTS</v>
          </cell>
        </row>
        <row r="482">
          <cell r="B482" t="str">
            <v>453000</v>
          </cell>
          <cell r="C482" t="str">
            <v>Précompte Prof. à payer</v>
          </cell>
          <cell r="D482" t="str">
            <v>448660</v>
          </cell>
          <cell r="E482" t="str">
            <v>CHARGES A PAYER : AUTRES</v>
          </cell>
          <cell r="F482" t="str">
            <v>Autres passifs courants</v>
          </cell>
          <cell r="G482" t="str">
            <v>PASSIFS COURANTS</v>
          </cell>
        </row>
        <row r="483">
          <cell r="B483" t="str">
            <v>453001</v>
          </cell>
          <cell r="C483" t="str">
            <v>PP Administrateurs</v>
          </cell>
          <cell r="D483" t="str">
            <v>448660</v>
          </cell>
          <cell r="E483" t="str">
            <v>CHARGES A PAYER : AUTRES</v>
          </cell>
          <cell r="F483" t="str">
            <v>Autres passifs courants</v>
          </cell>
          <cell r="G483" t="str">
            <v>PASSIFS COURANTS</v>
          </cell>
        </row>
        <row r="484">
          <cell r="B484" t="str">
            <v>453020</v>
          </cell>
          <cell r="C484" t="str">
            <v>Précompte Prof. à payer</v>
          </cell>
          <cell r="D484" t="str">
            <v>448660</v>
          </cell>
          <cell r="E484" t="str">
            <v>CHARGES A PAYER : AUTRES</v>
          </cell>
          <cell r="F484" t="str">
            <v>Autres passifs courants</v>
          </cell>
          <cell r="G484" t="str">
            <v>PASSIFS COURANTS</v>
          </cell>
        </row>
        <row r="485">
          <cell r="B485" t="str">
            <v>453200</v>
          </cell>
          <cell r="C485" t="str">
            <v>Précompte mobilier s/dividende</v>
          </cell>
          <cell r="D485" t="str">
            <v>448660</v>
          </cell>
          <cell r="E485" t="str">
            <v>CHARGES A PAYER : AUTRES</v>
          </cell>
          <cell r="F485" t="str">
            <v>Autres passifs courants</v>
          </cell>
          <cell r="G485" t="str">
            <v>PASSIFS COURANTS</v>
          </cell>
        </row>
        <row r="486">
          <cell r="B486" t="str">
            <v>454000</v>
          </cell>
          <cell r="C486" t="str">
            <v>O.N.S.S. à payer</v>
          </cell>
          <cell r="D486" t="str">
            <v>431000</v>
          </cell>
          <cell r="E486" t="str">
            <v xml:space="preserve">SECURITE SOCIALE                       </v>
          </cell>
          <cell r="F486" t="str">
            <v>Autres passifs courants</v>
          </cell>
          <cell r="G486" t="str">
            <v>PASSIFS COURANTS</v>
          </cell>
        </row>
        <row r="487">
          <cell r="B487" t="str">
            <v>454001</v>
          </cell>
          <cell r="C487" t="str">
            <v>ONP</v>
          </cell>
          <cell r="D487" t="str">
            <v>431000</v>
          </cell>
          <cell r="E487" t="str">
            <v xml:space="preserve">SECURITE SOCIALE                       </v>
          </cell>
          <cell r="F487" t="str">
            <v>Autres passifs courants</v>
          </cell>
          <cell r="G487" t="str">
            <v>PASSIFS COURANTS</v>
          </cell>
        </row>
        <row r="488">
          <cell r="B488" t="str">
            <v>454002</v>
          </cell>
          <cell r="C488" t="str">
            <v>ONSS - Exercice précédent</v>
          </cell>
          <cell r="D488" t="str">
            <v>431000</v>
          </cell>
          <cell r="E488" t="str">
            <v xml:space="preserve">SECURITE SOCIALE                       </v>
          </cell>
          <cell r="F488" t="str">
            <v>Autres passifs courants</v>
          </cell>
          <cell r="G488" t="str">
            <v>PASSIFS COURANTS</v>
          </cell>
        </row>
        <row r="489">
          <cell r="B489" t="str">
            <v>455000</v>
          </cell>
          <cell r="C489" t="str">
            <v>Rémunération</v>
          </cell>
          <cell r="D489" t="str">
            <v>421000</v>
          </cell>
          <cell r="E489" t="str">
            <v xml:space="preserve">PERSONNEL - REMUNERATIONS DUES         </v>
          </cell>
          <cell r="F489" t="str">
            <v>Autres passifs courants</v>
          </cell>
          <cell r="G489" t="str">
            <v>PASSIFS COURANTS</v>
          </cell>
        </row>
        <row r="490">
          <cell r="B490" t="str">
            <v>455100</v>
          </cell>
          <cell r="C490" t="str">
            <v>Rémun. Direction</v>
          </cell>
          <cell r="D490" t="str">
            <v>421000</v>
          </cell>
          <cell r="E490" t="str">
            <v xml:space="preserve">PERSONNEL - REMUNERATIONS DUES         </v>
          </cell>
          <cell r="F490" t="str">
            <v>Autres passifs courants</v>
          </cell>
          <cell r="G490" t="str">
            <v>PASSIFS COURANTS</v>
          </cell>
        </row>
        <row r="491">
          <cell r="B491" t="str">
            <v>455200</v>
          </cell>
          <cell r="C491" t="str">
            <v>Rémun. Employés</v>
          </cell>
          <cell r="D491" t="str">
            <v>421000</v>
          </cell>
          <cell r="E491" t="str">
            <v xml:space="preserve">PERSONNEL - REMUNERATIONS DUES         </v>
          </cell>
          <cell r="F491" t="str">
            <v>Autres passifs courants</v>
          </cell>
          <cell r="G491" t="str">
            <v>PASSIFS COURANTS</v>
          </cell>
        </row>
        <row r="492">
          <cell r="B492" t="str">
            <v>455201</v>
          </cell>
          <cell r="C492" t="str">
            <v>Rémun. Employés</v>
          </cell>
          <cell r="D492" t="str">
            <v>421000</v>
          </cell>
          <cell r="E492" t="str">
            <v xml:space="preserve">PERSONNEL - REMUNERATIONS DUES         </v>
          </cell>
          <cell r="F492" t="str">
            <v>Autres passifs courants</v>
          </cell>
          <cell r="G492" t="str">
            <v>PASSIFS COURANTS</v>
          </cell>
        </row>
        <row r="493">
          <cell r="B493" t="str">
            <v>455202</v>
          </cell>
          <cell r="C493" t="str">
            <v>Rémun. Employés</v>
          </cell>
          <cell r="D493" t="str">
            <v>421000</v>
          </cell>
          <cell r="E493" t="str">
            <v xml:space="preserve">PERSONNEL - REMUNERATIONS DUES         </v>
          </cell>
          <cell r="F493" t="str">
            <v>Autres passifs courants</v>
          </cell>
          <cell r="G493" t="str">
            <v>PASSIFS COURANTS</v>
          </cell>
        </row>
        <row r="494">
          <cell r="B494" t="str">
            <v>455203</v>
          </cell>
          <cell r="C494" t="str">
            <v>Rémun. Employés</v>
          </cell>
          <cell r="D494" t="str">
            <v>421000</v>
          </cell>
          <cell r="E494" t="str">
            <v xml:space="preserve">PERSONNEL - REMUNERATIONS DUES         </v>
          </cell>
          <cell r="F494" t="str">
            <v>Autres passifs courants</v>
          </cell>
          <cell r="G494" t="str">
            <v>PASSIFS COURANTS</v>
          </cell>
        </row>
        <row r="495">
          <cell r="B495" t="str">
            <v>455204</v>
          </cell>
          <cell r="C495" t="str">
            <v>Rémun. Employés</v>
          </cell>
          <cell r="D495" t="str">
            <v>421000</v>
          </cell>
          <cell r="E495" t="str">
            <v xml:space="preserve">PERSONNEL - REMUNERATIONS DUES         </v>
          </cell>
          <cell r="F495" t="str">
            <v>Autres passifs courants</v>
          </cell>
          <cell r="G495" t="str">
            <v>PASSIFS COURANTS</v>
          </cell>
        </row>
        <row r="496">
          <cell r="B496" t="str">
            <v>455205</v>
          </cell>
          <cell r="C496" t="str">
            <v>Rémun. Employés</v>
          </cell>
          <cell r="D496" t="str">
            <v>421000</v>
          </cell>
          <cell r="E496" t="str">
            <v xml:space="preserve">PERSONNEL - REMUNERATIONS DUES         </v>
          </cell>
          <cell r="F496" t="str">
            <v>Autres passifs courants</v>
          </cell>
          <cell r="G496" t="str">
            <v>PASSIFS COURANTS</v>
          </cell>
        </row>
        <row r="497">
          <cell r="B497" t="str">
            <v>455206</v>
          </cell>
          <cell r="C497" t="str">
            <v>Rémun. Employés</v>
          </cell>
          <cell r="D497" t="str">
            <v>421000</v>
          </cell>
          <cell r="E497" t="str">
            <v xml:space="preserve">PERSONNEL - REMUNERATIONS DUES         </v>
          </cell>
          <cell r="F497" t="str">
            <v>Autres passifs courants</v>
          </cell>
          <cell r="G497" t="str">
            <v>PASSIFS COURANTS</v>
          </cell>
        </row>
        <row r="498">
          <cell r="B498" t="str">
            <v>455207</v>
          </cell>
          <cell r="C498" t="str">
            <v>Rémun. Employés</v>
          </cell>
          <cell r="D498" t="str">
            <v>421000</v>
          </cell>
          <cell r="E498" t="str">
            <v xml:space="preserve">PERSONNEL - REMUNERATIONS DUES         </v>
          </cell>
          <cell r="F498" t="str">
            <v>Autres passifs courants</v>
          </cell>
          <cell r="G498" t="str">
            <v>PASSIFS COURANTS</v>
          </cell>
        </row>
        <row r="499">
          <cell r="B499" t="str">
            <v>455300</v>
          </cell>
          <cell r="C499" t="str">
            <v>Rémun. Ouvriers</v>
          </cell>
          <cell r="D499" t="str">
            <v>421000</v>
          </cell>
          <cell r="E499" t="str">
            <v xml:space="preserve">PERSONNEL - REMUNERATIONS DUES         </v>
          </cell>
          <cell r="F499" t="str">
            <v>Autres passifs courants</v>
          </cell>
          <cell r="G499" t="str">
            <v>PASSIFS COURANTS</v>
          </cell>
        </row>
        <row r="500">
          <cell r="B500" t="str">
            <v>455301</v>
          </cell>
          <cell r="C500" t="str">
            <v>Rémun. Ouvriers</v>
          </cell>
          <cell r="D500" t="str">
            <v>421000</v>
          </cell>
          <cell r="E500" t="str">
            <v xml:space="preserve">PERSONNEL - REMUNERATIONS DUES         </v>
          </cell>
          <cell r="F500" t="str">
            <v>Autres passifs courants</v>
          </cell>
          <cell r="G500" t="str">
            <v>PASSIFS COURANTS</v>
          </cell>
        </row>
        <row r="501">
          <cell r="B501" t="str">
            <v>455302</v>
          </cell>
          <cell r="C501" t="str">
            <v>Rémun. Ouvriers</v>
          </cell>
          <cell r="D501" t="str">
            <v>421000</v>
          </cell>
          <cell r="E501" t="str">
            <v xml:space="preserve">PERSONNEL - REMUNERATIONS DUES         </v>
          </cell>
          <cell r="F501" t="str">
            <v>Autres passifs courants</v>
          </cell>
          <cell r="G501" t="str">
            <v>PASSIFS COURANTS</v>
          </cell>
        </row>
        <row r="502">
          <cell r="B502" t="str">
            <v>455303</v>
          </cell>
          <cell r="C502" t="str">
            <v>Rémun. Ouvriers</v>
          </cell>
          <cell r="D502" t="str">
            <v>421000</v>
          </cell>
          <cell r="E502" t="str">
            <v xml:space="preserve">PERSONNEL - REMUNERATIONS DUES         </v>
          </cell>
          <cell r="F502" t="str">
            <v>Autres passifs courants</v>
          </cell>
          <cell r="G502" t="str">
            <v>PASSIFS COURANTS</v>
          </cell>
        </row>
        <row r="503">
          <cell r="B503" t="str">
            <v>455304</v>
          </cell>
          <cell r="C503" t="str">
            <v>Rémun. Ouvriers</v>
          </cell>
          <cell r="D503" t="str">
            <v>421000</v>
          </cell>
          <cell r="E503" t="str">
            <v xml:space="preserve">PERSONNEL - REMUNERATIONS DUES         </v>
          </cell>
          <cell r="F503" t="str">
            <v>Autres passifs courants</v>
          </cell>
          <cell r="G503" t="str">
            <v>PASSIFS COURANTS</v>
          </cell>
        </row>
        <row r="504">
          <cell r="B504" t="str">
            <v>455305</v>
          </cell>
          <cell r="C504" t="str">
            <v>Rémun. Ouvriers</v>
          </cell>
          <cell r="D504" t="str">
            <v>421000</v>
          </cell>
          <cell r="E504" t="str">
            <v xml:space="preserve">PERSONNEL - REMUNERATIONS DUES         </v>
          </cell>
          <cell r="F504" t="str">
            <v>Autres passifs courants</v>
          </cell>
          <cell r="G504" t="str">
            <v>PASSIFS COURANTS</v>
          </cell>
        </row>
        <row r="505">
          <cell r="B505" t="str">
            <v>455306</v>
          </cell>
          <cell r="C505" t="str">
            <v>Rémun. Ouvriers</v>
          </cell>
          <cell r="D505" t="str">
            <v>421000</v>
          </cell>
          <cell r="E505" t="str">
            <v xml:space="preserve">PERSONNEL - REMUNERATIONS DUES         </v>
          </cell>
          <cell r="F505" t="str">
            <v>Autres passifs courants</v>
          </cell>
          <cell r="G505" t="str">
            <v>PASSIFS COURANTS</v>
          </cell>
        </row>
        <row r="506">
          <cell r="B506" t="str">
            <v>455307</v>
          </cell>
          <cell r="C506" t="str">
            <v>Rémun. Ouvriers</v>
          </cell>
          <cell r="D506" t="str">
            <v>421000</v>
          </cell>
          <cell r="E506" t="str">
            <v xml:space="preserve">PERSONNEL - REMUNERATIONS DUES         </v>
          </cell>
          <cell r="F506" t="str">
            <v>Autres passifs courants</v>
          </cell>
          <cell r="G506" t="str">
            <v>PASSIFS COURANTS</v>
          </cell>
        </row>
        <row r="507">
          <cell r="B507" t="str">
            <v>455400</v>
          </cell>
          <cell r="C507" t="str">
            <v>Rémun. Etudiants</v>
          </cell>
          <cell r="D507" t="str">
            <v>421000</v>
          </cell>
          <cell r="E507" t="str">
            <v xml:space="preserve">PERSONNEL - REMUNERATIONS DUES         </v>
          </cell>
          <cell r="F507" t="str">
            <v>Autres passifs courants</v>
          </cell>
          <cell r="G507" t="str">
            <v>PASSIFS COURANTS</v>
          </cell>
        </row>
        <row r="508">
          <cell r="B508" t="str">
            <v>455500</v>
          </cell>
          <cell r="C508" t="str">
            <v>Heures supp à récupérer</v>
          </cell>
          <cell r="D508" t="str">
            <v>421000</v>
          </cell>
          <cell r="E508" t="str">
            <v xml:space="preserve">PERSONNEL - REMUNERATIONS DUES         </v>
          </cell>
          <cell r="F508" t="str">
            <v>Autres passifs courants</v>
          </cell>
          <cell r="G508" t="str">
            <v>PASSIFS COURANTS</v>
          </cell>
        </row>
        <row r="509">
          <cell r="B509" t="str">
            <v>456000</v>
          </cell>
          <cell r="C509" t="str">
            <v>Rémun. Ouvriers</v>
          </cell>
          <cell r="D509" t="str">
            <v>421000</v>
          </cell>
          <cell r="E509" t="str">
            <v xml:space="preserve">PERSONNEL - REMUNERATIONS DUES         </v>
          </cell>
          <cell r="F509" t="str">
            <v>Autres passifs courants</v>
          </cell>
          <cell r="G509" t="str">
            <v>PASSIFS COURANTS</v>
          </cell>
        </row>
        <row r="510">
          <cell r="B510" t="str">
            <v>456200</v>
          </cell>
          <cell r="C510" t="str">
            <v>Prov. P.V. Employés</v>
          </cell>
          <cell r="D510" t="str">
            <v>428200</v>
          </cell>
          <cell r="E510" t="str">
            <v>PROVISIONS - CONGES PAYES</v>
          </cell>
          <cell r="F510" t="str">
            <v>Autres passifs courants</v>
          </cell>
          <cell r="G510" t="str">
            <v>PASSIFS COURANTS</v>
          </cell>
        </row>
        <row r="511">
          <cell r="B511" t="str">
            <v>456300</v>
          </cell>
          <cell r="C511" t="str">
            <v>PROV. P.V. OUVRIERS</v>
          </cell>
          <cell r="D511" t="str">
            <v>428200</v>
          </cell>
          <cell r="E511" t="str">
            <v>PROVISIONS - CONGES PAYES</v>
          </cell>
          <cell r="F511" t="str">
            <v>Autres passifs courants</v>
          </cell>
          <cell r="G511" t="str">
            <v>PASSIFS COURANTS</v>
          </cell>
        </row>
        <row r="512">
          <cell r="B512" t="str">
            <v>457200</v>
          </cell>
          <cell r="C512" t="str">
            <v>Prov. PFA Employés</v>
          </cell>
          <cell r="D512" t="str">
            <v>428200</v>
          </cell>
          <cell r="E512" t="str">
            <v>PROVISIONS - CONGES PAYES</v>
          </cell>
          <cell r="F512" t="str">
            <v>Autres passifs courants</v>
          </cell>
          <cell r="G512" t="str">
            <v>PASSIFS COURANTS</v>
          </cell>
        </row>
        <row r="513">
          <cell r="B513" t="str">
            <v>457300</v>
          </cell>
          <cell r="C513" t="str">
            <v>Prov. PFA Ouvriers</v>
          </cell>
          <cell r="D513" t="str">
            <v>428200</v>
          </cell>
          <cell r="E513" t="str">
            <v>PROVISIONS - CONGES PAYES</v>
          </cell>
          <cell r="F513" t="str">
            <v>Autres passifs courants</v>
          </cell>
          <cell r="G513" t="str">
            <v>PASSIFS COURANTS</v>
          </cell>
        </row>
        <row r="514">
          <cell r="B514" t="str">
            <v>459000</v>
          </cell>
          <cell r="C514" t="str">
            <v>AUTRES DETTES SOCIALES</v>
          </cell>
          <cell r="D514" t="str">
            <v>431000</v>
          </cell>
          <cell r="E514" t="str">
            <v xml:space="preserve">SECURITE SOCIALE                       </v>
          </cell>
          <cell r="F514" t="str">
            <v>Autres passifs courants</v>
          </cell>
          <cell r="G514" t="str">
            <v>PASSIFS COURANTS</v>
          </cell>
        </row>
        <row r="515">
          <cell r="B515" t="str">
            <v>459100</v>
          </cell>
          <cell r="C515" t="str">
            <v>PROV. ASSUR. LOI/ACC. TRAVAIL</v>
          </cell>
          <cell r="D515" t="str">
            <v>431000</v>
          </cell>
          <cell r="E515" t="str">
            <v xml:space="preserve">SECURITE SOCIALE                       </v>
          </cell>
          <cell r="F515" t="str">
            <v>Autres passifs courants</v>
          </cell>
          <cell r="G515" t="str">
            <v>PASSIFS COURANTS</v>
          </cell>
        </row>
        <row r="516">
          <cell r="B516" t="str">
            <v>459200</v>
          </cell>
          <cell r="C516" t="str">
            <v>INAMI à rembourser</v>
          </cell>
          <cell r="D516" t="str">
            <v>431000</v>
          </cell>
          <cell r="E516" t="str">
            <v xml:space="preserve">SECURITE SOCIALE                       </v>
          </cell>
          <cell r="F516" t="str">
            <v>Autres passifs courants</v>
          </cell>
          <cell r="G516" t="str">
            <v>PASSIFS COURANTS</v>
          </cell>
        </row>
        <row r="517">
          <cell r="B517" t="str">
            <v>460000</v>
          </cell>
          <cell r="C517" t="str">
            <v>ACOMPTES RECUS</v>
          </cell>
          <cell r="D517" t="str">
            <v>419700</v>
          </cell>
          <cell r="E517" t="str">
            <v>CLIENTS CREDITEURS - PRESENTAT° BILAN</v>
          </cell>
          <cell r="F517" t="str">
            <v>Fournisseurs et autres créditeurs courants</v>
          </cell>
          <cell r="G517" t="str">
            <v>PASSIFS COURANTS</v>
          </cell>
        </row>
        <row r="518">
          <cell r="B518" t="str">
            <v>471000</v>
          </cell>
          <cell r="C518" t="str">
            <v>Dividendes</v>
          </cell>
          <cell r="D518" t="str">
            <v>467455</v>
          </cell>
          <cell r="E518" t="str">
            <v>TRANSFERT ASSOCIES - C/C</v>
          </cell>
          <cell r="F518" t="str">
            <v>Autres passifs courants</v>
          </cell>
          <cell r="G518" t="str">
            <v>PASSIFS COURANTS</v>
          </cell>
        </row>
        <row r="519">
          <cell r="B519" t="str">
            <v>472000</v>
          </cell>
          <cell r="C519" t="str">
            <v>Tantième de l'exercice</v>
          </cell>
          <cell r="D519" t="str">
            <v>119000</v>
          </cell>
          <cell r="E519" t="str">
            <v xml:space="preserve">REPORT A NOUVEAU SOLDE DEBITEUR        </v>
          </cell>
          <cell r="F519" t="str">
            <v>Réserves Sociales</v>
          </cell>
          <cell r="G519" t="str">
            <v>Capitaux propres part du groupe</v>
          </cell>
        </row>
        <row r="520">
          <cell r="B520" t="str">
            <v>478000</v>
          </cell>
          <cell r="C520" t="str">
            <v>Cautions versées en Numeraires</v>
          </cell>
          <cell r="D520" t="str">
            <v>419600</v>
          </cell>
          <cell r="E520" t="str">
            <v>CLIENTS - DEPOTS DE GARANTIE</v>
          </cell>
          <cell r="F520" t="str">
            <v>Fournisseurs et autres créditeurs courants</v>
          </cell>
          <cell r="G520" t="str">
            <v>PASSIFS COURANTS</v>
          </cell>
        </row>
        <row r="521">
          <cell r="B521" t="str">
            <v>480000</v>
          </cell>
          <cell r="C521" t="str">
            <v>Obligations + coupons échus</v>
          </cell>
          <cell r="D521" t="str">
            <v>467000</v>
          </cell>
          <cell r="E521" t="str">
            <v>AUTRES COMPTES DEBITEURS OU CREDITEURS</v>
          </cell>
          <cell r="F521" t="str">
            <v>Passifs courants portant intérêt</v>
          </cell>
          <cell r="G521" t="str">
            <v>PASSIFS COURANTS</v>
          </cell>
        </row>
        <row r="522">
          <cell r="B522" t="str">
            <v>483000</v>
          </cell>
          <cell r="C522" t="str">
            <v>Avance en C/c</v>
          </cell>
          <cell r="D522" t="str">
            <v>456000</v>
          </cell>
          <cell r="E522" t="str">
            <v>COMPTES COURANTS</v>
          </cell>
          <cell r="F522" t="str">
            <v>Autres passifs courants</v>
          </cell>
          <cell r="G522" t="str">
            <v>PASSIFS COURANTS</v>
          </cell>
        </row>
        <row r="523">
          <cell r="B523" t="str">
            <v>483001</v>
          </cell>
          <cell r="C523" t="str">
            <v>AVANCE EN C/C</v>
          </cell>
          <cell r="D523" t="str">
            <v>456000</v>
          </cell>
          <cell r="E523" t="str">
            <v>COMPTES COURANTS</v>
          </cell>
          <cell r="F523" t="str">
            <v>Autres passifs courants</v>
          </cell>
          <cell r="G523" t="str">
            <v>PASSIFS COURANTS</v>
          </cell>
        </row>
        <row r="524">
          <cell r="B524" t="str">
            <v>483004</v>
          </cell>
          <cell r="C524" t="str">
            <v>AVANCE EN C/C</v>
          </cell>
          <cell r="D524" t="str">
            <v>456000</v>
          </cell>
          <cell r="E524" t="str">
            <v>COMPTES COURANTS</v>
          </cell>
          <cell r="F524" t="str">
            <v>Autres passifs courants</v>
          </cell>
          <cell r="G524" t="str">
            <v>PASSIFS COURANTS</v>
          </cell>
        </row>
        <row r="525">
          <cell r="B525" t="str">
            <v>483005</v>
          </cell>
          <cell r="C525" t="str">
            <v>AVANCES DIVERSES</v>
          </cell>
          <cell r="D525" t="str">
            <v>456000</v>
          </cell>
          <cell r="E525" t="str">
            <v>COMPTES COURANTS</v>
          </cell>
          <cell r="F525" t="str">
            <v>Autres passifs courants</v>
          </cell>
          <cell r="G525" t="str">
            <v>PASSIFS COURANTS</v>
          </cell>
        </row>
        <row r="526">
          <cell r="B526" t="str">
            <v>483100</v>
          </cell>
          <cell r="C526" t="str">
            <v>Avances Associés</v>
          </cell>
          <cell r="D526" t="str">
            <v>467000</v>
          </cell>
          <cell r="E526" t="str">
            <v>AUTRES COMPTES DEBITEURS OU CREDITEURS</v>
          </cell>
          <cell r="F526" t="str">
            <v>Autres passifs courants</v>
          </cell>
          <cell r="G526" t="str">
            <v>PASSIFS COURANTS</v>
          </cell>
        </row>
        <row r="527">
          <cell r="B527" t="str">
            <v>488000</v>
          </cell>
          <cell r="C527" t="str">
            <v>Caution reçu en numéraire</v>
          </cell>
          <cell r="D527" t="str">
            <v>419600</v>
          </cell>
          <cell r="E527" t="str">
            <v>CLIENTS - DEPOTS DE GARANTIE</v>
          </cell>
          <cell r="F527" t="str">
            <v>Fournisseurs et autres créditeurs courants</v>
          </cell>
          <cell r="G527" t="str">
            <v>PASSIFS COURANTS</v>
          </cell>
        </row>
        <row r="528">
          <cell r="B528" t="str">
            <v>489000</v>
          </cell>
          <cell r="C528" t="str">
            <v>AUTRES DETTES DIVERSES</v>
          </cell>
          <cell r="D528" t="str">
            <v>467951</v>
          </cell>
          <cell r="E528" t="str">
            <v>ACHAT - BELGIQUE</v>
          </cell>
          <cell r="F528" t="str">
            <v>Autres passifs courants</v>
          </cell>
          <cell r="G528" t="str">
            <v>PASSIFS COURANTS</v>
          </cell>
        </row>
        <row r="529">
          <cell r="B529" t="str">
            <v>489001</v>
          </cell>
          <cell r="C529" t="str">
            <v>C/C 1</v>
          </cell>
          <cell r="D529" t="str">
            <v>456000</v>
          </cell>
          <cell r="E529" t="str">
            <v>COMPTES COURANTS</v>
          </cell>
          <cell r="F529" t="str">
            <v>Autres passifs courants</v>
          </cell>
          <cell r="G529" t="str">
            <v>PASSIFS COURANTS</v>
          </cell>
        </row>
        <row r="530">
          <cell r="B530" t="str">
            <v>489002</v>
          </cell>
          <cell r="C530" t="str">
            <v>C/C 2</v>
          </cell>
          <cell r="D530" t="str">
            <v>456000</v>
          </cell>
          <cell r="E530" t="str">
            <v>COMPTES COURANTS</v>
          </cell>
          <cell r="F530" t="str">
            <v>Autres passifs courants</v>
          </cell>
          <cell r="G530" t="str">
            <v>PASSIFS COURANTS</v>
          </cell>
        </row>
        <row r="531">
          <cell r="B531" t="str">
            <v>489003</v>
          </cell>
          <cell r="C531" t="str">
            <v>C/C 3</v>
          </cell>
          <cell r="D531" t="str">
            <v>456000</v>
          </cell>
          <cell r="E531" t="str">
            <v>COMPTES COURANTS</v>
          </cell>
          <cell r="F531" t="str">
            <v>Autres passifs courants</v>
          </cell>
          <cell r="G531" t="str">
            <v>PASSIFS COURANTS</v>
          </cell>
        </row>
        <row r="532">
          <cell r="B532" t="str">
            <v>489004</v>
          </cell>
          <cell r="C532" t="str">
            <v>C/C 4</v>
          </cell>
          <cell r="D532" t="str">
            <v>456000</v>
          </cell>
          <cell r="E532" t="str">
            <v>COMPTES COURANTS</v>
          </cell>
          <cell r="F532" t="str">
            <v>Autres passifs courants</v>
          </cell>
          <cell r="G532" t="str">
            <v>PASSIFS COURANTS</v>
          </cell>
        </row>
        <row r="533">
          <cell r="B533" t="str">
            <v>489005</v>
          </cell>
          <cell r="C533" t="str">
            <v>C/C OF</v>
          </cell>
          <cell r="D533" t="str">
            <v>456000</v>
          </cell>
          <cell r="E533" t="str">
            <v>COMPTES COURANTS</v>
          </cell>
          <cell r="F533" t="str">
            <v>Autres passifs courants</v>
          </cell>
          <cell r="G533" t="str">
            <v>PASSIFS COURANTS</v>
          </cell>
        </row>
        <row r="534">
          <cell r="B534" t="str">
            <v>489006</v>
          </cell>
          <cell r="C534" t="str">
            <v>C/C 6</v>
          </cell>
          <cell r="D534" t="str">
            <v>456000</v>
          </cell>
          <cell r="E534" t="str">
            <v>COMPTES COURANTS</v>
          </cell>
          <cell r="F534" t="str">
            <v>Autres passifs courants</v>
          </cell>
          <cell r="G534" t="str">
            <v>PASSIFS COURANTS</v>
          </cell>
        </row>
        <row r="535">
          <cell r="B535" t="str">
            <v>489007</v>
          </cell>
          <cell r="C535" t="str">
            <v>C/C 7</v>
          </cell>
          <cell r="D535" t="str">
            <v>456000</v>
          </cell>
          <cell r="E535" t="str">
            <v>COMPTES COURANTS</v>
          </cell>
          <cell r="F535" t="str">
            <v>Autres passifs courants</v>
          </cell>
          <cell r="G535" t="str">
            <v>PASSIFS COURANTS</v>
          </cell>
        </row>
        <row r="536">
          <cell r="B536" t="str">
            <v>489008</v>
          </cell>
          <cell r="C536" t="str">
            <v>C/C 8</v>
          </cell>
          <cell r="D536" t="str">
            <v>456000</v>
          </cell>
          <cell r="E536" t="str">
            <v>COMPTES COURANTS</v>
          </cell>
          <cell r="F536" t="str">
            <v>Autres passifs courants</v>
          </cell>
          <cell r="G536" t="str">
            <v>PASSIFS COURANTS</v>
          </cell>
        </row>
        <row r="537">
          <cell r="B537" t="str">
            <v>489009</v>
          </cell>
          <cell r="C537" t="str">
            <v>C/C 9</v>
          </cell>
          <cell r="D537" t="str">
            <v>456000</v>
          </cell>
          <cell r="E537" t="str">
            <v>COMPTES COURANTS</v>
          </cell>
          <cell r="F537" t="str">
            <v>Autres passifs courants</v>
          </cell>
          <cell r="G537" t="str">
            <v>PASSIFS COURANTS</v>
          </cell>
        </row>
        <row r="538">
          <cell r="B538" t="str">
            <v>489010</v>
          </cell>
          <cell r="C538" t="str">
            <v>C/C 10</v>
          </cell>
          <cell r="D538" t="str">
            <v>456000</v>
          </cell>
          <cell r="E538" t="str">
            <v>COMPTES COURANTS</v>
          </cell>
          <cell r="F538" t="str">
            <v>Autres passifs courants</v>
          </cell>
          <cell r="G538" t="str">
            <v>PASSIFS COURANTS</v>
          </cell>
        </row>
        <row r="539">
          <cell r="B539" t="str">
            <v>489011</v>
          </cell>
          <cell r="C539" t="str">
            <v>C/C 11</v>
          </cell>
          <cell r="D539" t="str">
            <v>456000</v>
          </cell>
          <cell r="E539" t="str">
            <v>COMPTES COURANTS</v>
          </cell>
          <cell r="F539" t="str">
            <v>Autres passifs courants</v>
          </cell>
          <cell r="G539" t="str">
            <v>PASSIFS COURANTS</v>
          </cell>
        </row>
        <row r="540">
          <cell r="B540" t="str">
            <v>489012</v>
          </cell>
          <cell r="C540" t="str">
            <v>C/c 12</v>
          </cell>
          <cell r="D540" t="str">
            <v>456000</v>
          </cell>
          <cell r="E540" t="str">
            <v>COMPTES COURANTS</v>
          </cell>
          <cell r="F540" t="str">
            <v>Autres passifs courants</v>
          </cell>
          <cell r="G540" t="str">
            <v>PASSIFS COURANTS</v>
          </cell>
        </row>
        <row r="541">
          <cell r="B541" t="str">
            <v>489013</v>
          </cell>
          <cell r="C541" t="str">
            <v>C/c 13</v>
          </cell>
          <cell r="D541" t="str">
            <v>456000</v>
          </cell>
          <cell r="E541" t="str">
            <v>COMPTES COURANTS</v>
          </cell>
          <cell r="F541" t="str">
            <v>Autres passifs courants</v>
          </cell>
          <cell r="G541" t="str">
            <v>PASSIFS COURANTS</v>
          </cell>
        </row>
        <row r="542">
          <cell r="B542" t="str">
            <v>489014</v>
          </cell>
          <cell r="C542" t="str">
            <v>C/c 14</v>
          </cell>
          <cell r="D542" t="str">
            <v>456000</v>
          </cell>
          <cell r="E542" t="str">
            <v>COMPTES COURANTS</v>
          </cell>
          <cell r="F542" t="str">
            <v>Autres passifs courants</v>
          </cell>
          <cell r="G542" t="str">
            <v>PASSIFS COURANTS</v>
          </cell>
        </row>
        <row r="543">
          <cell r="B543" t="str">
            <v>489015</v>
          </cell>
          <cell r="C543" t="str">
            <v>C/c 15</v>
          </cell>
          <cell r="D543" t="str">
            <v>456000</v>
          </cell>
          <cell r="E543" t="str">
            <v>COMPTES COURANTS</v>
          </cell>
          <cell r="F543" t="str">
            <v>Autres passifs courants</v>
          </cell>
          <cell r="G543" t="str">
            <v>PASSIFS COURANTS</v>
          </cell>
        </row>
        <row r="544">
          <cell r="B544" t="str">
            <v>489016</v>
          </cell>
          <cell r="C544" t="str">
            <v>C/c 16</v>
          </cell>
          <cell r="D544" t="str">
            <v>456000</v>
          </cell>
          <cell r="E544" t="str">
            <v>COMPTES COURANTS</v>
          </cell>
          <cell r="F544" t="str">
            <v>Autres passifs courants</v>
          </cell>
          <cell r="G544" t="str">
            <v>PASSIFS COURANTS</v>
          </cell>
        </row>
        <row r="545">
          <cell r="B545" t="str">
            <v>489017</v>
          </cell>
          <cell r="C545" t="str">
            <v>C/c 17</v>
          </cell>
          <cell r="D545" t="str">
            <v>456000</v>
          </cell>
          <cell r="E545" t="str">
            <v>COMPTES COURANTS</v>
          </cell>
          <cell r="F545" t="str">
            <v>Autres passifs courants</v>
          </cell>
          <cell r="G545" t="str">
            <v>PASSIFS COURANTS</v>
          </cell>
        </row>
        <row r="546">
          <cell r="B546" t="str">
            <v>489018</v>
          </cell>
          <cell r="C546" t="str">
            <v>C/c 18</v>
          </cell>
          <cell r="D546" t="str">
            <v>456000</v>
          </cell>
          <cell r="E546" t="str">
            <v>COMPTES COURANTS</v>
          </cell>
          <cell r="F546" t="str">
            <v>Autres passifs courants</v>
          </cell>
          <cell r="G546" t="str">
            <v>PASSIFS COURANTS</v>
          </cell>
        </row>
        <row r="547">
          <cell r="B547" t="str">
            <v>489019</v>
          </cell>
          <cell r="C547" t="str">
            <v>C/c 19</v>
          </cell>
          <cell r="D547" t="str">
            <v>456000</v>
          </cell>
          <cell r="E547" t="str">
            <v>COMPTES COURANTS</v>
          </cell>
          <cell r="F547" t="str">
            <v>Autres passifs courants</v>
          </cell>
          <cell r="G547" t="str">
            <v>PASSIFS COURANTS</v>
          </cell>
        </row>
        <row r="548">
          <cell r="B548" t="str">
            <v>489020</v>
          </cell>
          <cell r="C548" t="str">
            <v>C/c 20</v>
          </cell>
          <cell r="D548" t="str">
            <v>456000</v>
          </cell>
          <cell r="E548" t="str">
            <v>COMPTES COURANTS</v>
          </cell>
          <cell r="F548" t="str">
            <v>Autres passifs courants</v>
          </cell>
          <cell r="G548" t="str">
            <v>PASSIFS COURANTS</v>
          </cell>
        </row>
        <row r="549">
          <cell r="B549" t="str">
            <v>489021</v>
          </cell>
          <cell r="C549" t="str">
            <v>C/c 21</v>
          </cell>
          <cell r="D549" t="str">
            <v>456000</v>
          </cell>
          <cell r="E549" t="str">
            <v>COMPTES COURANTS</v>
          </cell>
          <cell r="F549" t="str">
            <v>Autres passifs courants</v>
          </cell>
          <cell r="G549" t="str">
            <v>PASSIFS COURANTS</v>
          </cell>
        </row>
        <row r="550">
          <cell r="B550" t="str">
            <v>489022</v>
          </cell>
          <cell r="C550" t="str">
            <v>C/c 22</v>
          </cell>
          <cell r="D550" t="str">
            <v>456000</v>
          </cell>
          <cell r="E550" t="str">
            <v>COMPTES COURANTS</v>
          </cell>
          <cell r="F550" t="str">
            <v>Autres passifs courants</v>
          </cell>
          <cell r="G550" t="str">
            <v>PASSIFS COURANTS</v>
          </cell>
        </row>
        <row r="551">
          <cell r="B551" t="str">
            <v>489023</v>
          </cell>
          <cell r="C551" t="str">
            <v>C/c 23</v>
          </cell>
          <cell r="D551" t="str">
            <v>456000</v>
          </cell>
          <cell r="E551" t="str">
            <v>COMPTES COURANTS</v>
          </cell>
          <cell r="F551" t="str">
            <v>Autres passifs courants</v>
          </cell>
          <cell r="G551" t="str">
            <v>PASSIFS COURANTS</v>
          </cell>
        </row>
        <row r="552">
          <cell r="B552" t="str">
            <v>489024</v>
          </cell>
          <cell r="C552" t="str">
            <v>C/c 24</v>
          </cell>
          <cell r="D552" t="str">
            <v>456000</v>
          </cell>
          <cell r="E552" t="str">
            <v>COMPTES COURANTS</v>
          </cell>
          <cell r="F552" t="str">
            <v>Autres passifs courants</v>
          </cell>
          <cell r="G552" t="str">
            <v>PASSIFS COURANTS</v>
          </cell>
        </row>
        <row r="553">
          <cell r="B553" t="str">
            <v>489025</v>
          </cell>
          <cell r="C553" t="str">
            <v>C/c 25</v>
          </cell>
          <cell r="D553" t="str">
            <v>456000</v>
          </cell>
          <cell r="E553" t="str">
            <v>COMPTES COURANTS</v>
          </cell>
          <cell r="F553" t="str">
            <v>Autres passifs courants</v>
          </cell>
          <cell r="G553" t="str">
            <v>PASSIFS COURANTS</v>
          </cell>
        </row>
        <row r="554">
          <cell r="B554" t="str">
            <v>489028</v>
          </cell>
          <cell r="C554" t="str">
            <v>C/c 28</v>
          </cell>
          <cell r="D554" t="str">
            <v>456000</v>
          </cell>
          <cell r="E554" t="str">
            <v>COMPTES COURANTS</v>
          </cell>
          <cell r="F554" t="str">
            <v>Autres passifs courants</v>
          </cell>
          <cell r="G554" t="str">
            <v>PASSIFS COURANTS</v>
          </cell>
        </row>
        <row r="555">
          <cell r="B555" t="str">
            <v>489029</v>
          </cell>
          <cell r="C555" t="str">
            <v>C/c 29</v>
          </cell>
          <cell r="D555" t="str">
            <v>456000</v>
          </cell>
          <cell r="E555" t="str">
            <v>COMPTES COURANTS</v>
          </cell>
          <cell r="F555" t="str">
            <v>Autres passifs courants</v>
          </cell>
          <cell r="G555" t="str">
            <v>PASSIFS COURANTS</v>
          </cell>
        </row>
        <row r="556">
          <cell r="B556" t="str">
            <v>489030</v>
          </cell>
          <cell r="C556" t="str">
            <v>C/c 30</v>
          </cell>
          <cell r="D556" t="str">
            <v>456000</v>
          </cell>
          <cell r="E556" t="str">
            <v>COMPTES COURANTS</v>
          </cell>
          <cell r="F556" t="str">
            <v>Autres passifs courants</v>
          </cell>
          <cell r="G556" t="str">
            <v>PASSIFS COURANTS</v>
          </cell>
        </row>
        <row r="557">
          <cell r="B557" t="str">
            <v>489031</v>
          </cell>
          <cell r="C557" t="str">
            <v>C/c 31</v>
          </cell>
          <cell r="D557" t="str">
            <v>456000</v>
          </cell>
          <cell r="E557" t="str">
            <v>COMPTES COURANTS</v>
          </cell>
          <cell r="F557" t="str">
            <v>Autres passifs courants</v>
          </cell>
          <cell r="G557" t="str">
            <v>PASSIFS COURANTS</v>
          </cell>
        </row>
        <row r="558">
          <cell r="B558" t="str">
            <v>489032</v>
          </cell>
          <cell r="C558" t="str">
            <v>C/c 32</v>
          </cell>
          <cell r="D558" t="str">
            <v>456000</v>
          </cell>
          <cell r="E558" t="str">
            <v>COMPTES COURANTS</v>
          </cell>
          <cell r="F558" t="str">
            <v>Autres passifs courants</v>
          </cell>
          <cell r="G558" t="str">
            <v>PASSIFS COURANTS</v>
          </cell>
        </row>
        <row r="559">
          <cell r="B559" t="str">
            <v>489033</v>
          </cell>
          <cell r="C559" t="str">
            <v>C/c 33</v>
          </cell>
          <cell r="D559" t="str">
            <v>456000</v>
          </cell>
          <cell r="E559" t="str">
            <v>COMPTES COURANTS</v>
          </cell>
          <cell r="F559" t="str">
            <v>Autres passifs courants</v>
          </cell>
          <cell r="G559" t="str">
            <v>PASSIFS COURANTS</v>
          </cell>
        </row>
        <row r="560">
          <cell r="B560" t="str">
            <v>489034</v>
          </cell>
          <cell r="C560" t="str">
            <v>C/c 34</v>
          </cell>
          <cell r="D560" t="str">
            <v>456000</v>
          </cell>
          <cell r="E560" t="str">
            <v>COMPTES COURANTS</v>
          </cell>
          <cell r="F560" t="str">
            <v>Autres passifs courants</v>
          </cell>
          <cell r="G560" t="str">
            <v>PASSIFS COURANTS</v>
          </cell>
        </row>
        <row r="561">
          <cell r="B561" t="str">
            <v>489035</v>
          </cell>
          <cell r="C561" t="str">
            <v>C/c 35</v>
          </cell>
          <cell r="D561" t="str">
            <v>456000</v>
          </cell>
          <cell r="E561" t="str">
            <v>COMPTES COURANTS</v>
          </cell>
          <cell r="F561" t="str">
            <v>Autres passifs courants</v>
          </cell>
          <cell r="G561" t="str">
            <v>PASSIFS COURANTS</v>
          </cell>
        </row>
        <row r="562">
          <cell r="B562" t="str">
            <v>489036</v>
          </cell>
          <cell r="C562" t="str">
            <v>C/c 36</v>
          </cell>
          <cell r="D562" t="str">
            <v>456000</v>
          </cell>
          <cell r="E562" t="str">
            <v>COMPTES COURANTS</v>
          </cell>
          <cell r="F562" t="str">
            <v>Autres passifs courants</v>
          </cell>
          <cell r="G562" t="str">
            <v>PASSIFS COURANTS</v>
          </cell>
        </row>
        <row r="563">
          <cell r="B563" t="str">
            <v>489037</v>
          </cell>
          <cell r="C563" t="str">
            <v>C/c 37</v>
          </cell>
          <cell r="D563" t="str">
            <v>456000</v>
          </cell>
          <cell r="E563" t="str">
            <v>COMPTES COURANTS</v>
          </cell>
          <cell r="F563" t="str">
            <v>Autres passifs courants</v>
          </cell>
          <cell r="G563" t="str">
            <v>PASSIFS COURANTS</v>
          </cell>
        </row>
        <row r="564">
          <cell r="B564" t="str">
            <v>489038</v>
          </cell>
          <cell r="C564" t="str">
            <v>C/c 38</v>
          </cell>
          <cell r="D564" t="str">
            <v>456000</v>
          </cell>
          <cell r="E564" t="str">
            <v>COMPTES COURANTS</v>
          </cell>
          <cell r="F564" t="str">
            <v>Autres passifs courants</v>
          </cell>
          <cell r="G564" t="str">
            <v>PASSIFS COURANTS</v>
          </cell>
        </row>
        <row r="565">
          <cell r="B565" t="str">
            <v>489039</v>
          </cell>
          <cell r="C565" t="str">
            <v>C/c 39</v>
          </cell>
          <cell r="D565" t="str">
            <v>456000</v>
          </cell>
          <cell r="E565" t="str">
            <v>COMPTES COURANTS</v>
          </cell>
          <cell r="F565" t="str">
            <v>Autres passifs courants</v>
          </cell>
          <cell r="G565" t="str">
            <v>PASSIFS COURANTS</v>
          </cell>
        </row>
        <row r="566">
          <cell r="B566" t="str">
            <v>489040</v>
          </cell>
          <cell r="C566" t="str">
            <v>C/c 40</v>
          </cell>
          <cell r="D566" t="str">
            <v>456000</v>
          </cell>
          <cell r="E566" t="str">
            <v>COMPTES COURANTS</v>
          </cell>
          <cell r="F566" t="str">
            <v>Autres passifs courants</v>
          </cell>
          <cell r="G566" t="str">
            <v>PASSIFS COURANTS</v>
          </cell>
        </row>
        <row r="567">
          <cell r="B567" t="str">
            <v>489041</v>
          </cell>
          <cell r="C567" t="str">
            <v>C/c 41</v>
          </cell>
          <cell r="D567" t="str">
            <v>456000</v>
          </cell>
          <cell r="E567" t="str">
            <v>COMPTES COURANTS</v>
          </cell>
          <cell r="F567" t="str">
            <v>Autres passifs courants</v>
          </cell>
          <cell r="G567" t="str">
            <v>PASSIFS COURANTS</v>
          </cell>
        </row>
        <row r="568">
          <cell r="B568" t="str">
            <v>489042</v>
          </cell>
          <cell r="C568" t="str">
            <v>C/c 41</v>
          </cell>
          <cell r="D568" t="str">
            <v>456000</v>
          </cell>
          <cell r="E568" t="str">
            <v>COMPTES COURANTS</v>
          </cell>
          <cell r="F568" t="str">
            <v>Autres passifs courants</v>
          </cell>
          <cell r="G568" t="str">
            <v>PASSIFS COURANTS</v>
          </cell>
        </row>
        <row r="569">
          <cell r="B569" t="str">
            <v>489043</v>
          </cell>
          <cell r="C569" t="str">
            <v>C/c 43</v>
          </cell>
          <cell r="D569" t="str">
            <v>456000</v>
          </cell>
          <cell r="E569" t="str">
            <v>COMPTES COURANTS</v>
          </cell>
          <cell r="F569" t="str">
            <v>Autres passifs courants</v>
          </cell>
          <cell r="G569" t="str">
            <v>PASSIFS COURANTS</v>
          </cell>
        </row>
        <row r="570">
          <cell r="B570" t="str">
            <v>489980</v>
          </cell>
          <cell r="C570" t="str">
            <v>Argent tiers (résidents)</v>
          </cell>
          <cell r="D570" t="str">
            <v>467150</v>
          </cell>
          <cell r="E570" t="str">
            <v>AIDES SOCIALES</v>
          </cell>
          <cell r="F570" t="str">
            <v>Autres passifs courants</v>
          </cell>
          <cell r="G570" t="str">
            <v>PASSIFS COURANTS</v>
          </cell>
        </row>
        <row r="571">
          <cell r="B571" t="str">
            <v>489981</v>
          </cell>
          <cell r="C571"/>
          <cell r="D571" t="str">
            <v>467150</v>
          </cell>
          <cell r="E571" t="str">
            <v>AIDES SOCIALES</v>
          </cell>
          <cell r="F571" t="str">
            <v>Autres passifs courants</v>
          </cell>
          <cell r="G571" t="str">
            <v>PASSIFS COURANTS</v>
          </cell>
        </row>
        <row r="572">
          <cell r="B572" t="str">
            <v>489982</v>
          </cell>
          <cell r="C572"/>
          <cell r="D572" t="str">
            <v>467150</v>
          </cell>
          <cell r="E572" t="str">
            <v>AIDES SOCIALES</v>
          </cell>
          <cell r="F572" t="str">
            <v>Autres passifs courants</v>
          </cell>
          <cell r="G572" t="str">
            <v>PASSIFS COURANTS</v>
          </cell>
        </row>
        <row r="573">
          <cell r="B573" t="str">
            <v>489983</v>
          </cell>
          <cell r="C573" t="str">
            <v>C/c</v>
          </cell>
          <cell r="D573" t="str">
            <v>467150</v>
          </cell>
          <cell r="E573" t="str">
            <v>AIDES SOCIALES</v>
          </cell>
          <cell r="F573" t="str">
            <v>Autres passifs courants</v>
          </cell>
          <cell r="G573" t="str">
            <v>PASSIFS COURANTS</v>
          </cell>
        </row>
        <row r="574">
          <cell r="B574" t="str">
            <v>489985</v>
          </cell>
          <cell r="C574" t="str">
            <v>C/c</v>
          </cell>
          <cell r="D574" t="str">
            <v>467150</v>
          </cell>
          <cell r="E574" t="str">
            <v>AIDES SOCIALES</v>
          </cell>
          <cell r="F574" t="str">
            <v>Autres passifs courants</v>
          </cell>
          <cell r="G574" t="str">
            <v>PASSIFS COURANTS</v>
          </cell>
        </row>
        <row r="575">
          <cell r="B575" t="str">
            <v>489986</v>
          </cell>
          <cell r="C575" t="str">
            <v>C/c</v>
          </cell>
          <cell r="D575" t="str">
            <v>467150</v>
          </cell>
          <cell r="E575" t="str">
            <v>AIDES SOCIALES</v>
          </cell>
          <cell r="F575" t="str">
            <v>Autres passifs courants</v>
          </cell>
          <cell r="G575" t="str">
            <v>PASSIFS COURANTS</v>
          </cell>
        </row>
        <row r="576">
          <cell r="B576" t="str">
            <v>489987</v>
          </cell>
          <cell r="C576" t="str">
            <v>C/c</v>
          </cell>
          <cell r="D576" t="str">
            <v>467150</v>
          </cell>
          <cell r="E576" t="str">
            <v>AIDES SOCIALES</v>
          </cell>
          <cell r="F576" t="str">
            <v>Autres passifs courants</v>
          </cell>
          <cell r="G576" t="str">
            <v>PASSIFS COURANTS</v>
          </cell>
        </row>
        <row r="577">
          <cell r="B577" t="str">
            <v>489998</v>
          </cell>
          <cell r="C577" t="str">
            <v>C/c Hors Groupe</v>
          </cell>
          <cell r="D577" t="str">
            <v>467951</v>
          </cell>
          <cell r="E577" t="str">
            <v>ACHAT - BELGIQUE</v>
          </cell>
          <cell r="F577" t="str">
            <v>Autres passifs courants</v>
          </cell>
          <cell r="G577" t="str">
            <v>PASSIFS COURANTS</v>
          </cell>
        </row>
        <row r="578">
          <cell r="B578" t="str">
            <v>490000</v>
          </cell>
          <cell r="C578" t="str">
            <v>Charges à reporter</v>
          </cell>
          <cell r="D578" t="str">
            <v>486000</v>
          </cell>
          <cell r="E578" t="str">
            <v xml:space="preserve">CHARGES CONSTATEES D'AVANCE            </v>
          </cell>
          <cell r="F578" t="str">
            <v>Autres Débiteurs Courants</v>
          </cell>
          <cell r="G578" t="str">
            <v>ACTIFS COURANTS</v>
          </cell>
        </row>
        <row r="579">
          <cell r="B579" t="str">
            <v>490001</v>
          </cell>
          <cell r="C579" t="str">
            <v>Charges à reporter - Janvier</v>
          </cell>
          <cell r="D579" t="str">
            <v>486000</v>
          </cell>
          <cell r="E579" t="str">
            <v xml:space="preserve">CHARGES CONSTATEES D'AVANCE            </v>
          </cell>
          <cell r="F579" t="str">
            <v>Autres Débiteurs Courants</v>
          </cell>
          <cell r="G579" t="str">
            <v>ACTIFS COURANTS</v>
          </cell>
        </row>
        <row r="580">
          <cell r="B580" t="str">
            <v>490002</v>
          </cell>
          <cell r="C580" t="str">
            <v>Charges à reporter - Février</v>
          </cell>
          <cell r="D580" t="str">
            <v>486000</v>
          </cell>
          <cell r="E580" t="str">
            <v xml:space="preserve">CHARGES CONSTATEES D'AVANCE            </v>
          </cell>
          <cell r="F580" t="str">
            <v>Autres Débiteurs Courants</v>
          </cell>
          <cell r="G580" t="str">
            <v>ACTIFS COURANTS</v>
          </cell>
        </row>
        <row r="581">
          <cell r="B581" t="str">
            <v>490003</v>
          </cell>
          <cell r="C581" t="str">
            <v>Charges à reporter - Mars</v>
          </cell>
          <cell r="D581" t="str">
            <v>486000</v>
          </cell>
          <cell r="E581" t="str">
            <v xml:space="preserve">CHARGES CONSTATEES D'AVANCE            </v>
          </cell>
          <cell r="F581" t="str">
            <v>Autres Débiteurs Courants</v>
          </cell>
          <cell r="G581" t="str">
            <v>ACTIFS COURANTS</v>
          </cell>
        </row>
        <row r="582">
          <cell r="B582" t="str">
            <v>490004</v>
          </cell>
          <cell r="C582" t="str">
            <v>Charges à reporter - Avril</v>
          </cell>
          <cell r="D582" t="str">
            <v>486000</v>
          </cell>
          <cell r="E582" t="str">
            <v xml:space="preserve">CHARGES CONSTATEES D'AVANCE            </v>
          </cell>
          <cell r="F582" t="str">
            <v>Autres Débiteurs Courants</v>
          </cell>
          <cell r="G582" t="str">
            <v>ACTIFS COURANTS</v>
          </cell>
        </row>
        <row r="583">
          <cell r="B583" t="str">
            <v>490005</v>
          </cell>
          <cell r="C583" t="str">
            <v>Charges à reporter - Mai</v>
          </cell>
          <cell r="D583" t="str">
            <v>486000</v>
          </cell>
          <cell r="E583" t="str">
            <v xml:space="preserve">CHARGES CONSTATEES D'AVANCE            </v>
          </cell>
          <cell r="F583" t="str">
            <v>Autres Débiteurs Courants</v>
          </cell>
          <cell r="G583" t="str">
            <v>ACTIFS COURANTS</v>
          </cell>
        </row>
        <row r="584">
          <cell r="B584" t="str">
            <v>490006</v>
          </cell>
          <cell r="C584" t="str">
            <v>Charges à reporter - Juin</v>
          </cell>
          <cell r="D584" t="str">
            <v>486000</v>
          </cell>
          <cell r="E584" t="str">
            <v xml:space="preserve">CHARGES CONSTATEES D'AVANCE            </v>
          </cell>
          <cell r="F584" t="str">
            <v>Autres Débiteurs Courants</v>
          </cell>
          <cell r="G584" t="str">
            <v>ACTIFS COURANTS</v>
          </cell>
        </row>
        <row r="585">
          <cell r="B585" t="str">
            <v>490007</v>
          </cell>
          <cell r="C585" t="str">
            <v>Charges à reporter - Juillet</v>
          </cell>
          <cell r="D585" t="str">
            <v>486000</v>
          </cell>
          <cell r="E585" t="str">
            <v xml:space="preserve">CHARGES CONSTATEES D'AVANCE            </v>
          </cell>
          <cell r="F585" t="str">
            <v>Autres Débiteurs Courants</v>
          </cell>
          <cell r="G585" t="str">
            <v>ACTIFS COURANTS</v>
          </cell>
        </row>
        <row r="586">
          <cell r="B586" t="str">
            <v>490008</v>
          </cell>
          <cell r="C586" t="str">
            <v>Charges à reporter - Août</v>
          </cell>
          <cell r="D586" t="str">
            <v>486000</v>
          </cell>
          <cell r="E586" t="str">
            <v xml:space="preserve">CHARGES CONSTATEES D'AVANCE            </v>
          </cell>
          <cell r="F586" t="str">
            <v>Autres Débiteurs Courants</v>
          </cell>
          <cell r="G586" t="str">
            <v>ACTIFS COURANTS</v>
          </cell>
        </row>
        <row r="587">
          <cell r="B587" t="str">
            <v>490009</v>
          </cell>
          <cell r="C587" t="str">
            <v>Charges à reporter - Sept.</v>
          </cell>
          <cell r="D587" t="str">
            <v>486000</v>
          </cell>
          <cell r="E587" t="str">
            <v xml:space="preserve">CHARGES CONSTATEES D'AVANCE            </v>
          </cell>
          <cell r="F587" t="str">
            <v>Autres Débiteurs Courants</v>
          </cell>
          <cell r="G587" t="str">
            <v>ACTIFS COURANTS</v>
          </cell>
        </row>
        <row r="588">
          <cell r="B588" t="str">
            <v>490010</v>
          </cell>
          <cell r="C588" t="str">
            <v>Charges à reporter - Oct.</v>
          </cell>
          <cell r="D588" t="str">
            <v>486000</v>
          </cell>
          <cell r="E588" t="str">
            <v xml:space="preserve">CHARGES CONSTATEES D'AVANCE            </v>
          </cell>
          <cell r="F588" t="str">
            <v>Autres Débiteurs Courants</v>
          </cell>
          <cell r="G588" t="str">
            <v>ACTIFS COURANTS</v>
          </cell>
        </row>
        <row r="589">
          <cell r="B589" t="str">
            <v>490011</v>
          </cell>
          <cell r="C589" t="str">
            <v>Charges à reporter - Nov.</v>
          </cell>
          <cell r="D589" t="str">
            <v>486000</v>
          </cell>
          <cell r="E589" t="str">
            <v xml:space="preserve">CHARGES CONSTATEES D'AVANCE            </v>
          </cell>
          <cell r="F589" t="str">
            <v>Autres Débiteurs Courants</v>
          </cell>
          <cell r="G589" t="str">
            <v>ACTIFS COURANTS</v>
          </cell>
        </row>
        <row r="590">
          <cell r="B590" t="str">
            <v>490012</v>
          </cell>
          <cell r="C590" t="str">
            <v>Charges à reporter -  Déc.</v>
          </cell>
          <cell r="D590" t="str">
            <v>486000</v>
          </cell>
          <cell r="E590" t="str">
            <v xml:space="preserve">CHARGES CONSTATEES D'AVANCE            </v>
          </cell>
          <cell r="F590" t="str">
            <v>Autres Débiteurs Courants</v>
          </cell>
          <cell r="G590" t="str">
            <v>ACTIFS COURANTS</v>
          </cell>
        </row>
        <row r="591">
          <cell r="B591" t="str">
            <v>491000</v>
          </cell>
          <cell r="C591" t="str">
            <v>PRODUITS ACQUIS</v>
          </cell>
          <cell r="D591" t="str">
            <v>468700</v>
          </cell>
          <cell r="E591" t="str">
            <v xml:space="preserve">DIVERS - PRODUITS A RECEVOIR           </v>
          </cell>
          <cell r="F591" t="str">
            <v>Autres Débiteurs Courants</v>
          </cell>
          <cell r="G591" t="str">
            <v>ACTIFS COURANTS</v>
          </cell>
        </row>
        <row r="592">
          <cell r="B592" t="str">
            <v>491001</v>
          </cell>
          <cell r="C592" t="str">
            <v>PRODUITS ACQUIS - JANVIER</v>
          </cell>
          <cell r="D592" t="str">
            <v>468700</v>
          </cell>
          <cell r="E592" t="str">
            <v xml:space="preserve">DIVERS - PRODUITS A RECEVOIR           </v>
          </cell>
          <cell r="F592" t="str">
            <v>Autres Débiteurs Courants</v>
          </cell>
          <cell r="G592" t="str">
            <v>ACTIFS COURANTS</v>
          </cell>
        </row>
        <row r="593">
          <cell r="B593" t="str">
            <v>491002</v>
          </cell>
          <cell r="C593" t="str">
            <v>Produits acquis - Février</v>
          </cell>
          <cell r="D593" t="str">
            <v>468700</v>
          </cell>
          <cell r="E593" t="str">
            <v xml:space="preserve">DIVERS - PRODUITS A RECEVOIR           </v>
          </cell>
          <cell r="F593" t="str">
            <v>Autres Débiteurs Courants</v>
          </cell>
          <cell r="G593" t="str">
            <v>ACTIFS COURANTS</v>
          </cell>
        </row>
        <row r="594">
          <cell r="B594" t="str">
            <v>491003</v>
          </cell>
          <cell r="C594" t="str">
            <v>PRODUITS ACQUIS - MARS</v>
          </cell>
          <cell r="D594" t="str">
            <v>468700</v>
          </cell>
          <cell r="E594" t="str">
            <v xml:space="preserve">DIVERS - PRODUITS A RECEVOIR           </v>
          </cell>
          <cell r="F594" t="str">
            <v>Autres Débiteurs Courants</v>
          </cell>
          <cell r="G594" t="str">
            <v>ACTIFS COURANTS</v>
          </cell>
        </row>
        <row r="595">
          <cell r="B595" t="str">
            <v>491004</v>
          </cell>
          <cell r="C595" t="str">
            <v>PRODUITS ACQUIS - AVRIL</v>
          </cell>
          <cell r="D595" t="str">
            <v>468700</v>
          </cell>
          <cell r="E595" t="str">
            <v xml:space="preserve">DIVERS - PRODUITS A RECEVOIR           </v>
          </cell>
          <cell r="F595" t="str">
            <v>Autres Débiteurs Courants</v>
          </cell>
          <cell r="G595" t="str">
            <v>ACTIFS COURANTS</v>
          </cell>
        </row>
        <row r="596">
          <cell r="B596" t="str">
            <v>491005</v>
          </cell>
          <cell r="C596" t="str">
            <v>PRODUITS ACQUIS - MAI</v>
          </cell>
          <cell r="D596" t="str">
            <v>468700</v>
          </cell>
          <cell r="E596" t="str">
            <v xml:space="preserve">DIVERS - PRODUITS A RECEVOIR           </v>
          </cell>
          <cell r="F596" t="str">
            <v>Autres Débiteurs Courants</v>
          </cell>
          <cell r="G596" t="str">
            <v>ACTIFS COURANTS</v>
          </cell>
        </row>
        <row r="597">
          <cell r="B597" t="str">
            <v>491006</v>
          </cell>
          <cell r="C597" t="str">
            <v>PRODUITS ACQUIS - JUIN</v>
          </cell>
          <cell r="D597" t="str">
            <v>468700</v>
          </cell>
          <cell r="E597" t="str">
            <v xml:space="preserve">DIVERS - PRODUITS A RECEVOIR           </v>
          </cell>
          <cell r="F597" t="str">
            <v>Autres Débiteurs Courants</v>
          </cell>
          <cell r="G597" t="str">
            <v>ACTIFS COURANTS</v>
          </cell>
        </row>
        <row r="598">
          <cell r="B598" t="str">
            <v>491007</v>
          </cell>
          <cell r="C598" t="str">
            <v>PRODUITS ACQUIS - JUILLET</v>
          </cell>
          <cell r="D598" t="str">
            <v>468700</v>
          </cell>
          <cell r="E598" t="str">
            <v xml:space="preserve">DIVERS - PRODUITS A RECEVOIR           </v>
          </cell>
          <cell r="F598" t="str">
            <v>Autres Débiteurs Courants</v>
          </cell>
          <cell r="G598" t="str">
            <v>ACTIFS COURANTS</v>
          </cell>
        </row>
        <row r="599">
          <cell r="B599" t="str">
            <v>491008</v>
          </cell>
          <cell r="C599" t="str">
            <v>Produits acquis - Août</v>
          </cell>
          <cell r="D599" t="str">
            <v>468700</v>
          </cell>
          <cell r="E599" t="str">
            <v xml:space="preserve">DIVERS - PRODUITS A RECEVOIR           </v>
          </cell>
          <cell r="F599" t="str">
            <v>Autres Débiteurs Courants</v>
          </cell>
          <cell r="G599" t="str">
            <v>ACTIFS COURANTS</v>
          </cell>
        </row>
        <row r="600">
          <cell r="B600" t="str">
            <v>491009</v>
          </cell>
          <cell r="C600" t="str">
            <v>PRODUITS ACQUIS - SEPT.</v>
          </cell>
          <cell r="D600" t="str">
            <v>468700</v>
          </cell>
          <cell r="E600" t="str">
            <v xml:space="preserve">DIVERS - PRODUITS A RECEVOIR           </v>
          </cell>
          <cell r="F600" t="str">
            <v>Autres Débiteurs Courants</v>
          </cell>
          <cell r="G600" t="str">
            <v>ACTIFS COURANTS</v>
          </cell>
        </row>
        <row r="601">
          <cell r="B601" t="str">
            <v>491010</v>
          </cell>
          <cell r="C601" t="str">
            <v>Produits acquis - Oct.</v>
          </cell>
          <cell r="D601" t="str">
            <v>468700</v>
          </cell>
          <cell r="E601" t="str">
            <v xml:space="preserve">DIVERS - PRODUITS A RECEVOIR           </v>
          </cell>
          <cell r="F601" t="str">
            <v>Autres Débiteurs Courants</v>
          </cell>
          <cell r="G601" t="str">
            <v>ACTIFS COURANTS</v>
          </cell>
        </row>
        <row r="602">
          <cell r="B602" t="str">
            <v>491011</v>
          </cell>
          <cell r="C602" t="str">
            <v>Produits acquis - Nov.</v>
          </cell>
          <cell r="D602" t="str">
            <v>468700</v>
          </cell>
          <cell r="E602" t="str">
            <v xml:space="preserve">DIVERS - PRODUITS A RECEVOIR           </v>
          </cell>
          <cell r="F602" t="str">
            <v>Autres Débiteurs Courants</v>
          </cell>
          <cell r="G602" t="str">
            <v>ACTIFS COURANTS</v>
          </cell>
        </row>
        <row r="603">
          <cell r="B603" t="str">
            <v>491012</v>
          </cell>
          <cell r="C603" t="str">
            <v>Produits acquis - Déc.</v>
          </cell>
          <cell r="D603" t="str">
            <v>468700</v>
          </cell>
          <cell r="E603" t="str">
            <v xml:space="preserve">DIVERS - PRODUITS A RECEVOIR           </v>
          </cell>
          <cell r="F603" t="str">
            <v>Autres Débiteurs Courants</v>
          </cell>
          <cell r="G603" t="str">
            <v>ACTIFS COURANTS</v>
          </cell>
        </row>
        <row r="604">
          <cell r="B604" t="str">
            <v>492000</v>
          </cell>
          <cell r="C604" t="str">
            <v>Charges à imputer</v>
          </cell>
          <cell r="D604" t="str">
            <v>408000</v>
          </cell>
          <cell r="E604" t="str">
            <v xml:space="preserve">FOURNISSEURS - F.N.P.      </v>
          </cell>
          <cell r="F604" t="str">
            <v>Fournisseurs et autres créditeurs courants</v>
          </cell>
          <cell r="G604" t="str">
            <v>PASSIFS COURANTS</v>
          </cell>
        </row>
        <row r="605">
          <cell r="B605" t="str">
            <v>492001</v>
          </cell>
          <cell r="C605" t="str">
            <v>Charges à imputer - Janvier</v>
          </cell>
          <cell r="D605" t="str">
            <v>408000</v>
          </cell>
          <cell r="E605" t="str">
            <v xml:space="preserve">FOURNISSEURS - F.N.P.      </v>
          </cell>
          <cell r="F605" t="str">
            <v>Fournisseurs et autres créditeurs courants</v>
          </cell>
          <cell r="G605" t="str">
            <v>PASSIFS COURANTS</v>
          </cell>
        </row>
        <row r="606">
          <cell r="B606" t="str">
            <v>492002</v>
          </cell>
          <cell r="C606" t="str">
            <v>Charges à imputer - Février</v>
          </cell>
          <cell r="D606" t="str">
            <v>408000</v>
          </cell>
          <cell r="E606" t="str">
            <v xml:space="preserve">FOURNISSEURS - F.N.P.      </v>
          </cell>
          <cell r="F606" t="str">
            <v>Fournisseurs et autres créditeurs courants</v>
          </cell>
          <cell r="G606" t="str">
            <v>PASSIFS COURANTS</v>
          </cell>
        </row>
        <row r="607">
          <cell r="B607" t="str">
            <v>492003</v>
          </cell>
          <cell r="C607" t="str">
            <v>Charges à imputer - Mars</v>
          </cell>
          <cell r="D607" t="str">
            <v>408000</v>
          </cell>
          <cell r="E607" t="str">
            <v xml:space="preserve">FOURNISSEURS - F.N.P.      </v>
          </cell>
          <cell r="F607" t="str">
            <v>Fournisseurs et autres créditeurs courants</v>
          </cell>
          <cell r="G607" t="str">
            <v>PASSIFS COURANTS</v>
          </cell>
        </row>
        <row r="608">
          <cell r="B608" t="str">
            <v>492004</v>
          </cell>
          <cell r="C608" t="str">
            <v>Charges à imputer - Avril</v>
          </cell>
          <cell r="D608" t="str">
            <v>408000</v>
          </cell>
          <cell r="E608" t="str">
            <v xml:space="preserve">FOURNISSEURS - F.N.P.      </v>
          </cell>
          <cell r="F608" t="str">
            <v>Fournisseurs et autres créditeurs courants</v>
          </cell>
          <cell r="G608" t="str">
            <v>PASSIFS COURANTS</v>
          </cell>
        </row>
        <row r="609">
          <cell r="B609" t="str">
            <v>492005</v>
          </cell>
          <cell r="C609" t="str">
            <v>Charges à imputer - Mai</v>
          </cell>
          <cell r="D609" t="str">
            <v>408000</v>
          </cell>
          <cell r="E609" t="str">
            <v xml:space="preserve">FOURNISSEURS - F.N.P.      </v>
          </cell>
          <cell r="F609" t="str">
            <v>Fournisseurs et autres créditeurs courants</v>
          </cell>
          <cell r="G609" t="str">
            <v>PASSIFS COURANTS</v>
          </cell>
        </row>
        <row r="610">
          <cell r="B610" t="str">
            <v>492006</v>
          </cell>
          <cell r="C610" t="str">
            <v>Charges à imputer - Juin</v>
          </cell>
          <cell r="D610" t="str">
            <v>408000</v>
          </cell>
          <cell r="E610" t="str">
            <v xml:space="preserve">FOURNISSEURS - F.N.P.      </v>
          </cell>
          <cell r="F610" t="str">
            <v>Fournisseurs et autres créditeurs courants</v>
          </cell>
          <cell r="G610" t="str">
            <v>PASSIFS COURANTS</v>
          </cell>
        </row>
        <row r="611">
          <cell r="B611" t="str">
            <v>492007</v>
          </cell>
          <cell r="C611" t="str">
            <v>Charges à imputer - Juillet</v>
          </cell>
          <cell r="D611" t="str">
            <v>408000</v>
          </cell>
          <cell r="E611" t="str">
            <v xml:space="preserve">FOURNISSEURS - F.N.P.      </v>
          </cell>
          <cell r="F611" t="str">
            <v>Fournisseurs et autres créditeurs courants</v>
          </cell>
          <cell r="G611" t="str">
            <v>PASSIFS COURANTS</v>
          </cell>
        </row>
        <row r="612">
          <cell r="B612" t="str">
            <v>492008</v>
          </cell>
          <cell r="C612" t="str">
            <v>Charges à imputer - Août</v>
          </cell>
          <cell r="D612" t="str">
            <v>408000</v>
          </cell>
          <cell r="E612" t="str">
            <v xml:space="preserve">FOURNISSEURS - F.N.P.      </v>
          </cell>
          <cell r="F612" t="str">
            <v>Fournisseurs et autres créditeurs courants</v>
          </cell>
          <cell r="G612" t="str">
            <v>PASSIFS COURANTS</v>
          </cell>
        </row>
        <row r="613">
          <cell r="B613" t="str">
            <v>492009</v>
          </cell>
          <cell r="C613" t="str">
            <v>Charges à imputer - Sept.</v>
          </cell>
          <cell r="D613" t="str">
            <v>408000</v>
          </cell>
          <cell r="E613" t="str">
            <v xml:space="preserve">FOURNISSEURS - F.N.P.      </v>
          </cell>
          <cell r="F613" t="str">
            <v>Fournisseurs et autres créditeurs courants</v>
          </cell>
          <cell r="G613" t="str">
            <v>PASSIFS COURANTS</v>
          </cell>
        </row>
        <row r="614">
          <cell r="B614" t="str">
            <v>492010</v>
          </cell>
          <cell r="C614" t="str">
            <v>Charges à imputer - Oct.</v>
          </cell>
          <cell r="D614" t="str">
            <v>408000</v>
          </cell>
          <cell r="E614" t="str">
            <v xml:space="preserve">FOURNISSEURS - F.N.P.      </v>
          </cell>
          <cell r="F614" t="str">
            <v>Fournisseurs et autres créditeurs courants</v>
          </cell>
          <cell r="G614" t="str">
            <v>PASSIFS COURANTS</v>
          </cell>
        </row>
        <row r="615">
          <cell r="B615" t="str">
            <v>492011</v>
          </cell>
          <cell r="C615" t="str">
            <v>Charges à imputer - Nov.</v>
          </cell>
          <cell r="D615" t="str">
            <v>408000</v>
          </cell>
          <cell r="E615" t="str">
            <v xml:space="preserve">FOURNISSEURS - F.N.P.      </v>
          </cell>
          <cell r="F615" t="str">
            <v>Fournisseurs et autres créditeurs courants</v>
          </cell>
          <cell r="G615" t="str">
            <v>PASSIFS COURANTS</v>
          </cell>
        </row>
        <row r="616">
          <cell r="B616" t="str">
            <v>492012</v>
          </cell>
          <cell r="C616" t="str">
            <v>Charges à imputer - Déc.</v>
          </cell>
          <cell r="D616" t="str">
            <v>408000</v>
          </cell>
          <cell r="E616" t="str">
            <v xml:space="preserve">FOURNISSEURS - F.N.P.      </v>
          </cell>
          <cell r="F616" t="str">
            <v>Fournisseurs et autres créditeurs courants</v>
          </cell>
          <cell r="G616" t="str">
            <v>PASSIFS COURANTS</v>
          </cell>
        </row>
        <row r="617">
          <cell r="B617" t="str">
            <v>493000</v>
          </cell>
          <cell r="C617" t="str">
            <v>Produits à reporter</v>
          </cell>
          <cell r="D617" t="str">
            <v>487000</v>
          </cell>
          <cell r="E617" t="str">
            <v xml:space="preserve">PRODUITS CONSTATES D'AVANCE            </v>
          </cell>
          <cell r="F617" t="str">
            <v>Autres passifs courants</v>
          </cell>
          <cell r="G617" t="str">
            <v>PASSIFS COURANTS</v>
          </cell>
        </row>
        <row r="618">
          <cell r="B618" t="str">
            <v>493001</v>
          </cell>
          <cell r="C618" t="str">
            <v>Produits à reporter - Janvier</v>
          </cell>
          <cell r="D618" t="str">
            <v>487000</v>
          </cell>
          <cell r="E618" t="str">
            <v xml:space="preserve">PRODUITS CONSTATES D'AVANCE            </v>
          </cell>
          <cell r="F618" t="str">
            <v>Autres passifs courants</v>
          </cell>
          <cell r="G618" t="str">
            <v>PASSIFS COURANTS</v>
          </cell>
        </row>
        <row r="619">
          <cell r="B619" t="str">
            <v>493002</v>
          </cell>
          <cell r="C619" t="str">
            <v>Produits à reporter - Février</v>
          </cell>
          <cell r="D619" t="str">
            <v>487000</v>
          </cell>
          <cell r="E619" t="str">
            <v xml:space="preserve">PRODUITS CONSTATES D'AVANCE            </v>
          </cell>
          <cell r="F619" t="str">
            <v>Autres passifs courants</v>
          </cell>
          <cell r="G619" t="str">
            <v>PASSIFS COURANTS</v>
          </cell>
        </row>
        <row r="620">
          <cell r="B620" t="str">
            <v>493003</v>
          </cell>
          <cell r="C620" t="str">
            <v>Produits à reporter - Mars</v>
          </cell>
          <cell r="D620" t="str">
            <v>487000</v>
          </cell>
          <cell r="E620" t="str">
            <v xml:space="preserve">PRODUITS CONSTATES D'AVANCE            </v>
          </cell>
          <cell r="F620" t="str">
            <v>Autres passifs courants</v>
          </cell>
          <cell r="G620" t="str">
            <v>PASSIFS COURANTS</v>
          </cell>
        </row>
        <row r="621">
          <cell r="B621" t="str">
            <v>493004</v>
          </cell>
          <cell r="C621" t="str">
            <v>Produits à reporter - Avril</v>
          </cell>
          <cell r="D621" t="str">
            <v>487000</v>
          </cell>
          <cell r="E621" t="str">
            <v xml:space="preserve">PRODUITS CONSTATES D'AVANCE            </v>
          </cell>
          <cell r="F621" t="str">
            <v>Autres passifs courants</v>
          </cell>
          <cell r="G621" t="str">
            <v>PASSIFS COURANTS</v>
          </cell>
        </row>
        <row r="622">
          <cell r="B622" t="str">
            <v>493005</v>
          </cell>
          <cell r="C622" t="str">
            <v>Produits à reporter - Mai</v>
          </cell>
          <cell r="D622" t="str">
            <v>487000</v>
          </cell>
          <cell r="E622" t="str">
            <v xml:space="preserve">PRODUITS CONSTATES D'AVANCE            </v>
          </cell>
          <cell r="F622" t="str">
            <v>Autres passifs courants</v>
          </cell>
          <cell r="G622" t="str">
            <v>PASSIFS COURANTS</v>
          </cell>
        </row>
        <row r="623">
          <cell r="B623" t="str">
            <v>493006</v>
          </cell>
          <cell r="C623" t="str">
            <v>Produits à reporter - Juin</v>
          </cell>
          <cell r="D623" t="str">
            <v>487000</v>
          </cell>
          <cell r="E623" t="str">
            <v xml:space="preserve">PRODUITS CONSTATES D'AVANCE            </v>
          </cell>
          <cell r="F623" t="str">
            <v>Autres passifs courants</v>
          </cell>
          <cell r="G623" t="str">
            <v>PASSIFS COURANTS</v>
          </cell>
        </row>
        <row r="624">
          <cell r="B624" t="str">
            <v>493007</v>
          </cell>
          <cell r="C624" t="str">
            <v>Produits à reporter - Juillet</v>
          </cell>
          <cell r="D624" t="str">
            <v>487000</v>
          </cell>
          <cell r="E624" t="str">
            <v xml:space="preserve">PRODUITS CONSTATES D'AVANCE            </v>
          </cell>
          <cell r="F624" t="str">
            <v>Autres passifs courants</v>
          </cell>
          <cell r="G624" t="str">
            <v>PASSIFS COURANTS</v>
          </cell>
        </row>
        <row r="625">
          <cell r="B625" t="str">
            <v>493008</v>
          </cell>
          <cell r="C625" t="str">
            <v>Produits à reporter - Aout</v>
          </cell>
          <cell r="D625" t="str">
            <v>487000</v>
          </cell>
          <cell r="E625" t="str">
            <v xml:space="preserve">PRODUITS CONSTATES D'AVANCE            </v>
          </cell>
          <cell r="F625" t="str">
            <v>Autres passifs courants</v>
          </cell>
          <cell r="G625" t="str">
            <v>PASSIFS COURANTS</v>
          </cell>
        </row>
        <row r="626">
          <cell r="B626" t="str">
            <v>493009</v>
          </cell>
          <cell r="C626" t="str">
            <v>Produits à reporter- Sept.</v>
          </cell>
          <cell r="D626" t="str">
            <v>487000</v>
          </cell>
          <cell r="E626" t="str">
            <v xml:space="preserve">PRODUITS CONSTATES D'AVANCE            </v>
          </cell>
          <cell r="F626" t="str">
            <v>Autres passifs courants</v>
          </cell>
          <cell r="G626" t="str">
            <v>PASSIFS COURANTS</v>
          </cell>
        </row>
        <row r="627">
          <cell r="B627" t="str">
            <v>493010</v>
          </cell>
          <cell r="C627" t="str">
            <v>Produits à reporter - Oct.</v>
          </cell>
          <cell r="D627" t="str">
            <v>487000</v>
          </cell>
          <cell r="E627" t="str">
            <v xml:space="preserve">PRODUITS CONSTATES D'AVANCE            </v>
          </cell>
          <cell r="F627" t="str">
            <v>Autres passifs courants</v>
          </cell>
          <cell r="G627" t="str">
            <v>PASSIFS COURANTS</v>
          </cell>
        </row>
        <row r="628">
          <cell r="B628" t="str">
            <v>493011</v>
          </cell>
          <cell r="C628" t="str">
            <v>Produits à reporterr - Nov.</v>
          </cell>
          <cell r="D628" t="str">
            <v>487000</v>
          </cell>
          <cell r="E628" t="str">
            <v xml:space="preserve">PRODUITS CONSTATES D'AVANCE            </v>
          </cell>
          <cell r="F628" t="str">
            <v>Autres passifs courants</v>
          </cell>
          <cell r="G628" t="str">
            <v>PASSIFS COURANTS</v>
          </cell>
        </row>
        <row r="629">
          <cell r="B629" t="str">
            <v>493012</v>
          </cell>
          <cell r="C629" t="str">
            <v>Produits à reporter -  Déc.</v>
          </cell>
          <cell r="D629" t="str">
            <v>487000</v>
          </cell>
          <cell r="E629" t="str">
            <v xml:space="preserve">PRODUITS CONSTATES D'AVANCE            </v>
          </cell>
          <cell r="F629" t="str">
            <v>Autres passifs courants</v>
          </cell>
          <cell r="G629" t="str">
            <v>PASSIFS COURANTS</v>
          </cell>
        </row>
        <row r="630">
          <cell r="B630" t="str">
            <v>499000</v>
          </cell>
          <cell r="C630" t="str">
            <v>COMPTES D'ATTENTES</v>
          </cell>
          <cell r="D630" t="str">
            <v>467000</v>
          </cell>
          <cell r="E630" t="str">
            <v>AUTRES COMPTES DEBITEURS OU CREDITEURS</v>
          </cell>
          <cell r="F630" t="str">
            <v>Autres passifs courants</v>
          </cell>
          <cell r="G630" t="str">
            <v>PASSIFS COURANTS</v>
          </cell>
        </row>
        <row r="631">
          <cell r="B631" t="str">
            <v>499001</v>
          </cell>
          <cell r="C631" t="str">
            <v>Honoraires Medecins à refact.</v>
          </cell>
          <cell r="D631" t="str">
            <v>467150</v>
          </cell>
          <cell r="E631" t="str">
            <v>AIDES SOCIALES</v>
          </cell>
          <cell r="F631" t="str">
            <v>Autres Débiteurs Courants</v>
          </cell>
          <cell r="G631" t="str">
            <v>ACTIFS COURANTS</v>
          </cell>
        </row>
        <row r="632">
          <cell r="B632" t="str">
            <v>499002</v>
          </cell>
          <cell r="C632" t="str">
            <v>Pharmacie à refacturer</v>
          </cell>
          <cell r="D632" t="str">
            <v>467150</v>
          </cell>
          <cell r="E632" t="str">
            <v>AIDES SOCIALES</v>
          </cell>
          <cell r="F632" t="str">
            <v>Autres Débiteurs Courants</v>
          </cell>
          <cell r="G632" t="str">
            <v>ACTIFS COURANTS</v>
          </cell>
        </row>
        <row r="633">
          <cell r="B633" t="str">
            <v>499003</v>
          </cell>
          <cell r="C633" t="str">
            <v>Récup. frais antérieur</v>
          </cell>
          <cell r="D633" t="str">
            <v>468700</v>
          </cell>
          <cell r="E633" t="str">
            <v xml:space="preserve">DIVERS - PRODUITS A RECEVOIR           </v>
          </cell>
          <cell r="F633" t="str">
            <v>Autres Débiteurs Courants</v>
          </cell>
          <cell r="G633" t="str">
            <v>ACTIFS COURANTS</v>
          </cell>
        </row>
        <row r="634">
          <cell r="B634" t="str">
            <v>499004</v>
          </cell>
          <cell r="C634" t="str">
            <v>xxx</v>
          </cell>
          <cell r="D634" t="str">
            <v>468700</v>
          </cell>
          <cell r="E634" t="str">
            <v xml:space="preserve">DIVERS - PRODUITS A RECEVOIR           </v>
          </cell>
          <cell r="F634" t="str">
            <v>Autres Débiteurs Courants</v>
          </cell>
          <cell r="G634" t="str">
            <v>ACTIFS COURANTS</v>
          </cell>
        </row>
        <row r="635">
          <cell r="B635" t="str">
            <v>499005</v>
          </cell>
          <cell r="C635" t="str">
            <v>xxx</v>
          </cell>
          <cell r="D635" t="str">
            <v>468700</v>
          </cell>
          <cell r="E635" t="str">
            <v xml:space="preserve">DIVERS - PRODUITS A RECEVOIR           </v>
          </cell>
          <cell r="F635" t="str">
            <v>Autres Débiteurs Courants</v>
          </cell>
          <cell r="G635" t="str">
            <v>ACTIFS COURANTS</v>
          </cell>
        </row>
        <row r="636">
          <cell r="B636" t="str">
            <v>499006</v>
          </cell>
          <cell r="C636"/>
          <cell r="D636" t="str">
            <v>468700</v>
          </cell>
          <cell r="E636" t="str">
            <v xml:space="preserve">DIVERS - PRODUITS A RECEVOIR           </v>
          </cell>
          <cell r="F636" t="str">
            <v>Autres Débiteurs Courants</v>
          </cell>
          <cell r="G636" t="str">
            <v>ACTIFS COURANTS</v>
          </cell>
        </row>
        <row r="637">
          <cell r="B637" t="str">
            <v>499007</v>
          </cell>
          <cell r="C637"/>
          <cell r="D637" t="str">
            <v>468700</v>
          </cell>
          <cell r="E637" t="str">
            <v xml:space="preserve">DIVERS - PRODUITS A RECEVOIR           </v>
          </cell>
          <cell r="F637" t="str">
            <v>Autres Débiteurs Courants</v>
          </cell>
          <cell r="G637" t="str">
            <v>ACTIFS COURANTS</v>
          </cell>
        </row>
        <row r="638">
          <cell r="B638" t="str">
            <v>499008</v>
          </cell>
          <cell r="C638"/>
          <cell r="D638" t="str">
            <v>468700</v>
          </cell>
          <cell r="E638" t="str">
            <v xml:space="preserve">DIVERS - PRODUITS A RECEVOIR           </v>
          </cell>
          <cell r="F638" t="str">
            <v>Autres Débiteurs Courants</v>
          </cell>
          <cell r="G638" t="str">
            <v>ACTIFS COURANTS</v>
          </cell>
        </row>
        <row r="639">
          <cell r="B639" t="str">
            <v>499009</v>
          </cell>
          <cell r="C639"/>
          <cell r="D639" t="str">
            <v>468700</v>
          </cell>
          <cell r="E639" t="str">
            <v xml:space="preserve">DIVERS - PRODUITS A RECEVOIR           </v>
          </cell>
          <cell r="F639" t="str">
            <v>Autres Débiteurs Courants</v>
          </cell>
          <cell r="G639" t="str">
            <v>ACTIFS COURANTS</v>
          </cell>
        </row>
        <row r="640">
          <cell r="B640" t="str">
            <v>499010</v>
          </cell>
          <cell r="C640"/>
          <cell r="D640" t="str">
            <v>468700</v>
          </cell>
          <cell r="E640" t="str">
            <v xml:space="preserve">DIVERS - PRODUITS A RECEVOIR           </v>
          </cell>
          <cell r="F640" t="str">
            <v>Autres Débiteurs Courants</v>
          </cell>
          <cell r="G640" t="str">
            <v>ACTIFS COURANTS</v>
          </cell>
        </row>
        <row r="641">
          <cell r="B641" t="str">
            <v>499011</v>
          </cell>
          <cell r="C641"/>
          <cell r="D641" t="str">
            <v>468700</v>
          </cell>
          <cell r="E641" t="str">
            <v xml:space="preserve">DIVERS - PRODUITS A RECEVOIR           </v>
          </cell>
          <cell r="F641" t="str">
            <v>Autres Débiteurs Courants</v>
          </cell>
          <cell r="G641" t="str">
            <v>ACTIFS COURANTS</v>
          </cell>
        </row>
        <row r="642">
          <cell r="B642" t="str">
            <v>499012</v>
          </cell>
          <cell r="C642"/>
          <cell r="D642" t="str">
            <v>468700</v>
          </cell>
          <cell r="E642" t="str">
            <v xml:space="preserve">DIVERS - PRODUITS A RECEVOIR           </v>
          </cell>
          <cell r="F642" t="str">
            <v>Autres Débiteurs Courants</v>
          </cell>
          <cell r="G642" t="str">
            <v>ACTIFS COURANTS</v>
          </cell>
        </row>
        <row r="643">
          <cell r="B643" t="str">
            <v>499013</v>
          </cell>
          <cell r="C643"/>
          <cell r="D643" t="str">
            <v>468700</v>
          </cell>
          <cell r="E643" t="str">
            <v xml:space="preserve">DIVERS - PRODUITS A RECEVOIR           </v>
          </cell>
          <cell r="F643" t="str">
            <v>Autres Débiteurs Courants</v>
          </cell>
          <cell r="G643" t="str">
            <v>ACTIFS COURANTS</v>
          </cell>
        </row>
        <row r="644">
          <cell r="B644" t="str">
            <v>499014</v>
          </cell>
          <cell r="C644"/>
          <cell r="D644" t="str">
            <v>468700</v>
          </cell>
          <cell r="E644" t="str">
            <v xml:space="preserve">DIVERS - PRODUITS A RECEVOIR           </v>
          </cell>
          <cell r="F644" t="str">
            <v>Autres Débiteurs Courants</v>
          </cell>
          <cell r="G644" t="str">
            <v>ACTIFS COURANTS</v>
          </cell>
        </row>
        <row r="645">
          <cell r="B645" t="str">
            <v>499015</v>
          </cell>
          <cell r="C645"/>
          <cell r="D645" t="str">
            <v>468700</v>
          </cell>
          <cell r="E645" t="str">
            <v xml:space="preserve">DIVERS - PRODUITS A RECEVOIR           </v>
          </cell>
          <cell r="F645" t="str">
            <v>Autres Débiteurs Courants</v>
          </cell>
          <cell r="G645" t="str">
            <v>ACTIFS COURANTS</v>
          </cell>
        </row>
        <row r="646">
          <cell r="B646" t="str">
            <v>499016</v>
          </cell>
          <cell r="C646"/>
          <cell r="D646" t="str">
            <v>468700</v>
          </cell>
          <cell r="E646" t="str">
            <v xml:space="preserve">DIVERS - PRODUITS A RECEVOIR           </v>
          </cell>
          <cell r="F646" t="str">
            <v>Autres Débiteurs Courants</v>
          </cell>
          <cell r="G646" t="str">
            <v>ACTIFS COURANTS</v>
          </cell>
        </row>
        <row r="647">
          <cell r="B647" t="str">
            <v>499017</v>
          </cell>
          <cell r="C647"/>
          <cell r="D647" t="str">
            <v>468700</v>
          </cell>
          <cell r="E647" t="str">
            <v xml:space="preserve">DIVERS - PRODUITS A RECEVOIR           </v>
          </cell>
          <cell r="F647" t="str">
            <v>Autres Débiteurs Courants</v>
          </cell>
          <cell r="G647" t="str">
            <v>ACTIFS COURANTS</v>
          </cell>
        </row>
        <row r="648">
          <cell r="B648" t="str">
            <v>499500</v>
          </cell>
          <cell r="C648"/>
          <cell r="D648" t="str">
            <v>468700</v>
          </cell>
          <cell r="E648" t="str">
            <v xml:space="preserve">DIVERS - PRODUITS A RECEVOIR           </v>
          </cell>
          <cell r="F648" t="str">
            <v>Autres Débiteurs Courants</v>
          </cell>
          <cell r="G648" t="str">
            <v>ACTIFS COURANTS</v>
          </cell>
        </row>
        <row r="649">
          <cell r="B649" t="str">
            <v>530000</v>
          </cell>
          <cell r="C649" t="str">
            <v>Compte à terme XXX</v>
          </cell>
          <cell r="D649" t="str">
            <v>512002</v>
          </cell>
          <cell r="E649" t="str">
            <v>BANQUE BELGE</v>
          </cell>
          <cell r="F649" t="str">
            <v>Trésorerie et Equivalents trésorerie</v>
          </cell>
          <cell r="G649" t="str">
            <v>ACTIFS COURANTS</v>
          </cell>
        </row>
        <row r="650">
          <cell r="B650" t="str">
            <v>550000</v>
          </cell>
          <cell r="C650" t="str">
            <v>FORTIS 001-2374879-07</v>
          </cell>
          <cell r="D650" t="str">
            <v>512002</v>
          </cell>
          <cell r="E650" t="str">
            <v>BANQUE BELGE</v>
          </cell>
          <cell r="F650" t="str">
            <v>Trésorerie et Equivalents trésorerie</v>
          </cell>
          <cell r="G650" t="str">
            <v>ACTIFS COURANTS</v>
          </cell>
        </row>
        <row r="651">
          <cell r="B651" t="str">
            <v>550001</v>
          </cell>
          <cell r="C651" t="str">
            <v>FORTIS 271-0198170-31</v>
          </cell>
          <cell r="D651" t="str">
            <v>512002</v>
          </cell>
          <cell r="E651" t="str">
            <v>BANQUE BELGE</v>
          </cell>
          <cell r="F651" t="str">
            <v>Trésorerie et Equivalents trésorerie</v>
          </cell>
          <cell r="G651" t="str">
            <v>ACTIFS COURANTS</v>
          </cell>
        </row>
        <row r="652">
          <cell r="B652" t="str">
            <v>550002</v>
          </cell>
          <cell r="C652" t="str">
            <v>KBC 733-0226172-95</v>
          </cell>
          <cell r="D652" t="str">
            <v>512002</v>
          </cell>
          <cell r="E652" t="str">
            <v>BANQUE BELGE</v>
          </cell>
          <cell r="F652" t="str">
            <v>Trésorerie et Equivalents trésorerie</v>
          </cell>
          <cell r="G652" t="str">
            <v>ACTIFS COURANTS</v>
          </cell>
        </row>
        <row r="653">
          <cell r="B653" t="str">
            <v>550003</v>
          </cell>
          <cell r="C653" t="str">
            <v>FORTIS 001-6123946-24</v>
          </cell>
          <cell r="D653" t="str">
            <v>512002</v>
          </cell>
          <cell r="E653" t="str">
            <v>BANQUE BELGE</v>
          </cell>
          <cell r="F653" t="str">
            <v>Trésorerie et Equivalents trésorerie</v>
          </cell>
          <cell r="G653" t="str">
            <v>ACTIFS COURANTS</v>
          </cell>
        </row>
        <row r="654">
          <cell r="B654" t="str">
            <v>550004</v>
          </cell>
          <cell r="C654" t="str">
            <v>KBC 731-0246340-32</v>
          </cell>
          <cell r="D654" t="str">
            <v>512002</v>
          </cell>
          <cell r="E654" t="str">
            <v>BANQUE BELGE</v>
          </cell>
          <cell r="F654" t="str">
            <v>Trésorerie et Equivalents trésorerie</v>
          </cell>
          <cell r="G654" t="str">
            <v>ACTIFS COURANTS</v>
          </cell>
        </row>
        <row r="655">
          <cell r="B655" t="str">
            <v>550005</v>
          </cell>
          <cell r="C655" t="str">
            <v>FORTIS 001-4753866-69</v>
          </cell>
          <cell r="D655" t="str">
            <v>512002</v>
          </cell>
          <cell r="E655" t="str">
            <v>BANQUE BELGE</v>
          </cell>
          <cell r="F655" t="str">
            <v>Trésorerie et Equivalents trésorerie</v>
          </cell>
          <cell r="G655" t="str">
            <v>ACTIFS COURANTS</v>
          </cell>
        </row>
        <row r="656">
          <cell r="B656" t="str">
            <v>550006</v>
          </cell>
          <cell r="C656" t="str">
            <v>C/c xxx-xxxxxxxx-xx</v>
          </cell>
          <cell r="D656" t="str">
            <v>512002</v>
          </cell>
          <cell r="E656" t="str">
            <v>BANQUE BELGE</v>
          </cell>
          <cell r="F656" t="str">
            <v>Trésorerie et Equivalents trésorerie</v>
          </cell>
          <cell r="G656" t="str">
            <v>ACTIFS COURANTS</v>
          </cell>
        </row>
        <row r="657">
          <cell r="B657" t="str">
            <v>550007</v>
          </cell>
          <cell r="C657" t="str">
            <v>C/c xxx-xxxxxxxx-xx</v>
          </cell>
          <cell r="D657" t="str">
            <v>512002</v>
          </cell>
          <cell r="E657" t="str">
            <v>BANQUE BELGE</v>
          </cell>
          <cell r="F657" t="str">
            <v>Trésorerie et Equivalents trésorerie</v>
          </cell>
          <cell r="G657" t="str">
            <v>ACTIFS COURANTS</v>
          </cell>
        </row>
        <row r="658">
          <cell r="B658" t="str">
            <v>550008</v>
          </cell>
          <cell r="C658" t="str">
            <v>C/c xxx-xxxxxxxx-xx</v>
          </cell>
          <cell r="D658" t="str">
            <v>512002</v>
          </cell>
          <cell r="E658" t="str">
            <v>BANQUE BELGE</v>
          </cell>
          <cell r="F658" t="str">
            <v>Trésorerie et Equivalents trésorerie</v>
          </cell>
          <cell r="G658" t="str">
            <v>ACTIFS COURANTS</v>
          </cell>
        </row>
        <row r="659">
          <cell r="B659" t="str">
            <v>550009</v>
          </cell>
          <cell r="C659" t="str">
            <v>C/c xxx-xxxxxxxx-xx</v>
          </cell>
          <cell r="D659" t="str">
            <v>512002</v>
          </cell>
          <cell r="E659" t="str">
            <v>BANQUE BELGE</v>
          </cell>
          <cell r="F659" t="str">
            <v>Trésorerie et Equivalents trésorerie</v>
          </cell>
          <cell r="G659" t="str">
            <v>ACTIFS COURANTS</v>
          </cell>
        </row>
        <row r="660">
          <cell r="B660" t="str">
            <v>550010</v>
          </cell>
          <cell r="C660" t="str">
            <v>C/c XXX-XXXXXXX-XX</v>
          </cell>
          <cell r="D660" t="str">
            <v>512002</v>
          </cell>
          <cell r="E660" t="str">
            <v>BANQUE BELGE</v>
          </cell>
          <cell r="F660" t="str">
            <v>Trésorerie et Equivalents trésorerie</v>
          </cell>
          <cell r="G660" t="str">
            <v>ACTIFS COURANTS</v>
          </cell>
        </row>
        <row r="661">
          <cell r="B661" t="str">
            <v>550011</v>
          </cell>
          <cell r="C661"/>
          <cell r="D661" t="str">
            <v>512002</v>
          </cell>
          <cell r="E661" t="str">
            <v>BANQUE BELGE</v>
          </cell>
          <cell r="F661" t="str">
            <v>Trésorerie et Equivalents trésorerie</v>
          </cell>
          <cell r="G661" t="str">
            <v>ACTIFS COURANTS</v>
          </cell>
        </row>
        <row r="662">
          <cell r="B662" t="str">
            <v>550012</v>
          </cell>
          <cell r="C662"/>
          <cell r="D662" t="str">
            <v>512002</v>
          </cell>
          <cell r="E662" t="str">
            <v>BANQUE BELGE</v>
          </cell>
          <cell r="F662" t="str">
            <v>Trésorerie et Equivalents trésorerie</v>
          </cell>
          <cell r="G662" t="str">
            <v>ACTIFS COURANTS</v>
          </cell>
        </row>
        <row r="663">
          <cell r="B663" t="str">
            <v>550013</v>
          </cell>
          <cell r="C663"/>
          <cell r="D663" t="str">
            <v>512002</v>
          </cell>
          <cell r="E663" t="str">
            <v>BANQUE BELGE</v>
          </cell>
          <cell r="F663" t="str">
            <v>Trésorerie et Equivalents trésorerie</v>
          </cell>
          <cell r="G663" t="str">
            <v>ACTIFS COURANTS</v>
          </cell>
        </row>
        <row r="664">
          <cell r="B664" t="str">
            <v>550014</v>
          </cell>
          <cell r="C664"/>
          <cell r="D664" t="str">
            <v>512002</v>
          </cell>
          <cell r="E664" t="str">
            <v>BANQUE BELGE</v>
          </cell>
          <cell r="F664" t="str">
            <v>Trésorerie et Equivalents trésorerie</v>
          </cell>
          <cell r="G664" t="str">
            <v>ACTIFS COURANTS</v>
          </cell>
        </row>
        <row r="665">
          <cell r="B665" t="str">
            <v>550015</v>
          </cell>
          <cell r="C665"/>
          <cell r="D665" t="str">
            <v>512002</v>
          </cell>
          <cell r="E665" t="str">
            <v>BANQUE BELGE</v>
          </cell>
          <cell r="F665" t="str">
            <v>Trésorerie et Equivalents trésorerie</v>
          </cell>
          <cell r="G665" t="str">
            <v>ACTIFS COURANTS</v>
          </cell>
        </row>
        <row r="666">
          <cell r="B666" t="str">
            <v>550016</v>
          </cell>
          <cell r="C666"/>
          <cell r="D666" t="str">
            <v>512002</v>
          </cell>
          <cell r="E666" t="str">
            <v>BANQUE BELGE</v>
          </cell>
          <cell r="F666" t="str">
            <v>Trésorerie et Equivalents trésorerie</v>
          </cell>
          <cell r="G666" t="str">
            <v>ACTIFS COURANTS</v>
          </cell>
        </row>
        <row r="667">
          <cell r="B667" t="str">
            <v>550017</v>
          </cell>
          <cell r="C667"/>
          <cell r="D667" t="str">
            <v>512002</v>
          </cell>
          <cell r="E667" t="str">
            <v>BANQUE BELGE</v>
          </cell>
          <cell r="F667" t="str">
            <v>Trésorerie et Equivalents trésorerie</v>
          </cell>
          <cell r="G667" t="str">
            <v>ACTIFS COURANTS</v>
          </cell>
        </row>
        <row r="668">
          <cell r="B668" t="str">
            <v>550018</v>
          </cell>
          <cell r="C668"/>
          <cell r="D668" t="str">
            <v>512002</v>
          </cell>
          <cell r="E668" t="str">
            <v>BANQUE BELGE</v>
          </cell>
          <cell r="F668" t="str">
            <v>Trésorerie et Equivalents trésorerie</v>
          </cell>
          <cell r="G668" t="str">
            <v>ACTIFS COURANTS</v>
          </cell>
        </row>
        <row r="669">
          <cell r="B669" t="str">
            <v>550019</v>
          </cell>
          <cell r="C669"/>
          <cell r="D669" t="str">
            <v>512002</v>
          </cell>
          <cell r="E669" t="str">
            <v>BANQUE BELGE</v>
          </cell>
          <cell r="F669" t="str">
            <v>Trésorerie et Equivalents trésorerie</v>
          </cell>
          <cell r="G669" t="str">
            <v>ACTIFS COURANTS</v>
          </cell>
        </row>
        <row r="670">
          <cell r="B670" t="str">
            <v>550020</v>
          </cell>
          <cell r="C670" t="str">
            <v>C/c XXX-XXXXXXX-XX</v>
          </cell>
          <cell r="D670" t="str">
            <v>512002</v>
          </cell>
          <cell r="E670" t="str">
            <v>BANQUE BELGE</v>
          </cell>
          <cell r="F670" t="str">
            <v>Trésorerie et Equivalents trésorerie</v>
          </cell>
          <cell r="G670" t="str">
            <v>ACTIFS COURANTS</v>
          </cell>
        </row>
        <row r="671">
          <cell r="B671" t="str">
            <v>551000</v>
          </cell>
          <cell r="C671" t="str">
            <v>DEXIA 068-2509781-30</v>
          </cell>
          <cell r="D671" t="str">
            <v>512002</v>
          </cell>
          <cell r="E671" t="str">
            <v>BANQUE BELGE</v>
          </cell>
          <cell r="F671" t="str">
            <v>Trésorerie et Equivalents trésorerie</v>
          </cell>
          <cell r="G671" t="str">
            <v>ACTIFS COURANTS</v>
          </cell>
        </row>
        <row r="672">
          <cell r="B672" t="str">
            <v>551001</v>
          </cell>
          <cell r="C672" t="str">
            <v>SG 000-280107-79</v>
          </cell>
          <cell r="D672" t="str">
            <v>512002</v>
          </cell>
          <cell r="E672" t="str">
            <v>BANQUE BELGE</v>
          </cell>
          <cell r="F672" t="str">
            <v>Trésorerie et Equivalents trésorerie</v>
          </cell>
          <cell r="G672" t="str">
            <v>ACTIFS COURANTS</v>
          </cell>
        </row>
        <row r="673">
          <cell r="B673" t="str">
            <v>551002</v>
          </cell>
          <cell r="C673" t="str">
            <v>FORTIS 285-0254523-24</v>
          </cell>
          <cell r="D673" t="str">
            <v>512002</v>
          </cell>
          <cell r="E673" t="str">
            <v>BANQUE BELGE</v>
          </cell>
          <cell r="F673" t="str">
            <v>Trésorerie et Equivalents trésorerie</v>
          </cell>
          <cell r="G673" t="str">
            <v>ACTIFS COURANTS</v>
          </cell>
        </row>
        <row r="674">
          <cell r="B674" t="str">
            <v>551003</v>
          </cell>
          <cell r="C674" t="str">
            <v>Dexia 068-2509662-08</v>
          </cell>
          <cell r="D674" t="str">
            <v>512002</v>
          </cell>
          <cell r="E674" t="str">
            <v>BANQUE BELGE</v>
          </cell>
          <cell r="F674" t="str">
            <v>Trésorerie et Equivalents trésorerie</v>
          </cell>
          <cell r="G674" t="str">
            <v>ACTIFS COURANTS</v>
          </cell>
        </row>
        <row r="675">
          <cell r="B675" t="str">
            <v>551004</v>
          </cell>
          <cell r="C675" t="str">
            <v>CIC 000-200870-01</v>
          </cell>
          <cell r="D675" t="str">
            <v>512002</v>
          </cell>
          <cell r="E675" t="str">
            <v>BANQUE BELGE</v>
          </cell>
          <cell r="F675" t="str">
            <v>Trésorerie et Equivalents trésorerie</v>
          </cell>
          <cell r="G675" t="str">
            <v>ACTIFS COURANTS</v>
          </cell>
        </row>
        <row r="676">
          <cell r="B676" t="str">
            <v>552000</v>
          </cell>
          <cell r="C676" t="str">
            <v>ING 370-09443576-47</v>
          </cell>
          <cell r="D676" t="str">
            <v>512002</v>
          </cell>
          <cell r="E676" t="str">
            <v>BANQUE BELGE</v>
          </cell>
          <cell r="F676" t="str">
            <v>Trésorerie et Equivalents trésorerie</v>
          </cell>
          <cell r="G676" t="str">
            <v>ACTIFS COURANTS</v>
          </cell>
        </row>
        <row r="677">
          <cell r="B677" t="str">
            <v>553000</v>
          </cell>
          <cell r="C677" t="str">
            <v>FORTIS 001-5693422-83</v>
          </cell>
          <cell r="D677" t="str">
            <v>512002</v>
          </cell>
          <cell r="E677" t="str">
            <v>BANQUE BELGE</v>
          </cell>
          <cell r="F677" t="str">
            <v>Trésorerie et Equivalents trésorerie</v>
          </cell>
          <cell r="G677" t="str">
            <v>ACTIFS COURANTS</v>
          </cell>
        </row>
        <row r="678">
          <cell r="B678" t="str">
            <v>554000</v>
          </cell>
          <cell r="C678" t="str">
            <v>KBC</v>
          </cell>
          <cell r="D678" t="str">
            <v>512002</v>
          </cell>
          <cell r="E678" t="str">
            <v>BANQUE BELGE</v>
          </cell>
          <cell r="F678" t="str">
            <v>Trésorerie et Equivalents trésorerie</v>
          </cell>
          <cell r="G678" t="str">
            <v>ACTIFS COURANTS</v>
          </cell>
        </row>
        <row r="679">
          <cell r="B679" t="str">
            <v>555000</v>
          </cell>
          <cell r="C679" t="str">
            <v>AXA</v>
          </cell>
          <cell r="D679" t="str">
            <v>512002</v>
          </cell>
          <cell r="E679" t="str">
            <v>BANQUE BELGE</v>
          </cell>
          <cell r="F679" t="str">
            <v>Trésorerie et Equivalents trésorerie</v>
          </cell>
          <cell r="G679" t="str">
            <v>ACTIFS COURANTS</v>
          </cell>
        </row>
        <row r="680">
          <cell r="B680" t="str">
            <v>556000</v>
          </cell>
          <cell r="C680" t="str">
            <v>ING 370-0943578-49</v>
          </cell>
          <cell r="D680" t="str">
            <v>512002</v>
          </cell>
          <cell r="E680" t="str">
            <v>BANQUE BELGE</v>
          </cell>
          <cell r="F680" t="str">
            <v>Trésorerie et Equivalents trésorerie</v>
          </cell>
          <cell r="G680" t="str">
            <v>ACTIFS COURANTS</v>
          </cell>
        </row>
        <row r="681">
          <cell r="B681" t="str">
            <v>570000</v>
          </cell>
          <cell r="C681" t="str">
            <v>CAISSE A</v>
          </cell>
          <cell r="D681" t="str">
            <v>530000</v>
          </cell>
          <cell r="E681" t="str">
            <v>CAISSE</v>
          </cell>
          <cell r="F681" t="str">
            <v>Trésorerie et Equivalents trésorerie</v>
          </cell>
          <cell r="G681" t="str">
            <v>ACTIFS COURANTS</v>
          </cell>
        </row>
        <row r="682">
          <cell r="B682" t="str">
            <v>570001</v>
          </cell>
          <cell r="C682" t="str">
            <v>Caisse B</v>
          </cell>
          <cell r="D682" t="str">
            <v>530000</v>
          </cell>
          <cell r="E682" t="str">
            <v>CAISSE</v>
          </cell>
          <cell r="F682" t="str">
            <v>Trésorerie et Equivalents trésorerie</v>
          </cell>
          <cell r="G682" t="str">
            <v>ACTIFS COURANTS</v>
          </cell>
        </row>
        <row r="683">
          <cell r="B683" t="str">
            <v>570002</v>
          </cell>
          <cell r="C683" t="str">
            <v>CAISSE C</v>
          </cell>
          <cell r="D683" t="str">
            <v>530000</v>
          </cell>
          <cell r="E683" t="str">
            <v>CAISSE</v>
          </cell>
          <cell r="F683" t="str">
            <v>Trésorerie et Equivalents trésorerie</v>
          </cell>
          <cell r="G683" t="str">
            <v>ACTIFS COURANTS</v>
          </cell>
        </row>
        <row r="684">
          <cell r="B684" t="str">
            <v>570003</v>
          </cell>
          <cell r="C684" t="str">
            <v>CAISSE D</v>
          </cell>
          <cell r="D684" t="str">
            <v>530000</v>
          </cell>
          <cell r="E684" t="str">
            <v>CAISSE</v>
          </cell>
          <cell r="F684" t="str">
            <v>Trésorerie et Equivalents trésorerie</v>
          </cell>
          <cell r="G684" t="str">
            <v>ACTIFS COURANTS</v>
          </cell>
        </row>
        <row r="685">
          <cell r="B685" t="str">
            <v>570004</v>
          </cell>
          <cell r="C685" t="str">
            <v>CAISSE E</v>
          </cell>
          <cell r="D685" t="str">
            <v>530000</v>
          </cell>
          <cell r="E685" t="str">
            <v>CAISSE</v>
          </cell>
          <cell r="F685" t="str">
            <v>Trésorerie et Equivalents trésorerie</v>
          </cell>
          <cell r="G685" t="str">
            <v>ACTIFS COURANTS</v>
          </cell>
        </row>
        <row r="686">
          <cell r="B686" t="str">
            <v>570005</v>
          </cell>
          <cell r="C686" t="str">
            <v>Caisse Résidents/Adm de Biens</v>
          </cell>
          <cell r="D686" t="str">
            <v>530000</v>
          </cell>
          <cell r="E686" t="str">
            <v>CAISSE</v>
          </cell>
          <cell r="F686" t="str">
            <v>Trésorerie et Equivalents trésorerie</v>
          </cell>
          <cell r="G686" t="str">
            <v>ACTIFS COURANTS</v>
          </cell>
        </row>
        <row r="687">
          <cell r="B687" t="str">
            <v>570006</v>
          </cell>
          <cell r="C687" t="str">
            <v>Caisse Résidents/Adm de Biens</v>
          </cell>
          <cell r="D687" t="str">
            <v>530000</v>
          </cell>
          <cell r="E687" t="str">
            <v>CAISSE</v>
          </cell>
          <cell r="F687" t="str">
            <v>Trésorerie et Equivalents trésorerie</v>
          </cell>
          <cell r="G687" t="str">
            <v>ACTIFS COURANTS</v>
          </cell>
        </row>
        <row r="688">
          <cell r="B688" t="str">
            <v>570007</v>
          </cell>
          <cell r="C688" t="str">
            <v>Caisse Résidents/Adm de Biens</v>
          </cell>
          <cell r="D688" t="str">
            <v>530000</v>
          </cell>
          <cell r="E688" t="str">
            <v>CAISSE</v>
          </cell>
          <cell r="F688" t="str">
            <v>Trésorerie et Equivalents trésorerie</v>
          </cell>
          <cell r="G688" t="str">
            <v>ACTIFS COURANTS</v>
          </cell>
        </row>
        <row r="689">
          <cell r="B689" t="str">
            <v>570008</v>
          </cell>
          <cell r="C689" t="str">
            <v>Caisse Résidents/Adm de Biens</v>
          </cell>
          <cell r="D689" t="str">
            <v>530000</v>
          </cell>
          <cell r="E689" t="str">
            <v>CAISSE</v>
          </cell>
          <cell r="F689" t="str">
            <v>Trésorerie et Equivalents trésorerie</v>
          </cell>
          <cell r="G689" t="str">
            <v>ACTIFS COURANTS</v>
          </cell>
        </row>
        <row r="690">
          <cell r="B690" t="str">
            <v>570009</v>
          </cell>
          <cell r="C690" t="str">
            <v>Caisse Résidents/Adm de Biens</v>
          </cell>
          <cell r="D690" t="str">
            <v>530000</v>
          </cell>
          <cell r="E690" t="str">
            <v>CAISSE</v>
          </cell>
          <cell r="F690" t="str">
            <v>Trésorerie et Equivalents trésorerie</v>
          </cell>
          <cell r="G690" t="str">
            <v>ACTIFS COURANTS</v>
          </cell>
        </row>
        <row r="691">
          <cell r="B691" t="str">
            <v>580000</v>
          </cell>
          <cell r="C691" t="str">
            <v xml:space="preserve">VIREMENTS INTERNES                     </v>
          </cell>
          <cell r="D691" t="str">
            <v>467000</v>
          </cell>
          <cell r="E691" t="str">
            <v>AUTRES COMPTES DEBITEURS OU CREDITEURS</v>
          </cell>
          <cell r="F691" t="str">
            <v>Autres passifs courants</v>
          </cell>
          <cell r="G691" t="str">
            <v>PASSIFS COURANTS</v>
          </cell>
        </row>
        <row r="692">
          <cell r="B692" t="str">
            <v>580001</v>
          </cell>
          <cell r="C692" t="str">
            <v>LIAISON ISABEL</v>
          </cell>
          <cell r="D692" t="str">
            <v>467000</v>
          </cell>
          <cell r="E692" t="str">
            <v>AUTRES COMPTES DEBITEURS OU CREDITEURS</v>
          </cell>
          <cell r="F692" t="str">
            <v>Autres passifs courants</v>
          </cell>
          <cell r="G692" t="str">
            <v>PASSIFS COURANTS</v>
          </cell>
        </row>
        <row r="693">
          <cell r="B693" t="str">
            <v>601001</v>
          </cell>
          <cell r="C693" t="str">
            <v>Fournitures Médicales/Soins</v>
          </cell>
          <cell r="D693" t="str">
            <v>602155</v>
          </cell>
          <cell r="E693" t="str">
            <v xml:space="preserve">PHARMACIE MEDICAMENTS                  </v>
          </cell>
          <cell r="F693" t="str">
            <v>Achats mat prem et autres appro</v>
          </cell>
          <cell r="G693" t="str">
            <v>RESULTAT OPERATIONNEL COURANT</v>
          </cell>
        </row>
        <row r="694">
          <cell r="B694" t="str">
            <v>601002</v>
          </cell>
          <cell r="C694" t="str">
            <v>Petit Matériel Médical/Soins</v>
          </cell>
          <cell r="D694" t="str">
            <v>602152</v>
          </cell>
          <cell r="E694" t="str">
            <v>PTT MAT MEDICAL DISPO MEDICAUX</v>
          </cell>
          <cell r="F694" t="str">
            <v>Achats mat prem et autres appro</v>
          </cell>
          <cell r="G694" t="str">
            <v>RESULTAT OPERATIONNEL COURANT</v>
          </cell>
        </row>
        <row r="695">
          <cell r="B695" t="str">
            <v>601003</v>
          </cell>
          <cell r="C695" t="str">
            <v>DIVERS INCONT/SOINS/CHBRE</v>
          </cell>
          <cell r="D695" t="str">
            <v>602100</v>
          </cell>
          <cell r="E695" t="str">
            <v xml:space="preserve">PHARMACIE CHANGES                      </v>
          </cell>
          <cell r="F695" t="str">
            <v>Achats mat prem et autres appro</v>
          </cell>
          <cell r="G695" t="str">
            <v>RESULTAT OPERATIONNEL COURANT</v>
          </cell>
        </row>
        <row r="696">
          <cell r="B696" t="str">
            <v>601004</v>
          </cell>
          <cell r="C696" t="str">
            <v>LINGE/LITERIE</v>
          </cell>
          <cell r="D696" t="str">
            <v>611100</v>
          </cell>
          <cell r="E696" t="str">
            <v xml:space="preserve">PRESTATION BLANCHISSERIE       </v>
          </cell>
          <cell r="F696" t="str">
            <v>Autres achats et charges externes</v>
          </cell>
          <cell r="G696" t="str">
            <v>RESULTAT OPERATIONNEL COURANT</v>
          </cell>
        </row>
        <row r="697">
          <cell r="B697" t="str">
            <v>601005</v>
          </cell>
          <cell r="C697" t="str">
            <v>PETITES FOURNITURES DIVERSES</v>
          </cell>
          <cell r="D697" t="str">
            <v>602100</v>
          </cell>
          <cell r="E697" t="str">
            <v xml:space="preserve">PHARMACIE CHANGES                      </v>
          </cell>
          <cell r="F697" t="str">
            <v>Achats mat prem et autres appro</v>
          </cell>
          <cell r="G697" t="str">
            <v>RESULTAT OPERATIONNEL COURANT</v>
          </cell>
        </row>
        <row r="698">
          <cell r="B698" t="str">
            <v>601006</v>
          </cell>
          <cell r="C698" t="str">
            <v>Incontinence à Refact,</v>
          </cell>
          <cell r="D698" t="str">
            <v>602100</v>
          </cell>
          <cell r="E698" t="str">
            <v xml:space="preserve">PHARMACIE CHANGES                      </v>
          </cell>
          <cell r="F698" t="str">
            <v>Achats mat prem et autres appro</v>
          </cell>
          <cell r="G698" t="str">
            <v>RESULTAT OPERATIONNEL COURANT</v>
          </cell>
        </row>
        <row r="699">
          <cell r="B699" t="str">
            <v>601007</v>
          </cell>
          <cell r="C699" t="str">
            <v>Divers Médical/Soins/Chbres</v>
          </cell>
          <cell r="D699" t="str">
            <v>602155</v>
          </cell>
          <cell r="E699" t="str">
            <v xml:space="preserve">PHARMACIE MEDICAMENTS                  </v>
          </cell>
          <cell r="F699" t="str">
            <v>Achats mat prem et autres appro</v>
          </cell>
          <cell r="G699" t="str">
            <v>RESULTAT OPERATIONNEL COURANT</v>
          </cell>
        </row>
        <row r="700">
          <cell r="B700" t="str">
            <v>601008</v>
          </cell>
          <cell r="C700" t="str">
            <v>Librairie/téléph./Timbres (R)</v>
          </cell>
          <cell r="D700" t="str">
            <v>606310</v>
          </cell>
          <cell r="E700" t="str">
            <v xml:space="preserve">PETIT EQUIPEMENT ANIMATION             </v>
          </cell>
          <cell r="F700" t="str">
            <v>Autres achats et charges externes</v>
          </cell>
          <cell r="G700" t="str">
            <v>RESULTAT OPERATIONNEL COURANT</v>
          </cell>
        </row>
        <row r="701">
          <cell r="B701" t="str">
            <v>601009</v>
          </cell>
          <cell r="C701" t="str">
            <v>Refact. frais résident (h.m.p)</v>
          </cell>
          <cell r="D701" t="str">
            <v>618500</v>
          </cell>
          <cell r="E701" t="str">
            <v>FRAIS COLLOQUES, SEMINAIRES &amp; CONFERENC</v>
          </cell>
          <cell r="F701" t="str">
            <v>Autres achats et charges externes</v>
          </cell>
          <cell r="G701" t="str">
            <v>RESULTAT OPERATIONNEL COURANT</v>
          </cell>
        </row>
        <row r="702">
          <cell r="B702" t="str">
            <v>601010</v>
          </cell>
          <cell r="C702" t="str">
            <v>FRAIS COMPRIS DANS HEBERG</v>
          </cell>
          <cell r="D702" t="str">
            <v>622100</v>
          </cell>
          <cell r="E702" t="str">
            <v xml:space="preserve">AUTRES HONORAIRES                      </v>
          </cell>
          <cell r="F702" t="str">
            <v>Autres achats et charges externes</v>
          </cell>
          <cell r="G702" t="str">
            <v>RESULTAT OPERATIONNEL COURANT</v>
          </cell>
        </row>
        <row r="703">
          <cell r="B703" t="str">
            <v>602000</v>
          </cell>
          <cell r="C703" t="str">
            <v>BLANCHISSERIE (R)</v>
          </cell>
          <cell r="D703" t="str">
            <v>611100</v>
          </cell>
          <cell r="E703" t="str">
            <v xml:space="preserve">PRESTATION BLANCHISSERIE       </v>
          </cell>
          <cell r="F703" t="str">
            <v>Autres achats et charges externes</v>
          </cell>
          <cell r="G703" t="str">
            <v>RESULTAT OPERATIONNEL COURANT</v>
          </cell>
        </row>
        <row r="704">
          <cell r="B704" t="str">
            <v>603001</v>
          </cell>
          <cell r="C704" t="str">
            <v>Honoraires Kinés (R)</v>
          </cell>
          <cell r="D704" t="str">
            <v>622100</v>
          </cell>
          <cell r="E704" t="str">
            <v xml:space="preserve">AUTRES HONORAIRES                      </v>
          </cell>
          <cell r="F704" t="str">
            <v>Autres achats et charges externes</v>
          </cell>
          <cell r="G704" t="str">
            <v>RESULTAT OPERATIONNEL COURANT</v>
          </cell>
        </row>
        <row r="705">
          <cell r="B705" t="str">
            <v>603002</v>
          </cell>
          <cell r="C705" t="str">
            <v>Honoraires Pédicures (R)</v>
          </cell>
          <cell r="D705" t="str">
            <v>622100</v>
          </cell>
          <cell r="E705" t="str">
            <v xml:space="preserve">AUTRES HONORAIRES                      </v>
          </cell>
          <cell r="F705" t="str">
            <v>Autres achats et charges externes</v>
          </cell>
          <cell r="G705" t="str">
            <v>RESULTAT OPERATIONNEL COURANT</v>
          </cell>
        </row>
        <row r="706">
          <cell r="B706" t="str">
            <v>603003</v>
          </cell>
          <cell r="C706" t="str">
            <v>HONORAIRES COIFFEURS (R)</v>
          </cell>
          <cell r="D706" t="str">
            <v>622100</v>
          </cell>
          <cell r="E706" t="str">
            <v xml:space="preserve">AUTRES HONORAIRES                      </v>
          </cell>
          <cell r="F706" t="str">
            <v>Autres achats et charges externes</v>
          </cell>
          <cell r="G706" t="str">
            <v>RESULTAT OPERATIONNEL COURANT</v>
          </cell>
        </row>
        <row r="707">
          <cell r="B707" t="str">
            <v>603100</v>
          </cell>
          <cell r="C707" t="str">
            <v>C/c INAMI - HB+DPT</v>
          </cell>
          <cell r="D707" t="str">
            <v>622100</v>
          </cell>
          <cell r="E707" t="str">
            <v xml:space="preserve">AUTRES HONORAIRES                      </v>
          </cell>
          <cell r="F707" t="str">
            <v>Autres achats et charges externes</v>
          </cell>
          <cell r="G707" t="str">
            <v>RESULTAT OPERATIONNEL COURANT</v>
          </cell>
        </row>
        <row r="708">
          <cell r="B708" t="str">
            <v>603101</v>
          </cell>
          <cell r="C708" t="str">
            <v>Frais Mortuaires</v>
          </cell>
          <cell r="D708" t="str">
            <v>622100</v>
          </cell>
          <cell r="E708" t="str">
            <v xml:space="preserve">AUTRES HONORAIRES                      </v>
          </cell>
          <cell r="F708" t="str">
            <v>Autres achats et charges externes</v>
          </cell>
          <cell r="G708" t="str">
            <v>RESULTAT OPERATIONNEL COURANT</v>
          </cell>
        </row>
        <row r="709">
          <cell r="B709" t="str">
            <v>603102</v>
          </cell>
          <cell r="C709" t="str">
            <v>Frais Divers Funéraires</v>
          </cell>
          <cell r="D709" t="str">
            <v>622100</v>
          </cell>
          <cell r="E709" t="str">
            <v xml:space="preserve">AUTRES HONORAIRES                      </v>
          </cell>
          <cell r="F709" t="str">
            <v>Autres achats et charges externes</v>
          </cell>
          <cell r="G709" t="str">
            <v>RESULTAT OPERATIONNEL COURANT</v>
          </cell>
        </row>
        <row r="710">
          <cell r="B710" t="str">
            <v>604000</v>
          </cell>
          <cell r="C710" t="str">
            <v>Alimentation Générale</v>
          </cell>
          <cell r="D710" t="str">
            <v>601100</v>
          </cell>
          <cell r="E710" t="str">
            <v xml:space="preserve">ACHATS ALIMENTATION                    </v>
          </cell>
          <cell r="F710" t="str">
            <v>Achats mat prem et autres appro</v>
          </cell>
          <cell r="G710" t="str">
            <v>RESULTAT OPERATIONNEL COURANT</v>
          </cell>
        </row>
        <row r="711">
          <cell r="B711" t="str">
            <v>604001</v>
          </cell>
          <cell r="C711" t="str">
            <v>ALCOOL/VINS</v>
          </cell>
          <cell r="D711" t="str">
            <v>601106</v>
          </cell>
          <cell r="E711" t="str">
            <v xml:space="preserve">ACH ALIMENT PONCTUEL                </v>
          </cell>
          <cell r="F711" t="str">
            <v>Achats mat prem et autres appro</v>
          </cell>
          <cell r="G711" t="str">
            <v>RESULTAT OPERATIONNEL COURANT</v>
          </cell>
        </row>
        <row r="712">
          <cell r="B712" t="str">
            <v>604002</v>
          </cell>
          <cell r="C712" t="str">
            <v>DISTRIBUTEUR BOISSONS</v>
          </cell>
          <cell r="D712" t="str">
            <v>601105</v>
          </cell>
          <cell r="E712" t="str">
            <v xml:space="preserve">ACH ALIM DISTRIBUTE  NPU                </v>
          </cell>
          <cell r="F712" t="str">
            <v>Achats mat prem et autres appro</v>
          </cell>
          <cell r="G712" t="str">
            <v>RESULTAT OPERATIONNEL COURANT</v>
          </cell>
        </row>
        <row r="713">
          <cell r="B713" t="str">
            <v>604003</v>
          </cell>
          <cell r="C713" t="str">
            <v>ALIMENTATION/BOISSONS (R)</v>
          </cell>
          <cell r="D713" t="str">
            <v>601100</v>
          </cell>
          <cell r="E713" t="str">
            <v xml:space="preserve">ACHATS ALIMENTATION                    </v>
          </cell>
          <cell r="F713" t="str">
            <v>Achats mat prem et autres appro</v>
          </cell>
          <cell r="G713" t="str">
            <v>RESULTAT OPERATIONNEL COURANT</v>
          </cell>
        </row>
        <row r="714">
          <cell r="B714" t="str">
            <v>604102</v>
          </cell>
          <cell r="C714" t="str">
            <v>DIVERS D'ENTRETIEN</v>
          </cell>
          <cell r="D714" t="str">
            <v>602400</v>
          </cell>
          <cell r="E714" t="str">
            <v xml:space="preserve">AUTRES PRODUITS D'ENTRETIEN            </v>
          </cell>
          <cell r="F714" t="str">
            <v>Achats mat prem et autres appro</v>
          </cell>
          <cell r="G714" t="str">
            <v>RESULTAT OPERATIONNEL COURANT</v>
          </cell>
        </row>
        <row r="715">
          <cell r="B715" t="str">
            <v>605000</v>
          </cell>
          <cell r="C715" t="str">
            <v>IMM DEST A LA VENTE</v>
          </cell>
          <cell r="D715"/>
          <cell r="E715"/>
          <cell r="F715" t="str">
            <v>Achats mat prem et autres appro</v>
          </cell>
          <cell r="G715" t="str">
            <v>RESULTAT OPERATIONNEL COURANT</v>
          </cell>
        </row>
        <row r="716">
          <cell r="B716" t="str">
            <v>605900</v>
          </cell>
          <cell r="C716" t="str">
            <v>STOCK IMM DEST A LA VENTE</v>
          </cell>
          <cell r="D716"/>
          <cell r="E716"/>
          <cell r="F716" t="str">
            <v>Achats mat prem et autres appro</v>
          </cell>
          <cell r="G716" t="str">
            <v>RESULTAT OPERATIONNEL COURANT</v>
          </cell>
        </row>
        <row r="717">
          <cell r="B717" t="str">
            <v>609000</v>
          </cell>
          <cell r="C717" t="str">
            <v>Stock Incontinence</v>
          </cell>
          <cell r="D717" t="str">
            <v>602155</v>
          </cell>
          <cell r="E717" t="str">
            <v xml:space="preserve">PHARMACIE MEDICAMENTS                  </v>
          </cell>
          <cell r="F717" t="str">
            <v>Achats mat prem et autres appro</v>
          </cell>
          <cell r="G717" t="str">
            <v>RESULTAT OPERATIONNEL COURANT</v>
          </cell>
        </row>
        <row r="718">
          <cell r="B718" t="str">
            <v>609001</v>
          </cell>
          <cell r="C718" t="str">
            <v>Stock Petit Mat. Médic./Soins</v>
          </cell>
          <cell r="D718" t="str">
            <v>602150</v>
          </cell>
          <cell r="E718" t="str">
            <v xml:space="preserve">PHARMACIE DIVERS - PTT MAT MEDICAL     </v>
          </cell>
          <cell r="F718" t="str">
            <v>Achats mat prem et autres appro</v>
          </cell>
          <cell r="G718" t="str">
            <v>RESULTAT OPERATIONNEL COURANT</v>
          </cell>
        </row>
        <row r="719">
          <cell r="B719" t="str">
            <v>609002</v>
          </cell>
          <cell r="C719" t="str">
            <v>STOCK ALIMENTAIRE</v>
          </cell>
          <cell r="D719" t="str">
            <v>601100</v>
          </cell>
          <cell r="E719" t="str">
            <v xml:space="preserve">ACHATS ALIMENTATION                    </v>
          </cell>
          <cell r="F719" t="str">
            <v>Achats mat prem et autres appro</v>
          </cell>
          <cell r="G719" t="str">
            <v>RESULTAT OPERATIONNEL COURANT</v>
          </cell>
        </row>
        <row r="720">
          <cell r="B720" t="str">
            <v>609003</v>
          </cell>
          <cell r="C720" t="str">
            <v>Stock Petit Mat. Cuisine/Vais.</v>
          </cell>
          <cell r="D720" t="str">
            <v>606800</v>
          </cell>
          <cell r="E720" t="str">
            <v>AUTRES ACHATS NON STOCKES</v>
          </cell>
          <cell r="F720" t="str">
            <v>Autres achats et charges externes</v>
          </cell>
          <cell r="G720" t="str">
            <v>RESULTAT OPERATIONNEL COURANT</v>
          </cell>
        </row>
        <row r="721">
          <cell r="B721" t="str">
            <v>609004</v>
          </cell>
          <cell r="C721" t="str">
            <v>STOCK PROD./MAT. D'ENTRETIEN</v>
          </cell>
          <cell r="D721" t="str">
            <v>602400</v>
          </cell>
          <cell r="E721" t="str">
            <v xml:space="preserve">AUTRES PRODUITS D'ENTRETIEN            </v>
          </cell>
          <cell r="F721" t="str">
            <v>Achats mat prem et autres appro</v>
          </cell>
          <cell r="G721" t="str">
            <v>RESULTAT OPERATIONNEL COURANT</v>
          </cell>
        </row>
        <row r="722">
          <cell r="B722" t="str">
            <v>609005</v>
          </cell>
          <cell r="C722" t="str">
            <v>STOCK LINGE/LITERIE/BLANCH.</v>
          </cell>
          <cell r="D722" t="str">
            <v>611100</v>
          </cell>
          <cell r="E722" t="str">
            <v xml:space="preserve">PRESTATION BLANCHISSERIE       </v>
          </cell>
          <cell r="F722" t="str">
            <v>Autres achats et charges externes</v>
          </cell>
          <cell r="G722" t="str">
            <v>RESULTAT OPERATIONNEL COURANT</v>
          </cell>
        </row>
        <row r="723">
          <cell r="B723" t="str">
            <v>609006</v>
          </cell>
          <cell r="C723" t="str">
            <v>STOCK FOURNIT. BUR/MAT. INFORM</v>
          </cell>
          <cell r="D723" t="str">
            <v>606400</v>
          </cell>
          <cell r="E723" t="str">
            <v xml:space="preserve">ACHATS FOURNITURES DE BUREAU           </v>
          </cell>
          <cell r="F723" t="str">
            <v>Autres achats et charges externes</v>
          </cell>
          <cell r="G723" t="str">
            <v>RESULTAT OPERATIONNEL COURANT</v>
          </cell>
        </row>
        <row r="724">
          <cell r="B724" t="str">
            <v>610000</v>
          </cell>
          <cell r="C724" t="str">
            <v>Loyers Intra-Groupe</v>
          </cell>
          <cell r="D724" t="str">
            <v>613505</v>
          </cell>
          <cell r="E724" t="str">
            <v>LOCATIONS IMMOB 5.5 mixte INT</v>
          </cell>
          <cell r="F724" t="str">
            <v>Autres achats et charges externes</v>
          </cell>
          <cell r="G724" t="str">
            <v>RESULTAT OPERATIONNEL COURANT</v>
          </cell>
        </row>
        <row r="725">
          <cell r="B725" t="str">
            <v>610001</v>
          </cell>
          <cell r="C725" t="str">
            <v>Loyers Hors-Groupe</v>
          </cell>
          <cell r="D725" t="str">
            <v>613500</v>
          </cell>
          <cell r="E725" t="str">
            <v>LOCATIONS IMMOB 19.6 mixte EXT</v>
          </cell>
          <cell r="F725" t="str">
            <v>Autres achats et charges externes</v>
          </cell>
          <cell r="G725" t="str">
            <v>RESULTAT OPERATIONNEL COURANT</v>
          </cell>
        </row>
        <row r="726">
          <cell r="B726" t="str">
            <v>610002</v>
          </cell>
          <cell r="C726" t="str">
            <v>Canon - (Bail Emphythéotique)</v>
          </cell>
          <cell r="D726" t="str">
            <v>613500</v>
          </cell>
          <cell r="E726" t="str">
            <v>LOCATIONS IMMOB 19.6 mixte EXT</v>
          </cell>
          <cell r="F726" t="str">
            <v>Autres achats et charges externes</v>
          </cell>
          <cell r="G726" t="str">
            <v>RESULTAT OPERATIONNEL COURANT</v>
          </cell>
        </row>
        <row r="727">
          <cell r="B727" t="str">
            <v>610003</v>
          </cell>
          <cell r="C727" t="str">
            <v>Rbst QP Propriétaires RS</v>
          </cell>
          <cell r="D727" t="str">
            <v>613500</v>
          </cell>
          <cell r="E727" t="str">
            <v>LOCATIONS IMMOB 19.6 mixte EXT</v>
          </cell>
          <cell r="F727" t="str">
            <v>Autres achats et charges externes</v>
          </cell>
          <cell r="G727" t="str">
            <v>RESULTAT OPERATIONNEL COURANT</v>
          </cell>
        </row>
        <row r="728">
          <cell r="B728" t="str">
            <v>610100</v>
          </cell>
          <cell r="C728" t="str">
            <v>CHARGES LOCATIVES</v>
          </cell>
          <cell r="D728" t="str">
            <v>614000</v>
          </cell>
          <cell r="E728" t="str">
            <v>CHARGEES LOCATIVES (DONT DRT DE BAIL)</v>
          </cell>
          <cell r="F728" t="str">
            <v>Autres achats et charges externes</v>
          </cell>
          <cell r="G728" t="str">
            <v>RESULTAT OPERATIONNEL COURANT</v>
          </cell>
        </row>
        <row r="729">
          <cell r="B729" t="str">
            <v>610101</v>
          </cell>
          <cell r="C729" t="str">
            <v>Charges Locatives Copropriété</v>
          </cell>
          <cell r="D729" t="str">
            <v>614000</v>
          </cell>
          <cell r="E729" t="str">
            <v>CHARGEES LOCATIVES (DONT DRT DE BAIL)</v>
          </cell>
          <cell r="F729" t="str">
            <v>Autres achats et charges externes</v>
          </cell>
          <cell r="G729" t="str">
            <v>RESULTAT OPERATIONNEL COURANT</v>
          </cell>
        </row>
        <row r="730">
          <cell r="B730" t="str">
            <v>610200</v>
          </cell>
          <cell r="C730" t="str">
            <v>LOCATION TV</v>
          </cell>
          <cell r="D730" t="str">
            <v>613100</v>
          </cell>
          <cell r="E730" t="str">
            <v xml:space="preserve">LOCATIONS DIVERSES                     </v>
          </cell>
          <cell r="F730" t="str">
            <v>Autres achats et charges externes</v>
          </cell>
          <cell r="G730" t="str">
            <v>RESULTAT OPERATIONNEL COURANT</v>
          </cell>
        </row>
        <row r="731">
          <cell r="B731" t="str">
            <v>610201</v>
          </cell>
          <cell r="C731" t="str">
            <v>ABONNEMENT BRUTELE</v>
          </cell>
          <cell r="D731" t="str">
            <v>626000</v>
          </cell>
          <cell r="E731" t="str">
            <v>TELEPHONE ET FAX</v>
          </cell>
          <cell r="F731" t="str">
            <v>Autres achats et charges externes</v>
          </cell>
          <cell r="G731" t="str">
            <v>RESULTAT OPERATIONNEL COURANT</v>
          </cell>
        </row>
        <row r="732">
          <cell r="B732" t="str">
            <v>610202</v>
          </cell>
          <cell r="C732" t="str">
            <v>Location Matériel Divers</v>
          </cell>
          <cell r="D732" t="str">
            <v>613100</v>
          </cell>
          <cell r="E732" t="str">
            <v xml:space="preserve">LOCATIONS DIVERSES                     </v>
          </cell>
          <cell r="F732" t="str">
            <v>Autres achats et charges externes</v>
          </cell>
          <cell r="G732" t="str">
            <v>RESULTAT OPERATIONNEL COURANT</v>
          </cell>
        </row>
        <row r="733">
          <cell r="B733" t="str">
            <v>610203</v>
          </cell>
          <cell r="C733" t="str">
            <v>LOCATION/ENTRETIEN TAPIS</v>
          </cell>
          <cell r="D733" t="str">
            <v>613100</v>
          </cell>
          <cell r="E733" t="str">
            <v xml:space="preserve">LOCATIONS DIVERSES                     </v>
          </cell>
          <cell r="F733" t="str">
            <v>Autres achats et charges externes</v>
          </cell>
          <cell r="G733" t="str">
            <v>RESULTAT OPERATIONNEL COURANT</v>
          </cell>
        </row>
        <row r="734">
          <cell r="B734" t="str">
            <v>610204</v>
          </cell>
          <cell r="C734" t="str">
            <v>LOCATION VOITURE (90%)</v>
          </cell>
          <cell r="D734" t="str">
            <v>613100</v>
          </cell>
          <cell r="E734" t="str">
            <v xml:space="preserve">LOCATIONS DIVERSES                     </v>
          </cell>
          <cell r="F734" t="str">
            <v>Autres achats et charges externes</v>
          </cell>
          <cell r="G734" t="str">
            <v>RESULTAT OPERATIONNEL COURANT</v>
          </cell>
        </row>
        <row r="735">
          <cell r="B735" t="str">
            <v>610205</v>
          </cell>
          <cell r="C735" t="str">
            <v>LOCATION VOITURE (80%)</v>
          </cell>
          <cell r="D735" t="str">
            <v>613100</v>
          </cell>
          <cell r="E735" t="str">
            <v xml:space="preserve">LOCATIONS DIVERSES                     </v>
          </cell>
          <cell r="F735" t="str">
            <v>Autres achats et charges externes</v>
          </cell>
          <cell r="G735" t="str">
            <v>RESULTAT OPERATIONNEL COURANT</v>
          </cell>
        </row>
        <row r="736">
          <cell r="B736" t="str">
            <v>610206</v>
          </cell>
          <cell r="C736" t="str">
            <v>LOCATION VOITURE (75%)</v>
          </cell>
          <cell r="D736" t="str">
            <v>613100</v>
          </cell>
          <cell r="E736" t="str">
            <v xml:space="preserve">LOCATIONS DIVERSES                     </v>
          </cell>
          <cell r="F736" t="str">
            <v>Autres achats et charges externes</v>
          </cell>
          <cell r="G736" t="str">
            <v>RESULTAT OPERATIONNEL COURANT</v>
          </cell>
        </row>
        <row r="737">
          <cell r="B737" t="str">
            <v>610207</v>
          </cell>
          <cell r="C737" t="str">
            <v>LOCATION VOITURE (70%)</v>
          </cell>
          <cell r="D737" t="str">
            <v>613100</v>
          </cell>
          <cell r="E737" t="str">
            <v xml:space="preserve">LOCATIONS DIVERSES                     </v>
          </cell>
          <cell r="F737" t="str">
            <v>Autres achats et charges externes</v>
          </cell>
          <cell r="G737" t="str">
            <v>RESULTAT OPERATIONNEL COURANT</v>
          </cell>
        </row>
        <row r="738">
          <cell r="B738" t="str">
            <v>610208</v>
          </cell>
          <cell r="C738" t="str">
            <v>LOCATION VOITURE (60%)</v>
          </cell>
          <cell r="D738" t="str">
            <v>613100</v>
          </cell>
          <cell r="E738" t="str">
            <v xml:space="preserve">LOCATIONS DIVERSES                     </v>
          </cell>
          <cell r="F738" t="str">
            <v>Autres achats et charges externes</v>
          </cell>
          <cell r="G738" t="str">
            <v>RESULTAT OPERATIONNEL COURANT</v>
          </cell>
        </row>
        <row r="739">
          <cell r="B739" t="str">
            <v>610209</v>
          </cell>
          <cell r="C739" t="str">
            <v>LOCATION CAMION/CAMIONETTE</v>
          </cell>
          <cell r="D739" t="str">
            <v>613100</v>
          </cell>
          <cell r="E739" t="str">
            <v xml:space="preserve">LOCATIONS DIVERSES                     </v>
          </cell>
          <cell r="F739" t="str">
            <v>Autres achats et charges externes</v>
          </cell>
          <cell r="G739" t="str">
            <v>RESULTAT OPERATIONNEL COURANT</v>
          </cell>
        </row>
        <row r="740">
          <cell r="B740" t="str">
            <v>610210</v>
          </cell>
          <cell r="C740" t="str">
            <v>Location véhicule (75%)</v>
          </cell>
          <cell r="D740" t="str">
            <v>613100</v>
          </cell>
          <cell r="E740" t="str">
            <v xml:space="preserve">LOCATIONS DIVERSES                     </v>
          </cell>
          <cell r="F740" t="str">
            <v>Autres achats et charges externes</v>
          </cell>
          <cell r="G740" t="str">
            <v>RESULTAT OPERATIONNEL COURANT</v>
          </cell>
        </row>
        <row r="741">
          <cell r="B741" t="str">
            <v>610211</v>
          </cell>
          <cell r="C741" t="str">
            <v>Location véhicule (75%)</v>
          </cell>
          <cell r="D741" t="str">
            <v>613100</v>
          </cell>
          <cell r="E741" t="str">
            <v xml:space="preserve">LOCATIONS DIVERSES                     </v>
          </cell>
          <cell r="F741" t="str">
            <v>Autres achats et charges externes</v>
          </cell>
          <cell r="G741" t="str">
            <v>RESULTAT OPERATIONNEL COURANT</v>
          </cell>
        </row>
        <row r="742">
          <cell r="B742" t="str">
            <v>610212</v>
          </cell>
          <cell r="C742" t="str">
            <v>Location véhicule</v>
          </cell>
          <cell r="D742" t="str">
            <v>613100</v>
          </cell>
          <cell r="E742" t="str">
            <v xml:space="preserve">LOCATIONS DIVERSES                     </v>
          </cell>
          <cell r="F742" t="str">
            <v>Autres achats et charges externes</v>
          </cell>
          <cell r="G742" t="str">
            <v>RESULTAT OPERATIONNEL COURANT</v>
          </cell>
        </row>
        <row r="743">
          <cell r="B743" t="str">
            <v>610213</v>
          </cell>
          <cell r="C743" t="str">
            <v>Location véhicule</v>
          </cell>
          <cell r="D743" t="str">
            <v>613100</v>
          </cell>
          <cell r="E743" t="str">
            <v xml:space="preserve">LOCATIONS DIVERSES                     </v>
          </cell>
          <cell r="F743" t="str">
            <v>Autres achats et charges externes</v>
          </cell>
          <cell r="G743" t="str">
            <v>RESULTAT OPERATIONNEL COURANT</v>
          </cell>
        </row>
        <row r="744">
          <cell r="B744" t="str">
            <v>610214</v>
          </cell>
          <cell r="C744" t="str">
            <v>Location de voiture</v>
          </cell>
          <cell r="D744" t="str">
            <v>613100</v>
          </cell>
          <cell r="E744" t="str">
            <v xml:space="preserve">LOCATIONS DIVERSES                     </v>
          </cell>
          <cell r="F744" t="str">
            <v>Autres achats et charges externes</v>
          </cell>
          <cell r="G744" t="str">
            <v>RESULTAT OPERATIONNEL COURANT</v>
          </cell>
        </row>
        <row r="745">
          <cell r="B745" t="str">
            <v>610215</v>
          </cell>
          <cell r="C745" t="str">
            <v>Location Voiture</v>
          </cell>
          <cell r="D745" t="str">
            <v>613100</v>
          </cell>
          <cell r="E745" t="str">
            <v xml:space="preserve">LOCATIONS DIVERSES                     </v>
          </cell>
          <cell r="F745" t="str">
            <v>Autres achats et charges externes</v>
          </cell>
          <cell r="G745" t="str">
            <v>RESULTAT OPERATIONNEL COURANT</v>
          </cell>
        </row>
        <row r="746">
          <cell r="B746" t="str">
            <v>610216</v>
          </cell>
          <cell r="C746" t="str">
            <v>Location Voiture</v>
          </cell>
          <cell r="D746" t="str">
            <v>613100</v>
          </cell>
          <cell r="E746" t="str">
            <v xml:space="preserve">LOCATIONS DIVERSES                     </v>
          </cell>
          <cell r="F746" t="str">
            <v>Autres achats et charges externes</v>
          </cell>
          <cell r="G746" t="str">
            <v>RESULTAT OPERATIONNEL COURANT</v>
          </cell>
        </row>
        <row r="747">
          <cell r="B747" t="str">
            <v>610217</v>
          </cell>
          <cell r="C747" t="str">
            <v>Location Voiture</v>
          </cell>
          <cell r="D747" t="str">
            <v>613100</v>
          </cell>
          <cell r="E747" t="str">
            <v xml:space="preserve">LOCATIONS DIVERSES                     </v>
          </cell>
          <cell r="F747" t="str">
            <v>Autres achats et charges externes</v>
          </cell>
          <cell r="G747" t="str">
            <v>RESULTAT OPERATIONNEL COURANT</v>
          </cell>
        </row>
        <row r="748">
          <cell r="B748" t="str">
            <v>610218</v>
          </cell>
          <cell r="C748" t="str">
            <v>Location Voiture</v>
          </cell>
          <cell r="D748" t="str">
            <v>613100</v>
          </cell>
          <cell r="E748" t="str">
            <v xml:space="preserve">LOCATIONS DIVERSES                     </v>
          </cell>
          <cell r="F748" t="str">
            <v>Autres achats et charges externes</v>
          </cell>
          <cell r="G748" t="str">
            <v>RESULTAT OPERATIONNEL COURANT</v>
          </cell>
        </row>
        <row r="749">
          <cell r="B749" t="str">
            <v>610219</v>
          </cell>
          <cell r="C749" t="str">
            <v>Location Voiture</v>
          </cell>
          <cell r="D749" t="str">
            <v>613100</v>
          </cell>
          <cell r="E749" t="str">
            <v xml:space="preserve">LOCATIONS DIVERSES                     </v>
          </cell>
          <cell r="F749" t="str">
            <v>Autres achats et charges externes</v>
          </cell>
          <cell r="G749" t="str">
            <v>RESULTAT OPERATIONNEL COURANT</v>
          </cell>
        </row>
        <row r="750">
          <cell r="B750" t="str">
            <v>610220</v>
          </cell>
          <cell r="C750" t="str">
            <v>Location Voiture</v>
          </cell>
          <cell r="D750" t="str">
            <v>613100</v>
          </cell>
          <cell r="E750" t="str">
            <v xml:space="preserve">LOCATIONS DIVERSES                     </v>
          </cell>
          <cell r="F750" t="str">
            <v>Autres achats et charges externes</v>
          </cell>
          <cell r="G750" t="str">
            <v>RESULTAT OPERATIONNEL COURANT</v>
          </cell>
        </row>
        <row r="751">
          <cell r="B751" t="str">
            <v>610221</v>
          </cell>
          <cell r="C751" t="str">
            <v>Location Voiture</v>
          </cell>
          <cell r="D751" t="str">
            <v>613100</v>
          </cell>
          <cell r="E751" t="str">
            <v xml:space="preserve">LOCATIONS DIVERSES                     </v>
          </cell>
          <cell r="F751" t="str">
            <v>Autres achats et charges externes</v>
          </cell>
          <cell r="G751" t="str">
            <v>RESULTAT OPERATIONNEL COURANT</v>
          </cell>
        </row>
        <row r="752">
          <cell r="B752" t="str">
            <v>610222</v>
          </cell>
          <cell r="C752" t="str">
            <v>Location voiture</v>
          </cell>
          <cell r="D752" t="str">
            <v>613100</v>
          </cell>
          <cell r="E752" t="str">
            <v xml:space="preserve">LOCATIONS DIVERSES                     </v>
          </cell>
          <cell r="F752" t="str">
            <v>Autres achats et charges externes</v>
          </cell>
          <cell r="G752" t="str">
            <v>RESULTAT OPERATIONNEL COURANT</v>
          </cell>
        </row>
        <row r="753">
          <cell r="B753" t="str">
            <v>610223</v>
          </cell>
          <cell r="C753" t="str">
            <v>Location voiture</v>
          </cell>
          <cell r="D753" t="str">
            <v>613100</v>
          </cell>
          <cell r="E753" t="str">
            <v xml:space="preserve">LOCATIONS DIVERSES                     </v>
          </cell>
          <cell r="F753" t="str">
            <v>Autres achats et charges externes</v>
          </cell>
          <cell r="G753" t="str">
            <v>RESULTAT OPERATIONNEL COURANT</v>
          </cell>
        </row>
        <row r="754">
          <cell r="B754" t="str">
            <v>610224</v>
          </cell>
          <cell r="C754" t="str">
            <v>Location voiture</v>
          </cell>
          <cell r="D754" t="str">
            <v>613100</v>
          </cell>
          <cell r="E754" t="str">
            <v xml:space="preserve">LOCATIONS DIVERSES                     </v>
          </cell>
          <cell r="F754" t="str">
            <v>Autres achats et charges externes</v>
          </cell>
          <cell r="G754" t="str">
            <v>RESULTAT OPERATIONNEL COURANT</v>
          </cell>
        </row>
        <row r="755">
          <cell r="B755" t="str">
            <v>610225</v>
          </cell>
          <cell r="C755" t="str">
            <v>Location véhicule</v>
          </cell>
          <cell r="D755" t="str">
            <v>613100</v>
          </cell>
          <cell r="E755" t="str">
            <v xml:space="preserve">LOCATIONS DIVERSES                     </v>
          </cell>
          <cell r="F755" t="str">
            <v>Autres achats et charges externes</v>
          </cell>
          <cell r="G755" t="str">
            <v>RESULTAT OPERATIONNEL COURANT</v>
          </cell>
        </row>
        <row r="756">
          <cell r="B756" t="str">
            <v>610226</v>
          </cell>
          <cell r="C756" t="str">
            <v>Location véhicule</v>
          </cell>
          <cell r="D756" t="str">
            <v>613100</v>
          </cell>
          <cell r="E756" t="str">
            <v xml:space="preserve">LOCATIONS DIVERSES                     </v>
          </cell>
          <cell r="F756" t="str">
            <v>Autres achats et charges externes</v>
          </cell>
          <cell r="G756" t="str">
            <v>RESULTAT OPERATIONNEL COURANT</v>
          </cell>
        </row>
        <row r="757">
          <cell r="B757" t="str">
            <v>610227</v>
          </cell>
          <cell r="C757" t="str">
            <v>Location véhivule</v>
          </cell>
          <cell r="D757" t="str">
            <v>613100</v>
          </cell>
          <cell r="E757" t="str">
            <v xml:space="preserve">LOCATIONS DIVERSES                     </v>
          </cell>
          <cell r="F757" t="str">
            <v>Autres achats et charges externes</v>
          </cell>
          <cell r="G757" t="str">
            <v>RESULTAT OPERATIONNEL COURANT</v>
          </cell>
        </row>
        <row r="758">
          <cell r="B758" t="str">
            <v>610228</v>
          </cell>
          <cell r="C758" t="str">
            <v>Location véhicule</v>
          </cell>
          <cell r="D758" t="str">
            <v>613100</v>
          </cell>
          <cell r="E758" t="str">
            <v xml:space="preserve">LOCATIONS DIVERSES                     </v>
          </cell>
          <cell r="F758" t="str">
            <v>Autres achats et charges externes</v>
          </cell>
          <cell r="G758" t="str">
            <v>RESULTAT OPERATIONNEL COURANT</v>
          </cell>
        </row>
        <row r="759">
          <cell r="B759" t="str">
            <v>610229</v>
          </cell>
          <cell r="C759" t="str">
            <v>Location véhicule</v>
          </cell>
          <cell r="D759" t="str">
            <v>613100</v>
          </cell>
          <cell r="E759" t="str">
            <v xml:space="preserve">LOCATIONS DIVERSES                     </v>
          </cell>
          <cell r="F759" t="str">
            <v>Autres achats et charges externes</v>
          </cell>
          <cell r="G759" t="str">
            <v>RESULTAT OPERATIONNEL COURANT</v>
          </cell>
        </row>
        <row r="760">
          <cell r="B760" t="str">
            <v>610400</v>
          </cell>
          <cell r="C760" t="str">
            <v>Location Camionnette</v>
          </cell>
          <cell r="D760" t="str">
            <v>613100</v>
          </cell>
          <cell r="E760" t="str">
            <v xml:space="preserve">LOCATIONS DIVERSES                     </v>
          </cell>
          <cell r="F760" t="str">
            <v>Autres achats et charges externes</v>
          </cell>
          <cell r="G760" t="str">
            <v>RESULTAT OPERATIONNEL COURANT</v>
          </cell>
        </row>
        <row r="761">
          <cell r="B761" t="str">
            <v>610401</v>
          </cell>
          <cell r="C761" t="str">
            <v>Location Camionnette</v>
          </cell>
          <cell r="D761" t="str">
            <v>613100</v>
          </cell>
          <cell r="E761" t="str">
            <v xml:space="preserve">LOCATIONS DIVERSES                     </v>
          </cell>
          <cell r="F761" t="str">
            <v>Autres achats et charges externes</v>
          </cell>
          <cell r="G761" t="str">
            <v>RESULTAT OPERATIONNEL COURANT</v>
          </cell>
        </row>
        <row r="762">
          <cell r="B762" t="str">
            <v>610402</v>
          </cell>
          <cell r="C762" t="str">
            <v>Location camionette</v>
          </cell>
          <cell r="D762" t="str">
            <v>613100</v>
          </cell>
          <cell r="E762" t="str">
            <v xml:space="preserve">LOCATIONS DIVERSES                     </v>
          </cell>
          <cell r="F762" t="str">
            <v>Autres achats et charges externes</v>
          </cell>
          <cell r="G762" t="str">
            <v>RESULTAT OPERATIONNEL COURANT</v>
          </cell>
        </row>
        <row r="763">
          <cell r="B763" t="str">
            <v>610403</v>
          </cell>
          <cell r="C763" t="str">
            <v>Location Camionnette</v>
          </cell>
          <cell r="D763" t="str">
            <v>613100</v>
          </cell>
          <cell r="E763" t="str">
            <v xml:space="preserve">LOCATIONS DIVERSES                     </v>
          </cell>
          <cell r="F763" t="str">
            <v>Autres achats et charges externes</v>
          </cell>
          <cell r="G763" t="str">
            <v>RESULTAT OPERATIONNEL COURANT</v>
          </cell>
        </row>
        <row r="764">
          <cell r="B764" t="str">
            <v>610404</v>
          </cell>
          <cell r="C764" t="str">
            <v>Location Camionette</v>
          </cell>
          <cell r="D764" t="str">
            <v>613100</v>
          </cell>
          <cell r="E764" t="str">
            <v xml:space="preserve">LOCATIONS DIVERSES                     </v>
          </cell>
          <cell r="F764" t="str">
            <v>Autres achats et charges externes</v>
          </cell>
          <cell r="G764" t="str">
            <v>RESULTAT OPERATIONNEL COURANT</v>
          </cell>
        </row>
        <row r="765">
          <cell r="B765" t="str">
            <v>610405</v>
          </cell>
          <cell r="C765" t="str">
            <v>Location Camionette</v>
          </cell>
          <cell r="D765" t="str">
            <v>613100</v>
          </cell>
          <cell r="E765" t="str">
            <v xml:space="preserve">LOCATIONS DIVERSES                     </v>
          </cell>
          <cell r="F765" t="str">
            <v>Autres achats et charges externes</v>
          </cell>
          <cell r="G765" t="str">
            <v>RESULTAT OPERATIONNEL COURANT</v>
          </cell>
        </row>
        <row r="766">
          <cell r="B766" t="str">
            <v>610406</v>
          </cell>
          <cell r="C766" t="str">
            <v>Location Camionette</v>
          </cell>
          <cell r="D766" t="str">
            <v>613100</v>
          </cell>
          <cell r="E766" t="str">
            <v xml:space="preserve">LOCATIONS DIVERSES                     </v>
          </cell>
          <cell r="F766" t="str">
            <v>Autres achats et charges externes</v>
          </cell>
          <cell r="G766" t="str">
            <v>RESULTAT OPERATIONNEL COURANT</v>
          </cell>
        </row>
        <row r="767">
          <cell r="B767" t="str">
            <v>610407</v>
          </cell>
          <cell r="C767" t="str">
            <v>Location Camionette</v>
          </cell>
          <cell r="D767" t="str">
            <v>613100</v>
          </cell>
          <cell r="E767" t="str">
            <v xml:space="preserve">LOCATIONS DIVERSES                     </v>
          </cell>
          <cell r="F767" t="str">
            <v>Autres achats et charges externes</v>
          </cell>
          <cell r="G767" t="str">
            <v>RESULTAT OPERATIONNEL COURANT</v>
          </cell>
        </row>
        <row r="768">
          <cell r="B768" t="str">
            <v>610408</v>
          </cell>
          <cell r="C768" t="str">
            <v>Location Camionette</v>
          </cell>
          <cell r="D768" t="str">
            <v>613100</v>
          </cell>
          <cell r="E768" t="str">
            <v xml:space="preserve">LOCATIONS DIVERSES                     </v>
          </cell>
          <cell r="F768" t="str">
            <v>Autres achats et charges externes</v>
          </cell>
          <cell r="G768" t="str">
            <v>RESULTAT OPERATIONNEL COURANT</v>
          </cell>
        </row>
        <row r="769">
          <cell r="B769" t="str">
            <v>610409</v>
          </cell>
          <cell r="C769" t="str">
            <v>Location Camionette</v>
          </cell>
          <cell r="D769" t="str">
            <v>613100</v>
          </cell>
          <cell r="E769" t="str">
            <v xml:space="preserve">LOCATIONS DIVERSES                     </v>
          </cell>
          <cell r="F769" t="str">
            <v>Autres achats et charges externes</v>
          </cell>
          <cell r="G769" t="str">
            <v>RESULTAT OPERATIONNEL COURANT</v>
          </cell>
        </row>
        <row r="770">
          <cell r="B770" t="str">
            <v>610410</v>
          </cell>
          <cell r="C770" t="str">
            <v>Location Camionette</v>
          </cell>
          <cell r="D770" t="str">
            <v>613100</v>
          </cell>
          <cell r="E770" t="str">
            <v xml:space="preserve">LOCATIONS DIVERSES                     </v>
          </cell>
          <cell r="F770" t="str">
            <v>Autres achats et charges externes</v>
          </cell>
          <cell r="G770" t="str">
            <v>RESULTAT OPERATIONNEL COURANT</v>
          </cell>
        </row>
        <row r="771">
          <cell r="B771" t="str">
            <v>610411</v>
          </cell>
          <cell r="C771" t="str">
            <v>Location Camionette</v>
          </cell>
          <cell r="D771" t="str">
            <v>613100</v>
          </cell>
          <cell r="E771" t="str">
            <v xml:space="preserve">LOCATIONS DIVERSES                     </v>
          </cell>
          <cell r="F771" t="str">
            <v>Autres achats et charges externes</v>
          </cell>
          <cell r="G771" t="str">
            <v>RESULTAT OPERATIONNEL COURANT</v>
          </cell>
        </row>
        <row r="772">
          <cell r="B772" t="str">
            <v>610412</v>
          </cell>
          <cell r="C772" t="str">
            <v>Location Camionette</v>
          </cell>
          <cell r="D772" t="str">
            <v>613100</v>
          </cell>
          <cell r="E772" t="str">
            <v xml:space="preserve">LOCATIONS DIVERSES                     </v>
          </cell>
          <cell r="F772" t="str">
            <v>Autres achats et charges externes</v>
          </cell>
          <cell r="G772" t="str">
            <v>RESULTAT OPERATIONNEL COURANT</v>
          </cell>
        </row>
        <row r="773">
          <cell r="B773" t="str">
            <v>610413</v>
          </cell>
          <cell r="C773" t="str">
            <v>Location Camionette</v>
          </cell>
          <cell r="D773" t="str">
            <v>613100</v>
          </cell>
          <cell r="E773" t="str">
            <v xml:space="preserve">LOCATIONS DIVERSES                     </v>
          </cell>
          <cell r="F773" t="str">
            <v>Autres achats et charges externes</v>
          </cell>
          <cell r="G773" t="str">
            <v>RESULTAT OPERATIONNEL COURANT</v>
          </cell>
        </row>
        <row r="774">
          <cell r="B774" t="str">
            <v>610414</v>
          </cell>
          <cell r="C774" t="str">
            <v>Location Camionette</v>
          </cell>
          <cell r="D774" t="str">
            <v>613100</v>
          </cell>
          <cell r="E774" t="str">
            <v xml:space="preserve">LOCATIONS DIVERSES                     </v>
          </cell>
          <cell r="F774" t="str">
            <v>Autres achats et charges externes</v>
          </cell>
          <cell r="G774" t="str">
            <v>RESULTAT OPERATIONNEL COURANT</v>
          </cell>
        </row>
        <row r="775">
          <cell r="B775" t="str">
            <v>610415</v>
          </cell>
          <cell r="C775" t="str">
            <v>Location Camionette</v>
          </cell>
          <cell r="D775" t="str">
            <v>613100</v>
          </cell>
          <cell r="E775" t="str">
            <v xml:space="preserve">LOCATIONS DIVERSES                     </v>
          </cell>
          <cell r="F775" t="str">
            <v>Autres achats et charges externes</v>
          </cell>
          <cell r="G775" t="str">
            <v>RESULTAT OPERATIONNEL COURANT</v>
          </cell>
        </row>
        <row r="776">
          <cell r="B776" t="str">
            <v>610416</v>
          </cell>
          <cell r="C776" t="str">
            <v>Location Camionette</v>
          </cell>
          <cell r="D776" t="str">
            <v>613100</v>
          </cell>
          <cell r="E776" t="str">
            <v xml:space="preserve">LOCATIONS DIVERSES                     </v>
          </cell>
          <cell r="F776" t="str">
            <v>Autres achats et charges externes</v>
          </cell>
          <cell r="G776" t="str">
            <v>RESULTAT OPERATIONNEL COURANT</v>
          </cell>
        </row>
        <row r="777">
          <cell r="B777" t="str">
            <v>610417</v>
          </cell>
          <cell r="C777" t="str">
            <v>Location Camionette</v>
          </cell>
          <cell r="D777" t="str">
            <v>613100</v>
          </cell>
          <cell r="E777" t="str">
            <v xml:space="preserve">LOCATIONS DIVERSES                     </v>
          </cell>
          <cell r="F777" t="str">
            <v>Autres achats et charges externes</v>
          </cell>
          <cell r="G777" t="str">
            <v>RESULTAT OPERATIONNEL COURANT</v>
          </cell>
        </row>
        <row r="778">
          <cell r="B778" t="str">
            <v>610418</v>
          </cell>
          <cell r="C778" t="str">
            <v>Location Camionette</v>
          </cell>
          <cell r="D778" t="str">
            <v>613100</v>
          </cell>
          <cell r="E778" t="str">
            <v xml:space="preserve">LOCATIONS DIVERSES                     </v>
          </cell>
          <cell r="F778" t="str">
            <v>Autres achats et charges externes</v>
          </cell>
          <cell r="G778" t="str">
            <v>RESULTAT OPERATIONNEL COURANT</v>
          </cell>
        </row>
        <row r="779">
          <cell r="B779" t="str">
            <v>610419</v>
          </cell>
          <cell r="C779" t="str">
            <v>Location Camionette</v>
          </cell>
          <cell r="D779" t="str">
            <v>613100</v>
          </cell>
          <cell r="E779" t="str">
            <v xml:space="preserve">LOCATIONS DIVERSES                     </v>
          </cell>
          <cell r="F779" t="str">
            <v>Autres achats et charges externes</v>
          </cell>
          <cell r="G779" t="str">
            <v>RESULTAT OPERATIONNEL COURANT</v>
          </cell>
        </row>
        <row r="780">
          <cell r="B780" t="str">
            <v>610420</v>
          </cell>
          <cell r="C780" t="str">
            <v>Location Camionette</v>
          </cell>
          <cell r="D780" t="str">
            <v>613100</v>
          </cell>
          <cell r="E780" t="str">
            <v xml:space="preserve">LOCATIONS DIVERSES                     </v>
          </cell>
          <cell r="F780" t="str">
            <v>Autres achats et charges externes</v>
          </cell>
          <cell r="G780" t="str">
            <v>RESULTAT OPERATIONNEL COURANT</v>
          </cell>
        </row>
        <row r="781">
          <cell r="B781" t="str">
            <v>610421</v>
          </cell>
          <cell r="C781" t="str">
            <v>Location Camionette</v>
          </cell>
          <cell r="D781" t="str">
            <v>613100</v>
          </cell>
          <cell r="E781" t="str">
            <v xml:space="preserve">LOCATIONS DIVERSES                     </v>
          </cell>
          <cell r="F781" t="str">
            <v>Autres achats et charges externes</v>
          </cell>
          <cell r="G781" t="str">
            <v>RESULTAT OPERATIONNEL COURANT</v>
          </cell>
        </row>
        <row r="782">
          <cell r="B782" t="str">
            <v>610422</v>
          </cell>
          <cell r="C782" t="str">
            <v>Location Camionette</v>
          </cell>
          <cell r="D782" t="str">
            <v>613100</v>
          </cell>
          <cell r="E782" t="str">
            <v xml:space="preserve">LOCATIONS DIVERSES                     </v>
          </cell>
          <cell r="F782" t="str">
            <v>Autres achats et charges externes</v>
          </cell>
          <cell r="G782" t="str">
            <v>RESULTAT OPERATIONNEL COURANT</v>
          </cell>
        </row>
        <row r="783">
          <cell r="B783" t="str">
            <v>610423</v>
          </cell>
          <cell r="C783" t="str">
            <v>Location Camionette</v>
          </cell>
          <cell r="D783" t="str">
            <v>613100</v>
          </cell>
          <cell r="E783" t="str">
            <v xml:space="preserve">LOCATIONS DIVERSES                     </v>
          </cell>
          <cell r="F783" t="str">
            <v>Autres achats et charges externes</v>
          </cell>
          <cell r="G783" t="str">
            <v>RESULTAT OPERATIONNEL COURANT</v>
          </cell>
        </row>
        <row r="784">
          <cell r="B784" t="str">
            <v>610424</v>
          </cell>
          <cell r="C784" t="str">
            <v>Location Camionette</v>
          </cell>
          <cell r="D784" t="str">
            <v>613100</v>
          </cell>
          <cell r="E784" t="str">
            <v xml:space="preserve">LOCATIONS DIVERSES                     </v>
          </cell>
          <cell r="F784" t="str">
            <v>Autres achats et charges externes</v>
          </cell>
          <cell r="G784" t="str">
            <v>RESULTAT OPERATIONNEL COURANT</v>
          </cell>
        </row>
        <row r="785">
          <cell r="B785" t="str">
            <v>610425</v>
          </cell>
          <cell r="C785" t="str">
            <v>Location Camionette</v>
          </cell>
          <cell r="D785" t="str">
            <v>613100</v>
          </cell>
          <cell r="E785" t="str">
            <v xml:space="preserve">LOCATIONS DIVERSES                     </v>
          </cell>
          <cell r="F785" t="str">
            <v>Autres achats et charges externes</v>
          </cell>
          <cell r="G785" t="str">
            <v>RESULTAT OPERATIONNEL COURANT</v>
          </cell>
        </row>
        <row r="786">
          <cell r="B786" t="str">
            <v>610426</v>
          </cell>
          <cell r="C786" t="str">
            <v>Location Camionette</v>
          </cell>
          <cell r="D786" t="str">
            <v>613100</v>
          </cell>
          <cell r="E786" t="str">
            <v xml:space="preserve">LOCATIONS DIVERSES                     </v>
          </cell>
          <cell r="F786" t="str">
            <v>Autres achats et charges externes</v>
          </cell>
          <cell r="G786" t="str">
            <v>RESULTAT OPERATIONNEL COURANT</v>
          </cell>
        </row>
        <row r="787">
          <cell r="B787" t="str">
            <v>610427</v>
          </cell>
          <cell r="C787" t="str">
            <v>Location Camionette</v>
          </cell>
          <cell r="D787" t="str">
            <v>613100</v>
          </cell>
          <cell r="E787" t="str">
            <v xml:space="preserve">LOCATIONS DIVERSES                     </v>
          </cell>
          <cell r="F787" t="str">
            <v>Autres achats et charges externes</v>
          </cell>
          <cell r="G787" t="str">
            <v>RESULTAT OPERATIONNEL COURANT</v>
          </cell>
        </row>
        <row r="788">
          <cell r="B788" t="str">
            <v>610499</v>
          </cell>
          <cell r="C788" t="str">
            <v>Location Véhicule Temporaire</v>
          </cell>
          <cell r="D788" t="str">
            <v>613100</v>
          </cell>
          <cell r="E788" t="str">
            <v xml:space="preserve">LOCATIONS DIVERSES                     </v>
          </cell>
          <cell r="F788" t="str">
            <v>Autres achats et charges externes</v>
          </cell>
          <cell r="G788" t="str">
            <v>RESULTAT OPERATIONNEL COURANT</v>
          </cell>
        </row>
        <row r="789">
          <cell r="B789" t="str">
            <v>610500</v>
          </cell>
          <cell r="C789" t="str">
            <v>Location Mat/Mobiler OF</v>
          </cell>
          <cell r="D789" t="str">
            <v>613100</v>
          </cell>
          <cell r="E789" t="str">
            <v xml:space="preserve">LOCATIONS DIVERSES                     </v>
          </cell>
          <cell r="F789" t="str">
            <v>Autres achats et charges externes</v>
          </cell>
          <cell r="G789" t="str">
            <v>RESULTAT OPERATIONNEL COURANT</v>
          </cell>
        </row>
        <row r="790">
          <cell r="B790" t="str">
            <v>611000</v>
          </cell>
          <cell r="C790" t="str">
            <v>Entr./Rép. Batiment</v>
          </cell>
          <cell r="D790" t="str">
            <v>615100</v>
          </cell>
          <cell r="E790" t="str">
            <v>ENTRETIEN ET REPARATIONS</v>
          </cell>
          <cell r="F790" t="str">
            <v>Autres achats et charges externes</v>
          </cell>
          <cell r="G790" t="str">
            <v>RESULTAT OPERATIONNEL COURANT</v>
          </cell>
        </row>
        <row r="791">
          <cell r="B791" t="str">
            <v>611001</v>
          </cell>
          <cell r="C791" t="str">
            <v>Enlèv. Déchets/Immondices</v>
          </cell>
          <cell r="D791" t="str">
            <v>615700</v>
          </cell>
          <cell r="E791" t="str">
            <v>ENTRETIEN MAINTENANCE CONTRAT</v>
          </cell>
          <cell r="F791" t="str">
            <v>Autres achats et charges externes</v>
          </cell>
          <cell r="G791" t="str">
            <v>RESULTAT OPERATIONNEL COURANT</v>
          </cell>
        </row>
        <row r="792">
          <cell r="B792" t="str">
            <v>611002</v>
          </cell>
          <cell r="C792" t="str">
            <v>Entr./Rép. Matériel Cuisine</v>
          </cell>
          <cell r="D792" t="str">
            <v>615703</v>
          </cell>
          <cell r="E792" t="str">
            <v>ENT MAINT CONTRAT MAT CUISIN hors hotte</v>
          </cell>
          <cell r="F792" t="str">
            <v>Autres achats et charges externes</v>
          </cell>
          <cell r="G792" t="str">
            <v>RESULTAT OPERATIONNEL COURANT</v>
          </cell>
        </row>
        <row r="793">
          <cell r="B793" t="str">
            <v>611003</v>
          </cell>
          <cell r="C793" t="str">
            <v>Entr./Rép. Matériel</v>
          </cell>
          <cell r="D793" t="str">
            <v>615712</v>
          </cell>
          <cell r="E793" t="str">
            <v>ENT MAINT CONTRAT MAT MEDICAL</v>
          </cell>
          <cell r="F793" t="str">
            <v>Autres achats et charges externes</v>
          </cell>
          <cell r="G793" t="str">
            <v>RESULTAT OPERATIONNEL COURANT</v>
          </cell>
        </row>
        <row r="794">
          <cell r="B794" t="str">
            <v>611004</v>
          </cell>
          <cell r="C794" t="str">
            <v>Entr./Rép. Voiture (90%)</v>
          </cell>
          <cell r="D794" t="str">
            <v>615100</v>
          </cell>
          <cell r="E794" t="str">
            <v>ENTRETIEN ET REPARATIONS</v>
          </cell>
          <cell r="F794" t="str">
            <v>Autres achats et charges externes</v>
          </cell>
          <cell r="G794" t="str">
            <v>RESULTAT OPERATIONNEL COURANT</v>
          </cell>
        </row>
        <row r="795">
          <cell r="B795" t="str">
            <v>611005</v>
          </cell>
          <cell r="C795" t="str">
            <v>Entr./Rép. Voiture (80%)</v>
          </cell>
          <cell r="D795" t="str">
            <v>615100</v>
          </cell>
          <cell r="E795" t="str">
            <v>ENTRETIEN ET REPARATIONS</v>
          </cell>
          <cell r="F795" t="str">
            <v>Autres achats et charges externes</v>
          </cell>
          <cell r="G795" t="str">
            <v>RESULTAT OPERATIONNEL COURANT</v>
          </cell>
        </row>
        <row r="796">
          <cell r="B796" t="str">
            <v>611006</v>
          </cell>
          <cell r="C796" t="str">
            <v>Entr./Rép. Voiture (75%)</v>
          </cell>
          <cell r="D796" t="str">
            <v>615100</v>
          </cell>
          <cell r="E796" t="str">
            <v>ENTRETIEN ET REPARATIONS</v>
          </cell>
          <cell r="F796" t="str">
            <v>Autres achats et charges externes</v>
          </cell>
          <cell r="G796" t="str">
            <v>RESULTAT OPERATIONNEL COURANT</v>
          </cell>
        </row>
        <row r="797">
          <cell r="B797" t="str">
            <v>611007</v>
          </cell>
          <cell r="C797" t="str">
            <v>Entr./Rép. Voiture (70%)</v>
          </cell>
          <cell r="D797" t="str">
            <v>615100</v>
          </cell>
          <cell r="E797" t="str">
            <v>ENTRETIEN ET REPARATIONS</v>
          </cell>
          <cell r="F797" t="str">
            <v>Autres achats et charges externes</v>
          </cell>
          <cell r="G797" t="str">
            <v>RESULTAT OPERATIONNEL COURANT</v>
          </cell>
        </row>
        <row r="798">
          <cell r="B798" t="str">
            <v>611008</v>
          </cell>
          <cell r="C798" t="str">
            <v>Entr./Rép. Voiture (60%)</v>
          </cell>
          <cell r="D798" t="str">
            <v>615100</v>
          </cell>
          <cell r="E798" t="str">
            <v>ENTRETIEN ET REPARATIONS</v>
          </cell>
          <cell r="F798" t="str">
            <v>Autres achats et charges externes</v>
          </cell>
          <cell r="G798" t="str">
            <v>RESULTAT OPERATIONNEL COURANT</v>
          </cell>
        </row>
        <row r="799">
          <cell r="B799" t="str">
            <v>611009</v>
          </cell>
          <cell r="C799" t="str">
            <v>Entr./Rép. Camionette</v>
          </cell>
          <cell r="D799" t="str">
            <v>615100</v>
          </cell>
          <cell r="E799" t="str">
            <v>ENTRETIEN ET REPARATIONS</v>
          </cell>
          <cell r="F799" t="str">
            <v>Autres achats et charges externes</v>
          </cell>
          <cell r="G799" t="str">
            <v>RESULTAT OPERATIONNEL COURANT</v>
          </cell>
        </row>
        <row r="800">
          <cell r="B800" t="str">
            <v>611010</v>
          </cell>
          <cell r="C800" t="str">
            <v>Prélèv. d'analyses (hygiène)</v>
          </cell>
          <cell r="D800" t="str">
            <v>615100</v>
          </cell>
          <cell r="E800" t="str">
            <v>ENTRETIEN ET REPARATIONS</v>
          </cell>
          <cell r="F800" t="str">
            <v>Autres achats et charges externes</v>
          </cell>
          <cell r="G800" t="str">
            <v>RESULTAT OPERATIONNEL COURANT</v>
          </cell>
        </row>
        <row r="801">
          <cell r="B801" t="str">
            <v>611011</v>
          </cell>
          <cell r="C801" t="str">
            <v>TERRAIN SNCB (03810.38)</v>
          </cell>
          <cell r="D801" t="str">
            <v>613100</v>
          </cell>
          <cell r="E801" t="str">
            <v xml:space="preserve">LOCATIONS DIVERSES                     </v>
          </cell>
          <cell r="F801" t="str">
            <v>Autres achats et charges externes</v>
          </cell>
          <cell r="G801" t="str">
            <v>RESULTAT OPERATIONNEL COURANT</v>
          </cell>
        </row>
        <row r="802">
          <cell r="B802" t="str">
            <v>611012</v>
          </cell>
          <cell r="C802" t="str">
            <v>Entr./Rép. Voiture (70%)</v>
          </cell>
          <cell r="D802" t="str">
            <v>615100</v>
          </cell>
          <cell r="E802" t="str">
            <v>ENTRETIEN ET REPARATIONS</v>
          </cell>
          <cell r="F802" t="str">
            <v>Autres achats et charges externes</v>
          </cell>
          <cell r="G802" t="str">
            <v>RESULTAT OPERATIONNEL COURANT</v>
          </cell>
        </row>
        <row r="803">
          <cell r="B803" t="str">
            <v>611013</v>
          </cell>
          <cell r="C803" t="str">
            <v>Entr./Rép. Voiture (90%)</v>
          </cell>
          <cell r="D803" t="str">
            <v>615100</v>
          </cell>
          <cell r="E803" t="str">
            <v>ENTRETIEN ET REPARATIONS</v>
          </cell>
          <cell r="F803" t="str">
            <v>Autres achats et charges externes</v>
          </cell>
          <cell r="G803" t="str">
            <v>RESULTAT OPERATIONNEL COURANT</v>
          </cell>
        </row>
        <row r="804">
          <cell r="B804" t="str">
            <v>611014</v>
          </cell>
          <cell r="C804" t="str">
            <v>Entr./Rép. Voiture (80%)</v>
          </cell>
          <cell r="D804" t="str">
            <v>615100</v>
          </cell>
          <cell r="E804" t="str">
            <v>ENTRETIEN ET REPARATIONS</v>
          </cell>
          <cell r="F804" t="str">
            <v>Autres achats et charges externes</v>
          </cell>
          <cell r="G804" t="str">
            <v>RESULTAT OPERATIONNEL COURANT</v>
          </cell>
        </row>
        <row r="805">
          <cell r="B805" t="str">
            <v>611015</v>
          </cell>
          <cell r="C805" t="str">
            <v>Entr./Rép. Voiture (80%)</v>
          </cell>
          <cell r="D805" t="str">
            <v>615100</v>
          </cell>
          <cell r="E805" t="str">
            <v>ENTRETIEN ET REPARATIONS</v>
          </cell>
          <cell r="F805" t="str">
            <v>Autres achats et charges externes</v>
          </cell>
          <cell r="G805" t="str">
            <v>RESULTAT OPERATIONNEL COURANT</v>
          </cell>
        </row>
        <row r="806">
          <cell r="B806" t="str">
            <v>611016</v>
          </cell>
          <cell r="C806" t="str">
            <v>Entr./Rép. Voiture (75%)</v>
          </cell>
          <cell r="D806" t="str">
            <v>615100</v>
          </cell>
          <cell r="E806" t="str">
            <v>ENTRETIEN ET REPARATIONS</v>
          </cell>
          <cell r="F806" t="str">
            <v>Autres achats et charges externes</v>
          </cell>
          <cell r="G806" t="str">
            <v>RESULTAT OPERATIONNEL COURANT</v>
          </cell>
        </row>
        <row r="807">
          <cell r="B807" t="str">
            <v>611017</v>
          </cell>
          <cell r="C807" t="str">
            <v>Entr./Rép. Voiture (?? %)</v>
          </cell>
          <cell r="D807" t="str">
            <v>615100</v>
          </cell>
          <cell r="E807" t="str">
            <v>ENTRETIEN ET REPARATIONS</v>
          </cell>
          <cell r="F807" t="str">
            <v>Autres achats et charges externes</v>
          </cell>
          <cell r="G807" t="str">
            <v>RESULTAT OPERATIONNEL COURANT</v>
          </cell>
        </row>
        <row r="808">
          <cell r="B808" t="str">
            <v>611018</v>
          </cell>
          <cell r="C808" t="str">
            <v>Entr./Rép. Voiture (??%)</v>
          </cell>
          <cell r="D808" t="str">
            <v>615100</v>
          </cell>
          <cell r="E808" t="str">
            <v>ENTRETIEN ET REPARATIONS</v>
          </cell>
          <cell r="F808" t="str">
            <v>Autres achats et charges externes</v>
          </cell>
          <cell r="G808" t="str">
            <v>RESULTAT OPERATIONNEL COURANT</v>
          </cell>
        </row>
        <row r="809">
          <cell r="B809" t="str">
            <v>611019</v>
          </cell>
          <cell r="C809" t="str">
            <v>Entr./Rép. Voiture (??%)</v>
          </cell>
          <cell r="D809" t="str">
            <v>615100</v>
          </cell>
          <cell r="E809" t="str">
            <v>ENTRETIEN ET REPARATIONS</v>
          </cell>
          <cell r="F809" t="str">
            <v>Autres achats et charges externes</v>
          </cell>
          <cell r="G809" t="str">
            <v>RESULTAT OPERATIONNEL COURANT</v>
          </cell>
        </row>
        <row r="810">
          <cell r="B810" t="str">
            <v>611020</v>
          </cell>
          <cell r="C810" t="str">
            <v>Entr./Rép. Voiture (??%)</v>
          </cell>
          <cell r="D810" t="str">
            <v>615100</v>
          </cell>
          <cell r="E810" t="str">
            <v>ENTRETIEN ET REPARATIONS</v>
          </cell>
          <cell r="F810" t="str">
            <v>Autres achats et charges externes</v>
          </cell>
          <cell r="G810" t="str">
            <v>RESULTAT OPERATIONNEL COURANT</v>
          </cell>
        </row>
        <row r="811">
          <cell r="B811" t="str">
            <v>611021</v>
          </cell>
          <cell r="C811" t="str">
            <v>Entr./Rep. Voiture (??%)</v>
          </cell>
          <cell r="D811" t="str">
            <v>615100</v>
          </cell>
          <cell r="E811" t="str">
            <v>ENTRETIEN ET REPARATIONS</v>
          </cell>
          <cell r="F811" t="str">
            <v>Autres achats et charges externes</v>
          </cell>
          <cell r="G811" t="str">
            <v>RESULTAT OPERATIONNEL COURANT</v>
          </cell>
        </row>
        <row r="812">
          <cell r="B812" t="str">
            <v>611022</v>
          </cell>
          <cell r="C812" t="str">
            <v>Entr./Rép Voiture</v>
          </cell>
          <cell r="D812" t="str">
            <v>615100</v>
          </cell>
          <cell r="E812" t="str">
            <v>ENTRETIEN ET REPARATIONS</v>
          </cell>
          <cell r="F812" t="str">
            <v>Autres achats et charges externes</v>
          </cell>
          <cell r="G812" t="str">
            <v>RESULTAT OPERATIONNEL COURANT</v>
          </cell>
        </row>
        <row r="813">
          <cell r="B813" t="str">
            <v>611023</v>
          </cell>
          <cell r="C813" t="str">
            <v>Entr./Rép Voiture</v>
          </cell>
          <cell r="D813" t="str">
            <v>615100</v>
          </cell>
          <cell r="E813" t="str">
            <v>ENTRETIEN ET REPARATIONS</v>
          </cell>
          <cell r="F813" t="str">
            <v>Autres achats et charges externes</v>
          </cell>
          <cell r="G813" t="str">
            <v>RESULTAT OPERATIONNEL COURANT</v>
          </cell>
        </row>
        <row r="814">
          <cell r="B814" t="str">
            <v>611024</v>
          </cell>
          <cell r="C814" t="str">
            <v>Entr./Rép Voiture</v>
          </cell>
          <cell r="D814" t="str">
            <v>615100</v>
          </cell>
          <cell r="E814" t="str">
            <v>ENTRETIEN ET REPARATIONS</v>
          </cell>
          <cell r="F814" t="str">
            <v>Autres achats et charges externes</v>
          </cell>
          <cell r="G814" t="str">
            <v>RESULTAT OPERATIONNEL COURANT</v>
          </cell>
        </row>
        <row r="815">
          <cell r="B815" t="str">
            <v>611025</v>
          </cell>
          <cell r="C815" t="str">
            <v>Entr./Rép Voiture</v>
          </cell>
          <cell r="D815" t="str">
            <v>615100</v>
          </cell>
          <cell r="E815" t="str">
            <v>ENTRETIEN ET REPARATIONS</v>
          </cell>
          <cell r="F815" t="str">
            <v>Autres achats et charges externes</v>
          </cell>
          <cell r="G815" t="str">
            <v>RESULTAT OPERATIONNEL COURANT</v>
          </cell>
        </row>
        <row r="816">
          <cell r="B816" t="str">
            <v>611026</v>
          </cell>
          <cell r="C816" t="str">
            <v>Entr./Rép Voiture</v>
          </cell>
          <cell r="D816" t="str">
            <v>615100</v>
          </cell>
          <cell r="E816" t="str">
            <v>ENTRETIEN ET REPARATIONS</v>
          </cell>
          <cell r="F816" t="str">
            <v>Autres achats et charges externes</v>
          </cell>
          <cell r="G816" t="str">
            <v>RESULTAT OPERATIONNEL COURANT</v>
          </cell>
        </row>
        <row r="817">
          <cell r="B817" t="str">
            <v>611027</v>
          </cell>
          <cell r="C817" t="str">
            <v>Entr./Rép Voiture</v>
          </cell>
          <cell r="D817" t="str">
            <v>615100</v>
          </cell>
          <cell r="E817" t="str">
            <v>ENTRETIEN ET REPARATIONS</v>
          </cell>
          <cell r="F817" t="str">
            <v>Autres achats et charges externes</v>
          </cell>
          <cell r="G817" t="str">
            <v>RESULTAT OPERATIONNEL COURANT</v>
          </cell>
        </row>
        <row r="818">
          <cell r="B818" t="str">
            <v>611028</v>
          </cell>
          <cell r="C818" t="str">
            <v>Entr./Rép Voiture</v>
          </cell>
          <cell r="D818" t="str">
            <v>615100</v>
          </cell>
          <cell r="E818" t="str">
            <v>ENTRETIEN ET REPARATIONS</v>
          </cell>
          <cell r="F818" t="str">
            <v>Autres achats et charges externes</v>
          </cell>
          <cell r="G818" t="str">
            <v>RESULTAT OPERATIONNEL COURANT</v>
          </cell>
        </row>
        <row r="819">
          <cell r="B819" t="str">
            <v>611029</v>
          </cell>
          <cell r="C819" t="str">
            <v>Entr./Rép Voiture</v>
          </cell>
          <cell r="D819" t="str">
            <v>615100</v>
          </cell>
          <cell r="E819" t="str">
            <v>ENTRETIEN ET REPARATIONS</v>
          </cell>
          <cell r="F819" t="str">
            <v>Autres achats et charges externes</v>
          </cell>
          <cell r="G819" t="str">
            <v>RESULTAT OPERATIONNEL COURANT</v>
          </cell>
        </row>
        <row r="820">
          <cell r="B820" t="str">
            <v>611030</v>
          </cell>
          <cell r="C820" t="str">
            <v>Entr./Rép Voiture</v>
          </cell>
          <cell r="D820" t="str">
            <v>615100</v>
          </cell>
          <cell r="E820" t="str">
            <v>ENTRETIEN ET REPARATIONS</v>
          </cell>
          <cell r="F820" t="str">
            <v>Autres achats et charges externes</v>
          </cell>
          <cell r="G820" t="str">
            <v>RESULTAT OPERATIONNEL COURANT</v>
          </cell>
        </row>
        <row r="821">
          <cell r="B821" t="str">
            <v>611031</v>
          </cell>
          <cell r="C821" t="str">
            <v>Entr./Rép Voiture</v>
          </cell>
          <cell r="D821" t="str">
            <v>615100</v>
          </cell>
          <cell r="E821" t="str">
            <v>ENTRETIEN ET REPARATIONS</v>
          </cell>
          <cell r="F821" t="str">
            <v>Autres achats et charges externes</v>
          </cell>
          <cell r="G821" t="str">
            <v>RESULTAT OPERATIONNEL COURANT</v>
          </cell>
        </row>
        <row r="822">
          <cell r="B822" t="str">
            <v>611032</v>
          </cell>
          <cell r="C822" t="str">
            <v>Entret &amp; Rép Voiture</v>
          </cell>
          <cell r="D822" t="str">
            <v>615100</v>
          </cell>
          <cell r="E822" t="str">
            <v>ENTRETIEN ET REPARATIONS</v>
          </cell>
          <cell r="F822" t="str">
            <v>Autres achats et charges externes</v>
          </cell>
          <cell r="G822" t="str">
            <v>RESULTAT OPERATIONNEL COURANT</v>
          </cell>
        </row>
        <row r="823">
          <cell r="B823" t="str">
            <v>611033</v>
          </cell>
          <cell r="C823" t="str">
            <v>Entret &amp; Réparat° voiture</v>
          </cell>
          <cell r="D823" t="str">
            <v>615100</v>
          </cell>
          <cell r="E823" t="str">
            <v>ENTRETIEN ET REPARATIONS</v>
          </cell>
          <cell r="F823" t="str">
            <v>Autres achats et charges externes</v>
          </cell>
          <cell r="G823" t="str">
            <v>RESULTAT OPERATIONNEL COURANT</v>
          </cell>
        </row>
        <row r="824">
          <cell r="B824" t="str">
            <v>611034</v>
          </cell>
          <cell r="C824" t="str">
            <v>Entret &amp; Réparat° voiture</v>
          </cell>
          <cell r="D824" t="str">
            <v>615100</v>
          </cell>
          <cell r="E824" t="str">
            <v>ENTRETIEN ET REPARATIONS</v>
          </cell>
          <cell r="F824" t="str">
            <v>Autres achats et charges externes</v>
          </cell>
          <cell r="G824" t="str">
            <v>RESULTAT OPERATIONNEL COURANT</v>
          </cell>
        </row>
        <row r="825">
          <cell r="B825" t="str">
            <v>611035</v>
          </cell>
          <cell r="C825" t="str">
            <v>Entret &amp; Réparat° voiture</v>
          </cell>
          <cell r="D825" t="str">
            <v>615100</v>
          </cell>
          <cell r="E825" t="str">
            <v>ENTRETIEN ET REPARATIONS</v>
          </cell>
          <cell r="F825" t="str">
            <v>Autres achats et charges externes</v>
          </cell>
          <cell r="G825" t="str">
            <v>RESULTAT OPERATIONNEL COURANT</v>
          </cell>
        </row>
        <row r="826">
          <cell r="B826" t="str">
            <v>611036</v>
          </cell>
          <cell r="C826" t="str">
            <v>Entret &amp; Réparat° voiture</v>
          </cell>
          <cell r="D826" t="str">
            <v>615100</v>
          </cell>
          <cell r="E826" t="str">
            <v>ENTRETIEN ET REPARATIONS</v>
          </cell>
          <cell r="F826" t="str">
            <v>Autres achats et charges externes</v>
          </cell>
          <cell r="G826" t="str">
            <v>RESULTAT OPERATIONNEL COURANT</v>
          </cell>
        </row>
        <row r="827">
          <cell r="B827" t="str">
            <v>611037</v>
          </cell>
          <cell r="C827" t="str">
            <v>Entret &amp; Réparat° voiture</v>
          </cell>
          <cell r="D827" t="str">
            <v>615100</v>
          </cell>
          <cell r="E827" t="str">
            <v>ENTRETIEN ET REPARATIONS</v>
          </cell>
          <cell r="F827" t="str">
            <v>Autres achats et charges externes</v>
          </cell>
          <cell r="G827" t="str">
            <v>RESULTAT OPERATIONNEL COURANT</v>
          </cell>
        </row>
        <row r="828">
          <cell r="B828" t="str">
            <v>611038</v>
          </cell>
          <cell r="C828" t="str">
            <v>Entret &amp; Réparat° voiture</v>
          </cell>
          <cell r="D828" t="str">
            <v>615100</v>
          </cell>
          <cell r="E828" t="str">
            <v>ENTRETIEN ET REPARATIONS</v>
          </cell>
          <cell r="F828" t="str">
            <v>Autres achats et charges externes</v>
          </cell>
          <cell r="G828" t="str">
            <v>RESULTAT OPERATIONNEL COURANT</v>
          </cell>
        </row>
        <row r="829">
          <cell r="B829" t="str">
            <v>611039</v>
          </cell>
          <cell r="C829" t="str">
            <v>Entret &amp; Réparat° voiture</v>
          </cell>
          <cell r="D829" t="str">
            <v>615100</v>
          </cell>
          <cell r="E829" t="str">
            <v>ENTRETIEN ET REPARATIONS</v>
          </cell>
          <cell r="F829" t="str">
            <v>Autres achats et charges externes</v>
          </cell>
          <cell r="G829" t="str">
            <v>RESULTAT OPERATIONNEL COURANT</v>
          </cell>
        </row>
        <row r="830">
          <cell r="B830" t="str">
            <v>611040</v>
          </cell>
          <cell r="C830" t="str">
            <v>Entret &amp; Réparat° voiture</v>
          </cell>
          <cell r="D830" t="str">
            <v>615100</v>
          </cell>
          <cell r="E830" t="str">
            <v>ENTRETIEN ET REPARATIONS</v>
          </cell>
          <cell r="F830" t="str">
            <v>Autres achats et charges externes</v>
          </cell>
          <cell r="G830" t="str">
            <v>RESULTAT OPERATIONNEL COURANT</v>
          </cell>
        </row>
        <row r="831">
          <cell r="B831" t="str">
            <v>611041</v>
          </cell>
          <cell r="C831" t="str">
            <v>Entret &amp; Réparat° voiture</v>
          </cell>
          <cell r="D831" t="str">
            <v>615100</v>
          </cell>
          <cell r="E831" t="str">
            <v>ENTRETIEN ET REPARATIONS</v>
          </cell>
          <cell r="F831" t="str">
            <v>Autres achats et charges externes</v>
          </cell>
          <cell r="G831" t="str">
            <v>RESULTAT OPERATIONNEL COURANT</v>
          </cell>
        </row>
        <row r="832">
          <cell r="B832" t="str">
            <v>611042</v>
          </cell>
          <cell r="C832" t="str">
            <v>Entret &amp; Réparat° voiture</v>
          </cell>
          <cell r="D832" t="str">
            <v>615100</v>
          </cell>
          <cell r="E832" t="str">
            <v>ENTRETIEN ET REPARATIONS</v>
          </cell>
          <cell r="F832" t="str">
            <v>Autres achats et charges externes</v>
          </cell>
          <cell r="G832" t="str">
            <v>RESULTAT OPERATIONNEL COURANT</v>
          </cell>
        </row>
        <row r="833">
          <cell r="B833" t="str">
            <v>611043</v>
          </cell>
          <cell r="C833" t="str">
            <v>Entret &amp; Réparat° voiture</v>
          </cell>
          <cell r="D833" t="str">
            <v>615100</v>
          </cell>
          <cell r="E833" t="str">
            <v>ENTRETIEN ET REPARATIONS</v>
          </cell>
          <cell r="F833" t="str">
            <v>Autres achats et charges externes</v>
          </cell>
          <cell r="G833" t="str">
            <v>RESULTAT OPERATIONNEL COURANT</v>
          </cell>
        </row>
        <row r="834">
          <cell r="B834" t="str">
            <v>611044</v>
          </cell>
          <cell r="C834" t="str">
            <v>Entret &amp; Réparat° voiture</v>
          </cell>
          <cell r="D834" t="str">
            <v>615100</v>
          </cell>
          <cell r="E834" t="str">
            <v>ENTRETIEN ET REPARATIONS</v>
          </cell>
          <cell r="F834" t="str">
            <v>Autres achats et charges externes</v>
          </cell>
          <cell r="G834" t="str">
            <v>RESULTAT OPERATIONNEL COURANT</v>
          </cell>
        </row>
        <row r="835">
          <cell r="B835" t="str">
            <v>611045</v>
          </cell>
          <cell r="C835" t="str">
            <v>Entret &amp; Réparat° voiture</v>
          </cell>
          <cell r="D835" t="str">
            <v>615100</v>
          </cell>
          <cell r="E835" t="str">
            <v>ENTRETIEN ET REPARATIONS</v>
          </cell>
          <cell r="F835" t="str">
            <v>Autres achats et charges externes</v>
          </cell>
          <cell r="G835" t="str">
            <v>RESULTAT OPERATIONNEL COURANT</v>
          </cell>
        </row>
        <row r="836">
          <cell r="B836" t="str">
            <v>611046</v>
          </cell>
          <cell r="C836" t="str">
            <v>Entret &amp; Réparat° voiture</v>
          </cell>
          <cell r="D836" t="str">
            <v>615100</v>
          </cell>
          <cell r="E836" t="str">
            <v>ENTRETIEN ET REPARATIONS</v>
          </cell>
          <cell r="F836" t="str">
            <v>Autres achats et charges externes</v>
          </cell>
          <cell r="G836" t="str">
            <v>RESULTAT OPERATIONNEL COURANT</v>
          </cell>
        </row>
        <row r="837">
          <cell r="B837" t="str">
            <v>611047</v>
          </cell>
          <cell r="C837" t="str">
            <v>Entret &amp; Réparat° voiture</v>
          </cell>
          <cell r="D837" t="str">
            <v>615100</v>
          </cell>
          <cell r="E837" t="str">
            <v>ENTRETIEN ET REPARATIONS</v>
          </cell>
          <cell r="F837" t="str">
            <v>Autres achats et charges externes</v>
          </cell>
          <cell r="G837" t="str">
            <v>RESULTAT OPERATIONNEL COURANT</v>
          </cell>
        </row>
        <row r="838">
          <cell r="B838" t="str">
            <v>611048</v>
          </cell>
          <cell r="C838" t="str">
            <v>Entret &amp; Réparat° voiture</v>
          </cell>
          <cell r="D838" t="str">
            <v>615100</v>
          </cell>
          <cell r="E838" t="str">
            <v>ENTRETIEN ET REPARATIONS</v>
          </cell>
          <cell r="F838" t="str">
            <v>Autres achats et charges externes</v>
          </cell>
          <cell r="G838" t="str">
            <v>RESULTAT OPERATIONNEL COURANT</v>
          </cell>
        </row>
        <row r="839">
          <cell r="B839" t="str">
            <v>611049</v>
          </cell>
          <cell r="C839" t="str">
            <v>Entret &amp; Réparat° voiture</v>
          </cell>
          <cell r="D839" t="str">
            <v>615100</v>
          </cell>
          <cell r="E839" t="str">
            <v>ENTRETIEN ET REPARATIONS</v>
          </cell>
          <cell r="F839" t="str">
            <v>Autres achats et charges externes</v>
          </cell>
          <cell r="G839" t="str">
            <v>RESULTAT OPERATIONNEL COURANT</v>
          </cell>
        </row>
        <row r="840">
          <cell r="B840" t="str">
            <v>611050</v>
          </cell>
          <cell r="C840" t="str">
            <v>Entret &amp; Réparat° voiture</v>
          </cell>
          <cell r="D840" t="str">
            <v>615100</v>
          </cell>
          <cell r="E840" t="str">
            <v>ENTRETIEN ET REPARATIONS</v>
          </cell>
          <cell r="F840" t="str">
            <v>Autres achats et charges externes</v>
          </cell>
          <cell r="G840" t="str">
            <v>RESULTAT OPERATIONNEL COURANT</v>
          </cell>
        </row>
        <row r="841">
          <cell r="B841" t="str">
            <v>611051</v>
          </cell>
          <cell r="C841" t="str">
            <v>Entret &amp; Réparat° voiture</v>
          </cell>
          <cell r="D841" t="str">
            <v>615100</v>
          </cell>
          <cell r="E841" t="str">
            <v>ENTRETIEN ET REPARATIONS</v>
          </cell>
          <cell r="F841" t="str">
            <v>Autres achats et charges externes</v>
          </cell>
          <cell r="G841" t="str">
            <v>RESULTAT OPERATIONNEL COURANT</v>
          </cell>
        </row>
        <row r="842">
          <cell r="B842" t="str">
            <v>611052</v>
          </cell>
          <cell r="C842" t="str">
            <v>Entret &amp; Réparat° voiture</v>
          </cell>
          <cell r="D842" t="str">
            <v>615100</v>
          </cell>
          <cell r="E842" t="str">
            <v>ENTRETIEN ET REPARATIONS</v>
          </cell>
          <cell r="F842" t="str">
            <v>Autres achats et charges externes</v>
          </cell>
          <cell r="G842" t="str">
            <v>RESULTAT OPERATIONNEL COURANT</v>
          </cell>
        </row>
        <row r="843">
          <cell r="B843" t="str">
            <v>611053</v>
          </cell>
          <cell r="C843" t="str">
            <v>Entret &amp; Réparat° voiture</v>
          </cell>
          <cell r="D843" t="str">
            <v>615100</v>
          </cell>
          <cell r="E843" t="str">
            <v>ENTRETIEN ET REPARATIONS</v>
          </cell>
          <cell r="F843" t="str">
            <v>Autres achats et charges externes</v>
          </cell>
          <cell r="G843" t="str">
            <v>RESULTAT OPERATIONNEL COURANT</v>
          </cell>
        </row>
        <row r="844">
          <cell r="B844" t="str">
            <v>611054</v>
          </cell>
          <cell r="C844" t="str">
            <v>Entret &amp; Réparat° voiture</v>
          </cell>
          <cell r="D844" t="str">
            <v>615100</v>
          </cell>
          <cell r="E844" t="str">
            <v>ENTRETIEN ET REPARATIONS</v>
          </cell>
          <cell r="F844" t="str">
            <v>Autres achats et charges externes</v>
          </cell>
          <cell r="G844" t="str">
            <v>RESULTAT OPERATIONNEL COURANT</v>
          </cell>
        </row>
        <row r="845">
          <cell r="B845" t="str">
            <v>611057</v>
          </cell>
          <cell r="C845" t="str">
            <v>Entret &amp; Réparat° voiture</v>
          </cell>
          <cell r="D845" t="str">
            <v>615100</v>
          </cell>
          <cell r="E845" t="str">
            <v>ENTRETIEN ET REPARATIONS</v>
          </cell>
          <cell r="F845" t="str">
            <v>Autres achats et charges externes</v>
          </cell>
          <cell r="G845" t="str">
            <v>RESULTAT OPERATIONNEL COURANT</v>
          </cell>
        </row>
        <row r="846">
          <cell r="B846" t="str">
            <v>611060</v>
          </cell>
          <cell r="C846" t="str">
            <v>Entret &amp; Réparat° voiture</v>
          </cell>
          <cell r="D846" t="str">
            <v>615100</v>
          </cell>
          <cell r="E846" t="str">
            <v>ENTRETIEN ET REPARATIONS</v>
          </cell>
          <cell r="F846" t="str">
            <v>Autres achats et charges externes</v>
          </cell>
          <cell r="G846" t="str">
            <v>RESULTAT OPERATIONNEL COURANT</v>
          </cell>
        </row>
        <row r="847">
          <cell r="B847" t="str">
            <v>611100</v>
          </cell>
          <cell r="C847" t="str">
            <v>Maint. Ascenseur/Monte-Charge</v>
          </cell>
          <cell r="D847" t="str">
            <v>615700</v>
          </cell>
          <cell r="E847" t="str">
            <v>ENTRETIEN MAINTENANCE CONTRAT</v>
          </cell>
          <cell r="F847" t="str">
            <v>Autres achats et charges externes</v>
          </cell>
          <cell r="G847" t="str">
            <v>RESULTAT OPERATIONNEL COURANT</v>
          </cell>
        </row>
        <row r="848">
          <cell r="B848" t="str">
            <v>611101</v>
          </cell>
          <cell r="C848" t="str">
            <v>MAINT. PORTES-AUTOMATIQUES</v>
          </cell>
          <cell r="D848" t="str">
            <v>615700</v>
          </cell>
          <cell r="E848" t="str">
            <v>ENTRETIEN MAINTENANCE CONTRAT</v>
          </cell>
          <cell r="F848" t="str">
            <v>Autres achats et charges externes</v>
          </cell>
          <cell r="G848" t="str">
            <v>RESULTAT OPERATIONNEL COURANT</v>
          </cell>
        </row>
        <row r="849">
          <cell r="B849" t="str">
            <v>611102</v>
          </cell>
          <cell r="C849" t="str">
            <v>Maint. Electricité</v>
          </cell>
          <cell r="D849" t="str">
            <v>615700</v>
          </cell>
          <cell r="E849" t="str">
            <v>ENTRETIEN MAINTENANCE CONTRAT</v>
          </cell>
          <cell r="F849" t="str">
            <v>Autres achats et charges externes</v>
          </cell>
          <cell r="G849" t="str">
            <v>RESULTAT OPERATIONNEL COURANT</v>
          </cell>
        </row>
        <row r="850">
          <cell r="B850" t="str">
            <v>611103</v>
          </cell>
          <cell r="C850" t="str">
            <v>MAINT. INCENDIE</v>
          </cell>
          <cell r="D850" t="str">
            <v>615700</v>
          </cell>
          <cell r="E850" t="str">
            <v>ENTRETIEN MAINTENANCE CONTRAT</v>
          </cell>
          <cell r="F850" t="str">
            <v>Autres achats et charges externes</v>
          </cell>
          <cell r="G850" t="str">
            <v>RESULTAT OPERATIONNEL COURANT</v>
          </cell>
        </row>
        <row r="851">
          <cell r="B851" t="str">
            <v>611104</v>
          </cell>
          <cell r="C851" t="str">
            <v>MAINT. CHAUFFAGE</v>
          </cell>
          <cell r="D851" t="str">
            <v>615700</v>
          </cell>
          <cell r="E851" t="str">
            <v>ENTRETIEN MAINTENANCE CONTRAT</v>
          </cell>
          <cell r="F851" t="str">
            <v>Autres achats et charges externes</v>
          </cell>
          <cell r="G851" t="str">
            <v>RESULTAT OPERATIONNEL COURANT</v>
          </cell>
        </row>
        <row r="852">
          <cell r="B852" t="str">
            <v>611105</v>
          </cell>
          <cell r="C852" t="str">
            <v>MAINT. EXTINCTEURS</v>
          </cell>
          <cell r="D852" t="str">
            <v>615700</v>
          </cell>
          <cell r="E852" t="str">
            <v>ENTRETIEN MAINTENANCE CONTRAT</v>
          </cell>
          <cell r="F852" t="str">
            <v>Autres achats et charges externes</v>
          </cell>
          <cell r="G852" t="str">
            <v>RESULTAT OPERATIONNEL COURANT</v>
          </cell>
        </row>
        <row r="853">
          <cell r="B853" t="str">
            <v>611106</v>
          </cell>
          <cell r="C853" t="str">
            <v>MAINT. JARDINS/ABORDS</v>
          </cell>
          <cell r="D853" t="str">
            <v>615700</v>
          </cell>
          <cell r="E853" t="str">
            <v>ENTRETIEN MAINTENANCE CONTRAT</v>
          </cell>
          <cell r="F853" t="str">
            <v>Autres achats et charges externes</v>
          </cell>
          <cell r="G853" t="str">
            <v>RESULTAT OPERATIONNEL COURANT</v>
          </cell>
        </row>
        <row r="854">
          <cell r="B854" t="str">
            <v>611107</v>
          </cell>
          <cell r="C854" t="str">
            <v>Maint. Sécurité</v>
          </cell>
          <cell r="D854" t="str">
            <v>615700</v>
          </cell>
          <cell r="E854" t="str">
            <v>ENTRETIEN MAINTENANCE CONTRAT</v>
          </cell>
          <cell r="F854" t="str">
            <v>Autres achats et charges externes</v>
          </cell>
          <cell r="G854" t="str">
            <v>RESULTAT OPERATIONNEL COURANT</v>
          </cell>
        </row>
        <row r="855">
          <cell r="B855" t="str">
            <v>611108</v>
          </cell>
          <cell r="C855" t="str">
            <v>MAINT. NUISIBLES</v>
          </cell>
          <cell r="D855" t="str">
            <v>615700</v>
          </cell>
          <cell r="E855" t="str">
            <v>ENTRETIEN MAINTENANCE CONTRAT</v>
          </cell>
          <cell r="F855" t="str">
            <v>Autres achats et charges externes</v>
          </cell>
          <cell r="G855" t="str">
            <v>RESULTAT OPERATIONNEL COURANT</v>
          </cell>
        </row>
        <row r="856">
          <cell r="B856" t="str">
            <v>611109</v>
          </cell>
          <cell r="C856" t="str">
            <v>Maint. Hygiène</v>
          </cell>
          <cell r="D856" t="str">
            <v>615700</v>
          </cell>
          <cell r="E856" t="str">
            <v>ENTRETIEN MAINTENANCE CONTRAT</v>
          </cell>
          <cell r="F856" t="str">
            <v>Autres achats et charges externes</v>
          </cell>
          <cell r="G856" t="str">
            <v>RESULTAT OPERATIONNEL COURANT</v>
          </cell>
        </row>
        <row r="857">
          <cell r="B857" t="str">
            <v>611110</v>
          </cell>
          <cell r="C857" t="str">
            <v>MAINT. PHOTOCOPIEUSE</v>
          </cell>
          <cell r="D857" t="str">
            <v>615700</v>
          </cell>
          <cell r="E857" t="str">
            <v>ENTRETIEN MAINTENANCE CONTRAT</v>
          </cell>
          <cell r="F857" t="str">
            <v>Autres achats et charges externes</v>
          </cell>
          <cell r="G857" t="str">
            <v>RESULTAT OPERATIONNEL COURANT</v>
          </cell>
        </row>
        <row r="858">
          <cell r="B858" t="str">
            <v>611111</v>
          </cell>
          <cell r="C858" t="str">
            <v>MAINT. LAVAGE DES VITRES</v>
          </cell>
          <cell r="D858" t="str">
            <v>615700</v>
          </cell>
          <cell r="E858" t="str">
            <v>ENTRETIEN MAINTENANCE CONTRAT</v>
          </cell>
          <cell r="F858" t="str">
            <v>Autres achats et charges externes</v>
          </cell>
          <cell r="G858" t="str">
            <v>RESULTAT OPERATIONNEL COURANT</v>
          </cell>
        </row>
        <row r="859">
          <cell r="B859" t="str">
            <v>611112</v>
          </cell>
          <cell r="C859" t="str">
            <v>Maint. Centrale Téléphonique</v>
          </cell>
          <cell r="D859" t="str">
            <v>615700</v>
          </cell>
          <cell r="E859" t="str">
            <v>ENTRETIEN MAINTENANCE CONTRAT</v>
          </cell>
          <cell r="F859" t="str">
            <v>Autres achats et charges externes</v>
          </cell>
          <cell r="G859" t="str">
            <v>RESULTAT OPERATIONNEL COURANT</v>
          </cell>
        </row>
        <row r="860">
          <cell r="B860" t="str">
            <v>611113</v>
          </cell>
          <cell r="C860" t="str">
            <v>MAINT. INFORMATIQUE</v>
          </cell>
          <cell r="D860" t="str">
            <v>615700</v>
          </cell>
          <cell r="E860" t="str">
            <v>ENTRETIEN MAINTENANCE CONTRAT</v>
          </cell>
          <cell r="F860" t="str">
            <v>Autres achats et charges externes</v>
          </cell>
          <cell r="G860" t="str">
            <v>RESULTAT OPERATIONNEL COURANT</v>
          </cell>
        </row>
        <row r="861">
          <cell r="B861" t="str">
            <v>611114</v>
          </cell>
          <cell r="C861" t="str">
            <v>MAINT. BIP</v>
          </cell>
          <cell r="D861" t="str">
            <v>615700</v>
          </cell>
          <cell r="E861" t="str">
            <v>ENTRETIEN MAINTENANCE CONTRAT</v>
          </cell>
          <cell r="F861" t="str">
            <v>Autres achats et charges externes</v>
          </cell>
          <cell r="G861" t="str">
            <v>RESULTAT OPERATIONNEL COURANT</v>
          </cell>
        </row>
        <row r="862">
          <cell r="B862" t="str">
            <v>611115</v>
          </cell>
          <cell r="C862" t="str">
            <v>MAINT. DIVERSE</v>
          </cell>
          <cell r="D862" t="str">
            <v>615700</v>
          </cell>
          <cell r="E862" t="str">
            <v>ENTRETIEN MAINTENANCE CONTRAT</v>
          </cell>
          <cell r="F862" t="str">
            <v>Autres achats et charges externes</v>
          </cell>
          <cell r="G862" t="str">
            <v>RESULTAT OPERATIONNEL COURANT</v>
          </cell>
        </row>
        <row r="863">
          <cell r="B863" t="str">
            <v>611150</v>
          </cell>
          <cell r="C863" t="str">
            <v>chèques repas/chèques Eco</v>
          </cell>
          <cell r="D863" t="str">
            <v>641400</v>
          </cell>
          <cell r="E863" t="str">
            <v>INDEMNITES DIVERSES</v>
          </cell>
          <cell r="F863" t="str">
            <v>Salaires et Traitements</v>
          </cell>
          <cell r="G863" t="str">
            <v>RESULTAT OPERATIONNEL COURANT</v>
          </cell>
        </row>
        <row r="864">
          <cell r="B864" t="str">
            <v>612100</v>
          </cell>
          <cell r="C864" t="str">
            <v>EAU</v>
          </cell>
          <cell r="D864" t="str">
            <v>606110</v>
          </cell>
          <cell r="E864" t="str">
            <v xml:space="preserve">EAU                                    </v>
          </cell>
          <cell r="F864" t="str">
            <v>Autres achats et charges externes</v>
          </cell>
          <cell r="G864" t="str">
            <v>RESULTAT OPERATIONNEL COURANT</v>
          </cell>
        </row>
        <row r="865">
          <cell r="B865" t="str">
            <v>612101</v>
          </cell>
          <cell r="C865" t="str">
            <v>GAZ</v>
          </cell>
          <cell r="D865" t="str">
            <v>606130</v>
          </cell>
          <cell r="E865" t="str">
            <v xml:space="preserve">GAZ FUEL                               </v>
          </cell>
          <cell r="F865" t="str">
            <v>Autres achats et charges externes</v>
          </cell>
          <cell r="G865" t="str">
            <v>RESULTAT OPERATIONNEL COURANT</v>
          </cell>
        </row>
        <row r="866">
          <cell r="B866" t="str">
            <v>612102</v>
          </cell>
          <cell r="C866" t="str">
            <v>Electricité</v>
          </cell>
          <cell r="D866" t="str">
            <v>606120</v>
          </cell>
          <cell r="E866" t="str">
            <v xml:space="preserve">ELECTRICITE                            </v>
          </cell>
          <cell r="F866" t="str">
            <v>Autres achats et charges externes</v>
          </cell>
          <cell r="G866" t="str">
            <v>RESULTAT OPERATIONNEL COURANT</v>
          </cell>
        </row>
        <row r="867">
          <cell r="B867" t="str">
            <v>612103</v>
          </cell>
          <cell r="C867" t="str">
            <v>MAZOUT DE CHAUFFAGE</v>
          </cell>
          <cell r="D867" t="str">
            <v>606160</v>
          </cell>
          <cell r="E867" t="str">
            <v xml:space="preserve">CHAUFFAGE              </v>
          </cell>
          <cell r="F867" t="str">
            <v>Autres achats et charges externes</v>
          </cell>
          <cell r="G867" t="str">
            <v>RESULTAT OPERATIONNEL COURANT</v>
          </cell>
        </row>
        <row r="868">
          <cell r="B868" t="str">
            <v>612104</v>
          </cell>
          <cell r="C868" t="str">
            <v>Carburant (75%)</v>
          </cell>
          <cell r="D868" t="str">
            <v>606140</v>
          </cell>
          <cell r="E868" t="str">
            <v xml:space="preserve">CARBURANT                              </v>
          </cell>
          <cell r="F868" t="str">
            <v>Autres achats et charges externes</v>
          </cell>
          <cell r="G868" t="str">
            <v>RESULTAT OPERATIONNEL COURANT</v>
          </cell>
        </row>
        <row r="869">
          <cell r="B869" t="str">
            <v>612200</v>
          </cell>
          <cell r="C869" t="str">
            <v>PRODUITS D'ENTRETIEN</v>
          </cell>
          <cell r="D869" t="str">
            <v>602400</v>
          </cell>
          <cell r="E869" t="str">
            <v xml:space="preserve">AUTRES PRODUITS D'ENTRETIEN            </v>
          </cell>
          <cell r="F869" t="str">
            <v>Achats mat prem et autres appro</v>
          </cell>
          <cell r="G869" t="str">
            <v>RESULTAT OPERATIONNEL COURANT</v>
          </cell>
        </row>
        <row r="870">
          <cell r="B870" t="str">
            <v>612201</v>
          </cell>
          <cell r="C870" t="str">
            <v>Petit Matériel d'Entretien</v>
          </cell>
          <cell r="D870" t="str">
            <v>606300</v>
          </cell>
          <cell r="E870" t="str">
            <v xml:space="preserve">PETIT EQUIPEMENT                       </v>
          </cell>
          <cell r="F870" t="str">
            <v>Autres achats et charges externes</v>
          </cell>
          <cell r="G870" t="str">
            <v>RESULTAT OPERATIONNEL COURANT</v>
          </cell>
        </row>
        <row r="871">
          <cell r="B871" t="str">
            <v>612202</v>
          </cell>
          <cell r="C871" t="str">
            <v>Petit Matériel Cuisine/Vais.</v>
          </cell>
          <cell r="D871" t="str">
            <v>606300</v>
          </cell>
          <cell r="E871" t="str">
            <v xml:space="preserve">PETIT EQUIPEMENT                       </v>
          </cell>
          <cell r="F871" t="str">
            <v>Autres achats et charges externes</v>
          </cell>
          <cell r="G871" t="str">
            <v>RESULTAT OPERATIONNEL COURANT</v>
          </cell>
        </row>
        <row r="872">
          <cell r="B872" t="str">
            <v>612203</v>
          </cell>
          <cell r="C872" t="str">
            <v>Petit Matériel Autre</v>
          </cell>
          <cell r="D872" t="str">
            <v>606300</v>
          </cell>
          <cell r="E872" t="str">
            <v xml:space="preserve">PETIT EQUIPEMENT                       </v>
          </cell>
          <cell r="F872" t="str">
            <v>Autres achats et charges externes</v>
          </cell>
          <cell r="G872" t="str">
            <v>RESULTAT OPERATIONNEL COURANT</v>
          </cell>
        </row>
        <row r="873">
          <cell r="B873" t="str">
            <v>612204</v>
          </cell>
          <cell r="C873" t="str">
            <v>BLANCHISSERIE INTERNE</v>
          </cell>
          <cell r="D873" t="str">
            <v>611100</v>
          </cell>
          <cell r="E873" t="str">
            <v xml:space="preserve">PRESTATION BLANCHISSERIE       </v>
          </cell>
          <cell r="F873" t="str">
            <v>Autres achats et charges externes</v>
          </cell>
          <cell r="G873" t="str">
            <v>RESULTAT OPERATIONNEL COURANT</v>
          </cell>
        </row>
        <row r="874">
          <cell r="B874" t="str">
            <v>612205</v>
          </cell>
          <cell r="C874" t="str">
            <v>Décoration Locaux</v>
          </cell>
          <cell r="D874" t="str">
            <v>623300</v>
          </cell>
          <cell r="E874" t="str">
            <v>ANIMATIONS</v>
          </cell>
          <cell r="F874" t="str">
            <v>Autres achats et charges externes</v>
          </cell>
          <cell r="G874" t="str">
            <v>RESULTAT OPERATIONNEL COURANT</v>
          </cell>
        </row>
        <row r="875">
          <cell r="B875" t="str">
            <v>612206</v>
          </cell>
          <cell r="C875" t="str">
            <v>Décoration Tables</v>
          </cell>
          <cell r="D875" t="str">
            <v>623300</v>
          </cell>
          <cell r="E875" t="str">
            <v>ANIMATIONS</v>
          </cell>
          <cell r="F875" t="str">
            <v>Autres achats et charges externes</v>
          </cell>
          <cell r="G875" t="str">
            <v>RESULTAT OPERATIONNEL COURANT</v>
          </cell>
        </row>
        <row r="876">
          <cell r="B876" t="str">
            <v>612207</v>
          </cell>
          <cell r="C876" t="str">
            <v>ANIMATIONS</v>
          </cell>
          <cell r="D876" t="str">
            <v>623300</v>
          </cell>
          <cell r="E876" t="str">
            <v>ANIMATIONS</v>
          </cell>
          <cell r="F876" t="str">
            <v>Autres achats et charges externes</v>
          </cell>
          <cell r="G876" t="str">
            <v>RESULTAT OPERATIONNEL COURANT</v>
          </cell>
        </row>
        <row r="877">
          <cell r="B877" t="str">
            <v>612210</v>
          </cell>
          <cell r="C877" t="str">
            <v>Photocopie</v>
          </cell>
          <cell r="D877" t="str">
            <v>606400</v>
          </cell>
          <cell r="E877" t="str">
            <v xml:space="preserve">ACHATS FOURNITURES DE BUREAU           </v>
          </cell>
          <cell r="F877" t="str">
            <v>Autres achats et charges externes</v>
          </cell>
          <cell r="G877" t="str">
            <v>RESULTAT OPERATIONNEL COURANT</v>
          </cell>
        </row>
        <row r="878">
          <cell r="B878" t="str">
            <v>612300</v>
          </cell>
          <cell r="C878" t="str">
            <v>Imprimés &amp; fournit. bureau</v>
          </cell>
          <cell r="D878" t="str">
            <v>606400</v>
          </cell>
          <cell r="E878" t="str">
            <v xml:space="preserve">ACHATS FOURNITURES DE BUREAU           </v>
          </cell>
          <cell r="F878" t="str">
            <v>Autres achats et charges externes</v>
          </cell>
          <cell r="G878" t="str">
            <v>RESULTAT OPERATIONNEL COURANT</v>
          </cell>
        </row>
        <row r="879">
          <cell r="B879" t="str">
            <v>612301</v>
          </cell>
          <cell r="C879" t="str">
            <v>JOURNAUX, MAGAZINES</v>
          </cell>
          <cell r="D879" t="str">
            <v>606310</v>
          </cell>
          <cell r="E879" t="str">
            <v xml:space="preserve">PETIT EQUIPEMENT ANIMATION             </v>
          </cell>
          <cell r="F879" t="str">
            <v>Autres achats et charges externes</v>
          </cell>
          <cell r="G879" t="str">
            <v>RESULTAT OPERATIONNEL COURANT</v>
          </cell>
        </row>
        <row r="880">
          <cell r="B880" t="str">
            <v>612302</v>
          </cell>
          <cell r="C880" t="str">
            <v>LIVRES ET DOCUMENTATION</v>
          </cell>
          <cell r="D880" t="str">
            <v>618300</v>
          </cell>
          <cell r="E880" t="str">
            <v>DOCUMENTATION TECHNIQUE</v>
          </cell>
          <cell r="F880" t="str">
            <v>Autres achats et charges externes</v>
          </cell>
          <cell r="G880" t="str">
            <v>RESULTAT OPERATIONNEL COURANT</v>
          </cell>
        </row>
        <row r="881">
          <cell r="B881" t="str">
            <v>612303</v>
          </cell>
          <cell r="C881" t="str">
            <v>PETITES FOURNIT. INFORMATIQUES</v>
          </cell>
          <cell r="D881" t="str">
            <v>606300</v>
          </cell>
          <cell r="E881" t="str">
            <v xml:space="preserve">PETIT EQUIPEMENT                       </v>
          </cell>
          <cell r="F881" t="str">
            <v>Autres achats et charges externes</v>
          </cell>
          <cell r="G881" t="str">
            <v>RESULTAT OPERATIONNEL COURANT</v>
          </cell>
        </row>
        <row r="882">
          <cell r="B882" t="str">
            <v>612304</v>
          </cell>
          <cell r="C882" t="str">
            <v>Téléphone/Fax/Modem</v>
          </cell>
          <cell r="D882" t="str">
            <v>626000</v>
          </cell>
          <cell r="E882" t="str">
            <v>TELEPHONE ET FAX</v>
          </cell>
          <cell r="F882" t="str">
            <v>Autres achats et charges externes</v>
          </cell>
          <cell r="G882" t="str">
            <v>RESULTAT OPERATIONNEL COURANT</v>
          </cell>
        </row>
        <row r="883">
          <cell r="B883" t="str">
            <v>612305</v>
          </cell>
          <cell r="C883" t="str">
            <v>INTERNET</v>
          </cell>
          <cell r="D883" t="str">
            <v>626200</v>
          </cell>
          <cell r="E883" t="str">
            <v>LIAISON TELEPHONIQUE INTERNET</v>
          </cell>
          <cell r="F883" t="str">
            <v>Autres achats et charges externes</v>
          </cell>
          <cell r="G883" t="str">
            <v>RESULTAT OPERATIONNEL COURANT</v>
          </cell>
        </row>
        <row r="884">
          <cell r="B884" t="str">
            <v>612306</v>
          </cell>
          <cell r="C884" t="str">
            <v>Frais de poste</v>
          </cell>
          <cell r="D884" t="str">
            <v>626500</v>
          </cell>
          <cell r="E884" t="str">
            <v xml:space="preserve">FRAIS POSTAUX                          </v>
          </cell>
          <cell r="F884" t="str">
            <v>Autres achats et charges externes</v>
          </cell>
          <cell r="G884" t="str">
            <v>RESULTAT OPERATIONNEL COURANT</v>
          </cell>
        </row>
        <row r="885">
          <cell r="B885" t="str">
            <v>612307</v>
          </cell>
          <cell r="C885" t="str">
            <v>MOBILE GSM</v>
          </cell>
          <cell r="D885" t="str">
            <v>626100</v>
          </cell>
          <cell r="E885" t="str">
            <v>TELEPHONES PORTABLES</v>
          </cell>
          <cell r="F885" t="str">
            <v>Autres achats et charges externes</v>
          </cell>
          <cell r="G885" t="str">
            <v>RESULTAT OPERATIONNEL COURANT</v>
          </cell>
        </row>
        <row r="886">
          <cell r="B886" t="str">
            <v>613000</v>
          </cell>
          <cell r="C886" t="str">
            <v>BREVET, LICENCES,</v>
          </cell>
          <cell r="D886" t="str">
            <v>606300</v>
          </cell>
          <cell r="E886" t="str">
            <v xml:space="preserve">PETIT EQUIPEMENT                       </v>
          </cell>
          <cell r="F886" t="str">
            <v>Autres achats et charges externes</v>
          </cell>
          <cell r="G886" t="str">
            <v>RESULTAT OPERATIONNEL COURANT</v>
          </cell>
        </row>
        <row r="887">
          <cell r="B887" t="str">
            <v>613100</v>
          </cell>
          <cell r="C887" t="str">
            <v>Assur. Incendie</v>
          </cell>
          <cell r="D887" t="str">
            <v>616100</v>
          </cell>
          <cell r="E887" t="str">
            <v>PRIMES D'ASSURANCE - AUTRES ORGANISMES</v>
          </cell>
          <cell r="F887" t="str">
            <v>Autres achats et charges externes</v>
          </cell>
          <cell r="G887" t="str">
            <v>RESULTAT OPERATIONNEL COURANT</v>
          </cell>
        </row>
        <row r="888">
          <cell r="B888" t="str">
            <v>613101</v>
          </cell>
          <cell r="C888" t="str">
            <v>Assurance Voiture</v>
          </cell>
          <cell r="D888" t="str">
            <v>616100</v>
          </cell>
          <cell r="E888" t="str">
            <v>PRIMES D'ASSURANCE - AUTRES ORGANISMES</v>
          </cell>
          <cell r="F888" t="str">
            <v>Autres achats et charges externes</v>
          </cell>
          <cell r="G888" t="str">
            <v>RESULTAT OPERATIONNEL COURANT</v>
          </cell>
        </row>
        <row r="889">
          <cell r="B889" t="str">
            <v>613102</v>
          </cell>
          <cell r="C889" t="str">
            <v>Assurance voiture</v>
          </cell>
          <cell r="D889" t="str">
            <v>616100</v>
          </cell>
          <cell r="E889" t="str">
            <v>PRIMES D'ASSURANCE - AUTRES ORGANISMES</v>
          </cell>
          <cell r="F889" t="str">
            <v>Autres achats et charges externes</v>
          </cell>
          <cell r="G889" t="str">
            <v>RESULTAT OPERATIONNEL COURANT</v>
          </cell>
        </row>
        <row r="890">
          <cell r="B890" t="str">
            <v>613103</v>
          </cell>
          <cell r="C890" t="str">
            <v>Assurance Voiture</v>
          </cell>
          <cell r="D890" t="str">
            <v>616100</v>
          </cell>
          <cell r="E890" t="str">
            <v>PRIMES D'ASSURANCE - AUTRES ORGANISMES</v>
          </cell>
          <cell r="F890" t="str">
            <v>Autres achats et charges externes</v>
          </cell>
          <cell r="G890" t="str">
            <v>RESULTAT OPERATIONNEL COURANT</v>
          </cell>
        </row>
        <row r="891">
          <cell r="B891" t="str">
            <v>613104</v>
          </cell>
          <cell r="C891" t="str">
            <v>Assurance Voiture</v>
          </cell>
          <cell r="D891" t="str">
            <v>616100</v>
          </cell>
          <cell r="E891" t="str">
            <v>PRIMES D'ASSURANCE - AUTRES ORGANISMES</v>
          </cell>
          <cell r="F891" t="str">
            <v>Autres achats et charges externes</v>
          </cell>
          <cell r="G891" t="str">
            <v>RESULTAT OPERATIONNEL COURANT</v>
          </cell>
        </row>
        <row r="892">
          <cell r="B892" t="str">
            <v>613105</v>
          </cell>
          <cell r="C892" t="str">
            <v>Assurance Voiture</v>
          </cell>
          <cell r="D892" t="str">
            <v>616100</v>
          </cell>
          <cell r="E892" t="str">
            <v>PRIMES D'ASSURANCE - AUTRES ORGANISMES</v>
          </cell>
          <cell r="F892" t="str">
            <v>Autres achats et charges externes</v>
          </cell>
          <cell r="G892" t="str">
            <v>RESULTAT OPERATIONNEL COURANT</v>
          </cell>
        </row>
        <row r="893">
          <cell r="B893" t="str">
            <v>613106</v>
          </cell>
          <cell r="C893" t="str">
            <v>Assurance Voiture</v>
          </cell>
          <cell r="D893" t="str">
            <v>616100</v>
          </cell>
          <cell r="E893" t="str">
            <v>PRIMES D'ASSURANCE - AUTRES ORGANISMES</v>
          </cell>
          <cell r="F893" t="str">
            <v>Autres achats et charges externes</v>
          </cell>
          <cell r="G893" t="str">
            <v>RESULTAT OPERATIONNEL COURANT</v>
          </cell>
        </row>
        <row r="894">
          <cell r="B894" t="str">
            <v>613107</v>
          </cell>
          <cell r="C894" t="str">
            <v>Assurance Voiture</v>
          </cell>
          <cell r="D894" t="str">
            <v>616100</v>
          </cell>
          <cell r="E894" t="str">
            <v>PRIMES D'ASSURANCE - AUTRES ORGANISMES</v>
          </cell>
          <cell r="F894" t="str">
            <v>Autres achats et charges externes</v>
          </cell>
          <cell r="G894" t="str">
            <v>RESULTAT OPERATIONNEL COURANT</v>
          </cell>
        </row>
        <row r="895">
          <cell r="B895" t="str">
            <v>613108</v>
          </cell>
          <cell r="C895" t="str">
            <v>Assurance Voiture</v>
          </cell>
          <cell r="D895" t="str">
            <v>616100</v>
          </cell>
          <cell r="E895" t="str">
            <v>PRIMES D'ASSURANCE - AUTRES ORGANISMES</v>
          </cell>
          <cell r="F895" t="str">
            <v>Autres achats et charges externes</v>
          </cell>
          <cell r="G895" t="str">
            <v>RESULTAT OPERATIONNEL COURANT</v>
          </cell>
        </row>
        <row r="896">
          <cell r="B896" t="str">
            <v>613109</v>
          </cell>
          <cell r="C896" t="str">
            <v>Assur. Voiture (??%)</v>
          </cell>
          <cell r="D896" t="str">
            <v>616100</v>
          </cell>
          <cell r="E896" t="str">
            <v>PRIMES D'ASSURANCE - AUTRES ORGANISMES</v>
          </cell>
          <cell r="F896" t="str">
            <v>Autres achats et charges externes</v>
          </cell>
          <cell r="G896" t="str">
            <v>RESULTAT OPERATIONNEL COURANT</v>
          </cell>
        </row>
        <row r="897">
          <cell r="B897" t="str">
            <v>613110</v>
          </cell>
          <cell r="C897" t="str">
            <v>Assurance Vol</v>
          </cell>
          <cell r="D897" t="str">
            <v>616100</v>
          </cell>
          <cell r="E897" t="str">
            <v>PRIMES D'ASSURANCE - AUTRES ORGANISMES</v>
          </cell>
          <cell r="F897" t="str">
            <v>Autres achats et charges externes</v>
          </cell>
          <cell r="G897" t="str">
            <v>RESULTAT OPERATIONNEL COURANT</v>
          </cell>
        </row>
        <row r="898">
          <cell r="B898" t="str">
            <v>613114</v>
          </cell>
          <cell r="C898" t="str">
            <v>Assur. Voiture</v>
          </cell>
          <cell r="D898" t="str">
            <v>616100</v>
          </cell>
          <cell r="E898" t="str">
            <v>PRIMES D'ASSURANCE - AUTRES ORGANISMES</v>
          </cell>
          <cell r="F898" t="str">
            <v>Autres achats et charges externes</v>
          </cell>
          <cell r="G898" t="str">
            <v>RESULTAT OPERATIONNEL COURANT</v>
          </cell>
        </row>
        <row r="899">
          <cell r="B899" t="str">
            <v>613115</v>
          </cell>
          <cell r="C899" t="str">
            <v>Assurance Voiture</v>
          </cell>
          <cell r="D899" t="str">
            <v>616100</v>
          </cell>
          <cell r="E899" t="str">
            <v>PRIMES D'ASSURANCE - AUTRES ORGANISMES</v>
          </cell>
          <cell r="F899" t="str">
            <v>Autres achats et charges externes</v>
          </cell>
          <cell r="G899" t="str">
            <v>RESULTAT OPERATIONNEL COURANT</v>
          </cell>
        </row>
        <row r="900">
          <cell r="B900" t="str">
            <v>613116</v>
          </cell>
          <cell r="C900" t="str">
            <v>Assur. Voiture</v>
          </cell>
          <cell r="D900" t="str">
            <v>616100</v>
          </cell>
          <cell r="E900" t="str">
            <v>PRIMES D'ASSURANCE - AUTRES ORGANISMES</v>
          </cell>
          <cell r="F900" t="str">
            <v>Autres achats et charges externes</v>
          </cell>
          <cell r="G900" t="str">
            <v>RESULTAT OPERATIONNEL COURANT</v>
          </cell>
        </row>
        <row r="901">
          <cell r="B901" t="str">
            <v>613117</v>
          </cell>
          <cell r="C901" t="str">
            <v>Assur. Voiture (90%)</v>
          </cell>
          <cell r="D901" t="str">
            <v>616100</v>
          </cell>
          <cell r="E901" t="str">
            <v>PRIMES D'ASSURANCE - AUTRES ORGANISMES</v>
          </cell>
          <cell r="F901" t="str">
            <v>Autres achats et charges externes</v>
          </cell>
          <cell r="G901" t="str">
            <v>RESULTAT OPERATIONNEL COURANT</v>
          </cell>
        </row>
        <row r="902">
          <cell r="B902" t="str">
            <v>613118</v>
          </cell>
          <cell r="C902" t="str">
            <v>Assur. Voiture (??%)</v>
          </cell>
          <cell r="D902" t="str">
            <v>616100</v>
          </cell>
          <cell r="E902" t="str">
            <v>PRIMES D'ASSURANCE - AUTRES ORGANISMES</v>
          </cell>
          <cell r="F902" t="str">
            <v>Autres achats et charges externes</v>
          </cell>
          <cell r="G902" t="str">
            <v>RESULTAT OPERATIONNEL COURANT</v>
          </cell>
        </row>
        <row r="903">
          <cell r="B903" t="str">
            <v>613119</v>
          </cell>
          <cell r="C903" t="str">
            <v>Assur. Voiture (??%)</v>
          </cell>
          <cell r="D903" t="str">
            <v>616100</v>
          </cell>
          <cell r="E903" t="str">
            <v>PRIMES D'ASSURANCE - AUTRES ORGANISMES</v>
          </cell>
          <cell r="F903" t="str">
            <v>Autres achats et charges externes</v>
          </cell>
          <cell r="G903" t="str">
            <v>RESULTAT OPERATIONNEL COURANT</v>
          </cell>
        </row>
        <row r="904">
          <cell r="B904" t="str">
            <v>613120</v>
          </cell>
          <cell r="C904" t="str">
            <v>Assur. Voiture (90%)</v>
          </cell>
          <cell r="D904" t="str">
            <v>616100</v>
          </cell>
          <cell r="E904" t="str">
            <v>PRIMES D'ASSURANCE - AUTRES ORGANISMES</v>
          </cell>
          <cell r="F904" t="str">
            <v>Autres achats et charges externes</v>
          </cell>
          <cell r="G904" t="str">
            <v>RESULTAT OPERATIONNEL COURANT</v>
          </cell>
        </row>
        <row r="905">
          <cell r="B905" t="str">
            <v>613121</v>
          </cell>
          <cell r="C905" t="str">
            <v>ASSUR. VOITURE (80%)</v>
          </cell>
          <cell r="D905" t="str">
            <v>616100</v>
          </cell>
          <cell r="E905" t="str">
            <v>PRIMES D'ASSURANCE - AUTRES ORGANISMES</v>
          </cell>
          <cell r="F905" t="str">
            <v>Autres achats et charges externes</v>
          </cell>
          <cell r="G905" t="str">
            <v>RESULTAT OPERATIONNEL COURANT</v>
          </cell>
        </row>
        <row r="906">
          <cell r="B906" t="str">
            <v>613122</v>
          </cell>
          <cell r="C906" t="str">
            <v>ASSUR. VOITURE (75%)</v>
          </cell>
          <cell r="D906" t="str">
            <v>616100</v>
          </cell>
          <cell r="E906" t="str">
            <v>PRIMES D'ASSURANCE - AUTRES ORGANISMES</v>
          </cell>
          <cell r="F906" t="str">
            <v>Autres achats et charges externes</v>
          </cell>
          <cell r="G906" t="str">
            <v>RESULTAT OPERATIONNEL COURANT</v>
          </cell>
        </row>
        <row r="907">
          <cell r="B907" t="str">
            <v>613123</v>
          </cell>
          <cell r="C907" t="str">
            <v>ASSUR. VOITURE (70%)</v>
          </cell>
          <cell r="D907" t="str">
            <v>616100</v>
          </cell>
          <cell r="E907" t="str">
            <v>PRIMES D'ASSURANCE - AUTRES ORGANISMES</v>
          </cell>
          <cell r="F907" t="str">
            <v>Autres achats et charges externes</v>
          </cell>
          <cell r="G907" t="str">
            <v>RESULTAT OPERATIONNEL COURANT</v>
          </cell>
        </row>
        <row r="908">
          <cell r="B908" t="str">
            <v>613124</v>
          </cell>
          <cell r="C908" t="str">
            <v>ASSUR. VOITURE (60%)</v>
          </cell>
          <cell r="D908" t="str">
            <v>616100</v>
          </cell>
          <cell r="E908" t="str">
            <v>PRIMES D'ASSURANCE - AUTRES ORGANISMES</v>
          </cell>
          <cell r="F908" t="str">
            <v>Autres achats et charges externes</v>
          </cell>
          <cell r="G908" t="str">
            <v>RESULTAT OPERATIONNEL COURANT</v>
          </cell>
        </row>
        <row r="909">
          <cell r="B909" t="str">
            <v>613125</v>
          </cell>
          <cell r="C909" t="str">
            <v>ASSUR. CAMIONETTE</v>
          </cell>
          <cell r="D909" t="str">
            <v>616100</v>
          </cell>
          <cell r="E909" t="str">
            <v>PRIMES D'ASSURANCE - AUTRES ORGANISMES</v>
          </cell>
          <cell r="F909" t="str">
            <v>Autres achats et charges externes</v>
          </cell>
          <cell r="G909" t="str">
            <v>RESULTAT OPERATIONNEL COURANT</v>
          </cell>
        </row>
        <row r="910">
          <cell r="B910" t="str">
            <v>613126</v>
          </cell>
          <cell r="C910" t="str">
            <v>Assur. Voiture</v>
          </cell>
          <cell r="D910" t="str">
            <v>616100</v>
          </cell>
          <cell r="E910" t="str">
            <v>PRIMES D'ASSURANCE - AUTRES ORGANISMES</v>
          </cell>
          <cell r="F910" t="str">
            <v>Autres achats et charges externes</v>
          </cell>
          <cell r="G910" t="str">
            <v>RESULTAT OPERATIONNEL COURANT</v>
          </cell>
        </row>
        <row r="911">
          <cell r="B911" t="str">
            <v>613127</v>
          </cell>
          <cell r="C911" t="str">
            <v>Assur. Voiture</v>
          </cell>
          <cell r="D911" t="str">
            <v>616100</v>
          </cell>
          <cell r="E911" t="str">
            <v>PRIMES D'ASSURANCE - AUTRES ORGANISMES</v>
          </cell>
          <cell r="F911" t="str">
            <v>Autres achats et charges externes</v>
          </cell>
          <cell r="G911" t="str">
            <v>RESULTAT OPERATIONNEL COURANT</v>
          </cell>
        </row>
        <row r="912">
          <cell r="B912" t="str">
            <v>613128</v>
          </cell>
          <cell r="C912" t="str">
            <v>Assur. Voiture</v>
          </cell>
          <cell r="D912" t="str">
            <v>616100</v>
          </cell>
          <cell r="E912" t="str">
            <v>PRIMES D'ASSURANCE - AUTRES ORGANISMES</v>
          </cell>
          <cell r="F912" t="str">
            <v>Autres achats et charges externes</v>
          </cell>
          <cell r="G912" t="str">
            <v>RESULTAT OPERATIONNEL COURANT</v>
          </cell>
        </row>
        <row r="913">
          <cell r="B913" t="str">
            <v>613129</v>
          </cell>
          <cell r="C913" t="str">
            <v>Assur. Voiture</v>
          </cell>
          <cell r="D913" t="str">
            <v>616100</v>
          </cell>
          <cell r="E913" t="str">
            <v>PRIMES D'ASSURANCE - AUTRES ORGANISMES</v>
          </cell>
          <cell r="F913" t="str">
            <v>Autres achats et charges externes</v>
          </cell>
          <cell r="G913" t="str">
            <v>RESULTAT OPERATIONNEL COURANT</v>
          </cell>
        </row>
        <row r="914">
          <cell r="B914" t="str">
            <v>613130</v>
          </cell>
          <cell r="C914" t="str">
            <v>Assur. Matériel informatique</v>
          </cell>
          <cell r="D914" t="str">
            <v>616100</v>
          </cell>
          <cell r="E914" t="str">
            <v>PRIMES D'ASSURANCE - AUTRES ORGANISMES</v>
          </cell>
          <cell r="F914" t="str">
            <v>Autres achats et charges externes</v>
          </cell>
          <cell r="G914" t="str">
            <v>RESULTAT OPERATIONNEL COURANT</v>
          </cell>
        </row>
        <row r="915">
          <cell r="B915" t="str">
            <v>613131</v>
          </cell>
          <cell r="C915" t="str">
            <v>Assur. Voiture</v>
          </cell>
          <cell r="D915" t="str">
            <v>616100</v>
          </cell>
          <cell r="E915" t="str">
            <v>PRIMES D'ASSURANCE - AUTRES ORGANISMES</v>
          </cell>
          <cell r="F915" t="str">
            <v>Autres achats et charges externes</v>
          </cell>
          <cell r="G915" t="str">
            <v>RESULTAT OPERATIONNEL COURANT</v>
          </cell>
        </row>
        <row r="916">
          <cell r="B916" t="str">
            <v>613132</v>
          </cell>
          <cell r="C916" t="str">
            <v>Assur. Voiture</v>
          </cell>
          <cell r="D916" t="str">
            <v>616100</v>
          </cell>
          <cell r="E916" t="str">
            <v>PRIMES D'ASSURANCE - AUTRES ORGANISMES</v>
          </cell>
          <cell r="F916" t="str">
            <v>Autres achats et charges externes</v>
          </cell>
          <cell r="G916" t="str">
            <v>RESULTAT OPERATIONNEL COURANT</v>
          </cell>
        </row>
        <row r="917">
          <cell r="B917" t="str">
            <v>613133</v>
          </cell>
          <cell r="C917" t="str">
            <v>Assur. Voiture</v>
          </cell>
          <cell r="D917" t="str">
            <v>616100</v>
          </cell>
          <cell r="E917" t="str">
            <v>PRIMES D'ASSURANCE - AUTRES ORGANISMES</v>
          </cell>
          <cell r="F917" t="str">
            <v>Autres achats et charges externes</v>
          </cell>
          <cell r="G917" t="str">
            <v>RESULTAT OPERATIONNEL COURANT</v>
          </cell>
        </row>
        <row r="918">
          <cell r="B918" t="str">
            <v>613134</v>
          </cell>
          <cell r="C918" t="str">
            <v>Assur. Voiture</v>
          </cell>
          <cell r="D918" t="str">
            <v>616100</v>
          </cell>
          <cell r="E918" t="str">
            <v>PRIMES D'ASSURANCE - AUTRES ORGANISMES</v>
          </cell>
          <cell r="F918" t="str">
            <v>Autres achats et charges externes</v>
          </cell>
          <cell r="G918" t="str">
            <v>RESULTAT OPERATIONNEL COURANT</v>
          </cell>
        </row>
        <row r="919">
          <cell r="B919" t="str">
            <v>613135</v>
          </cell>
          <cell r="C919" t="str">
            <v>Assur. Voiture</v>
          </cell>
          <cell r="D919" t="str">
            <v>616100</v>
          </cell>
          <cell r="E919" t="str">
            <v>PRIMES D'ASSURANCE - AUTRES ORGANISMES</v>
          </cell>
          <cell r="F919" t="str">
            <v>Autres achats et charges externes</v>
          </cell>
          <cell r="G919" t="str">
            <v>RESULTAT OPERATIONNEL COURANT</v>
          </cell>
        </row>
        <row r="920">
          <cell r="B920" t="str">
            <v>613136</v>
          </cell>
          <cell r="C920" t="str">
            <v>Assur. Voiture</v>
          </cell>
          <cell r="D920" t="str">
            <v>616100</v>
          </cell>
          <cell r="E920" t="str">
            <v>PRIMES D'ASSURANCE - AUTRES ORGANISMES</v>
          </cell>
          <cell r="F920" t="str">
            <v>Autres achats et charges externes</v>
          </cell>
          <cell r="G920" t="str">
            <v>RESULTAT OPERATIONNEL COURANT</v>
          </cell>
        </row>
        <row r="921">
          <cell r="B921" t="str">
            <v>613137</v>
          </cell>
          <cell r="C921" t="str">
            <v>Assur. Voiture</v>
          </cell>
          <cell r="D921" t="str">
            <v>616100</v>
          </cell>
          <cell r="E921" t="str">
            <v>PRIMES D'ASSURANCE - AUTRES ORGANISMES</v>
          </cell>
          <cell r="F921" t="str">
            <v>Autres achats et charges externes</v>
          </cell>
          <cell r="G921" t="str">
            <v>RESULTAT OPERATIONNEL COURANT</v>
          </cell>
        </row>
        <row r="922">
          <cell r="B922" t="str">
            <v>613138</v>
          </cell>
          <cell r="C922" t="str">
            <v>Assur. Voiture</v>
          </cell>
          <cell r="D922" t="str">
            <v>616100</v>
          </cell>
          <cell r="E922" t="str">
            <v>PRIMES D'ASSURANCE - AUTRES ORGANISMES</v>
          </cell>
          <cell r="F922" t="str">
            <v>Autres achats et charges externes</v>
          </cell>
          <cell r="G922" t="str">
            <v>RESULTAT OPERATIONNEL COURANT</v>
          </cell>
        </row>
        <row r="923">
          <cell r="B923" t="str">
            <v>613139</v>
          </cell>
          <cell r="C923" t="str">
            <v>Assur. Voiture</v>
          </cell>
          <cell r="D923" t="str">
            <v>616100</v>
          </cell>
          <cell r="E923" t="str">
            <v>PRIMES D'ASSURANCE - AUTRES ORGANISMES</v>
          </cell>
          <cell r="F923" t="str">
            <v>Autres achats et charges externes</v>
          </cell>
          <cell r="G923" t="str">
            <v>RESULTAT OPERATIONNEL COURANT</v>
          </cell>
        </row>
        <row r="924">
          <cell r="B924" t="str">
            <v>613140</v>
          </cell>
          <cell r="C924" t="str">
            <v>ASSUR. RC</v>
          </cell>
          <cell r="D924" t="str">
            <v>616100</v>
          </cell>
          <cell r="E924" t="str">
            <v>PRIMES D'ASSURANCE - AUTRES ORGANISMES</v>
          </cell>
          <cell r="F924" t="str">
            <v>Autres achats et charges externes</v>
          </cell>
          <cell r="G924" t="str">
            <v>RESULTAT OPERATIONNEL COURANT</v>
          </cell>
        </row>
        <row r="925">
          <cell r="B925" t="str">
            <v>613141</v>
          </cell>
          <cell r="C925" t="str">
            <v>ASSUR. RC OBJECTIVE</v>
          </cell>
          <cell r="D925" t="str">
            <v>616100</v>
          </cell>
          <cell r="E925" t="str">
            <v>PRIMES D'ASSURANCE - AUTRES ORGANISMES</v>
          </cell>
          <cell r="F925" t="str">
            <v>Autres achats et charges externes</v>
          </cell>
          <cell r="G925" t="str">
            <v>RESULTAT OPERATIONNEL COURANT</v>
          </cell>
        </row>
        <row r="926">
          <cell r="B926" t="str">
            <v>613142</v>
          </cell>
          <cell r="C926" t="str">
            <v>ASSUR. RC EXPLOIT.</v>
          </cell>
          <cell r="D926" t="str">
            <v>616100</v>
          </cell>
          <cell r="E926" t="str">
            <v>PRIMES D'ASSURANCE - AUTRES ORGANISMES</v>
          </cell>
          <cell r="F926" t="str">
            <v>Autres achats et charges externes</v>
          </cell>
          <cell r="G926" t="str">
            <v>RESULTAT OPERATIONNEL COURANT</v>
          </cell>
        </row>
        <row r="927">
          <cell r="B927" t="str">
            <v>613143</v>
          </cell>
          <cell r="C927" t="str">
            <v>ASSUR. RC EXPLOIT.</v>
          </cell>
          <cell r="D927" t="str">
            <v>616100</v>
          </cell>
          <cell r="E927" t="str">
            <v>PRIMES D'ASSURANCE - AUTRES ORGANISMES</v>
          </cell>
          <cell r="F927" t="str">
            <v>Autres achats et charges externes</v>
          </cell>
          <cell r="G927" t="str">
            <v>RESULTAT OPERATIONNEL COURANT</v>
          </cell>
        </row>
        <row r="928">
          <cell r="B928" t="str">
            <v>613144</v>
          </cell>
          <cell r="C928" t="str">
            <v>ASSUR. RC EXPLOIT.</v>
          </cell>
          <cell r="D928" t="str">
            <v>616100</v>
          </cell>
          <cell r="E928" t="str">
            <v>PRIMES D'ASSURANCE - AUTRES ORGANISMES</v>
          </cell>
          <cell r="F928" t="str">
            <v>Autres achats et charges externes</v>
          </cell>
          <cell r="G928" t="str">
            <v>RESULTAT OPERATIONNEL COURANT</v>
          </cell>
        </row>
        <row r="929">
          <cell r="B929" t="str">
            <v>613145</v>
          </cell>
          <cell r="C929" t="str">
            <v>ASSUR. RC EXPLOIT.</v>
          </cell>
          <cell r="D929" t="str">
            <v>616100</v>
          </cell>
          <cell r="E929" t="str">
            <v>PRIMES D'ASSURANCE - AUTRES ORGANISMES</v>
          </cell>
          <cell r="F929" t="str">
            <v>Autres achats et charges externes</v>
          </cell>
          <cell r="G929" t="str">
            <v>RESULTAT OPERATIONNEL COURANT</v>
          </cell>
        </row>
        <row r="930">
          <cell r="B930" t="str">
            <v>613146</v>
          </cell>
          <cell r="C930" t="str">
            <v>ASSUR. RC EXPLOIT.</v>
          </cell>
          <cell r="D930" t="str">
            <v>616100</v>
          </cell>
          <cell r="E930" t="str">
            <v>PRIMES D'ASSURANCE - AUTRES ORGANISMES</v>
          </cell>
          <cell r="F930" t="str">
            <v>Autres achats et charges externes</v>
          </cell>
          <cell r="G930" t="str">
            <v>RESULTAT OPERATIONNEL COURANT</v>
          </cell>
        </row>
        <row r="931">
          <cell r="B931" t="str">
            <v>613147</v>
          </cell>
          <cell r="C931" t="str">
            <v>ASSUR. RC EXPLOIT.</v>
          </cell>
          <cell r="D931" t="str">
            <v>616100</v>
          </cell>
          <cell r="E931" t="str">
            <v>PRIMES D'ASSURANCE - AUTRES ORGANISMES</v>
          </cell>
          <cell r="F931" t="str">
            <v>Autres achats et charges externes</v>
          </cell>
          <cell r="G931" t="str">
            <v>RESULTAT OPERATIONNEL COURANT</v>
          </cell>
        </row>
        <row r="932">
          <cell r="B932" t="str">
            <v>613148</v>
          </cell>
          <cell r="C932" t="str">
            <v>ASSUR. RC EXPLOIT.</v>
          </cell>
          <cell r="D932" t="str">
            <v>616100</v>
          </cell>
          <cell r="E932" t="str">
            <v>PRIMES D'ASSURANCE - AUTRES ORGANISMES</v>
          </cell>
          <cell r="F932" t="str">
            <v>Autres achats et charges externes</v>
          </cell>
          <cell r="G932" t="str">
            <v>RESULTAT OPERATIONNEL COURANT</v>
          </cell>
        </row>
        <row r="933">
          <cell r="B933" t="str">
            <v>613150</v>
          </cell>
          <cell r="C933" t="str">
            <v>ASSUR. DIVERSES</v>
          </cell>
          <cell r="D933" t="str">
            <v>616100</v>
          </cell>
          <cell r="E933" t="str">
            <v>PRIMES D'ASSURANCE - AUTRES ORGANISMES</v>
          </cell>
          <cell r="F933" t="str">
            <v>Autres achats et charges externes</v>
          </cell>
          <cell r="G933" t="str">
            <v>RESULTAT OPERATIONNEL COURANT</v>
          </cell>
        </row>
        <row r="934">
          <cell r="B934" t="str">
            <v>613209</v>
          </cell>
          <cell r="C934" t="str">
            <v>HONORAIRES TICKETS RESTOS</v>
          </cell>
          <cell r="D934" t="str">
            <v>622100</v>
          </cell>
          <cell r="E934" t="str">
            <v xml:space="preserve">AUTRES HONORAIRES                      </v>
          </cell>
          <cell r="F934" t="str">
            <v>Autres achats et charges externes</v>
          </cell>
          <cell r="G934" t="str">
            <v>RESULTAT OPERATIONNEL COURANT</v>
          </cell>
        </row>
        <row r="935">
          <cell r="B935" t="str">
            <v>613210</v>
          </cell>
          <cell r="C935" t="str">
            <v>Honoraires Avocats/Huissiers</v>
          </cell>
          <cell r="D935" t="str">
            <v>622100</v>
          </cell>
          <cell r="E935" t="str">
            <v xml:space="preserve">AUTRES HONORAIRES                      </v>
          </cell>
          <cell r="F935" t="str">
            <v>Autres achats et charges externes</v>
          </cell>
          <cell r="G935" t="str">
            <v>RESULTAT OPERATIONNEL COURANT</v>
          </cell>
        </row>
        <row r="936">
          <cell r="B936" t="str">
            <v>613211</v>
          </cell>
          <cell r="C936" t="str">
            <v>HONORAIRES NOTAIRES</v>
          </cell>
          <cell r="D936" t="str">
            <v>622100</v>
          </cell>
          <cell r="E936" t="str">
            <v xml:space="preserve">AUTRES HONORAIRES                      </v>
          </cell>
          <cell r="F936" t="str">
            <v>Autres achats et charges externes</v>
          </cell>
          <cell r="G936" t="str">
            <v>RESULTAT OPERATIONNEL COURANT</v>
          </cell>
        </row>
        <row r="937">
          <cell r="B937" t="str">
            <v>613212</v>
          </cell>
          <cell r="C937" t="str">
            <v>HONORAIRES ARCHITECTES</v>
          </cell>
          <cell r="D937" t="str">
            <v>622100</v>
          </cell>
          <cell r="E937" t="str">
            <v xml:space="preserve">AUTRES HONORAIRES                      </v>
          </cell>
          <cell r="F937" t="str">
            <v>Autres achats et charges externes</v>
          </cell>
          <cell r="G937" t="str">
            <v>RESULTAT OPERATIONNEL COURANT</v>
          </cell>
        </row>
        <row r="938">
          <cell r="B938" t="str">
            <v>613213</v>
          </cell>
          <cell r="C938" t="str">
            <v>HONORAIRES COMPTABLES</v>
          </cell>
          <cell r="D938" t="str">
            <v>622100</v>
          </cell>
          <cell r="E938" t="str">
            <v xml:space="preserve">AUTRES HONORAIRES                      </v>
          </cell>
          <cell r="F938" t="str">
            <v>Autres achats et charges externes</v>
          </cell>
          <cell r="G938" t="str">
            <v>RESULTAT OPERATIONNEL COURANT</v>
          </cell>
        </row>
        <row r="939">
          <cell r="B939" t="str">
            <v>613214</v>
          </cell>
          <cell r="C939" t="str">
            <v>HONORAIRES REVISEURS</v>
          </cell>
          <cell r="D939" t="str">
            <v>622100</v>
          </cell>
          <cell r="E939" t="str">
            <v xml:space="preserve">AUTRES HONORAIRES                      </v>
          </cell>
          <cell r="F939" t="str">
            <v>Autres achats et charges externes</v>
          </cell>
          <cell r="G939" t="str">
            <v>RESULTAT OPERATIONNEL COURANT</v>
          </cell>
        </row>
        <row r="940">
          <cell r="B940" t="str">
            <v>613215</v>
          </cell>
          <cell r="C940" t="str">
            <v>HONORAIRES EXPERTS</v>
          </cell>
          <cell r="D940" t="str">
            <v>622100</v>
          </cell>
          <cell r="E940" t="str">
            <v xml:space="preserve">AUTRES HONORAIRES                      </v>
          </cell>
          <cell r="F940" t="str">
            <v>Autres achats et charges externes</v>
          </cell>
          <cell r="G940" t="str">
            <v>RESULTAT OPERATIONNEL COURANT</v>
          </cell>
        </row>
        <row r="941">
          <cell r="B941" t="str">
            <v>613216</v>
          </cell>
          <cell r="C941" t="str">
            <v>HONORAIRES MEDECIN COORDINAT.</v>
          </cell>
          <cell r="D941" t="str">
            <v>622100</v>
          </cell>
          <cell r="E941" t="str">
            <v xml:space="preserve">AUTRES HONORAIRES                      </v>
          </cell>
          <cell r="F941" t="str">
            <v>Autres achats et charges externes</v>
          </cell>
          <cell r="G941" t="str">
            <v>RESULTAT OPERATIONNEL COURANT</v>
          </cell>
        </row>
        <row r="942">
          <cell r="B942" t="str">
            <v>613217</v>
          </cell>
          <cell r="C942" t="str">
            <v>HONORAIRES DIVERS</v>
          </cell>
          <cell r="D942" t="str">
            <v>622100</v>
          </cell>
          <cell r="E942" t="str">
            <v xml:space="preserve">AUTRES HONORAIRES                      </v>
          </cell>
          <cell r="F942" t="str">
            <v>Autres achats et charges externes</v>
          </cell>
          <cell r="G942" t="str">
            <v>RESULTAT OPERATIONNEL COURANT</v>
          </cell>
        </row>
        <row r="943">
          <cell r="B943" t="str">
            <v>613218</v>
          </cell>
          <cell r="C943" t="str">
            <v>Honoraires Secrétariat Social</v>
          </cell>
          <cell r="D943" t="str">
            <v>622100</v>
          </cell>
          <cell r="E943" t="str">
            <v xml:space="preserve">AUTRES HONORAIRES                      </v>
          </cell>
          <cell r="F943" t="str">
            <v>Autres achats et charges externes</v>
          </cell>
          <cell r="G943" t="str">
            <v>RESULTAT OPERATIONNEL COURANT</v>
          </cell>
        </row>
        <row r="944">
          <cell r="B944" t="str">
            <v>613219</v>
          </cell>
          <cell r="C944" t="str">
            <v>PRESTATIONS INFORMATIQUES</v>
          </cell>
          <cell r="D944" t="str">
            <v>622100</v>
          </cell>
          <cell r="E944" t="str">
            <v xml:space="preserve">AUTRES HONORAIRES                      </v>
          </cell>
          <cell r="F944" t="str">
            <v>Autres achats et charges externes</v>
          </cell>
          <cell r="G944" t="str">
            <v>RESULTAT OPERATIONNEL COURANT</v>
          </cell>
        </row>
        <row r="945">
          <cell r="B945" t="str">
            <v>613220</v>
          </cell>
          <cell r="C945" t="str">
            <v>PRESTATION DIVERSES</v>
          </cell>
          <cell r="D945" t="str">
            <v>622100</v>
          </cell>
          <cell r="E945" t="str">
            <v xml:space="preserve">AUTRES HONORAIRES                      </v>
          </cell>
          <cell r="F945" t="str">
            <v>Autres achats et charges externes</v>
          </cell>
          <cell r="G945" t="str">
            <v>RESULTAT OPERATIONNEL COURANT</v>
          </cell>
        </row>
        <row r="946">
          <cell r="B946" t="str">
            <v>613221</v>
          </cell>
          <cell r="C946" t="str">
            <v>COTISATIONS GROUPEMENT PROF.</v>
          </cell>
          <cell r="D946" t="str">
            <v>622100</v>
          </cell>
          <cell r="E946" t="str">
            <v xml:space="preserve">AUTRES HONORAIRES                      </v>
          </cell>
          <cell r="F946" t="str">
            <v>Autres achats et charges externes</v>
          </cell>
          <cell r="G946" t="str">
            <v>RESULTAT OPERATIONNEL COURANT</v>
          </cell>
        </row>
        <row r="947">
          <cell r="B947" t="str">
            <v>613230</v>
          </cell>
          <cell r="C947" t="str">
            <v>Dons et libéralités</v>
          </cell>
          <cell r="D947" t="str">
            <v>623800</v>
          </cell>
          <cell r="E947" t="str">
            <v>DIVERS (POURBOIRES, DONS, ...)</v>
          </cell>
          <cell r="F947" t="str">
            <v>Autres achats et charges externes</v>
          </cell>
          <cell r="G947" t="str">
            <v>RESULTAT OPERATIONNEL COURANT</v>
          </cell>
        </row>
        <row r="948">
          <cell r="B948" t="str">
            <v>613260</v>
          </cell>
          <cell r="C948" t="str">
            <v>Publicat Légale (Moniteur,BNB)</v>
          </cell>
          <cell r="D948" t="str">
            <v>622700</v>
          </cell>
          <cell r="E948" t="str">
            <v xml:space="preserve">FRAIS D'ACTES ET DE CONTENTIEUX        </v>
          </cell>
          <cell r="F948" t="str">
            <v>Autres achats et charges externes</v>
          </cell>
          <cell r="G948" t="str">
            <v>RESULTAT OPERATIONNEL COURANT</v>
          </cell>
        </row>
        <row r="949">
          <cell r="B949" t="str">
            <v>613301</v>
          </cell>
          <cell r="C949" t="str">
            <v>Remboursement KMS (90%)</v>
          </cell>
          <cell r="D949" t="str">
            <v>625000</v>
          </cell>
          <cell r="E949" t="str">
            <v>DEPLACEMENTS, MISSIONS ET RECEPTIONS</v>
          </cell>
          <cell r="F949" t="str">
            <v>Autres achats et charges externes</v>
          </cell>
          <cell r="G949" t="str">
            <v>RESULTAT OPERATIONNEL COURANT</v>
          </cell>
        </row>
        <row r="950">
          <cell r="B950" t="str">
            <v>613302</v>
          </cell>
          <cell r="C950" t="str">
            <v>Remboursement KMS (80%)</v>
          </cell>
          <cell r="D950" t="str">
            <v>625000</v>
          </cell>
          <cell r="E950" t="str">
            <v>DEPLACEMENTS, MISSIONS ET RECEPTIONS</v>
          </cell>
          <cell r="F950" t="str">
            <v>Autres achats et charges externes</v>
          </cell>
          <cell r="G950" t="str">
            <v>RESULTAT OPERATIONNEL COURANT</v>
          </cell>
        </row>
        <row r="951">
          <cell r="B951" t="str">
            <v>613303</v>
          </cell>
          <cell r="C951" t="str">
            <v>REMBOURSEMENT KMS (75%)</v>
          </cell>
          <cell r="D951" t="str">
            <v>625000</v>
          </cell>
          <cell r="E951" t="str">
            <v>DEPLACEMENTS, MISSIONS ET RECEPTIONS</v>
          </cell>
          <cell r="F951" t="str">
            <v>Autres achats et charges externes</v>
          </cell>
          <cell r="G951" t="str">
            <v>RESULTAT OPERATIONNEL COURANT</v>
          </cell>
        </row>
        <row r="952">
          <cell r="B952" t="str">
            <v>613304</v>
          </cell>
          <cell r="C952" t="str">
            <v>Remboursement KMS (70%)</v>
          </cell>
          <cell r="D952" t="str">
            <v>625000</v>
          </cell>
          <cell r="E952" t="str">
            <v>DEPLACEMENTS, MISSIONS ET RECEPTIONS</v>
          </cell>
          <cell r="F952" t="str">
            <v>Autres achats et charges externes</v>
          </cell>
          <cell r="G952" t="str">
            <v>RESULTAT OPERATIONNEL COURANT</v>
          </cell>
        </row>
        <row r="953">
          <cell r="B953" t="str">
            <v>613305</v>
          </cell>
          <cell r="C953" t="str">
            <v>Remboursement KMS (60%)</v>
          </cell>
          <cell r="D953" t="str">
            <v>625000</v>
          </cell>
          <cell r="E953" t="str">
            <v>DEPLACEMENTS, MISSIONS ET RECEPTIONS</v>
          </cell>
          <cell r="F953" t="str">
            <v>Autres achats et charges externes</v>
          </cell>
          <cell r="G953" t="str">
            <v>RESULTAT OPERATIONNEL COURANT</v>
          </cell>
        </row>
        <row r="954">
          <cell r="B954" t="str">
            <v>613310</v>
          </cell>
          <cell r="C954" t="str">
            <v>Voyage en Belgique (Stib,Sncb)</v>
          </cell>
          <cell r="D954" t="str">
            <v>625000</v>
          </cell>
          <cell r="E954" t="str">
            <v>DEPLACEMENTS, MISSIONS ET RECEPTIONS</v>
          </cell>
          <cell r="F954" t="str">
            <v>Autres achats et charges externes</v>
          </cell>
          <cell r="G954" t="str">
            <v>RESULTAT OPERATIONNEL COURANT</v>
          </cell>
        </row>
        <row r="955">
          <cell r="B955" t="str">
            <v>613311</v>
          </cell>
          <cell r="C955" t="str">
            <v>Voyages à l'étranger</v>
          </cell>
          <cell r="D955" t="str">
            <v>625000</v>
          </cell>
          <cell r="E955" t="str">
            <v>DEPLACEMENTS, MISSIONS ET RECEPTIONS</v>
          </cell>
          <cell r="F955" t="str">
            <v>Autres achats et charges externes</v>
          </cell>
          <cell r="G955" t="str">
            <v>RESULTAT OPERATIONNEL COURANT</v>
          </cell>
        </row>
        <row r="956">
          <cell r="B956" t="str">
            <v>613312</v>
          </cell>
          <cell r="C956" t="str">
            <v>Frais de parking/Taxi (90%)</v>
          </cell>
          <cell r="D956" t="str">
            <v>625000</v>
          </cell>
          <cell r="E956" t="str">
            <v>DEPLACEMENTS, MISSIONS ET RECEPTIONS</v>
          </cell>
          <cell r="F956" t="str">
            <v>Autres achats et charges externes</v>
          </cell>
          <cell r="G956" t="str">
            <v>RESULTAT OPERATIONNEL COURANT</v>
          </cell>
        </row>
        <row r="957">
          <cell r="B957" t="str">
            <v>613313</v>
          </cell>
          <cell r="C957" t="str">
            <v>Frais de parking/Taxi (80%)</v>
          </cell>
          <cell r="D957" t="str">
            <v>625000</v>
          </cell>
          <cell r="E957" t="str">
            <v>DEPLACEMENTS, MISSIONS ET RECEPTIONS</v>
          </cell>
          <cell r="F957" t="str">
            <v>Autres achats et charges externes</v>
          </cell>
          <cell r="G957" t="str">
            <v>RESULTAT OPERATIONNEL COURANT</v>
          </cell>
        </row>
        <row r="958">
          <cell r="B958" t="str">
            <v>613314</v>
          </cell>
          <cell r="C958" t="str">
            <v>FRAIS DE PARKING/TAXI (75%)</v>
          </cell>
          <cell r="D958" t="str">
            <v>625000</v>
          </cell>
          <cell r="E958" t="str">
            <v>DEPLACEMENTS, MISSIONS ET RECEPTIONS</v>
          </cell>
          <cell r="F958" t="str">
            <v>Autres achats et charges externes</v>
          </cell>
          <cell r="G958" t="str">
            <v>RESULTAT OPERATIONNEL COURANT</v>
          </cell>
        </row>
        <row r="959">
          <cell r="B959" t="str">
            <v>613315</v>
          </cell>
          <cell r="C959" t="str">
            <v>Frais de parking/Taxi (70%)</v>
          </cell>
          <cell r="D959" t="str">
            <v>625000</v>
          </cell>
          <cell r="E959" t="str">
            <v>DEPLACEMENTS, MISSIONS ET RECEPTIONS</v>
          </cell>
          <cell r="F959" t="str">
            <v>Autres achats et charges externes</v>
          </cell>
          <cell r="G959" t="str">
            <v>RESULTAT OPERATIONNEL COURANT</v>
          </cell>
        </row>
        <row r="960">
          <cell r="B960" t="str">
            <v>613316</v>
          </cell>
          <cell r="C960" t="str">
            <v>Frais de parking/Taxi (60%)</v>
          </cell>
          <cell r="D960" t="str">
            <v>625000</v>
          </cell>
          <cell r="E960" t="str">
            <v>DEPLACEMENTS, MISSIONS ET RECEPTIONS</v>
          </cell>
          <cell r="F960" t="str">
            <v>Autres achats et charges externes</v>
          </cell>
          <cell r="G960" t="str">
            <v>RESULTAT OPERATIONNEL COURANT</v>
          </cell>
        </row>
        <row r="961">
          <cell r="B961" t="str">
            <v>613320</v>
          </cell>
          <cell r="C961" t="str">
            <v>COURRIER EXPRESS</v>
          </cell>
          <cell r="D961" t="str">
            <v>626500</v>
          </cell>
          <cell r="E961" t="str">
            <v xml:space="preserve">FRAIS POSTAUX                          </v>
          </cell>
          <cell r="F961" t="str">
            <v>Autres achats et charges externes</v>
          </cell>
          <cell r="G961" t="str">
            <v>RESULTAT OPERATIONNEL COURANT</v>
          </cell>
        </row>
        <row r="962">
          <cell r="B962" t="str">
            <v>614000</v>
          </cell>
          <cell r="C962" t="str">
            <v>Insert° pub. - Recrutement</v>
          </cell>
          <cell r="D962" t="str">
            <v>623100</v>
          </cell>
          <cell r="E962" t="str">
            <v>ANNONCES ET INSERTIONS PUBLICITAIRES</v>
          </cell>
          <cell r="F962" t="str">
            <v>Autres achats et charges externes</v>
          </cell>
          <cell r="G962" t="str">
            <v>RESULTAT OPERATIONNEL COURANT</v>
          </cell>
        </row>
        <row r="963">
          <cell r="B963" t="str">
            <v>614100</v>
          </cell>
          <cell r="C963" t="str">
            <v>Frais de Mailing/Brochures</v>
          </cell>
          <cell r="D963" t="str">
            <v>623100</v>
          </cell>
          <cell r="E963" t="str">
            <v>ANNONCES ET INSERTIONS PUBLICITAIRES</v>
          </cell>
          <cell r="F963" t="str">
            <v>Autres achats et charges externes</v>
          </cell>
          <cell r="G963" t="str">
            <v>RESULTAT OPERATIONNEL COURANT</v>
          </cell>
        </row>
        <row r="964">
          <cell r="B964" t="str">
            <v>614500</v>
          </cell>
          <cell r="C964" t="str">
            <v>Cadeaux à la clientèle/fleurs</v>
          </cell>
          <cell r="D964" t="str">
            <v>623400</v>
          </cell>
          <cell r="E964" t="str">
            <v>CADEAUX A LA CLIENTELE</v>
          </cell>
          <cell r="F964" t="str">
            <v>Autres achats et charges externes</v>
          </cell>
          <cell r="G964" t="str">
            <v>RESULTAT OPERATIONNEL COURANT</v>
          </cell>
        </row>
        <row r="965">
          <cell r="B965" t="str">
            <v>614501</v>
          </cell>
          <cell r="C965" t="str">
            <v>Cadeaux personnel/fleurs</v>
          </cell>
          <cell r="D965" t="str">
            <v>623400</v>
          </cell>
          <cell r="E965" t="str">
            <v>CADEAUX A LA CLIENTELE</v>
          </cell>
          <cell r="F965" t="str">
            <v>Autres achats et charges externes</v>
          </cell>
          <cell r="G965" t="str">
            <v>RESULTAT OPERATIONNEL COURANT</v>
          </cell>
        </row>
        <row r="966">
          <cell r="B966" t="str">
            <v>614600</v>
          </cell>
          <cell r="C966" t="str">
            <v>Restaurant Belgique/Etranger</v>
          </cell>
          <cell r="D966" t="str">
            <v>625000</v>
          </cell>
          <cell r="E966" t="str">
            <v>DEPLACEMENTS, MISSIONS ET RECEPTIONS</v>
          </cell>
          <cell r="F966" t="str">
            <v>Autres achats et charges externes</v>
          </cell>
          <cell r="G966" t="str">
            <v>RESULTAT OPERATIONNEL COURANT</v>
          </cell>
        </row>
        <row r="967">
          <cell r="B967" t="str">
            <v>614601</v>
          </cell>
          <cell r="C967" t="str">
            <v>Représentat° en  Belgique</v>
          </cell>
          <cell r="D967" t="str">
            <v>625000</v>
          </cell>
          <cell r="E967" t="str">
            <v>DEPLACEMENTS, MISSIONS ET RECEPTIONS</v>
          </cell>
          <cell r="F967" t="str">
            <v>Autres achats et charges externes</v>
          </cell>
          <cell r="G967" t="str">
            <v>RESULTAT OPERATIONNEL COURANT</v>
          </cell>
        </row>
        <row r="968">
          <cell r="B968" t="str">
            <v>614602</v>
          </cell>
          <cell r="C968" t="str">
            <v>Repr. à l'Etranger - Hôtels</v>
          </cell>
          <cell r="D968" t="str">
            <v>625000</v>
          </cell>
          <cell r="E968" t="str">
            <v>DEPLACEMENTS, MISSIONS ET RECEPTIONS</v>
          </cell>
          <cell r="F968" t="str">
            <v>Autres achats et charges externes</v>
          </cell>
          <cell r="G968" t="str">
            <v>RESULTAT OPERATIONNEL COURANT</v>
          </cell>
        </row>
        <row r="969">
          <cell r="B969" t="str">
            <v>614603</v>
          </cell>
          <cell r="C969" t="str">
            <v>Frais de réception</v>
          </cell>
          <cell r="D969" t="str">
            <v>623100</v>
          </cell>
          <cell r="E969" t="str">
            <v>ANNONCES ET INSERTIONS PUBLICITAIRES</v>
          </cell>
          <cell r="F969" t="str">
            <v>Autres achats et charges externes</v>
          </cell>
          <cell r="G969" t="str">
            <v>RESULTAT OPERATIONNEL COURANT</v>
          </cell>
        </row>
        <row r="970">
          <cell r="B970" t="str">
            <v>614604</v>
          </cell>
          <cell r="C970" t="str">
            <v>Portes ouvertes</v>
          </cell>
          <cell r="D970" t="str">
            <v>623100</v>
          </cell>
          <cell r="E970" t="str">
            <v>ANNONCES ET INSERTIONS PUBLICITAIRES</v>
          </cell>
          <cell r="F970" t="str">
            <v>Autres achats et charges externes</v>
          </cell>
          <cell r="G970" t="str">
            <v>RESULTAT OPERATIONNEL COURANT</v>
          </cell>
        </row>
        <row r="971">
          <cell r="B971" t="str">
            <v>614605</v>
          </cell>
          <cell r="C971" t="str">
            <v>Charges Années Précédentes</v>
          </cell>
          <cell r="D971" t="str">
            <v>658000</v>
          </cell>
          <cell r="E971" t="str">
            <v>CHARGES DIVERSES DE GESTION COURANTE</v>
          </cell>
          <cell r="F971" t="str">
            <v xml:space="preserve">Autres Charges </v>
          </cell>
          <cell r="G971" t="str">
            <v>RESULTAT OPERATIONNEL COURANT</v>
          </cell>
        </row>
        <row r="972">
          <cell r="B972" t="str">
            <v>617000</v>
          </cell>
          <cell r="C972" t="str">
            <v>Intérimaires</v>
          </cell>
          <cell r="D972" t="str">
            <v>621000</v>
          </cell>
          <cell r="E972" t="str">
            <v>PERSONNEL EXTERIEUR - INTERIMAIRES</v>
          </cell>
          <cell r="F972" t="str">
            <v>Autres achats et charges externes</v>
          </cell>
          <cell r="G972" t="str">
            <v>RESULTAT OPERATIONNEL COURANT</v>
          </cell>
        </row>
        <row r="973">
          <cell r="B973" t="str">
            <v>617100</v>
          </cell>
          <cell r="C973" t="str">
            <v>Intérimaires Employés</v>
          </cell>
          <cell r="D973" t="str">
            <v>621000</v>
          </cell>
          <cell r="E973" t="str">
            <v>PERSONNEL EXTERIEUR - INTERIMAIRES</v>
          </cell>
          <cell r="F973" t="str">
            <v>Autres achats et charges externes</v>
          </cell>
          <cell r="G973" t="str">
            <v>RESULTAT OPERATIONNEL COURANT</v>
          </cell>
        </row>
        <row r="974">
          <cell r="B974" t="str">
            <v>617101</v>
          </cell>
          <cell r="C974" t="str">
            <v>Intérimaires Soignant A1</v>
          </cell>
          <cell r="D974" t="str">
            <v>621140</v>
          </cell>
          <cell r="E974" t="str">
            <v>INTERIMAIRES - INFIRMIERES</v>
          </cell>
          <cell r="F974" t="str">
            <v>Autres achats et charges externes</v>
          </cell>
          <cell r="G974" t="str">
            <v>RESULTAT OPERATIONNEL COURANT</v>
          </cell>
        </row>
        <row r="975">
          <cell r="B975" t="str">
            <v>617102</v>
          </cell>
          <cell r="C975" t="str">
            <v>Intérimaires Soignant A2</v>
          </cell>
          <cell r="D975" t="str">
            <v>621140</v>
          </cell>
          <cell r="E975" t="str">
            <v>INTERIMAIRES - INFIRMIERES</v>
          </cell>
          <cell r="F975" t="str">
            <v>Autres achats et charges externes</v>
          </cell>
          <cell r="G975" t="str">
            <v>RESULTAT OPERATIONNEL COURANT</v>
          </cell>
        </row>
        <row r="976">
          <cell r="B976" t="str">
            <v>617103</v>
          </cell>
          <cell r="C976" t="str">
            <v>Intérimaires Aide Soignant</v>
          </cell>
          <cell r="D976" t="str">
            <v>621120</v>
          </cell>
          <cell r="E976" t="str">
            <v>INTERIMAIRES - AS AMP</v>
          </cell>
          <cell r="F976" t="str">
            <v>Autres achats et charges externes</v>
          </cell>
          <cell r="G976" t="str">
            <v>RESULTAT OPERATIONNEL COURANT</v>
          </cell>
        </row>
        <row r="977">
          <cell r="B977" t="str">
            <v>618000</v>
          </cell>
          <cell r="C977" t="str">
            <v>EMOLUMENTS</v>
          </cell>
          <cell r="D977" t="str">
            <v>628000</v>
          </cell>
          <cell r="E977" t="str">
            <v>FRAIS DE SIEGE</v>
          </cell>
          <cell r="F977" t="str">
            <v>Autres achats et charges externes</v>
          </cell>
          <cell r="G977" t="str">
            <v>RESULTAT OPERATIONNEL COURANT</v>
          </cell>
        </row>
        <row r="978">
          <cell r="B978" t="str">
            <v>618003</v>
          </cell>
          <cell r="C978" t="str">
            <v>Rémunération Administrateur</v>
          </cell>
          <cell r="D978" t="str">
            <v>628000</v>
          </cell>
          <cell r="E978" t="str">
            <v>FRAIS DE SIEGE</v>
          </cell>
          <cell r="F978" t="str">
            <v>Autres achats et charges externes</v>
          </cell>
          <cell r="G978" t="str">
            <v>RESULTAT OPERATIONNEL COURANT</v>
          </cell>
        </row>
        <row r="979">
          <cell r="B979" t="str">
            <v>618004</v>
          </cell>
          <cell r="C979" t="str">
            <v>Rémunération Administrateur</v>
          </cell>
          <cell r="D979" t="str">
            <v>628000</v>
          </cell>
          <cell r="E979" t="str">
            <v>FRAIS DE SIEGE</v>
          </cell>
          <cell r="F979" t="str">
            <v>Autres achats et charges externes</v>
          </cell>
          <cell r="G979" t="str">
            <v>RESULTAT OPERATIONNEL COURANT</v>
          </cell>
        </row>
        <row r="980">
          <cell r="B980" t="str">
            <v>618400</v>
          </cell>
          <cell r="C980" t="str">
            <v>ASSURANCE DIRIGEANT</v>
          </cell>
          <cell r="D980" t="str">
            <v>648200</v>
          </cell>
          <cell r="E980" t="str">
            <v>REGULARISAT° ORGANISMES SOCIAUX (D&amp;C)</v>
          </cell>
          <cell r="F980" t="str">
            <v>Charges sociales</v>
          </cell>
          <cell r="G980" t="str">
            <v>RESULTAT OPERATIONNEL COURANT</v>
          </cell>
        </row>
        <row r="981">
          <cell r="B981" t="str">
            <v>620100</v>
          </cell>
          <cell r="C981" t="str">
            <v>Rémun. Direction</v>
          </cell>
          <cell r="D981" t="str">
            <v>641000</v>
          </cell>
          <cell r="E981" t="str">
            <v>REMUNERATION DU PERSONNEL</v>
          </cell>
          <cell r="F981" t="str">
            <v>Salaires et Traitements</v>
          </cell>
          <cell r="G981" t="str">
            <v>RESULTAT OPERATIONNEL COURANT</v>
          </cell>
        </row>
        <row r="982">
          <cell r="B982" t="str">
            <v>620200</v>
          </cell>
          <cell r="C982" t="str">
            <v>Rémun. Employés</v>
          </cell>
          <cell r="D982" t="str">
            <v>641000</v>
          </cell>
          <cell r="E982" t="str">
            <v>REMUNERATION DU PERSONNEL</v>
          </cell>
          <cell r="F982" t="str">
            <v>Salaires et Traitements</v>
          </cell>
          <cell r="G982" t="str">
            <v>RESULTAT OPERATIONNEL COURANT</v>
          </cell>
        </row>
        <row r="983">
          <cell r="B983" t="str">
            <v>620220</v>
          </cell>
          <cell r="C983" t="str">
            <v>Rémun. Ouvriers</v>
          </cell>
          <cell r="D983" t="str">
            <v>641000</v>
          </cell>
          <cell r="E983" t="str">
            <v>REMUNERATION DU PERSONNEL</v>
          </cell>
          <cell r="F983" t="str">
            <v>Salaires et Traitements</v>
          </cell>
          <cell r="G983" t="str">
            <v>RESULTAT OPERATIONNEL COURANT</v>
          </cell>
        </row>
        <row r="984">
          <cell r="B984" t="str">
            <v>620300</v>
          </cell>
          <cell r="C984" t="str">
            <v>Rémun. Ouvriers</v>
          </cell>
          <cell r="D984" t="str">
            <v>641000</v>
          </cell>
          <cell r="E984" t="str">
            <v>REMUNERATION DU PERSONNEL</v>
          </cell>
          <cell r="F984" t="str">
            <v>Salaires et Traitements</v>
          </cell>
          <cell r="G984" t="str">
            <v>RESULTAT OPERATIONNEL COURANT</v>
          </cell>
        </row>
        <row r="985">
          <cell r="B985" t="str">
            <v>620301</v>
          </cell>
          <cell r="C985" t="str">
            <v>Rém. Autre (non NOP)</v>
          </cell>
          <cell r="D985" t="str">
            <v>641000</v>
          </cell>
          <cell r="E985" t="str">
            <v>REMUNERATION DU PERSONNEL</v>
          </cell>
          <cell r="F985" t="str">
            <v>Salaires et Traitements</v>
          </cell>
          <cell r="G985" t="str">
            <v>RESULTAT OPERATIONNEL COURANT</v>
          </cell>
        </row>
        <row r="986">
          <cell r="B986" t="str">
            <v>620330</v>
          </cell>
          <cell r="C986" t="str">
            <v>Coût du Personnel "Out"</v>
          </cell>
          <cell r="D986" t="str">
            <v>641000</v>
          </cell>
          <cell r="E986" t="str">
            <v>REMUNERATION DU PERSONNEL</v>
          </cell>
          <cell r="F986" t="str">
            <v>Salaires et Traitements</v>
          </cell>
          <cell r="G986" t="str">
            <v>RESULTAT OPERATIONNEL COURANT</v>
          </cell>
        </row>
        <row r="987">
          <cell r="B987" t="str">
            <v>620400</v>
          </cell>
          <cell r="C987" t="str">
            <v>Rémun. Etudiants</v>
          </cell>
          <cell r="D987" t="str">
            <v>641000</v>
          </cell>
          <cell r="E987" t="str">
            <v>REMUNERATION DU PERSONNEL</v>
          </cell>
          <cell r="F987" t="str">
            <v>Salaires et Traitements</v>
          </cell>
          <cell r="G987" t="str">
            <v>RESULTAT OPERATIONNEL COURANT</v>
          </cell>
        </row>
        <row r="988">
          <cell r="B988" t="str">
            <v>620500</v>
          </cell>
          <cell r="C988" t="str">
            <v>Heures supp à récupérer</v>
          </cell>
          <cell r="D988" t="str">
            <v>641000</v>
          </cell>
          <cell r="E988" t="str">
            <v>REMUNERATION DU PERSONNEL</v>
          </cell>
          <cell r="F988" t="str">
            <v>Salaires et Traitements</v>
          </cell>
          <cell r="G988" t="str">
            <v>RESULTAT OPERATIONNEL COURANT</v>
          </cell>
        </row>
        <row r="989">
          <cell r="B989" t="str">
            <v>620600</v>
          </cell>
          <cell r="C989" t="str">
            <v>Rémunération autre</v>
          </cell>
          <cell r="D989" t="str">
            <v>641000</v>
          </cell>
          <cell r="E989" t="str">
            <v>REMUNERATION DU PERSONNEL</v>
          </cell>
          <cell r="F989" t="str">
            <v>Salaires et Traitements</v>
          </cell>
          <cell r="G989" t="str">
            <v>RESULTAT OPERATIONNEL COURANT</v>
          </cell>
        </row>
        <row r="990">
          <cell r="B990" t="str">
            <v>621100</v>
          </cell>
          <cell r="C990" t="str">
            <v>ONSS - DIRECTION</v>
          </cell>
          <cell r="D990" t="str">
            <v>645100</v>
          </cell>
          <cell r="E990" t="str">
            <v>URSSAF</v>
          </cell>
          <cell r="F990" t="str">
            <v>Charges sociales</v>
          </cell>
          <cell r="G990" t="str">
            <v>RESULTAT OPERATIONNEL COURANT</v>
          </cell>
        </row>
        <row r="991">
          <cell r="B991" t="str">
            <v>621200</v>
          </cell>
          <cell r="C991" t="str">
            <v>ONSS - Employés</v>
          </cell>
          <cell r="D991" t="str">
            <v>645100</v>
          </cell>
          <cell r="E991" t="str">
            <v>URSSAF</v>
          </cell>
          <cell r="F991" t="str">
            <v>Charges sociales</v>
          </cell>
          <cell r="G991" t="str">
            <v>RESULTAT OPERATIONNEL COURANT</v>
          </cell>
        </row>
        <row r="992">
          <cell r="B992" t="str">
            <v>621300</v>
          </cell>
          <cell r="C992" t="str">
            <v>ONSS - OUVRIERS</v>
          </cell>
          <cell r="D992" t="str">
            <v>645100</v>
          </cell>
          <cell r="E992" t="str">
            <v>URSSAF</v>
          </cell>
          <cell r="F992" t="str">
            <v>Charges sociales</v>
          </cell>
          <cell r="G992" t="str">
            <v>RESULTAT OPERATIONNEL COURANT</v>
          </cell>
        </row>
        <row r="993">
          <cell r="B993" t="str">
            <v>621400</v>
          </cell>
          <cell r="C993" t="str">
            <v>ONSS - ETUDIANTS</v>
          </cell>
          <cell r="D993" t="str">
            <v>645100</v>
          </cell>
          <cell r="E993" t="str">
            <v>URSSAF</v>
          </cell>
          <cell r="F993" t="str">
            <v>Charges sociales</v>
          </cell>
          <cell r="G993" t="str">
            <v>RESULTAT OPERATIONNEL COURANT</v>
          </cell>
        </row>
        <row r="994">
          <cell r="B994" t="str">
            <v>621500</v>
          </cell>
          <cell r="C994" t="str">
            <v>Régularisat° ONSS/PP Exer Préc</v>
          </cell>
          <cell r="D994" t="str">
            <v>645100</v>
          </cell>
          <cell r="E994" t="str">
            <v>URSSAF</v>
          </cell>
          <cell r="F994" t="str">
            <v>Charges sociales</v>
          </cell>
          <cell r="G994" t="str">
            <v>RESULTAT OPERATIONNEL COURANT</v>
          </cell>
        </row>
        <row r="995">
          <cell r="B995" t="str">
            <v>621600</v>
          </cell>
          <cell r="C995" t="str">
            <v>Réduc structurelle/Avis rectif</v>
          </cell>
          <cell r="D995" t="str">
            <v>645100</v>
          </cell>
          <cell r="E995" t="str">
            <v>URSSAF</v>
          </cell>
          <cell r="F995" t="str">
            <v>Charges sociales</v>
          </cell>
          <cell r="G995" t="str">
            <v>RESULTAT OPERATIONNEL COURANT</v>
          </cell>
        </row>
        <row r="996">
          <cell r="B996" t="str">
            <v>621700</v>
          </cell>
          <cell r="C996" t="str">
            <v>Exonération PP</v>
          </cell>
          <cell r="D996" t="str">
            <v>645100</v>
          </cell>
          <cell r="E996" t="str">
            <v>URSSAF</v>
          </cell>
          <cell r="F996" t="str">
            <v>Charges sociales</v>
          </cell>
          <cell r="G996" t="str">
            <v>RESULTAT OPERATIONNEL COURANT</v>
          </cell>
        </row>
        <row r="997">
          <cell r="B997" t="str">
            <v>622000</v>
          </cell>
          <cell r="C997" t="str">
            <v>ASSUR. GROUPE</v>
          </cell>
          <cell r="D997" t="str">
            <v>645210</v>
          </cell>
          <cell r="E997" t="str">
            <v xml:space="preserve">MUT. FAMILIALE PREV                    </v>
          </cell>
          <cell r="F997" t="str">
            <v>Charges sociales</v>
          </cell>
          <cell r="G997" t="str">
            <v>RESULTAT OPERATIONNEL COURANT</v>
          </cell>
        </row>
        <row r="998">
          <cell r="B998" t="str">
            <v>622100</v>
          </cell>
          <cell r="C998" t="str">
            <v>Assur. Hospitalisation</v>
          </cell>
          <cell r="D998" t="str">
            <v>645210</v>
          </cell>
          <cell r="E998" t="str">
            <v xml:space="preserve">MUT. FAMILIALE PREV                    </v>
          </cell>
          <cell r="F998" t="str">
            <v>Charges sociales</v>
          </cell>
          <cell r="G998" t="str">
            <v>RESULTAT OPERATIONNEL COURANT</v>
          </cell>
        </row>
        <row r="999">
          <cell r="B999" t="str">
            <v>622200</v>
          </cell>
          <cell r="C999" t="str">
            <v>ABONNEMENT SOCIAL</v>
          </cell>
          <cell r="D999" t="str">
            <v>641400</v>
          </cell>
          <cell r="E999" t="str">
            <v>INDEMNITES DIVERSES</v>
          </cell>
          <cell r="F999" t="str">
            <v>Salaires et Traitements</v>
          </cell>
          <cell r="G999" t="str">
            <v>RESULTAT OPERATIONNEL COURANT</v>
          </cell>
        </row>
        <row r="1000">
          <cell r="B1000" t="str">
            <v>622201</v>
          </cell>
          <cell r="C1000" t="str">
            <v>chèques repas/chèques Eco</v>
          </cell>
          <cell r="D1000" t="str">
            <v>641400</v>
          </cell>
          <cell r="E1000" t="str">
            <v>INDEMNITES DIVERSES</v>
          </cell>
          <cell r="F1000" t="str">
            <v>Salaires et Traitements</v>
          </cell>
          <cell r="G1000" t="str">
            <v>RESULTAT OPERATIONNEL COURANT</v>
          </cell>
        </row>
        <row r="1001">
          <cell r="B1001" t="str">
            <v>622202</v>
          </cell>
          <cell r="C1001" t="str">
            <v>Intervent° déplac. Home/Trava</v>
          </cell>
          <cell r="D1001" t="str">
            <v>641400</v>
          </cell>
          <cell r="E1001" t="str">
            <v>INDEMNITES DIVERSES</v>
          </cell>
          <cell r="F1001" t="str">
            <v>Salaires et Traitements</v>
          </cell>
          <cell r="G1001" t="str">
            <v>RESULTAT OPERATIONNEL COURANT</v>
          </cell>
        </row>
        <row r="1002">
          <cell r="B1002" t="str">
            <v>622203</v>
          </cell>
          <cell r="C1002" t="str">
            <v>Frais propres à l'employeur</v>
          </cell>
          <cell r="D1002" t="str">
            <v>648000</v>
          </cell>
          <cell r="E1002" t="str">
            <v>AUTRES CHARGES DE PERSONNEL (CADEAU, ¿)</v>
          </cell>
          <cell r="F1002" t="str">
            <v>Charges sociales</v>
          </cell>
          <cell r="G1002" t="str">
            <v>RESULTAT OPERATIONNEL COURANT</v>
          </cell>
        </row>
        <row r="1003">
          <cell r="B1003" t="str">
            <v>623000</v>
          </cell>
          <cell r="C1003" t="str">
            <v>ASSURANCE LOI</v>
          </cell>
          <cell r="D1003" t="str">
            <v>647000</v>
          </cell>
          <cell r="E1003" t="str">
            <v xml:space="preserve">AUTRES CHARGES SOCIALES                </v>
          </cell>
          <cell r="F1003" t="str">
            <v>Charges sociales</v>
          </cell>
          <cell r="G1003" t="str">
            <v>RESULTAT OPERATIONNEL COURANT</v>
          </cell>
        </row>
        <row r="1004">
          <cell r="B1004" t="str">
            <v>623011</v>
          </cell>
          <cell r="C1004" t="str">
            <v xml:space="preserve"> </v>
          </cell>
          <cell r="D1004" t="str">
            <v>647000</v>
          </cell>
          <cell r="E1004" t="str">
            <v xml:space="preserve">AUTRES CHARGES SOCIALES                </v>
          </cell>
          <cell r="F1004" t="str">
            <v>Charges sociales</v>
          </cell>
          <cell r="G1004" t="str">
            <v>RESULTAT OPERATIONNEL COURANT</v>
          </cell>
        </row>
        <row r="1005">
          <cell r="B1005" t="str">
            <v>623100</v>
          </cell>
          <cell r="C1005" t="str">
            <v>Charges sociales années précéd</v>
          </cell>
          <cell r="D1005" t="str">
            <v>623100</v>
          </cell>
          <cell r="E1005" t="str">
            <v>ANNONCES ET INSERTIONS PUBLICITAIRES</v>
          </cell>
          <cell r="F1005" t="str">
            <v>Autres achats et charges externes</v>
          </cell>
          <cell r="G1005" t="str">
            <v>RESULTAT OPERATIONNEL COURANT</v>
          </cell>
        </row>
        <row r="1006">
          <cell r="B1006" t="str">
            <v>623200</v>
          </cell>
          <cell r="C1006" t="str">
            <v>Service Médical</v>
          </cell>
          <cell r="D1006" t="str">
            <v>647501</v>
          </cell>
          <cell r="E1006" t="str">
            <v>MEDECINE DU TRAVAIL</v>
          </cell>
          <cell r="F1006" t="str">
            <v>Charges sociales</v>
          </cell>
          <cell r="G1006" t="str">
            <v>RESULTAT OPERATIONNEL COURANT</v>
          </cell>
        </row>
        <row r="1007">
          <cell r="B1007" t="str">
            <v>623201</v>
          </cell>
          <cell r="C1007" t="str">
            <v>Honoraires Medecin contrôle</v>
          </cell>
          <cell r="D1007" t="str">
            <v>647501</v>
          </cell>
          <cell r="E1007" t="str">
            <v>MEDECINE DU TRAVAIL</v>
          </cell>
          <cell r="F1007" t="str">
            <v>Charges sociales</v>
          </cell>
          <cell r="G1007" t="str">
            <v>RESULTAT OPERATIONNEL COURANT</v>
          </cell>
        </row>
        <row r="1008">
          <cell r="B1008" t="str">
            <v>623300</v>
          </cell>
          <cell r="C1008" t="str">
            <v>Cantine</v>
          </cell>
          <cell r="D1008" t="str">
            <v>641400</v>
          </cell>
          <cell r="E1008" t="str">
            <v>INDEMNITES DIVERSES</v>
          </cell>
          <cell r="F1008" t="str">
            <v>Salaires et Traitements</v>
          </cell>
          <cell r="G1008" t="str">
            <v>RESULTAT OPERATIONNEL COURANT</v>
          </cell>
        </row>
        <row r="1009">
          <cell r="B1009" t="str">
            <v>623400</v>
          </cell>
          <cell r="C1009" t="str">
            <v>Blanchisserie (I)</v>
          </cell>
          <cell r="D1009" t="str">
            <v>611100</v>
          </cell>
          <cell r="E1009" t="str">
            <v xml:space="preserve">PRESTATION BLANCHISSERIE       </v>
          </cell>
          <cell r="F1009" t="str">
            <v>Autres achats et charges externes</v>
          </cell>
          <cell r="G1009" t="str">
            <v>RESULTAT OPERATIONNEL COURANT</v>
          </cell>
        </row>
        <row r="1010">
          <cell r="B1010" t="str">
            <v>623401</v>
          </cell>
          <cell r="C1010" t="str">
            <v>Vêtements de Travail</v>
          </cell>
          <cell r="D1010" t="str">
            <v>606200</v>
          </cell>
          <cell r="E1010" t="str">
            <v xml:space="preserve">VETEMENTS DE TRAVAIL                   </v>
          </cell>
          <cell r="F1010" t="str">
            <v>Autres achats et charges externes</v>
          </cell>
          <cell r="G1010" t="str">
            <v>RESULTAT OPERATIONNEL COURANT</v>
          </cell>
        </row>
        <row r="1011">
          <cell r="B1011" t="str">
            <v>623491</v>
          </cell>
          <cell r="C1011" t="str">
            <v>AUTRES FRAIS DE PERSONNEL</v>
          </cell>
          <cell r="D1011" t="str">
            <v>648200</v>
          </cell>
          <cell r="E1011" t="str">
            <v>REGULARISAT° ORGANISMES SOCIAUX (D&amp;C)</v>
          </cell>
          <cell r="F1011" t="str">
            <v>Charges sociales</v>
          </cell>
          <cell r="G1011" t="str">
            <v>RESULTAT OPERATIONNEL COURANT</v>
          </cell>
        </row>
        <row r="1012">
          <cell r="B1012" t="str">
            <v>623500</v>
          </cell>
          <cell r="C1012" t="str">
            <v>Cours Séminaires Formation</v>
          </cell>
          <cell r="D1012" t="str">
            <v>633300</v>
          </cell>
          <cell r="E1012" t="str">
            <v>FPC - AUTRES ORGM</v>
          </cell>
          <cell r="F1012" t="str">
            <v>Impôts, taxes et versements assimilés</v>
          </cell>
          <cell r="G1012" t="str">
            <v>RESULTAT OPERATIONNEL COURANT</v>
          </cell>
        </row>
        <row r="1013">
          <cell r="B1013" t="str">
            <v>623600</v>
          </cell>
          <cell r="C1013" t="str">
            <v>Fête en faveur du personnel</v>
          </cell>
          <cell r="D1013" t="str">
            <v>648000</v>
          </cell>
          <cell r="E1013" t="str">
            <v>AUTRES CHARGES DE PERSONNEL (CADEAU, ¿)</v>
          </cell>
          <cell r="F1013" t="str">
            <v>Charges sociales</v>
          </cell>
          <cell r="G1013" t="str">
            <v>RESULTAT OPERATIONNEL COURANT</v>
          </cell>
        </row>
        <row r="1014">
          <cell r="B1014" t="str">
            <v>623700</v>
          </cell>
          <cell r="C1014" t="str">
            <v>Dotation Prov. PV Employés</v>
          </cell>
          <cell r="D1014" t="str">
            <v>641000</v>
          </cell>
          <cell r="E1014" t="str">
            <v>REMUNERATION DU PERSONNEL</v>
          </cell>
          <cell r="F1014" t="str">
            <v>Salaires et Traitements</v>
          </cell>
          <cell r="G1014" t="str">
            <v>RESULTAT OPERATIONNEL COURANT</v>
          </cell>
        </row>
        <row r="1015">
          <cell r="B1015" t="str">
            <v>623701</v>
          </cell>
          <cell r="C1015" t="str">
            <v>Extourne Prov. PV Employés</v>
          </cell>
          <cell r="D1015" t="str">
            <v>641000</v>
          </cell>
          <cell r="E1015" t="str">
            <v>REMUNERATION DU PERSONNEL</v>
          </cell>
          <cell r="F1015" t="str">
            <v>Salaires et Traitements</v>
          </cell>
          <cell r="G1015" t="str">
            <v>RESULTAT OPERATIONNEL COURANT</v>
          </cell>
        </row>
        <row r="1016">
          <cell r="B1016" t="str">
            <v>623702</v>
          </cell>
          <cell r="C1016" t="str">
            <v>DOTATION PROV. PV OUVRIERS</v>
          </cell>
          <cell r="D1016" t="str">
            <v>641000</v>
          </cell>
          <cell r="E1016" t="str">
            <v>REMUNERATION DU PERSONNEL</v>
          </cell>
          <cell r="F1016" t="str">
            <v>Salaires et Traitements</v>
          </cell>
          <cell r="G1016" t="str">
            <v>RESULTAT OPERATIONNEL COURANT</v>
          </cell>
        </row>
        <row r="1017">
          <cell r="B1017" t="str">
            <v>623703</v>
          </cell>
          <cell r="C1017" t="str">
            <v>EXTOURNE PROV. PV OUVRIERS</v>
          </cell>
          <cell r="D1017" t="str">
            <v>641000</v>
          </cell>
          <cell r="E1017" t="str">
            <v>REMUNERATION DU PERSONNEL</v>
          </cell>
          <cell r="F1017" t="str">
            <v>Salaires et Traitements</v>
          </cell>
          <cell r="G1017" t="str">
            <v>RESULTAT OPERATIONNEL COURANT</v>
          </cell>
        </row>
        <row r="1018">
          <cell r="B1018" t="str">
            <v>623704</v>
          </cell>
          <cell r="C1018" t="str">
            <v>Dotation Prov.Diverses</v>
          </cell>
          <cell r="D1018" t="str">
            <v>641000</v>
          </cell>
          <cell r="E1018" t="str">
            <v>REMUNERATION DU PERSONNEL</v>
          </cell>
          <cell r="F1018" t="str">
            <v>Salaires et Traitements</v>
          </cell>
          <cell r="G1018" t="str">
            <v>RESULTAT OPERATIONNEL COURANT</v>
          </cell>
        </row>
        <row r="1019">
          <cell r="B1019" t="str">
            <v>623705</v>
          </cell>
          <cell r="C1019" t="str">
            <v>Extourne Prov. Diverses</v>
          </cell>
          <cell r="D1019" t="str">
            <v>641000</v>
          </cell>
          <cell r="E1019" t="str">
            <v>REMUNERATION DU PERSONNEL</v>
          </cell>
          <cell r="F1019" t="str">
            <v>Salaires et Traitements</v>
          </cell>
          <cell r="G1019" t="str">
            <v>RESULTAT OPERATIONNEL COURANT</v>
          </cell>
        </row>
        <row r="1020">
          <cell r="B1020" t="str">
            <v>623800</v>
          </cell>
          <cell r="C1020" t="str">
            <v>Prov. PFA Employés</v>
          </cell>
          <cell r="D1020" t="str">
            <v>641000</v>
          </cell>
          <cell r="E1020" t="str">
            <v>REMUNERATION DU PERSONNEL</v>
          </cell>
          <cell r="F1020" t="str">
            <v>Salaires et Traitements</v>
          </cell>
          <cell r="G1020" t="str">
            <v>RESULTAT OPERATIONNEL COURANT</v>
          </cell>
        </row>
        <row r="1021">
          <cell r="B1021" t="str">
            <v>623801</v>
          </cell>
          <cell r="C1021" t="str">
            <v>PROV. PFA OUVRIERS</v>
          </cell>
          <cell r="D1021" t="str">
            <v>641000</v>
          </cell>
          <cell r="E1021" t="str">
            <v>REMUNERATION DU PERSONNEL</v>
          </cell>
          <cell r="F1021" t="str">
            <v>Salaires et Traitements</v>
          </cell>
          <cell r="G1021" t="str">
            <v>RESULTAT OPERATIONNEL COURANT</v>
          </cell>
        </row>
        <row r="1022">
          <cell r="B1022" t="str">
            <v>623802</v>
          </cell>
          <cell r="C1022" t="str">
            <v>Pécules Vacances E+O</v>
          </cell>
          <cell r="D1022" t="str">
            <v>641000</v>
          </cell>
          <cell r="E1022" t="str">
            <v>REMUNERATION DU PERSONNEL</v>
          </cell>
          <cell r="F1022" t="str">
            <v>Salaires et Traitements</v>
          </cell>
          <cell r="G1022" t="str">
            <v>RESULTAT OPERATIONNEL COURANT</v>
          </cell>
        </row>
        <row r="1023">
          <cell r="B1023" t="str">
            <v>623900</v>
          </cell>
          <cell r="C1023"/>
          <cell r="D1023" t="str">
            <v>641000</v>
          </cell>
          <cell r="E1023"/>
          <cell r="F1023" t="str">
            <v>Salaires et Traitements</v>
          </cell>
          <cell r="G1023" t="str">
            <v>RESULTAT OPERATIONNEL COURANT</v>
          </cell>
        </row>
        <row r="1024">
          <cell r="B1024" t="str">
            <v>630000</v>
          </cell>
          <cell r="C1024" t="str">
            <v>Amort. s/frais d'établissement</v>
          </cell>
          <cell r="D1024" t="str">
            <v>681200</v>
          </cell>
          <cell r="E1024" t="str">
            <v xml:space="preserve">DOT° AMORT. CHG A REPARTIR             </v>
          </cell>
          <cell r="F1024" t="str">
            <v>Dotations aux amortissements immobilisations</v>
          </cell>
          <cell r="G1024" t="str">
            <v>RESULTAT OPERATIONNEL COURANT</v>
          </cell>
        </row>
        <row r="1025">
          <cell r="B1025" t="str">
            <v>630100</v>
          </cell>
          <cell r="C1025" t="str">
            <v>AMORT. S/IMMOB. INCORPORELLES</v>
          </cell>
          <cell r="D1025" t="str">
            <v>681110</v>
          </cell>
          <cell r="E1025" t="str">
            <v>DOT° AMORT. IMMO. INCORPORELLES</v>
          </cell>
          <cell r="F1025" t="str">
            <v>Dotations aux amortissements immobilisations</v>
          </cell>
          <cell r="G1025" t="str">
            <v>RESULTAT OPERATIONNEL COURANT</v>
          </cell>
        </row>
        <row r="1026">
          <cell r="B1026" t="str">
            <v>630200</v>
          </cell>
          <cell r="C1026" t="str">
            <v>AMORT. S/IMMOB. CORPORELLES</v>
          </cell>
          <cell r="D1026" t="str">
            <v>681120</v>
          </cell>
          <cell r="E1026" t="str">
            <v>DOT° AMORT. IMMO. CORPORELLES</v>
          </cell>
          <cell r="F1026" t="str">
            <v>Dotations aux amortissements immobilisations</v>
          </cell>
          <cell r="G1026" t="str">
            <v>RESULTAT OPERATIONNEL COURANT</v>
          </cell>
        </row>
        <row r="1027">
          <cell r="B1027" t="str">
            <v>630202</v>
          </cell>
          <cell r="C1027"/>
          <cell r="D1027"/>
          <cell r="E1027"/>
          <cell r="F1027"/>
          <cell r="G1027"/>
        </row>
        <row r="1028">
          <cell r="B1028" t="str">
            <v>630203</v>
          </cell>
          <cell r="C1028" t="str">
            <v>AMORT. S/VOITURE (75%)</v>
          </cell>
          <cell r="D1028" t="str">
            <v>681120</v>
          </cell>
          <cell r="E1028" t="str">
            <v>DOT° AMORT. IMMO. CORPORELLES</v>
          </cell>
          <cell r="F1028" t="str">
            <v>Dotations aux amortissements immobilisations</v>
          </cell>
          <cell r="G1028" t="str">
            <v>RESULTAT OPERATIONNEL COURANT</v>
          </cell>
        </row>
        <row r="1029">
          <cell r="B1029" t="str">
            <v>630204</v>
          </cell>
          <cell r="C1029" t="str">
            <v>Amort. s/voiture (70%)</v>
          </cell>
          <cell r="D1029" t="str">
            <v>681120</v>
          </cell>
          <cell r="E1029" t="str">
            <v>DOT° AMORT. IMMO. CORPORELLES</v>
          </cell>
          <cell r="F1029" t="str">
            <v>Dotations aux amortissements immobilisations</v>
          </cell>
          <cell r="G1029" t="str">
            <v>RESULTAT OPERATIONNEL COURANT</v>
          </cell>
        </row>
        <row r="1030">
          <cell r="B1030" t="str">
            <v>630205</v>
          </cell>
          <cell r="C1030" t="str">
            <v>Amort. s/voiture (60%)</v>
          </cell>
          <cell r="D1030" t="str">
            <v>681120</v>
          </cell>
          <cell r="E1030" t="str">
            <v>DOT° AMORT. IMMO. CORPORELLES</v>
          </cell>
          <cell r="F1030" t="str">
            <v>Dotations aux amortissements immobilisations</v>
          </cell>
          <cell r="G1030" t="str">
            <v>RESULTAT OPERATIONNEL COURANT</v>
          </cell>
        </row>
        <row r="1031">
          <cell r="B1031" t="str">
            <v>630300</v>
          </cell>
          <cell r="C1031" t="str">
            <v>PROVISION D'AMORTISSEMENT</v>
          </cell>
          <cell r="D1031" t="str">
            <v>681120</v>
          </cell>
          <cell r="E1031" t="str">
            <v>DOT° AMORT. IMMO. CORPORELLES</v>
          </cell>
          <cell r="F1031" t="str">
            <v>Dotations aux amortissements immobilisations</v>
          </cell>
          <cell r="G1031" t="str">
            <v>RESULTAT OPERATIONNEL COURANT</v>
          </cell>
        </row>
        <row r="1032">
          <cell r="B1032" t="str">
            <v>630400</v>
          </cell>
          <cell r="C1032" t="str">
            <v>Amort. s/+ Value Immeuble</v>
          </cell>
          <cell r="D1032" t="str">
            <v>681120</v>
          </cell>
          <cell r="E1032" t="str">
            <v>DOT° AMORT. IMMO. CORPORELLES</v>
          </cell>
          <cell r="F1032" t="str">
            <v>Dotations aux amortissements immobilisations</v>
          </cell>
          <cell r="G1032" t="str">
            <v>RESULTAT OPERATIONNEL COURANT</v>
          </cell>
        </row>
        <row r="1033">
          <cell r="B1033" t="str">
            <v>633000</v>
          </cell>
          <cell r="C1033" t="str">
            <v>Réduct° de valeur s/créances</v>
          </cell>
          <cell r="D1033" t="str">
            <v>681740</v>
          </cell>
          <cell r="E1033" t="str">
            <v>DOT° PROV DEP. CREANCES CLIENTS</v>
          </cell>
          <cell r="F1033" t="str">
            <v>Dotations aux provisions sur actif circulant</v>
          </cell>
          <cell r="G1033" t="str">
            <v>RESULTAT OPERATIONNEL COURANT</v>
          </cell>
        </row>
        <row r="1034">
          <cell r="B1034" t="str">
            <v>633001</v>
          </cell>
          <cell r="C1034" t="str">
            <v>Red de Val s/Créances Antér.</v>
          </cell>
          <cell r="D1034" t="str">
            <v>681740</v>
          </cell>
          <cell r="E1034" t="str">
            <v>DOT° PROV DEP. CREANCES CLIENTS</v>
          </cell>
          <cell r="F1034" t="str">
            <v>Dotations aux provisions sur actif circulant</v>
          </cell>
          <cell r="G1034" t="str">
            <v>RESULTAT OPERATIONNEL COURANT</v>
          </cell>
        </row>
        <row r="1035">
          <cell r="B1035" t="str">
            <v>633100</v>
          </cell>
          <cell r="C1035" t="str">
            <v>Réduct° s/valeur actée</v>
          </cell>
          <cell r="D1035" t="str">
            <v>681500</v>
          </cell>
          <cell r="E1035" t="str">
            <v>DOT° PROV RISQ. &amp; CHG. EXPL°</v>
          </cell>
          <cell r="F1035" t="str">
            <v>Dotations aux provisions pour risques et charges</v>
          </cell>
          <cell r="G1035" t="str">
            <v>RESULTAT OPERATIONNEL COURANT</v>
          </cell>
        </row>
        <row r="1036">
          <cell r="B1036" t="str">
            <v>637000</v>
          </cell>
          <cell r="C1036" t="str">
            <v>Prov. autres risques &amp; charges</v>
          </cell>
          <cell r="D1036" t="str">
            <v>681500</v>
          </cell>
          <cell r="E1036" t="str">
            <v>DOT° PROV RISQ. &amp; CHG. EXPL°</v>
          </cell>
          <cell r="F1036" t="str">
            <v>Dotations aux provisions pour risques et charges</v>
          </cell>
          <cell r="G1036" t="str">
            <v>RESULTAT OPERATIONNEL COURANT</v>
          </cell>
        </row>
        <row r="1037">
          <cell r="B1037" t="str">
            <v>637100</v>
          </cell>
          <cell r="C1037" t="str">
            <v>Reprise Prov. Autres Risques</v>
          </cell>
          <cell r="D1037" t="str">
            <v>681500</v>
          </cell>
          <cell r="E1037" t="str">
            <v>DOT° PROV RISQ. &amp; CHG. EXPL°</v>
          </cell>
          <cell r="F1037" t="str">
            <v>Dotations aux provisions pour risques et charges</v>
          </cell>
          <cell r="G1037" t="str">
            <v>RESULTAT OPERATIONNEL COURANT</v>
          </cell>
        </row>
        <row r="1038">
          <cell r="B1038" t="str">
            <v>640020</v>
          </cell>
          <cell r="C1038" t="str">
            <v>TAXE SUR LES EAUX DE SURFACES</v>
          </cell>
          <cell r="D1038" t="str">
            <v>635810</v>
          </cell>
          <cell r="E1038" t="str">
            <v>AUTRES TAXES</v>
          </cell>
          <cell r="F1038" t="str">
            <v>Impôts, taxes et versements assimilés</v>
          </cell>
          <cell r="G1038" t="str">
            <v>RESULTAT OPERATIONNEL COURANT</v>
          </cell>
        </row>
        <row r="1039">
          <cell r="B1039" t="str">
            <v>640100</v>
          </cell>
          <cell r="C1039" t="str">
            <v>Taxe circulat°/radio (90%)</v>
          </cell>
          <cell r="D1039" t="str">
            <v>635140</v>
          </cell>
          <cell r="E1039" t="str">
            <v xml:space="preserve">TVTS                                   </v>
          </cell>
          <cell r="F1039" t="str">
            <v>Impôts, taxes et versements assimilés</v>
          </cell>
          <cell r="G1039" t="str">
            <v>RESULTAT OPERATIONNEL COURANT</v>
          </cell>
        </row>
        <row r="1040">
          <cell r="B1040" t="str">
            <v>640101</v>
          </cell>
          <cell r="C1040" t="str">
            <v>Taxe circulat°/radio (80%)</v>
          </cell>
          <cell r="D1040" t="str">
            <v>635140</v>
          </cell>
          <cell r="E1040" t="str">
            <v xml:space="preserve">TVTS                                   </v>
          </cell>
          <cell r="F1040" t="str">
            <v>Impôts, taxes et versements assimilés</v>
          </cell>
          <cell r="G1040" t="str">
            <v>RESULTAT OPERATIONNEL COURANT</v>
          </cell>
        </row>
        <row r="1041">
          <cell r="B1041" t="str">
            <v>640102</v>
          </cell>
          <cell r="C1041" t="str">
            <v>Taxe circulat°/radio (75%)</v>
          </cell>
          <cell r="D1041" t="str">
            <v>635140</v>
          </cell>
          <cell r="E1041" t="str">
            <v xml:space="preserve">TVTS                                   </v>
          </cell>
          <cell r="F1041" t="str">
            <v>Impôts, taxes et versements assimilés</v>
          </cell>
          <cell r="G1041" t="str">
            <v>RESULTAT OPERATIONNEL COURANT</v>
          </cell>
        </row>
        <row r="1042">
          <cell r="B1042" t="str">
            <v>640103</v>
          </cell>
          <cell r="C1042" t="str">
            <v>Taxe circulat°/radio (70%)</v>
          </cell>
          <cell r="D1042" t="str">
            <v>635140</v>
          </cell>
          <cell r="E1042" t="str">
            <v xml:space="preserve">TVTS                                   </v>
          </cell>
          <cell r="F1042" t="str">
            <v>Impôts, taxes et versements assimilés</v>
          </cell>
          <cell r="G1042" t="str">
            <v>RESULTAT OPERATIONNEL COURANT</v>
          </cell>
        </row>
        <row r="1043">
          <cell r="B1043" t="str">
            <v>640104</v>
          </cell>
          <cell r="C1043" t="str">
            <v>Taxe circulat°/radio (60%)</v>
          </cell>
          <cell r="D1043" t="str">
            <v>635140</v>
          </cell>
          <cell r="E1043" t="str">
            <v xml:space="preserve">TVTS                                   </v>
          </cell>
          <cell r="F1043" t="str">
            <v>Impôts, taxes et versements assimilés</v>
          </cell>
          <cell r="G1043" t="str">
            <v>RESULTAT OPERATIONNEL COURANT</v>
          </cell>
        </row>
        <row r="1044">
          <cell r="B1044" t="str">
            <v>640110</v>
          </cell>
          <cell r="C1044" t="str">
            <v>TVA S/LEASING</v>
          </cell>
          <cell r="D1044" t="str">
            <v>635810</v>
          </cell>
          <cell r="E1044" t="str">
            <v>AUTRES TAXES</v>
          </cell>
          <cell r="F1044" t="str">
            <v>Impôts, taxes et versements assimilés</v>
          </cell>
          <cell r="G1044" t="str">
            <v>RESULTAT OPERATIONNEL COURANT</v>
          </cell>
        </row>
        <row r="1045">
          <cell r="B1045" t="str">
            <v>640111</v>
          </cell>
          <cell r="C1045" t="str">
            <v>TVA s/Crédit Bail OF</v>
          </cell>
          <cell r="D1045" t="str">
            <v>635810</v>
          </cell>
          <cell r="E1045" t="str">
            <v>AUTRES TAXES</v>
          </cell>
          <cell r="F1045" t="str">
            <v>Impôts, taxes et versements assimilés</v>
          </cell>
          <cell r="G1045" t="str">
            <v>RESULTAT OPERATIONNEL COURANT</v>
          </cell>
        </row>
        <row r="1046">
          <cell r="B1046" t="str">
            <v>640200</v>
          </cell>
          <cell r="C1046" t="str">
            <v>Précompte Immobilier</v>
          </cell>
          <cell r="D1046" t="str">
            <v>635120</v>
          </cell>
          <cell r="E1046" t="str">
            <v xml:space="preserve">TAXE FONCIERE                          </v>
          </cell>
          <cell r="F1046" t="str">
            <v>Impôts, taxes et versements assimilés</v>
          </cell>
          <cell r="G1046" t="str">
            <v>RESULTAT OPERATIONNEL COURANT</v>
          </cell>
        </row>
        <row r="1047">
          <cell r="B1047" t="str">
            <v>640300</v>
          </cell>
          <cell r="C1047" t="str">
            <v>Droit d'enreg. &amp; timbres fisc.</v>
          </cell>
          <cell r="D1047" t="str">
            <v>635400</v>
          </cell>
          <cell r="E1047" t="str">
            <v xml:space="preserve">DRTS D'ENREGISTRMT ET DE TIMBRE        </v>
          </cell>
          <cell r="F1047" t="str">
            <v>Impôts, taxes et versements assimilés</v>
          </cell>
          <cell r="G1047" t="str">
            <v>RESULTAT OPERATIONNEL COURANT</v>
          </cell>
        </row>
        <row r="1048">
          <cell r="B1048" t="str">
            <v>640400</v>
          </cell>
          <cell r="C1048" t="str">
            <v>Taxes régionales</v>
          </cell>
          <cell r="D1048" t="str">
            <v>635130</v>
          </cell>
          <cell r="E1048" t="str">
            <v xml:space="preserve">TAXE HABITATION                        </v>
          </cell>
          <cell r="F1048" t="str">
            <v>Impôts, taxes et versements assimilés</v>
          </cell>
          <cell r="G1048" t="str">
            <v>RESULTAT OPERATIONNEL COURANT</v>
          </cell>
        </row>
        <row r="1049">
          <cell r="B1049" t="str">
            <v>640500</v>
          </cell>
          <cell r="C1049" t="str">
            <v>Taxes provinciales</v>
          </cell>
          <cell r="D1049" t="str">
            <v>635130</v>
          </cell>
          <cell r="E1049" t="str">
            <v xml:space="preserve">TAXE HABITATION                        </v>
          </cell>
          <cell r="F1049" t="str">
            <v>Impôts, taxes et versements assimilés</v>
          </cell>
          <cell r="G1049" t="str">
            <v>RESULTAT OPERATIONNEL COURANT</v>
          </cell>
        </row>
        <row r="1050">
          <cell r="B1050" t="str">
            <v>640600</v>
          </cell>
          <cell r="C1050" t="str">
            <v>TAXES COMMUNALES</v>
          </cell>
          <cell r="D1050" t="str">
            <v>635130</v>
          </cell>
          <cell r="E1050" t="str">
            <v xml:space="preserve">TAXE HABITATION                        </v>
          </cell>
          <cell r="F1050" t="str">
            <v>Impôts, taxes et versements assimilés</v>
          </cell>
          <cell r="G1050" t="str">
            <v>RESULTAT OPERATIONNEL COURANT</v>
          </cell>
        </row>
        <row r="1051">
          <cell r="B1051" t="str">
            <v>640900</v>
          </cell>
          <cell r="C1051" t="str">
            <v>TVA à Payer</v>
          </cell>
          <cell r="D1051" t="str">
            <v>635130</v>
          </cell>
          <cell r="E1051" t="str">
            <v xml:space="preserve">TAXE HABITATION                        </v>
          </cell>
          <cell r="F1051" t="str">
            <v>Impôts, taxes et versements assimilés</v>
          </cell>
          <cell r="G1051" t="str">
            <v>RESULTAT OPERATIONNEL COURANT</v>
          </cell>
        </row>
        <row r="1052">
          <cell r="B1052" t="str">
            <v>640901</v>
          </cell>
          <cell r="C1052" t="str">
            <v>Amendes et pénalités</v>
          </cell>
          <cell r="D1052" t="str">
            <v>671200</v>
          </cell>
          <cell r="E1052" t="str">
            <v>PENALITES, AMENDES FISC NON DEDUCTIBLES</v>
          </cell>
          <cell r="F1052" t="str">
            <v>Charges exceptionnelles s/ opérations de gestion</v>
          </cell>
          <cell r="G1052" t="str">
            <v>RESULTAT OPERATIONNEL</v>
          </cell>
        </row>
        <row r="1053">
          <cell r="B1053" t="str">
            <v>642000</v>
          </cell>
          <cell r="C1053" t="str">
            <v>Moins values s/ créances comm.</v>
          </cell>
          <cell r="D1053" t="str">
            <v>654000</v>
          </cell>
          <cell r="E1053" t="str">
            <v>PERTES SUR CREANCES IRRECOUVRABLES</v>
          </cell>
          <cell r="F1053" t="str">
            <v xml:space="preserve">Autres Charges </v>
          </cell>
          <cell r="G1053" t="str">
            <v>RESULTAT OPERATIONNEL COURANT</v>
          </cell>
        </row>
        <row r="1054">
          <cell r="B1054" t="str">
            <v>642001</v>
          </cell>
          <cell r="C1054" t="str">
            <v>Moins Value Creances C non NOP</v>
          </cell>
          <cell r="D1054" t="str">
            <v>654000</v>
          </cell>
          <cell r="E1054" t="str">
            <v>PERTES SUR CREANCES IRRECOUVRABLES</v>
          </cell>
          <cell r="F1054" t="str">
            <v xml:space="preserve">Autres Charges </v>
          </cell>
          <cell r="G1054" t="str">
            <v>RESULTAT OPERATIONNEL COURANT</v>
          </cell>
        </row>
        <row r="1055">
          <cell r="B1055" t="str">
            <v>643000</v>
          </cell>
          <cell r="C1055" t="str">
            <v>Cotisation société</v>
          </cell>
          <cell r="D1055" t="str">
            <v>637800</v>
          </cell>
          <cell r="E1055" t="str">
            <v>TAXES DIVERSES (AUTRES ORGM)</v>
          </cell>
          <cell r="F1055" t="str">
            <v>Impôts, taxes et versements assimilés</v>
          </cell>
          <cell r="G1055" t="str">
            <v>RESULTAT OPERATIONNEL COURANT</v>
          </cell>
        </row>
        <row r="1056">
          <cell r="B1056" t="str">
            <v>643900</v>
          </cell>
          <cell r="C1056" t="str">
            <v>AUTRES FRAIS D'EXPLOITATION</v>
          </cell>
          <cell r="D1056" t="str">
            <v>637800</v>
          </cell>
          <cell r="E1056" t="str">
            <v>TAXES DIVERSES (AUTRES ORGM)</v>
          </cell>
          <cell r="F1056" t="str">
            <v>Impôts, taxes et versements assimilés</v>
          </cell>
          <cell r="G1056" t="str">
            <v>RESULTAT OPERATIONNEL COURANT</v>
          </cell>
        </row>
        <row r="1057">
          <cell r="B1057" t="str">
            <v>648001</v>
          </cell>
          <cell r="C1057" t="str">
            <v>Régularisation (antér.)</v>
          </cell>
          <cell r="D1057" t="str">
            <v>635810</v>
          </cell>
          <cell r="E1057" t="str">
            <v>AUTRES TAXES</v>
          </cell>
          <cell r="F1057" t="str">
            <v>Impôts, taxes et versements assimilés</v>
          </cell>
          <cell r="G1057" t="str">
            <v>RESULTAT OPERATIONNEL COURANT</v>
          </cell>
        </row>
        <row r="1058">
          <cell r="B1058" t="str">
            <v>649000</v>
          </cell>
          <cell r="C1058" t="str">
            <v>Frais Restruct à l'Actif</v>
          </cell>
          <cell r="D1058" t="str">
            <v>791110</v>
          </cell>
          <cell r="E1058" t="str">
            <v>TRANSFERTS DE CHARGES EXTERNES</v>
          </cell>
          <cell r="F1058" t="str">
            <v>Autres achats et charges externes</v>
          </cell>
          <cell r="G1058" t="str">
            <v>RESULTAT OPERATIONNEL COURANT</v>
          </cell>
        </row>
        <row r="1059">
          <cell r="B1059" t="str">
            <v>650000</v>
          </cell>
          <cell r="C1059" t="str">
            <v>Intérêts s/emprunt</v>
          </cell>
          <cell r="D1059" t="str">
            <v>661100</v>
          </cell>
          <cell r="E1059" t="str">
            <v xml:space="preserve">INTERETS DES EMPRUNTS ET DETTES        </v>
          </cell>
          <cell r="F1059" t="str">
            <v>Intérêts et charges financières</v>
          </cell>
          <cell r="G1059" t="str">
            <v>COUT DE L'ENDETTEMENT FINANCIER NET</v>
          </cell>
        </row>
        <row r="1060">
          <cell r="B1060" t="str">
            <v>650100</v>
          </cell>
          <cell r="C1060" t="str">
            <v>Fortis - Intér. s/straight loa</v>
          </cell>
          <cell r="D1060" t="str">
            <v>661100</v>
          </cell>
          <cell r="E1060" t="str">
            <v xml:space="preserve">INTERETS DES EMPRUNTS ET DETTES        </v>
          </cell>
          <cell r="F1060" t="str">
            <v>Intérêts et charges financières</v>
          </cell>
          <cell r="G1060" t="str">
            <v>COUT DE L'ENDETTEMENT FINANCIER NET</v>
          </cell>
        </row>
        <row r="1061">
          <cell r="B1061" t="str">
            <v>650110</v>
          </cell>
          <cell r="C1061" t="str">
            <v>Dexia - Intér. s/straight loan</v>
          </cell>
          <cell r="D1061" t="str">
            <v>661100</v>
          </cell>
          <cell r="E1061" t="str">
            <v xml:space="preserve">INTERETS DES EMPRUNTS ET DETTES        </v>
          </cell>
          <cell r="F1061" t="str">
            <v>Intérêts et charges financières</v>
          </cell>
          <cell r="G1061" t="str">
            <v>COUT DE L'ENDETTEMENT FINANCIER NET</v>
          </cell>
        </row>
        <row r="1062">
          <cell r="B1062" t="str">
            <v>650120</v>
          </cell>
          <cell r="C1062" t="str">
            <v>ING - Intér. s/straight loan</v>
          </cell>
          <cell r="D1062" t="str">
            <v>661100</v>
          </cell>
          <cell r="E1062" t="str">
            <v xml:space="preserve">INTERETS DES EMPRUNTS ET DETTES        </v>
          </cell>
          <cell r="F1062" t="str">
            <v>Intérêts et charges financières</v>
          </cell>
          <cell r="G1062" t="str">
            <v>COUT DE L'ENDETTEMENT FINANCIER NET</v>
          </cell>
        </row>
        <row r="1063">
          <cell r="B1063" t="str">
            <v>650130</v>
          </cell>
          <cell r="C1063" t="str">
            <v>CBC - Intér. s/straight loan</v>
          </cell>
          <cell r="D1063" t="str">
            <v>661100</v>
          </cell>
          <cell r="E1063" t="str">
            <v xml:space="preserve">INTERETS DES EMPRUNTS ET DETTES        </v>
          </cell>
          <cell r="F1063" t="str">
            <v>Intérêts et charges financières</v>
          </cell>
          <cell r="G1063" t="str">
            <v>COUT DE L'ENDETTEMENT FINANCIER NET</v>
          </cell>
        </row>
        <row r="1064">
          <cell r="B1064" t="str">
            <v>650140</v>
          </cell>
          <cell r="C1064" t="str">
            <v>KBC - Intér. s/straight loan</v>
          </cell>
          <cell r="D1064" t="str">
            <v>661100</v>
          </cell>
          <cell r="E1064" t="str">
            <v xml:space="preserve">INTERETS DES EMPRUNTS ET DETTES        </v>
          </cell>
          <cell r="F1064" t="str">
            <v>Intérêts et charges financières</v>
          </cell>
          <cell r="G1064" t="str">
            <v>COUT DE L'ENDETTEMENT FINANCIER NET</v>
          </cell>
        </row>
        <row r="1065">
          <cell r="B1065" t="str">
            <v>650150</v>
          </cell>
          <cell r="C1065" t="str">
            <v>AXA - Intér. s/straight loan</v>
          </cell>
          <cell r="D1065" t="str">
            <v>661100</v>
          </cell>
          <cell r="E1065" t="str">
            <v xml:space="preserve">INTERETS DES EMPRUNTS ET DETTES        </v>
          </cell>
          <cell r="F1065" t="str">
            <v>Intérêts et charges financières</v>
          </cell>
          <cell r="G1065" t="str">
            <v>COUT DE L'ENDETTEMENT FINANCIER NET</v>
          </cell>
        </row>
        <row r="1066">
          <cell r="B1066" t="str">
            <v>650200</v>
          </cell>
          <cell r="C1066" t="str">
            <v>Intérêts s/locat°-fin.</v>
          </cell>
          <cell r="D1066" t="str">
            <v>661100</v>
          </cell>
          <cell r="E1066" t="str">
            <v xml:space="preserve">INTERETS DES EMPRUNTS ET DETTES        </v>
          </cell>
          <cell r="F1066" t="str">
            <v>Intérêts et charges financières</v>
          </cell>
          <cell r="G1066" t="str">
            <v>COUT DE L'ENDETTEMENT FINANCIER NET</v>
          </cell>
        </row>
        <row r="1067">
          <cell r="B1067" t="str">
            <v>650201</v>
          </cell>
          <cell r="C1067" t="str">
            <v>Intérêts s/locat°-fin.</v>
          </cell>
          <cell r="D1067" t="str">
            <v>661100</v>
          </cell>
          <cell r="E1067" t="str">
            <v xml:space="preserve">INTERETS DES EMPRUNTS ET DETTES        </v>
          </cell>
          <cell r="F1067" t="str">
            <v>Intérêts et charges financières</v>
          </cell>
          <cell r="G1067" t="str">
            <v>COUT DE L'ENDETTEMENT FINANCIER NET</v>
          </cell>
        </row>
        <row r="1068">
          <cell r="B1068" t="str">
            <v>650202</v>
          </cell>
          <cell r="C1068" t="str">
            <v>Intérêts s/locat°-fin.</v>
          </cell>
          <cell r="D1068" t="str">
            <v>661100</v>
          </cell>
          <cell r="E1068" t="str">
            <v xml:space="preserve">INTERETS DES EMPRUNTS ET DETTES        </v>
          </cell>
          <cell r="F1068" t="str">
            <v>Intérêts et charges financières</v>
          </cell>
          <cell r="G1068" t="str">
            <v>COUT DE L'ENDETTEMENT FINANCIER NET</v>
          </cell>
        </row>
        <row r="1069">
          <cell r="B1069" t="str">
            <v>650203</v>
          </cell>
          <cell r="C1069" t="str">
            <v>Intérêts s/locat°-fin.</v>
          </cell>
          <cell r="D1069" t="str">
            <v>661100</v>
          </cell>
          <cell r="E1069" t="str">
            <v xml:space="preserve">INTERETS DES EMPRUNTS ET DETTES        </v>
          </cell>
          <cell r="F1069" t="str">
            <v>Intérêts et charges financières</v>
          </cell>
          <cell r="G1069" t="str">
            <v>COUT DE L'ENDETTEMENT FINANCIER NET</v>
          </cell>
        </row>
        <row r="1070">
          <cell r="B1070" t="str">
            <v>650204</v>
          </cell>
          <cell r="C1070" t="str">
            <v>Intérêts s/locat°-fin.</v>
          </cell>
          <cell r="D1070" t="str">
            <v>661100</v>
          </cell>
          <cell r="E1070" t="str">
            <v xml:space="preserve">INTERETS DES EMPRUNTS ET DETTES        </v>
          </cell>
          <cell r="F1070" t="str">
            <v>Intérêts et charges financières</v>
          </cell>
          <cell r="G1070" t="str">
            <v>COUT DE L'ENDETTEMENT FINANCIER NET</v>
          </cell>
        </row>
        <row r="1071">
          <cell r="B1071" t="str">
            <v>650205</v>
          </cell>
          <cell r="C1071" t="str">
            <v>Intérêts s/locat°-fin.</v>
          </cell>
          <cell r="D1071" t="str">
            <v>661100</v>
          </cell>
          <cell r="E1071" t="str">
            <v xml:space="preserve">INTERETS DES EMPRUNTS ET DETTES        </v>
          </cell>
          <cell r="F1071" t="str">
            <v>Intérêts et charges financières</v>
          </cell>
          <cell r="G1071" t="str">
            <v>COUT DE L'ENDETTEMENT FINANCIER NET</v>
          </cell>
        </row>
        <row r="1072">
          <cell r="B1072" t="str">
            <v>650206</v>
          </cell>
          <cell r="C1072" t="str">
            <v>Intérêts s/locat°-fin.</v>
          </cell>
          <cell r="D1072" t="str">
            <v>661100</v>
          </cell>
          <cell r="E1072" t="str">
            <v xml:space="preserve">INTERETS DES EMPRUNTS ET DETTES        </v>
          </cell>
          <cell r="F1072" t="str">
            <v>Intérêts et charges financières</v>
          </cell>
          <cell r="G1072" t="str">
            <v>COUT DE L'ENDETTEMENT FINANCIER NET</v>
          </cell>
        </row>
        <row r="1073">
          <cell r="B1073" t="str">
            <v>650207</v>
          </cell>
          <cell r="C1073" t="str">
            <v>Intérêts s/locat°-fin.</v>
          </cell>
          <cell r="D1073" t="str">
            <v>661100</v>
          </cell>
          <cell r="E1073" t="str">
            <v xml:space="preserve">INTERETS DES EMPRUNTS ET DETTES        </v>
          </cell>
          <cell r="F1073" t="str">
            <v>Intérêts et charges financières</v>
          </cell>
          <cell r="G1073" t="str">
            <v>COUT DE L'ENDETTEMENT FINANCIER NET</v>
          </cell>
        </row>
        <row r="1074">
          <cell r="B1074" t="str">
            <v>650208</v>
          </cell>
          <cell r="C1074" t="str">
            <v>Intérêts s/locat°-fin.</v>
          </cell>
          <cell r="D1074" t="str">
            <v>661100</v>
          </cell>
          <cell r="E1074" t="str">
            <v xml:space="preserve">INTERETS DES EMPRUNTS ET DETTES        </v>
          </cell>
          <cell r="F1074" t="str">
            <v>Intérêts et charges financières</v>
          </cell>
          <cell r="G1074" t="str">
            <v>COUT DE L'ENDETTEMENT FINANCIER NET</v>
          </cell>
        </row>
        <row r="1075">
          <cell r="B1075" t="str">
            <v>650209</v>
          </cell>
          <cell r="C1075" t="str">
            <v>Intérêts s/locat°-fin.</v>
          </cell>
          <cell r="D1075" t="str">
            <v>661100</v>
          </cell>
          <cell r="E1075" t="str">
            <v xml:space="preserve">INTERETS DES EMPRUNTS ET DETTES        </v>
          </cell>
          <cell r="F1075" t="str">
            <v>Intérêts et charges financières</v>
          </cell>
          <cell r="G1075" t="str">
            <v>COUT DE L'ENDETTEMENT FINANCIER NET</v>
          </cell>
        </row>
        <row r="1076">
          <cell r="B1076" t="str">
            <v>650210</v>
          </cell>
          <cell r="C1076" t="str">
            <v>Intérêts s/locat°-fin.</v>
          </cell>
          <cell r="D1076" t="str">
            <v>661100</v>
          </cell>
          <cell r="E1076" t="str">
            <v xml:space="preserve">INTERETS DES EMPRUNTS ET DETTES        </v>
          </cell>
          <cell r="F1076" t="str">
            <v>Intérêts et charges financières</v>
          </cell>
          <cell r="G1076" t="str">
            <v>COUT DE L'ENDETTEMENT FINANCIER NET</v>
          </cell>
        </row>
        <row r="1077">
          <cell r="B1077" t="str">
            <v>650300</v>
          </cell>
          <cell r="C1077" t="str">
            <v>Intéréts de Retard</v>
          </cell>
          <cell r="D1077" t="str">
            <v>661100</v>
          </cell>
          <cell r="E1077" t="str">
            <v xml:space="preserve">INTERETS DES EMPRUNTS ET DETTES        </v>
          </cell>
          <cell r="F1077" t="str">
            <v>Intérêts et charges financières</v>
          </cell>
          <cell r="G1077" t="str">
            <v>COUT DE L'ENDETTEMENT FINANCIER NET</v>
          </cell>
        </row>
        <row r="1078">
          <cell r="B1078" t="str">
            <v>650400</v>
          </cell>
          <cell r="C1078" t="str">
            <v>Intérêts s/locat°-fin.</v>
          </cell>
          <cell r="D1078" t="str">
            <v>661100</v>
          </cell>
          <cell r="E1078" t="str">
            <v xml:space="preserve">INTERETS DES EMPRUNTS ET DETTES        </v>
          </cell>
          <cell r="F1078" t="str">
            <v>Intérêts et charges financières</v>
          </cell>
          <cell r="G1078" t="str">
            <v>COUT DE L'ENDETTEMENT FINANCIER NET</v>
          </cell>
        </row>
        <row r="1079">
          <cell r="B1079" t="str">
            <v>650500</v>
          </cell>
          <cell r="C1079" t="str">
            <v>Fortis - Intérêts s/emprunt</v>
          </cell>
          <cell r="D1079" t="str">
            <v>661100</v>
          </cell>
          <cell r="E1079" t="str">
            <v xml:space="preserve">INTERETS DES EMPRUNTS ET DETTES        </v>
          </cell>
          <cell r="F1079" t="str">
            <v>Intérêts et charges financières</v>
          </cell>
          <cell r="G1079" t="str">
            <v>COUT DE L'ENDETTEMENT FINANCIER NET</v>
          </cell>
        </row>
        <row r="1080">
          <cell r="B1080" t="str">
            <v>650510</v>
          </cell>
          <cell r="C1080" t="str">
            <v>Dexia - Intérêts s/emprunt</v>
          </cell>
          <cell r="D1080" t="str">
            <v>661100</v>
          </cell>
          <cell r="E1080" t="str">
            <v xml:space="preserve">INTERETS DES EMPRUNTS ET DETTES        </v>
          </cell>
          <cell r="F1080" t="str">
            <v>Intérêts et charges financières</v>
          </cell>
          <cell r="G1080" t="str">
            <v>COUT DE L'ENDETTEMENT FINANCIER NET</v>
          </cell>
        </row>
        <row r="1081">
          <cell r="B1081" t="str">
            <v>650520</v>
          </cell>
          <cell r="C1081" t="str">
            <v>ING - Intérêts s/emprunt</v>
          </cell>
          <cell r="D1081" t="str">
            <v>661100</v>
          </cell>
          <cell r="E1081" t="str">
            <v xml:space="preserve">INTERETS DES EMPRUNTS ET DETTES        </v>
          </cell>
          <cell r="F1081" t="str">
            <v>Intérêts et charges financières</v>
          </cell>
          <cell r="G1081" t="str">
            <v>COUT DE L'ENDETTEMENT FINANCIER NET</v>
          </cell>
        </row>
        <row r="1082">
          <cell r="B1082" t="str">
            <v>650530</v>
          </cell>
          <cell r="C1082" t="str">
            <v>CBC - Intérêts s/emprunt</v>
          </cell>
          <cell r="D1082" t="str">
            <v>661100</v>
          </cell>
          <cell r="E1082" t="str">
            <v xml:space="preserve">INTERETS DES EMPRUNTS ET DETTES        </v>
          </cell>
          <cell r="F1082" t="str">
            <v>Intérêts et charges financières</v>
          </cell>
          <cell r="G1082" t="str">
            <v>COUT DE L'ENDETTEMENT FINANCIER NET</v>
          </cell>
        </row>
        <row r="1083">
          <cell r="B1083" t="str">
            <v>650540</v>
          </cell>
          <cell r="C1083" t="str">
            <v>KBC - Intérêts s/emprunt</v>
          </cell>
          <cell r="D1083" t="str">
            <v>661100</v>
          </cell>
          <cell r="E1083" t="str">
            <v xml:space="preserve">INTERETS DES EMPRUNTS ET DETTES        </v>
          </cell>
          <cell r="F1083" t="str">
            <v>Intérêts et charges financières</v>
          </cell>
          <cell r="G1083" t="str">
            <v>COUT DE L'ENDETTEMENT FINANCIER NET</v>
          </cell>
        </row>
        <row r="1084">
          <cell r="B1084" t="str">
            <v>650550</v>
          </cell>
          <cell r="C1084" t="str">
            <v>AXA - Intérêts s/emprunt</v>
          </cell>
          <cell r="D1084" t="str">
            <v>661100</v>
          </cell>
          <cell r="E1084" t="str">
            <v xml:space="preserve">INTERETS DES EMPRUNTS ET DETTES        </v>
          </cell>
          <cell r="F1084" t="str">
            <v>Intérêts et charges financières</v>
          </cell>
          <cell r="G1084" t="str">
            <v>COUT DE L'ENDETTEMENT FINANCIER NET</v>
          </cell>
        </row>
        <row r="1085">
          <cell r="B1085" t="str">
            <v>650560</v>
          </cell>
          <cell r="C1085" t="str">
            <v>Crédit Ag - Intérêts s/emprunt</v>
          </cell>
          <cell r="D1085" t="str">
            <v>661100</v>
          </cell>
          <cell r="E1085" t="str">
            <v xml:space="preserve">INTERETS DES EMPRUNTS ET DETTES        </v>
          </cell>
          <cell r="F1085" t="str">
            <v>Intérêts et charges financières</v>
          </cell>
          <cell r="G1085" t="str">
            <v>COUT DE L'ENDETTEMENT FINANCIER NET</v>
          </cell>
        </row>
        <row r="1086">
          <cell r="B1086" t="str">
            <v>650570</v>
          </cell>
          <cell r="C1086" t="str">
            <v>Intérêts sur C/C</v>
          </cell>
          <cell r="D1086" t="str">
            <v>668200</v>
          </cell>
          <cell r="E1086" t="str">
            <v>FRAIS FINANCIERS INTRA GROUPE</v>
          </cell>
          <cell r="F1086" t="str">
            <v>Intérêts et charges financières</v>
          </cell>
          <cell r="G1086" t="str">
            <v>Résultat net avant résultat des activités arrétées</v>
          </cell>
        </row>
        <row r="1087">
          <cell r="B1087" t="str">
            <v>650571</v>
          </cell>
          <cell r="C1087" t="str">
            <v>Intérêts s/Cpte OF</v>
          </cell>
          <cell r="D1087" t="str">
            <v>668200</v>
          </cell>
          <cell r="E1087" t="str">
            <v>FRAIS FINANCIERS INTRA GROUPE</v>
          </cell>
          <cell r="F1087" t="str">
            <v>Intérêts et charges financières</v>
          </cell>
          <cell r="G1087" t="str">
            <v>Résultat net avant résultat des activités arrétées</v>
          </cell>
        </row>
        <row r="1088">
          <cell r="B1088" t="str">
            <v>650572</v>
          </cell>
          <cell r="C1088" t="str">
            <v>Intérêts MF - OB</v>
          </cell>
          <cell r="D1088" t="str">
            <v>668200</v>
          </cell>
          <cell r="E1088" t="str">
            <v>FRAIS FINANCIERS INTRA GROUPE</v>
          </cell>
          <cell r="F1088" t="str">
            <v>Intérêts et charges financières</v>
          </cell>
          <cell r="G1088" t="str">
            <v>Résultat net avant résultat des activités arrétées</v>
          </cell>
        </row>
        <row r="1089">
          <cell r="B1089" t="str">
            <v>650573</v>
          </cell>
          <cell r="C1089" t="str">
            <v>Intérêts s/Garantie Client</v>
          </cell>
          <cell r="D1089" t="str">
            <v>668100</v>
          </cell>
          <cell r="E1089" t="str">
            <v>SWAP</v>
          </cell>
          <cell r="F1089"/>
          <cell r="G1089" t="str">
            <v>Résultat net avant résultat des activités arrétées</v>
          </cell>
        </row>
        <row r="1090">
          <cell r="B1090" t="str">
            <v>650580</v>
          </cell>
          <cell r="C1090" t="str">
            <v>XXX - Intérêts s/Emprunt</v>
          </cell>
          <cell r="D1090" t="str">
            <v>661100</v>
          </cell>
          <cell r="E1090" t="str">
            <v xml:space="preserve">INTERETS DES EMPRUNTS ET DETTES        </v>
          </cell>
          <cell r="F1090" t="str">
            <v>Intérêts et charges financières</v>
          </cell>
          <cell r="G1090" t="str">
            <v>COUT DE L'ENDETTEMENT FINANCIER NET</v>
          </cell>
        </row>
        <row r="1091">
          <cell r="B1091" t="str">
            <v>650600</v>
          </cell>
          <cell r="C1091" t="str">
            <v>XXX - Intérêts s/Emprunt</v>
          </cell>
          <cell r="D1091" t="str">
            <v>661100</v>
          </cell>
          <cell r="E1091" t="str">
            <v xml:space="preserve">INTERETS DES EMPRUNTS ET DETTES        </v>
          </cell>
          <cell r="F1091" t="str">
            <v>Intérêts et charges financières</v>
          </cell>
          <cell r="G1091" t="str">
            <v>COUT DE L'ENDETTEMENT FINANCIER NET</v>
          </cell>
        </row>
        <row r="1092">
          <cell r="B1092" t="str">
            <v>656000</v>
          </cell>
          <cell r="C1092" t="str">
            <v>Charges financières diverses</v>
          </cell>
          <cell r="D1092" t="str">
            <v>668100</v>
          </cell>
          <cell r="E1092" t="str">
            <v>SWAP</v>
          </cell>
          <cell r="F1092" t="str">
            <v>Intérêts et charges financières</v>
          </cell>
          <cell r="G1092" t="str">
            <v>Résultat net avant résultat des activités arrétées</v>
          </cell>
        </row>
        <row r="1093">
          <cell r="B1093" t="str">
            <v>659200</v>
          </cell>
          <cell r="C1093" t="str">
            <v>Différence de paiement</v>
          </cell>
          <cell r="D1093" t="str">
            <v>668000</v>
          </cell>
          <cell r="E1093" t="str">
            <v>AUTRES FRAIS FINANCIERS ABANDON CR</v>
          </cell>
          <cell r="F1093" t="str">
            <v>Intérêts et charges financières</v>
          </cell>
          <cell r="G1093" t="str">
            <v>COUT DE L'ENDETTEMENT FINANCIER NET</v>
          </cell>
        </row>
        <row r="1094">
          <cell r="B1094" t="str">
            <v>659500</v>
          </cell>
          <cell r="C1094" t="str">
            <v>FORTIS - FRAIS BANCAIRES</v>
          </cell>
          <cell r="D1094" t="str">
            <v>627000</v>
          </cell>
          <cell r="E1094" t="str">
            <v xml:space="preserve">SERVICES BANCAIRES                     </v>
          </cell>
          <cell r="F1094" t="str">
            <v>Autres achats et charges externes</v>
          </cell>
          <cell r="G1094" t="str">
            <v>RESULTAT OPERATIONNEL COURANT</v>
          </cell>
        </row>
        <row r="1095">
          <cell r="B1095" t="str">
            <v>659510</v>
          </cell>
          <cell r="C1095" t="str">
            <v>DEXIA - FRAIS BANCAIRES</v>
          </cell>
          <cell r="D1095" t="str">
            <v>627000</v>
          </cell>
          <cell r="E1095" t="str">
            <v xml:space="preserve">SERVICES BANCAIRES                     </v>
          </cell>
          <cell r="F1095" t="str">
            <v>Autres achats et charges externes</v>
          </cell>
          <cell r="G1095" t="str">
            <v>RESULTAT OPERATIONNEL COURANT</v>
          </cell>
        </row>
        <row r="1096">
          <cell r="B1096" t="str">
            <v>659520</v>
          </cell>
          <cell r="C1096" t="str">
            <v>ING - FRAIS BANCAIRES</v>
          </cell>
          <cell r="D1096" t="str">
            <v>627000</v>
          </cell>
          <cell r="E1096" t="str">
            <v xml:space="preserve">SERVICES BANCAIRES                     </v>
          </cell>
          <cell r="F1096" t="str">
            <v>Autres achats et charges externes</v>
          </cell>
          <cell r="G1096" t="str">
            <v>RESULTAT OPERATIONNEL COURANT</v>
          </cell>
        </row>
        <row r="1097">
          <cell r="B1097" t="str">
            <v>659530</v>
          </cell>
          <cell r="C1097" t="str">
            <v>CBC - FRAIS BANCAIRES</v>
          </cell>
          <cell r="D1097" t="str">
            <v>627000</v>
          </cell>
          <cell r="E1097" t="str">
            <v xml:space="preserve">SERVICES BANCAIRES                     </v>
          </cell>
          <cell r="F1097" t="str">
            <v>Autres achats et charges externes</v>
          </cell>
          <cell r="G1097" t="str">
            <v>RESULTAT OPERATIONNEL COURANT</v>
          </cell>
        </row>
        <row r="1098">
          <cell r="B1098" t="str">
            <v>659540</v>
          </cell>
          <cell r="C1098" t="str">
            <v>KBC - FRAIS BANCAIRES</v>
          </cell>
          <cell r="D1098" t="str">
            <v>627000</v>
          </cell>
          <cell r="E1098" t="str">
            <v xml:space="preserve">SERVICES BANCAIRES                     </v>
          </cell>
          <cell r="F1098" t="str">
            <v>Autres achats et charges externes</v>
          </cell>
          <cell r="G1098" t="str">
            <v>RESULTAT OPERATIONNEL COURANT</v>
          </cell>
        </row>
        <row r="1099">
          <cell r="B1099" t="str">
            <v>659550</v>
          </cell>
          <cell r="C1099" t="str">
            <v>AXA - FRAIS BANCAIRES</v>
          </cell>
          <cell r="D1099" t="str">
            <v>627000</v>
          </cell>
          <cell r="E1099" t="str">
            <v xml:space="preserve">SERVICES BANCAIRES                     </v>
          </cell>
          <cell r="F1099" t="str">
            <v>Autres achats et charges externes</v>
          </cell>
          <cell r="G1099" t="str">
            <v>RESULTAT OPERATIONNEL COURANT</v>
          </cell>
        </row>
        <row r="1100">
          <cell r="B1100" t="str">
            <v>659560</v>
          </cell>
          <cell r="C1100" t="str">
            <v>Crédit Agr. - Frais bancaires</v>
          </cell>
          <cell r="D1100" t="str">
            <v>627000</v>
          </cell>
          <cell r="E1100" t="str">
            <v xml:space="preserve">SERVICES BANCAIRES                     </v>
          </cell>
          <cell r="F1100" t="str">
            <v>Autres achats et charges externes</v>
          </cell>
          <cell r="G1100" t="str">
            <v>RESULTAT OPERATIONNEL COURANT</v>
          </cell>
        </row>
        <row r="1101">
          <cell r="B1101" t="str">
            <v>659570</v>
          </cell>
          <cell r="C1101" t="str">
            <v>FRAIS BANCONTACT</v>
          </cell>
          <cell r="D1101" t="str">
            <v>627000</v>
          </cell>
          <cell r="E1101" t="str">
            <v xml:space="preserve">SERVICES BANCAIRES                     </v>
          </cell>
          <cell r="F1101" t="str">
            <v>Autres achats et charges externes</v>
          </cell>
          <cell r="G1101" t="str">
            <v>RESULTAT OPERATIONNEL COURANT</v>
          </cell>
        </row>
        <row r="1102">
          <cell r="B1102" t="str">
            <v>659580</v>
          </cell>
          <cell r="C1102" t="str">
            <v>XXX - Frais bancaires</v>
          </cell>
          <cell r="D1102" t="str">
            <v>627000</v>
          </cell>
          <cell r="E1102" t="str">
            <v xml:space="preserve">SERVICES BANCAIRES                     </v>
          </cell>
          <cell r="F1102" t="str">
            <v>Autres achats et charges externes</v>
          </cell>
          <cell r="G1102" t="str">
            <v>RESULTAT OPERATIONNEL COURANT</v>
          </cell>
        </row>
        <row r="1103">
          <cell r="B1103" t="str">
            <v>659590</v>
          </cell>
          <cell r="C1103" t="str">
            <v>XXX - Frais bancaires</v>
          </cell>
          <cell r="D1103" t="str">
            <v>627000</v>
          </cell>
          <cell r="E1103" t="str">
            <v xml:space="preserve">SERVICES BANCAIRES                     </v>
          </cell>
          <cell r="F1103" t="str">
            <v>Autres achats et charges externes</v>
          </cell>
          <cell r="G1103" t="str">
            <v>RESULTAT OPERATIONNEL COURANT</v>
          </cell>
        </row>
        <row r="1104">
          <cell r="B1104" t="str">
            <v>659600</v>
          </cell>
          <cell r="C1104" t="str">
            <v>Intérêts sur C/c</v>
          </cell>
          <cell r="D1104" t="str">
            <v>627000</v>
          </cell>
          <cell r="E1104" t="str">
            <v xml:space="preserve">SERVICES BANCAIRES                     </v>
          </cell>
          <cell r="F1104" t="str">
            <v>Autres achats et charges externes</v>
          </cell>
          <cell r="G1104" t="str">
            <v>RESULTAT OPERATIONNEL COURANT</v>
          </cell>
        </row>
        <row r="1105">
          <cell r="B1105" t="str">
            <v>661000</v>
          </cell>
          <cell r="C1105" t="str">
            <v>Réduct° Val s/Partic. Financ.</v>
          </cell>
          <cell r="D1105" t="str">
            <v>661100</v>
          </cell>
          <cell r="E1105" t="str">
            <v xml:space="preserve">INTERETS DES EMPRUNTS ET DETTES        </v>
          </cell>
          <cell r="F1105" t="str">
            <v>Intérêts et charges financières</v>
          </cell>
          <cell r="G1105" t="str">
            <v>COUT DE L'ENDETTEMENT FINANCIER NET</v>
          </cell>
        </row>
        <row r="1106">
          <cell r="B1106" t="str">
            <v>663000</v>
          </cell>
          <cell r="C1106" t="str">
            <v>- Value s/réal. Actif Immob (I</v>
          </cell>
          <cell r="D1106" t="str">
            <v>675000</v>
          </cell>
          <cell r="E1106" t="str">
            <v>VNC ELTS D'ACTIF CEDES</v>
          </cell>
          <cell r="F1106"/>
          <cell r="G1106" t="str">
            <v>RESULTAT OPERATIONNEL</v>
          </cell>
        </row>
        <row r="1107">
          <cell r="B1107" t="str">
            <v>663100</v>
          </cell>
          <cell r="C1107" t="str">
            <v>- Value voiture (90%)</v>
          </cell>
          <cell r="D1107" t="str">
            <v>675000</v>
          </cell>
          <cell r="E1107" t="str">
            <v>VNC ELTS D'ACTIF CEDES</v>
          </cell>
          <cell r="F1107"/>
          <cell r="G1107" t="str">
            <v>RESULTAT OPERATIONNEL</v>
          </cell>
        </row>
        <row r="1108">
          <cell r="B1108" t="str">
            <v>663102</v>
          </cell>
          <cell r="C1108" t="str">
            <v>- value voiture (75%)</v>
          </cell>
          <cell r="D1108" t="str">
            <v>675000</v>
          </cell>
          <cell r="E1108" t="str">
            <v>VNC ELTS D'ACTIF CEDES</v>
          </cell>
          <cell r="F1108"/>
          <cell r="G1108" t="str">
            <v>RESULTAT OPERATIONNEL</v>
          </cell>
        </row>
        <row r="1109">
          <cell r="B1109" t="str">
            <v>664000</v>
          </cell>
          <cell r="C1109" t="str">
            <v>AUTRES CHARGES EXCEPTIONNELLES</v>
          </cell>
          <cell r="D1109" t="str">
            <v>678800</v>
          </cell>
          <cell r="E1109" t="str">
            <v>CHARGES EXCEPT. DIVERSES (dont art 700)</v>
          </cell>
          <cell r="F1109" t="str">
            <v>Autres charges exceptionnelles sur opérations en capital</v>
          </cell>
          <cell r="G1109" t="str">
            <v>RESULTAT OPERATIONNEL</v>
          </cell>
        </row>
        <row r="1110">
          <cell r="B1110" t="str">
            <v>666000</v>
          </cell>
          <cell r="C1110" t="str">
            <v>A UTILISER</v>
          </cell>
          <cell r="D1110" t="str">
            <v>678800</v>
          </cell>
          <cell r="E1110" t="str">
            <v>CHARGES EXCEPT. DIVERSES (dont art 700)</v>
          </cell>
          <cell r="F1110" t="str">
            <v>Autres charges exceptionnelles sur opérations en capital</v>
          </cell>
          <cell r="G1110" t="str">
            <v>RESULTAT OPERATIONNEL</v>
          </cell>
        </row>
        <row r="1111">
          <cell r="B1111" t="str">
            <v>666001</v>
          </cell>
          <cell r="C1111" t="str">
            <v>GARANTIE DE PASSIF</v>
          </cell>
          <cell r="D1111" t="str">
            <v>678800</v>
          </cell>
          <cell r="E1111" t="str">
            <v>CHARGES EXCEPT. DIVERSES (dont art 700)</v>
          </cell>
          <cell r="F1111" t="str">
            <v>Autres charges exceptionnelles sur opérations en capital</v>
          </cell>
          <cell r="G1111" t="str">
            <v>RESULTAT OPERATIONNEL</v>
          </cell>
        </row>
        <row r="1112">
          <cell r="B1112" t="str">
            <v>669000</v>
          </cell>
          <cell r="C1112" t="str">
            <v>Charges Except. Intra Groupe</v>
          </cell>
          <cell r="D1112" t="str">
            <v>671800</v>
          </cell>
          <cell r="E1112" t="str">
            <v xml:space="preserve">CHG EXCEP.  / OP° GESTION              </v>
          </cell>
          <cell r="F1112" t="str">
            <v>Charges exceptionnelles s/ opérations de gestion</v>
          </cell>
          <cell r="G1112" t="str">
            <v>RESULTAT OPERATIONNEL</v>
          </cell>
        </row>
        <row r="1113">
          <cell r="B1113" t="str">
            <v>670000</v>
          </cell>
          <cell r="C1113" t="str">
            <v>Impôts Belge dû s/le résultat</v>
          </cell>
          <cell r="D1113" t="str">
            <v>695000</v>
          </cell>
          <cell r="E1113" t="str">
            <v xml:space="preserve">IMPOTS SUR LES BENEFICES               </v>
          </cell>
          <cell r="F1113" t="str">
            <v>Impôts dus sur les bénéfices</v>
          </cell>
          <cell r="G1113" t="str">
            <v>Résultat net avant résultat des activités arrétées</v>
          </cell>
        </row>
        <row r="1114">
          <cell r="B1114" t="str">
            <v>670006</v>
          </cell>
          <cell r="C1114" t="str">
            <v>VA 2</v>
          </cell>
          <cell r="D1114" t="str">
            <v>637800</v>
          </cell>
          <cell r="E1114" t="str">
            <v>TAXES DIVERSES (AUTRES ORGM)</v>
          </cell>
          <cell r="F1114" t="str">
            <v>Impôts, taxes et versements assimilés</v>
          </cell>
          <cell r="G1114" t="str">
            <v>RESULTAT OPERATIONNEL COURANT</v>
          </cell>
        </row>
        <row r="1115">
          <cell r="B1115" t="str">
            <v>670007</v>
          </cell>
          <cell r="C1115" t="str">
            <v>VA 3</v>
          </cell>
          <cell r="D1115" t="str">
            <v>637800</v>
          </cell>
          <cell r="E1115" t="str">
            <v>TAXES DIVERSES (AUTRES ORGM)</v>
          </cell>
          <cell r="F1115" t="str">
            <v>Impôts, taxes et versements assimilés</v>
          </cell>
          <cell r="G1115" t="str">
            <v>RESULTAT OPERATIONNEL COURANT</v>
          </cell>
        </row>
        <row r="1116">
          <cell r="B1116" t="str">
            <v>670008</v>
          </cell>
          <cell r="C1116" t="str">
            <v>VA 4</v>
          </cell>
          <cell r="D1116" t="str">
            <v>637800</v>
          </cell>
          <cell r="E1116" t="str">
            <v>TAXES DIVERSES (AUTRES ORGM)</v>
          </cell>
          <cell r="F1116" t="str">
            <v>Impôts, taxes et versements assimilés</v>
          </cell>
          <cell r="G1116" t="str">
            <v>RESULTAT OPERATIONNEL COURANT</v>
          </cell>
        </row>
        <row r="1117">
          <cell r="B1117" t="str">
            <v>670010</v>
          </cell>
          <cell r="C1117" t="str">
            <v>Précompte Mobilier retenu</v>
          </cell>
          <cell r="D1117" t="str">
            <v>637800</v>
          </cell>
          <cell r="E1117" t="str">
            <v>TAXES DIVERSES (AUTRES ORGM)</v>
          </cell>
          <cell r="F1117" t="str">
            <v>Impôts, taxes et versements assimilés</v>
          </cell>
          <cell r="G1117" t="str">
            <v>RESULTAT OPERATIONNEL COURANT</v>
          </cell>
        </row>
        <row r="1118">
          <cell r="B1118" t="str">
            <v>670100</v>
          </cell>
          <cell r="C1118" t="str">
            <v>Excéd. verst d'impôt &amp; précpte</v>
          </cell>
          <cell r="D1118" t="str">
            <v>637800</v>
          </cell>
          <cell r="E1118" t="str">
            <v>TAXES DIVERSES (AUTRES ORGM)</v>
          </cell>
          <cell r="F1118" t="str">
            <v>Impôts, taxes et versements assimilés</v>
          </cell>
          <cell r="G1118" t="str">
            <v>RESULTAT OPERATIONNEL COURANT</v>
          </cell>
        </row>
        <row r="1119">
          <cell r="B1119" t="str">
            <v>671000</v>
          </cell>
          <cell r="C1119" t="str">
            <v>Impôt belge s/exerc. préc.</v>
          </cell>
          <cell r="D1119" t="str">
            <v>637800</v>
          </cell>
          <cell r="E1119" t="str">
            <v>TAXES DIVERSES (AUTRES ORGM)</v>
          </cell>
          <cell r="F1119" t="str">
            <v>Impôts, taxes et versements assimilés</v>
          </cell>
          <cell r="G1119" t="str">
            <v>RESULTAT OPERATIONNEL COURANT</v>
          </cell>
        </row>
        <row r="1120">
          <cell r="B1120" t="str">
            <v>671001</v>
          </cell>
          <cell r="C1120" t="str">
            <v>PM activation</v>
          </cell>
          <cell r="D1120" t="str">
            <v>637800</v>
          </cell>
          <cell r="E1120" t="str">
            <v>TAXES DIVERSES (AUTRES ORGM)</v>
          </cell>
          <cell r="F1120" t="str">
            <v>Impôts, taxes et versements assimilés</v>
          </cell>
          <cell r="G1120" t="str">
            <v>RESULTAT OPERATIONNEL COURANT</v>
          </cell>
        </row>
        <row r="1121">
          <cell r="B1121" t="str">
            <v>680000</v>
          </cell>
          <cell r="C1121" t="str">
            <v>Transfert aux impôts différés</v>
          </cell>
          <cell r="D1121" t="str">
            <v>637800</v>
          </cell>
          <cell r="E1121" t="str">
            <v>TAXES DIVERSES (AUTRES ORGM)</v>
          </cell>
          <cell r="F1121" t="str">
            <v>Impôts, taxes et versements assimilés</v>
          </cell>
          <cell r="G1121" t="str">
            <v>RESULTAT OPERATIONNEL COURANT</v>
          </cell>
        </row>
        <row r="1122">
          <cell r="B1122" t="str">
            <v>689000</v>
          </cell>
          <cell r="C1122" t="str">
            <v>Transfert aux réserves immun.</v>
          </cell>
          <cell r="D1122" t="str">
            <v>637800</v>
          </cell>
          <cell r="E1122" t="str">
            <v>TAXES DIVERSES (AUTRES ORGM)</v>
          </cell>
          <cell r="F1122" t="str">
            <v>Impôts, taxes et versements assimilés</v>
          </cell>
          <cell r="G1122" t="str">
            <v>RESULTAT OPERATIONNEL COURANT</v>
          </cell>
        </row>
        <row r="1123">
          <cell r="B1123" t="str">
            <v>690000</v>
          </cell>
          <cell r="C1123" t="str">
            <v>Perte reportée exerc. préc.</v>
          </cell>
          <cell r="D1123" t="str">
            <v>119000</v>
          </cell>
          <cell r="E1123" t="str">
            <v xml:space="preserve">REPORT A NOUVEAU SOLDE DEBITEUR        </v>
          </cell>
          <cell r="F1123" t="str">
            <v>Réserves Sociales</v>
          </cell>
          <cell r="G1123" t="str">
            <v>Capitaux propres part du groupe</v>
          </cell>
        </row>
        <row r="1124">
          <cell r="B1124" t="str">
            <v>692000</v>
          </cell>
          <cell r="C1124" t="str">
            <v>Affectat° à la réserve légale</v>
          </cell>
          <cell r="D1124" t="str">
            <v>119000</v>
          </cell>
          <cell r="E1124" t="str">
            <v xml:space="preserve">REPORT A NOUVEAU SOLDE DEBITEUR        </v>
          </cell>
          <cell r="F1124" t="str">
            <v>Réserves Sociales</v>
          </cell>
          <cell r="G1124" t="str">
            <v>Capitaux propres part du groupe</v>
          </cell>
        </row>
        <row r="1125">
          <cell r="B1125" t="str">
            <v>693000</v>
          </cell>
          <cell r="C1125" t="str">
            <v>Bénéfice à reporter</v>
          </cell>
          <cell r="D1125" t="str">
            <v>119000</v>
          </cell>
          <cell r="E1125" t="str">
            <v xml:space="preserve">REPORT A NOUVEAU SOLDE DEBITEUR        </v>
          </cell>
          <cell r="F1125" t="str">
            <v>Réserves Sociales</v>
          </cell>
          <cell r="G1125" t="str">
            <v>Capitaux propres part du groupe</v>
          </cell>
        </row>
        <row r="1126">
          <cell r="B1126" t="str">
            <v>694000</v>
          </cell>
          <cell r="C1126" t="str">
            <v>Rémunération du K</v>
          </cell>
          <cell r="D1126" t="str">
            <v>119000</v>
          </cell>
          <cell r="E1126" t="str">
            <v xml:space="preserve">REPORT A NOUVEAU SOLDE DEBITEUR        </v>
          </cell>
          <cell r="F1126" t="str">
            <v>Réserves Sociales</v>
          </cell>
          <cell r="G1126" t="str">
            <v>Capitaux propres part du groupe</v>
          </cell>
        </row>
        <row r="1127">
          <cell r="B1127" t="str">
            <v>695000</v>
          </cell>
          <cell r="C1127" t="str">
            <v>Tantièmes</v>
          </cell>
          <cell r="D1127" t="str">
            <v>119000</v>
          </cell>
          <cell r="E1127" t="str">
            <v xml:space="preserve">REPORT A NOUVEAU SOLDE DEBITEUR        </v>
          </cell>
          <cell r="F1127" t="str">
            <v>Réserves Sociales</v>
          </cell>
          <cell r="G1127" t="str">
            <v>Capitaux propres part du groupe</v>
          </cell>
        </row>
        <row r="1128">
          <cell r="B1128" t="str">
            <v>700000</v>
          </cell>
          <cell r="C1128" t="str">
            <v>INAMI - Prime Qualification</v>
          </cell>
          <cell r="D1128" t="str">
            <v>706560</v>
          </cell>
          <cell r="E1128" t="str">
            <v>SUBVENTION CONVENTION TRIPARTITE</v>
          </cell>
          <cell r="F1128" t="str">
            <v xml:space="preserve">Chiffres d'affaires </v>
          </cell>
          <cell r="G1128" t="str">
            <v>RESULTAT OPERATIONNEL COURANT</v>
          </cell>
        </row>
        <row r="1129">
          <cell r="B1129" t="str">
            <v>700001</v>
          </cell>
          <cell r="C1129" t="str">
            <v>INAMI - Fin de Carrière</v>
          </cell>
          <cell r="D1129" t="str">
            <v>706560</v>
          </cell>
          <cell r="E1129" t="str">
            <v>SUBVENTION CONVENTION TRIPARTITE</v>
          </cell>
          <cell r="F1129" t="str">
            <v xml:space="preserve">Chiffres d'affaires </v>
          </cell>
          <cell r="G1129" t="str">
            <v>RESULTAT OPERATIONNEL COURANT</v>
          </cell>
        </row>
        <row r="1130">
          <cell r="B1130" t="str">
            <v>700002</v>
          </cell>
          <cell r="C1130" t="str">
            <v>MUTUELLES</v>
          </cell>
          <cell r="D1130" t="str">
            <v>706560</v>
          </cell>
          <cell r="E1130" t="str">
            <v>SUBVENTION CONVENTION TRIPARTITE</v>
          </cell>
          <cell r="F1130" t="str">
            <v xml:space="preserve">Chiffres d'affaires </v>
          </cell>
          <cell r="G1130" t="str">
            <v>RESULTAT OPERATIONNEL COURANT</v>
          </cell>
        </row>
        <row r="1131">
          <cell r="B1131" t="str">
            <v>700003</v>
          </cell>
          <cell r="C1131" t="str">
            <v>Hébergement Résidents</v>
          </cell>
          <cell r="D1131" t="str">
            <v>706100</v>
          </cell>
          <cell r="E1131" t="str">
            <v>PRESTAT° SEJOUR - ANP</v>
          </cell>
          <cell r="F1131" t="str">
            <v xml:space="preserve">Chiffres d'affaires </v>
          </cell>
          <cell r="G1131" t="str">
            <v>RESULTAT OPERATIONNEL COURANT</v>
          </cell>
        </row>
        <row r="1132">
          <cell r="B1132" t="str">
            <v>700004</v>
          </cell>
          <cell r="C1132" t="str">
            <v>RECETTE SUPPL. (2E PERS.)</v>
          </cell>
          <cell r="D1132" t="str">
            <v>706100</v>
          </cell>
          <cell r="E1132" t="str">
            <v>PRESTAT° SEJOUR - ANP</v>
          </cell>
          <cell r="F1132" t="str">
            <v xml:space="preserve">Chiffres d'affaires </v>
          </cell>
          <cell r="G1132" t="str">
            <v>RESULTAT OPERATIONNEL COURANT</v>
          </cell>
        </row>
        <row r="1133">
          <cell r="B1133" t="str">
            <v>700005</v>
          </cell>
          <cell r="C1133" t="str">
            <v>Rétrocession Sociale</v>
          </cell>
          <cell r="D1133" t="str">
            <v>706100</v>
          </cell>
          <cell r="E1133" t="str">
            <v>PRESTAT° SEJOUR - ANP</v>
          </cell>
          <cell r="F1133" t="str">
            <v xml:space="preserve">Chiffres d'affaires </v>
          </cell>
          <cell r="G1133" t="str">
            <v>RESULTAT OPERATIONNEL COURANT</v>
          </cell>
        </row>
        <row r="1134">
          <cell r="B1134" t="str">
            <v>700006</v>
          </cell>
          <cell r="C1134" t="str">
            <v>RECETTE ECHELLE DE KATZ</v>
          </cell>
          <cell r="D1134" t="str">
            <v>706560</v>
          </cell>
          <cell r="E1134" t="str">
            <v>SUBVENTION CONVENTION TRIPARTITE</v>
          </cell>
          <cell r="F1134" t="str">
            <v xml:space="preserve">Chiffres d'affaires </v>
          </cell>
          <cell r="G1134" t="str">
            <v>RESULTAT OPERATIONNEL COURANT</v>
          </cell>
        </row>
        <row r="1135">
          <cell r="B1135" t="str">
            <v>700007</v>
          </cell>
          <cell r="C1135" t="str">
            <v> INAMI - PROVISION FORFAIT</v>
          </cell>
          <cell r="D1135" t="str">
            <v>706560</v>
          </cell>
          <cell r="E1135" t="str">
            <v>SUBVENTION CONVENTION TRIPARTITE</v>
          </cell>
          <cell r="F1135" t="str">
            <v xml:space="preserve">Chiffres d'affaires </v>
          </cell>
          <cell r="G1135" t="str">
            <v>RESULTAT OPERATIONNEL COURANT</v>
          </cell>
        </row>
        <row r="1136">
          <cell r="B1136" t="str">
            <v>700008</v>
          </cell>
          <cell r="C1136" t="str">
            <v>INAMI - Animation</v>
          </cell>
          <cell r="D1136" t="str">
            <v>706560</v>
          </cell>
          <cell r="E1136" t="str">
            <v>SUBVENTION CONVENTION TRIPARTITE</v>
          </cell>
          <cell r="F1136" t="str">
            <v xml:space="preserve">Chiffres d'affaires </v>
          </cell>
          <cell r="G1136" t="str">
            <v>RESULTAT OPERATIONNEL COURANT</v>
          </cell>
        </row>
        <row r="1137">
          <cell r="B1137" t="str">
            <v>700009</v>
          </cell>
          <cell r="C1137" t="str">
            <v> INAMI - Harmon. Barêmes</v>
          </cell>
          <cell r="D1137" t="str">
            <v>706560</v>
          </cell>
          <cell r="E1137" t="str">
            <v>SUBVENTION CONVENTION TRIPARTITE</v>
          </cell>
          <cell r="F1137" t="str">
            <v xml:space="preserve">Chiffres d'affaires </v>
          </cell>
          <cell r="G1137" t="str">
            <v>RESULTAT OPERATIONNEL COURANT</v>
          </cell>
        </row>
        <row r="1138">
          <cell r="B1138" t="str">
            <v>700100</v>
          </cell>
          <cell r="C1138" t="str">
            <v>RECETTE RESTAURANT/BOISSONS</v>
          </cell>
          <cell r="D1138" t="str">
            <v>706420</v>
          </cell>
          <cell r="E1138" t="str">
            <v xml:space="preserve">PRESTATION BAR                         </v>
          </cell>
          <cell r="F1138" t="str">
            <v xml:space="preserve">Chiffres d'affaires </v>
          </cell>
          <cell r="G1138" t="str">
            <v>RESULTAT OPERATIONNEL COURANT</v>
          </cell>
        </row>
        <row r="1139">
          <cell r="B1139" t="str">
            <v>700101</v>
          </cell>
          <cell r="C1139" t="str">
            <v>RECETTE ANIMATION</v>
          </cell>
          <cell r="D1139" t="str">
            <v>706329</v>
          </cell>
          <cell r="E1139" t="str">
            <v>DIVERS PRODUITS EXO</v>
          </cell>
          <cell r="F1139" t="str">
            <v xml:space="preserve">Chiffres d'affaires </v>
          </cell>
          <cell r="G1139" t="str">
            <v>RESULTAT OPERATIONNEL COURANT</v>
          </cell>
        </row>
        <row r="1140">
          <cell r="B1140" t="str">
            <v>700102</v>
          </cell>
          <cell r="C1140" t="str">
            <v>Recette Téléphone</v>
          </cell>
          <cell r="D1140" t="str">
            <v>706610</v>
          </cell>
          <cell r="E1140" t="str">
            <v xml:space="preserve">TELEPHONE                              </v>
          </cell>
          <cell r="F1140" t="str">
            <v xml:space="preserve">Chiffres d'affaires </v>
          </cell>
          <cell r="G1140" t="str">
            <v>RESULTAT OPERATIONNEL COURANT</v>
          </cell>
        </row>
        <row r="1141">
          <cell r="B1141" t="str">
            <v>700103</v>
          </cell>
          <cell r="C1141" t="str">
            <v>RECETTE TIMBRE/PHOTOC./DIVERS</v>
          </cell>
          <cell r="D1141" t="str">
            <v>706329</v>
          </cell>
          <cell r="E1141" t="str">
            <v>DIVERS PRODUITS EXO</v>
          </cell>
          <cell r="F1141" t="str">
            <v xml:space="preserve">Chiffres d'affaires </v>
          </cell>
          <cell r="G1141" t="str">
            <v>RESULTAT OPERATIONNEL COURANT</v>
          </cell>
        </row>
        <row r="1142">
          <cell r="B1142" t="str">
            <v>700104</v>
          </cell>
          <cell r="C1142" t="str">
            <v>RECETTE LIBRAIRIE</v>
          </cell>
          <cell r="D1142" t="str">
            <v>706329</v>
          </cell>
          <cell r="E1142" t="str">
            <v>DIVERS PRODUITS EXO</v>
          </cell>
          <cell r="F1142" t="str">
            <v xml:space="preserve">Chiffres d'affaires </v>
          </cell>
          <cell r="G1142" t="str">
            <v>RESULTAT OPERATIONNEL COURANT</v>
          </cell>
        </row>
        <row r="1143">
          <cell r="B1143" t="str">
            <v>700105</v>
          </cell>
          <cell r="C1143" t="str">
            <v>Recettes Diverses</v>
          </cell>
          <cell r="D1143" t="str">
            <v>706329</v>
          </cell>
          <cell r="E1143" t="str">
            <v>DIVERS PRODUITS EXO</v>
          </cell>
          <cell r="F1143" t="str">
            <v xml:space="preserve">Chiffres d'affaires </v>
          </cell>
          <cell r="G1143" t="str">
            <v>RESULTAT OPERATIONNEL COURANT</v>
          </cell>
        </row>
        <row r="1144">
          <cell r="B1144" t="str">
            <v>700200</v>
          </cell>
          <cell r="C1144" t="str">
            <v>Refacturat° TV Distribution</v>
          </cell>
          <cell r="D1144" t="str">
            <v>706340</v>
          </cell>
          <cell r="E1144" t="str">
            <v>FORFAIT TELEVISION</v>
          </cell>
          <cell r="F1144" t="str">
            <v xml:space="preserve">Chiffres d'affaires </v>
          </cell>
          <cell r="G1144" t="str">
            <v>RESULTAT OPERATIONNEL COURANT</v>
          </cell>
        </row>
        <row r="1145">
          <cell r="B1145" t="str">
            <v>700201</v>
          </cell>
          <cell r="C1145" t="str">
            <v>Refacturat° Prod. d'Inconti</v>
          </cell>
          <cell r="D1145" t="str">
            <v>706370</v>
          </cell>
          <cell r="E1145" t="str">
            <v>PRESTATION CHANGES</v>
          </cell>
          <cell r="F1145" t="str">
            <v xml:space="preserve">Chiffres d'affaires </v>
          </cell>
          <cell r="G1145" t="str">
            <v>RESULTAT OPERATIONNEL COURANT</v>
          </cell>
        </row>
        <row r="1146">
          <cell r="B1146" t="str">
            <v>700202</v>
          </cell>
          <cell r="C1146" t="str">
            <v>Refacturat° Blanchisserie</v>
          </cell>
          <cell r="D1146" t="str">
            <v>706630</v>
          </cell>
          <cell r="E1146" t="str">
            <v xml:space="preserve">PRESTATION BLANCHISSERIE               </v>
          </cell>
          <cell r="F1146" t="str">
            <v xml:space="preserve">Chiffres d'affaires </v>
          </cell>
          <cell r="G1146" t="str">
            <v>RESULTAT OPERATIONNEL COURANT</v>
          </cell>
        </row>
        <row r="1147">
          <cell r="B1147" t="str">
            <v>700203</v>
          </cell>
          <cell r="C1147" t="str">
            <v>Refacturat° Diverse</v>
          </cell>
          <cell r="D1147" t="str">
            <v>706320</v>
          </cell>
          <cell r="E1147" t="str">
            <v xml:space="preserve">DIVERS PRODUITS 19.6 %                 </v>
          </cell>
          <cell r="F1147" t="str">
            <v xml:space="preserve">Chiffres d'affaires </v>
          </cell>
          <cell r="G1147" t="str">
            <v>RESULTAT OPERATIONNEL COURANT</v>
          </cell>
        </row>
        <row r="1148">
          <cell r="B1148" t="str">
            <v>700301</v>
          </cell>
          <cell r="C1148" t="str">
            <v> Refacturat° Kinés</v>
          </cell>
          <cell r="D1148" t="str">
            <v>706320</v>
          </cell>
          <cell r="E1148" t="str">
            <v xml:space="preserve">DIVERS PRODUITS 19.6 %                 </v>
          </cell>
          <cell r="F1148" t="str">
            <v xml:space="preserve">Chiffres d'affaires </v>
          </cell>
          <cell r="G1148" t="str">
            <v>RESULTAT OPERATIONNEL COURANT</v>
          </cell>
        </row>
        <row r="1149">
          <cell r="B1149" t="str">
            <v>700302</v>
          </cell>
          <cell r="C1149" t="str">
            <v>Refacturat° Pédicures</v>
          </cell>
          <cell r="D1149" t="str">
            <v>706320</v>
          </cell>
          <cell r="E1149" t="str">
            <v xml:space="preserve">DIVERS PRODUITS 19.6 %                 </v>
          </cell>
          <cell r="F1149" t="str">
            <v xml:space="preserve">Chiffres d'affaires </v>
          </cell>
          <cell r="G1149" t="str">
            <v>RESULTAT OPERATIONNEL COURANT</v>
          </cell>
        </row>
        <row r="1150">
          <cell r="B1150" t="str">
            <v>700303</v>
          </cell>
          <cell r="C1150" t="str">
            <v>Refacturat° Coiffeurs</v>
          </cell>
          <cell r="D1150" t="str">
            <v>706532</v>
          </cell>
          <cell r="E1150" t="str">
            <v>PRESTAT° ESTHET. (prestataires salariés</v>
          </cell>
          <cell r="F1150" t="str">
            <v xml:space="preserve">Chiffres d'affaires </v>
          </cell>
          <cell r="G1150" t="str">
            <v>RESULTAT OPERATIONNEL COURANT</v>
          </cell>
        </row>
        <row r="1151">
          <cell r="B1151" t="str">
            <v>701300</v>
          </cell>
          <cell r="C1151" t="str">
            <v>RISTOURNE PHARMACIE</v>
          </cell>
          <cell r="D1151" t="str">
            <v>709605</v>
          </cell>
          <cell r="E1151" t="str">
            <v xml:space="preserve">RRR ACCORDES 5.5 %                     </v>
          </cell>
          <cell r="F1151" t="str">
            <v xml:space="preserve">Chiffres d'affaires </v>
          </cell>
          <cell r="G1151" t="str">
            <v>RESULTAT OPERATIONNEL COURANT</v>
          </cell>
        </row>
        <row r="1152">
          <cell r="B1152" t="str">
            <v>701310</v>
          </cell>
          <cell r="C1152" t="str">
            <v>RISTOURNE FOURNISSEUR</v>
          </cell>
          <cell r="D1152" t="str">
            <v>709605</v>
          </cell>
          <cell r="E1152" t="str">
            <v xml:space="preserve">RRR ACCORDES 5.5 %                     </v>
          </cell>
          <cell r="F1152" t="str">
            <v xml:space="preserve">Chiffres d'affaires </v>
          </cell>
          <cell r="G1152" t="str">
            <v>RESULTAT OPERATIONNEL COURANT</v>
          </cell>
        </row>
        <row r="1153">
          <cell r="B1153" t="str">
            <v>701400</v>
          </cell>
          <cell r="C1153" t="str">
            <v>Locat° Mobistar/Proximus</v>
          </cell>
          <cell r="D1153" t="str">
            <v>706610</v>
          </cell>
          <cell r="E1153" t="str">
            <v xml:space="preserve">TELEPHONE                              </v>
          </cell>
          <cell r="F1153" t="str">
            <v xml:space="preserve">Chiffres d'affaires </v>
          </cell>
          <cell r="G1153" t="str">
            <v>RESULTAT OPERATIONNEL COURANT</v>
          </cell>
        </row>
        <row r="1154">
          <cell r="B1154" t="str">
            <v>701410</v>
          </cell>
          <cell r="C1154" t="str">
            <v>Locat° Garage/Parking</v>
          </cell>
          <cell r="D1154" t="str">
            <v>706100</v>
          </cell>
          <cell r="E1154" t="str">
            <v>PRESTAT° SEJOUR - ANP</v>
          </cell>
          <cell r="F1154" t="str">
            <v xml:space="preserve">Chiffres d'affaires </v>
          </cell>
          <cell r="G1154" t="str">
            <v>RESULTAT OPERATIONNEL COURANT</v>
          </cell>
        </row>
        <row r="1155">
          <cell r="B1155" t="str">
            <v>701420</v>
          </cell>
          <cell r="C1155" t="str">
            <v>Locat° Kinés</v>
          </cell>
          <cell r="D1155" t="str">
            <v>706500</v>
          </cell>
          <cell r="E1155" t="str">
            <v>LOYERS DIVERS - FORFAIT (coiffeur, ¿)</v>
          </cell>
          <cell r="F1155" t="str">
            <v xml:space="preserve">Chiffres d'affaires </v>
          </cell>
          <cell r="G1155" t="str">
            <v>RESULTAT OPERATIONNEL COURANT</v>
          </cell>
        </row>
        <row r="1156">
          <cell r="B1156" t="str">
            <v>701430</v>
          </cell>
          <cell r="C1156" t="str">
            <v>Locat° Pédicures</v>
          </cell>
          <cell r="D1156" t="str">
            <v>706500</v>
          </cell>
          <cell r="E1156" t="str">
            <v>LOYERS DIVERS - FORFAIT (coiffeur, ¿)</v>
          </cell>
          <cell r="F1156" t="str">
            <v xml:space="preserve">Chiffres d'affaires </v>
          </cell>
          <cell r="G1156" t="str">
            <v>RESULTAT OPERATIONNEL COURANT</v>
          </cell>
        </row>
        <row r="1157">
          <cell r="B1157" t="str">
            <v>701440</v>
          </cell>
          <cell r="C1157" t="str">
            <v>Locat° Coiffeuses</v>
          </cell>
          <cell r="D1157" t="str">
            <v>706500</v>
          </cell>
          <cell r="E1157" t="str">
            <v>LOYERS DIVERS - FORFAIT (coiffeur, ¿)</v>
          </cell>
          <cell r="F1157" t="str">
            <v xml:space="preserve">Chiffres d'affaires </v>
          </cell>
          <cell r="G1157" t="str">
            <v>RESULTAT OPERATIONNEL COURANT</v>
          </cell>
        </row>
        <row r="1158">
          <cell r="B1158" t="str">
            <v>701450</v>
          </cell>
          <cell r="C1158" t="str">
            <v>Locat° Concierge</v>
          </cell>
          <cell r="D1158" t="str">
            <v>706500</v>
          </cell>
          <cell r="E1158" t="str">
            <v>LOYERS DIVERS - FORFAIT (coiffeur, ¿)</v>
          </cell>
          <cell r="F1158" t="str">
            <v xml:space="preserve">Chiffres d'affaires </v>
          </cell>
          <cell r="G1158" t="str">
            <v>RESULTAT OPERATIONNEL COURANT</v>
          </cell>
        </row>
        <row r="1159">
          <cell r="B1159" t="str">
            <v>701460</v>
          </cell>
          <cell r="C1159" t="str">
            <v>Locat° Bips</v>
          </cell>
          <cell r="D1159" t="str">
            <v>706320</v>
          </cell>
          <cell r="E1159" t="str">
            <v xml:space="preserve">DIVERS PRODUITS 19.6 %                 </v>
          </cell>
          <cell r="F1159" t="str">
            <v xml:space="preserve">Chiffres d'affaires </v>
          </cell>
          <cell r="G1159" t="str">
            <v>RESULTAT OPERATIONNEL COURANT</v>
          </cell>
        </row>
        <row r="1160">
          <cell r="B1160" t="str">
            <v>701470</v>
          </cell>
          <cell r="C1160" t="str">
            <v>Locat° Morgue</v>
          </cell>
          <cell r="D1160" t="str">
            <v>706320</v>
          </cell>
          <cell r="E1160" t="str">
            <v xml:space="preserve">DIVERS PRODUITS 19.6 %                 </v>
          </cell>
          <cell r="F1160" t="str">
            <v xml:space="preserve">Chiffres d'affaires </v>
          </cell>
          <cell r="G1160" t="str">
            <v>RESULTAT OPERATIONNEL COURANT</v>
          </cell>
        </row>
        <row r="1161">
          <cell r="B1161" t="str">
            <v>702000</v>
          </cell>
          <cell r="C1161" t="str">
            <v>Hébergement Résidence Services</v>
          </cell>
          <cell r="D1161" t="str">
            <v>706160</v>
          </cell>
          <cell r="E1161" t="str">
            <v xml:space="preserve">PRESTAT° LOYER RES. SERVICE            </v>
          </cell>
          <cell r="F1161" t="str">
            <v xml:space="preserve">Chiffres d'affaires </v>
          </cell>
          <cell r="G1161" t="str">
            <v>RESULTAT OPERATIONNEL COURANT</v>
          </cell>
        </row>
        <row r="1162">
          <cell r="B1162" t="str">
            <v>707000</v>
          </cell>
          <cell r="C1162" t="str">
            <v>Rémunération d'Administrateur</v>
          </cell>
          <cell r="D1162" t="str">
            <v>708301</v>
          </cell>
          <cell r="E1162" t="str">
            <v>FRAIS DE SIEGE FILIALES</v>
          </cell>
          <cell r="F1162" t="str">
            <v xml:space="preserve">Chiffres d'affaires </v>
          </cell>
          <cell r="G1162" t="str">
            <v>RESULTAT OPERATIONNEL COURANT</v>
          </cell>
        </row>
        <row r="1163">
          <cell r="B1163" t="str">
            <v>707001</v>
          </cell>
          <cell r="C1163" t="str">
            <v>Tantièmes</v>
          </cell>
          <cell r="D1163" t="str">
            <v>761000</v>
          </cell>
          <cell r="E1163" t="str">
            <v>PRODUITS DE PARTICIPATION</v>
          </cell>
          <cell r="F1163" t="str">
            <v>Produits financiers de participations</v>
          </cell>
          <cell r="G1163" t="str">
            <v>Résultat net avant résultat des activités arrétées</v>
          </cell>
        </row>
        <row r="1164">
          <cell r="B1164" t="str">
            <v>708000</v>
          </cell>
          <cell r="C1164" t="str">
            <v>ESCOMPTE FOURNISSEUR</v>
          </cell>
          <cell r="D1164" t="str">
            <v>709600</v>
          </cell>
          <cell r="E1164" t="str">
            <v xml:space="preserve">RRR ACCORDES 19.6 %                    </v>
          </cell>
          <cell r="F1164" t="str">
            <v xml:space="preserve">Chiffres d'affaires </v>
          </cell>
          <cell r="G1164" t="str">
            <v>RESULTAT OPERATIONNEL COURANT</v>
          </cell>
        </row>
        <row r="1165">
          <cell r="B1165" t="str">
            <v>715000</v>
          </cell>
          <cell r="C1165" t="str">
            <v>Immeuble destiné à la vente</v>
          </cell>
          <cell r="D1165" t="str">
            <v>713000</v>
          </cell>
          <cell r="E1165" t="str">
            <v>VARIAT° STOCKS  (EN COURS DE X°)</v>
          </cell>
          <cell r="F1165" t="str">
            <v>variation de stocks</v>
          </cell>
          <cell r="G1165" t="str">
            <v>RESULTAT OPERATIONNEL COURANT</v>
          </cell>
        </row>
        <row r="1166">
          <cell r="B1166" t="str">
            <v>720000</v>
          </cell>
          <cell r="C1166" t="str">
            <v>Intérêts Intercalaires</v>
          </cell>
          <cell r="D1166" t="str">
            <v>768100</v>
          </cell>
          <cell r="E1166" t="str">
            <v>AUTRES PRODUITS FINANCIERS</v>
          </cell>
          <cell r="F1166" t="str">
            <v>Autres intérêts et produits assimilés</v>
          </cell>
          <cell r="G1166" t="str">
            <v>Résultat net avant résultat des activités arrétées</v>
          </cell>
        </row>
        <row r="1167">
          <cell r="B1167" t="str">
            <v>742000</v>
          </cell>
          <cell r="C1167" t="str">
            <v>Plus Values sur Créances Com.</v>
          </cell>
          <cell r="D1167" t="str">
            <v>758000</v>
          </cell>
          <cell r="E1167" t="str">
            <v>PRODUITS DIVERS DE GEST° COURANTE</v>
          </cell>
          <cell r="F1167" t="str">
            <v>Autres produits</v>
          </cell>
          <cell r="G1167" t="str">
            <v>RESULTAT OPERATIONNEL COURANT</v>
          </cell>
        </row>
        <row r="1168">
          <cell r="B1168" t="str">
            <v>743000</v>
          </cell>
          <cell r="C1168" t="str">
            <v>Récupérat° frais de perso</v>
          </cell>
          <cell r="D1168" t="str">
            <v>791140</v>
          </cell>
          <cell r="E1168" t="str">
            <v>TRANSFERTS DE CHARGES SALARIALES</v>
          </cell>
          <cell r="F1168" t="str">
            <v>Salaires et Traitements</v>
          </cell>
          <cell r="G1168" t="str">
            <v>RESULTAT OPERATIONNEL COURANT</v>
          </cell>
        </row>
        <row r="1169">
          <cell r="B1169" t="str">
            <v>743210</v>
          </cell>
          <cell r="C1169" t="str">
            <v>Salaire garanti Employé</v>
          </cell>
          <cell r="D1169" t="str">
            <v>791900</v>
          </cell>
          <cell r="E1169" t="str">
            <v>RBST AT - MALADIE</v>
          </cell>
          <cell r="F1169" t="str">
            <v>Salaires et Traitements</v>
          </cell>
          <cell r="G1169" t="str">
            <v>RESULTAT OPERATIONNEL COURANT</v>
          </cell>
        </row>
        <row r="1170">
          <cell r="B1170" t="str">
            <v>743220</v>
          </cell>
          <cell r="C1170" t="str">
            <v>SALAIRE GARANTI OUVRIER</v>
          </cell>
          <cell r="D1170" t="str">
            <v>791900</v>
          </cell>
          <cell r="E1170" t="str">
            <v>RBST AT - MALADIE</v>
          </cell>
          <cell r="F1170" t="str">
            <v>Salaires et Traitements</v>
          </cell>
          <cell r="G1170" t="str">
            <v>RESULTAT OPERATIONNEL COURANT</v>
          </cell>
        </row>
        <row r="1171">
          <cell r="B1171" t="str">
            <v>743400</v>
          </cell>
          <cell r="C1171" t="str">
            <v>PLAN D'EMBAUCHE ET ACTIVA</v>
          </cell>
          <cell r="D1171" t="str">
            <v>741000</v>
          </cell>
          <cell r="E1171" t="str">
            <v xml:space="preserve">SUBVENTIONS AIDE EMPLOI (ANPE ASSEDIC   </v>
          </cell>
          <cell r="F1171" t="str">
            <v>Salaires et Traitements</v>
          </cell>
          <cell r="G1171" t="str">
            <v>RESULTAT OPERATIONNEL COURANT</v>
          </cell>
        </row>
        <row r="1172">
          <cell r="B1172" t="str">
            <v>743500</v>
          </cell>
          <cell r="C1172" t="str">
            <v> Réduction Précompte Professio</v>
          </cell>
          <cell r="D1172" t="str">
            <v>791800</v>
          </cell>
          <cell r="E1172" t="str">
            <v xml:space="preserve">RBST FORMATION </v>
          </cell>
          <cell r="F1172" t="str">
            <v>Autres achats et charges externes</v>
          </cell>
          <cell r="G1172" t="str">
            <v>RESULTAT OPERATIONNEL COURANT</v>
          </cell>
        </row>
        <row r="1173">
          <cell r="B1173" t="str">
            <v>745000</v>
          </cell>
          <cell r="C1173" t="str">
            <v> DIVERSES PRESTATIONS </v>
          </cell>
          <cell r="D1173" t="str">
            <v>609000</v>
          </cell>
          <cell r="E1173" t="str">
            <v xml:space="preserve">RABAIS, REMISES, RISTOURNES OBTENUS    </v>
          </cell>
          <cell r="F1173" t="str">
            <v>Achats mat prem et autres appro</v>
          </cell>
          <cell r="G1173" t="str">
            <v>RESULTAT OPERATIONNEL COURANT</v>
          </cell>
        </row>
        <row r="1174">
          <cell r="B1174" t="str">
            <v>746000</v>
          </cell>
          <cell r="C1174" t="str">
            <v>Intervent° assur. incendie</v>
          </cell>
          <cell r="D1174" t="str">
            <v>791600</v>
          </cell>
          <cell r="E1174" t="str">
            <v>RBST D'ASSURANCE</v>
          </cell>
          <cell r="F1174" t="str">
            <v>Autres achats et charges externes</v>
          </cell>
          <cell r="G1174" t="str">
            <v>RESULTAT OPERATIONNEL COURANT</v>
          </cell>
        </row>
        <row r="1175">
          <cell r="B1175" t="str">
            <v>746001</v>
          </cell>
          <cell r="C1175" t="str">
            <v>Intervent° assur. vol</v>
          </cell>
          <cell r="D1175" t="str">
            <v>791600</v>
          </cell>
          <cell r="E1175" t="str">
            <v>RBST D'ASSURANCE</v>
          </cell>
          <cell r="F1175" t="str">
            <v>Autres achats et charges externes</v>
          </cell>
          <cell r="G1175" t="str">
            <v>RESULTAT OPERATIONNEL COURANT</v>
          </cell>
        </row>
        <row r="1176">
          <cell r="B1176" t="str">
            <v>746002</v>
          </cell>
          <cell r="C1176" t="str">
            <v>Intervent° assur. vol</v>
          </cell>
          <cell r="D1176" t="str">
            <v>791600</v>
          </cell>
          <cell r="E1176" t="str">
            <v>RBST D'ASSURANCE</v>
          </cell>
          <cell r="F1176" t="str">
            <v>Autres achats et charges externes</v>
          </cell>
          <cell r="G1176" t="str">
            <v>RESULTAT OPERATIONNEL COURANT</v>
          </cell>
        </row>
        <row r="1177">
          <cell r="B1177" t="str">
            <v>746003</v>
          </cell>
          <cell r="C1177" t="str">
            <v>Interv. assur. Voiture (80%)</v>
          </cell>
          <cell r="D1177" t="str">
            <v>791600</v>
          </cell>
          <cell r="E1177" t="str">
            <v>RBST D'ASSURANCE</v>
          </cell>
          <cell r="F1177" t="str">
            <v>Autres achats et charges externes</v>
          </cell>
          <cell r="G1177" t="str">
            <v>RESULTAT OPERATIONNEL COURANT</v>
          </cell>
        </row>
        <row r="1178">
          <cell r="B1178" t="str">
            <v>746004</v>
          </cell>
          <cell r="C1178" t="str">
            <v>INTERV. ASSUR. VOITURE (75%)</v>
          </cell>
          <cell r="D1178" t="str">
            <v>791600</v>
          </cell>
          <cell r="E1178" t="str">
            <v>RBST D'ASSURANCE</v>
          </cell>
          <cell r="F1178" t="str">
            <v>Autres achats et charges externes</v>
          </cell>
          <cell r="G1178" t="str">
            <v>RESULTAT OPERATIONNEL COURANT</v>
          </cell>
        </row>
        <row r="1179">
          <cell r="B1179" t="str">
            <v>746005</v>
          </cell>
          <cell r="C1179" t="str">
            <v>Interv. assur. Voiture (70%)</v>
          </cell>
          <cell r="D1179" t="str">
            <v>791600</v>
          </cell>
          <cell r="E1179" t="str">
            <v>RBST D'ASSURANCE</v>
          </cell>
          <cell r="F1179" t="str">
            <v>Autres achats et charges externes</v>
          </cell>
          <cell r="G1179" t="str">
            <v>RESULTAT OPERATIONNEL COURANT</v>
          </cell>
        </row>
        <row r="1180">
          <cell r="B1180" t="str">
            <v>746008</v>
          </cell>
          <cell r="C1180" t="str">
            <v>Intervent° assur. RC</v>
          </cell>
          <cell r="D1180" t="str">
            <v>791600</v>
          </cell>
          <cell r="E1180" t="str">
            <v>RBST D'ASSURANCE</v>
          </cell>
          <cell r="F1180" t="str">
            <v>Autres achats et charges externes</v>
          </cell>
          <cell r="G1180" t="str">
            <v>RESULTAT OPERATIONNEL COURANT</v>
          </cell>
        </row>
        <row r="1181">
          <cell r="B1181" t="str">
            <v>746009</v>
          </cell>
          <cell r="C1181" t="str">
            <v>Intervent° assur. Diverse</v>
          </cell>
          <cell r="D1181" t="str">
            <v>791600</v>
          </cell>
          <cell r="E1181" t="str">
            <v>RBST D'ASSURANCE</v>
          </cell>
          <cell r="F1181" t="str">
            <v>Autres achats et charges externes</v>
          </cell>
          <cell r="G1181" t="str">
            <v>RESULTAT OPERATIONNEL COURANT</v>
          </cell>
        </row>
        <row r="1182">
          <cell r="B1182" t="str">
            <v>746300</v>
          </cell>
          <cell r="C1182" t="str">
            <v>A Utiliser</v>
          </cell>
          <cell r="D1182" t="str">
            <v>791000</v>
          </cell>
          <cell r="E1182" t="str">
            <v>TRANSFERTS DE CHARGES D'EXPLOITAT°</v>
          </cell>
          <cell r="F1182" t="str">
            <v>Rep prov amort transfert</v>
          </cell>
          <cell r="G1182" t="str">
            <v>RESULTAT OPERATIONNEL COURANT</v>
          </cell>
        </row>
        <row r="1183">
          <cell r="B1183" t="str">
            <v>748000</v>
          </cell>
          <cell r="C1183" t="str">
            <v>C/c XXX-XXXXXXX-XX</v>
          </cell>
          <cell r="D1183" t="str">
            <v>758000</v>
          </cell>
          <cell r="E1183" t="str">
            <v>PRODUITS DIVERS DE GEST° COURANTE</v>
          </cell>
          <cell r="F1183" t="str">
            <v>Autres produits</v>
          </cell>
          <cell r="G1183" t="str">
            <v>RESULTAT OPERATIONNEL COURANT</v>
          </cell>
        </row>
        <row r="1184">
          <cell r="B1184" t="str">
            <v>748001</v>
          </cell>
          <cell r="C1184" t="str">
            <v>Régul. produits exerc. antér.</v>
          </cell>
          <cell r="D1184" t="str">
            <v>758000</v>
          </cell>
          <cell r="E1184" t="str">
            <v>PRODUITS DIVERS DE GEST° COURANTE</v>
          </cell>
          <cell r="F1184" t="str">
            <v>Autres produits</v>
          </cell>
          <cell r="G1184" t="str">
            <v>RESULTAT OPERATIONNEL COURANT</v>
          </cell>
        </row>
        <row r="1185">
          <cell r="B1185" t="str">
            <v>748190</v>
          </cell>
          <cell r="C1185" t="str">
            <v> Récupération ATN (100%)</v>
          </cell>
          <cell r="D1185" t="str">
            <v>648200</v>
          </cell>
          <cell r="E1185" t="str">
            <v>REGULARISAT° ORGANISMES SOCIAUX (D&amp;C)</v>
          </cell>
          <cell r="F1185" t="str">
            <v>Charges sociales</v>
          </cell>
          <cell r="G1185" t="str">
            <v>RESULTAT OPERATIONNEL COURANT</v>
          </cell>
        </row>
        <row r="1186">
          <cell r="B1186" t="str">
            <v>748999</v>
          </cell>
          <cell r="C1186" t="str">
            <v>Loyers Intra Groupe</v>
          </cell>
          <cell r="D1186" t="str">
            <v>706000</v>
          </cell>
          <cell r="E1186" t="str">
            <v>PRESTAT° LOYERS SCI/SITES</v>
          </cell>
          <cell r="F1186" t="str">
            <v xml:space="preserve">Chiffres d'affaires </v>
          </cell>
          <cell r="G1186" t="str">
            <v>RESULTAT OPERATIONNEL COURANT</v>
          </cell>
        </row>
        <row r="1187">
          <cell r="B1187" t="str">
            <v>749000</v>
          </cell>
          <cell r="C1187" t="str">
            <v>Loyers Hors-Groupe</v>
          </cell>
          <cell r="D1187" t="str">
            <v>758000</v>
          </cell>
          <cell r="E1187" t="str">
            <v>PRODUITS DIVERS DE GEST° COURANTE</v>
          </cell>
          <cell r="F1187" t="str">
            <v>Autres produits</v>
          </cell>
          <cell r="G1187" t="str">
            <v>RESULTAT OPERATIONNEL COURANT</v>
          </cell>
        </row>
        <row r="1188">
          <cell r="B1188" t="str">
            <v>749001</v>
          </cell>
          <cell r="C1188" t="str">
            <v>Charges locatives perçues</v>
          </cell>
          <cell r="D1188" t="str">
            <v>758000</v>
          </cell>
          <cell r="E1188" t="str">
            <v>PRODUITS DIVERS DE GEST° COURANTE</v>
          </cell>
          <cell r="F1188" t="str">
            <v>Autres produits</v>
          </cell>
          <cell r="G1188" t="str">
            <v>RESULTAT OPERATIONNEL COURANT</v>
          </cell>
        </row>
        <row r="1189">
          <cell r="B1189" t="str">
            <v>749002</v>
          </cell>
          <cell r="C1189" t="str">
            <v>Remise en état chbre (sortie</v>
          </cell>
          <cell r="D1189" t="str">
            <v>706100</v>
          </cell>
          <cell r="E1189" t="str">
            <v>PRESTAT° SEJOUR - ANP</v>
          </cell>
          <cell r="F1189" t="str">
            <v xml:space="preserve">Chiffres d'affaires </v>
          </cell>
          <cell r="G1189" t="str">
            <v>RESULTAT OPERATIONNEL COURANT</v>
          </cell>
        </row>
        <row r="1190">
          <cell r="B1190" t="str">
            <v>749003</v>
          </cell>
          <cell r="C1190" t="str">
            <v>Précompte Immob. à refact.</v>
          </cell>
          <cell r="D1190" t="str">
            <v>758000</v>
          </cell>
          <cell r="E1190" t="str">
            <v>PRODUITS DIVERS DE GEST° COURANTE</v>
          </cell>
          <cell r="F1190" t="str">
            <v>Autres produits</v>
          </cell>
          <cell r="G1190" t="str">
            <v>RESULTAT OPERATIONNEL COURANT</v>
          </cell>
        </row>
        <row r="1191">
          <cell r="B1191" t="str">
            <v>749004</v>
          </cell>
          <cell r="C1191" t="str">
            <v>SERVICES LOCATION</v>
          </cell>
          <cell r="D1191" t="str">
            <v>758000</v>
          </cell>
          <cell r="E1191" t="str">
            <v>PRODUITS DIVERS DE GEST° COURANTE</v>
          </cell>
          <cell r="F1191" t="str">
            <v>Autres produits</v>
          </cell>
          <cell r="G1191" t="str">
            <v>RESULTAT OPERATIONNEL COURANT</v>
          </cell>
        </row>
        <row r="1192">
          <cell r="B1192" t="str">
            <v>749100</v>
          </cell>
          <cell r="C1192" t="str">
            <v>REFACTUR. INTER-SOC. ELECTR.</v>
          </cell>
          <cell r="D1192" t="str">
            <v>708330</v>
          </cell>
          <cell r="E1192" t="str">
            <v>REFACT° INTERNES INTER STRUCT. JURIDIQU</v>
          </cell>
          <cell r="F1192" t="str">
            <v xml:space="preserve">Chiffres d'affaires </v>
          </cell>
          <cell r="G1192" t="str">
            <v>RESULTAT OPERATIONNEL COURANT</v>
          </cell>
        </row>
        <row r="1193">
          <cell r="B1193" t="str">
            <v>749101</v>
          </cell>
          <cell r="C1193" t="str">
            <v>Refactur. Inter-soc.Maint.</v>
          </cell>
          <cell r="D1193" t="str">
            <v>708330</v>
          </cell>
          <cell r="E1193" t="str">
            <v>REFACT° INTERNES INTER STRUCT. JURIDIQU</v>
          </cell>
          <cell r="F1193" t="str">
            <v xml:space="preserve">Chiffres d'affaires </v>
          </cell>
          <cell r="G1193" t="str">
            <v>RESULTAT OPERATIONNEL COURANT</v>
          </cell>
        </row>
        <row r="1194">
          <cell r="B1194" t="str">
            <v>749102</v>
          </cell>
          <cell r="C1194" t="str">
            <v>REFACTUR. INTER-SOC.BLANCHIS</v>
          </cell>
          <cell r="D1194" t="str">
            <v>708330</v>
          </cell>
          <cell r="E1194" t="str">
            <v>REFACT° INTERNES INTER STRUCT. JURIDIQU</v>
          </cell>
          <cell r="F1194" t="str">
            <v xml:space="preserve">Chiffres d'affaires </v>
          </cell>
          <cell r="G1194" t="str">
            <v>RESULTAT OPERATIONNEL COURANT</v>
          </cell>
        </row>
        <row r="1195">
          <cell r="B1195" t="str">
            <v>749103</v>
          </cell>
          <cell r="C1195" t="str">
            <v>REFACTUR. INTER-SOC. AUTRE</v>
          </cell>
          <cell r="D1195" t="str">
            <v>708330</v>
          </cell>
          <cell r="E1195" t="str">
            <v>REFACT° INTERNES INTER STRUCT. JURIDIQU</v>
          </cell>
          <cell r="F1195" t="str">
            <v xml:space="preserve">Chiffres d'affaires </v>
          </cell>
          <cell r="G1195" t="str">
            <v>RESULTAT OPERATIONNEL COURANT</v>
          </cell>
        </row>
        <row r="1196">
          <cell r="B1196" t="str">
            <v>749110</v>
          </cell>
          <cell r="C1196" t="str">
            <v>Loyer Hors Groupe (appart .)</v>
          </cell>
          <cell r="D1196" t="str">
            <v>758000</v>
          </cell>
          <cell r="E1196" t="str">
            <v>PRODUITS DIVERS DE GEST° COURANTE</v>
          </cell>
          <cell r="F1196" t="str">
            <v>Autres produits</v>
          </cell>
          <cell r="G1196" t="str">
            <v>RESULTAT OPERATIONNEL COURANT</v>
          </cell>
        </row>
        <row r="1197">
          <cell r="B1197" t="str">
            <v>749200</v>
          </cell>
          <cell r="C1197" t="str">
            <v>Intervent° Onem</v>
          </cell>
          <cell r="D1197" t="str">
            <v>741000</v>
          </cell>
          <cell r="E1197" t="str">
            <v xml:space="preserve">SUBVENTIONS AIDE EMPLOI (ANPE ASSEDIC   </v>
          </cell>
          <cell r="F1197" t="str">
            <v>Salaires et Traitements</v>
          </cell>
          <cell r="G1197" t="str">
            <v>RESULTAT OPERATIONNEL COURANT</v>
          </cell>
        </row>
        <row r="1198">
          <cell r="B1198" t="str">
            <v>749201</v>
          </cell>
          <cell r="C1198" t="str">
            <v>Intervent° + de 45 - 50 ans</v>
          </cell>
          <cell r="D1198" t="str">
            <v>741000</v>
          </cell>
          <cell r="E1198" t="str">
            <v xml:space="preserve">SUBVENTIONS AIDE EMPLOI (ANPE ASSEDIC   </v>
          </cell>
          <cell r="F1198" t="str">
            <v>Salaires et Traitements</v>
          </cell>
          <cell r="G1198" t="str">
            <v>RESULTAT OPERATIONNEL COURANT</v>
          </cell>
        </row>
        <row r="1199">
          <cell r="B1199" t="str">
            <v>749202</v>
          </cell>
          <cell r="C1199" t="str">
            <v>INTERVENTION 3E VOLET</v>
          </cell>
          <cell r="D1199" t="str">
            <v>741000</v>
          </cell>
          <cell r="E1199" t="str">
            <v xml:space="preserve">SUBVENTIONS AIDE EMPLOI (ANPE ASSEDIC   </v>
          </cell>
          <cell r="F1199" t="str">
            <v>Salaires et Traitements</v>
          </cell>
          <cell r="G1199" t="str">
            <v>RESULTAT OPERATIONNEL COURANT</v>
          </cell>
        </row>
        <row r="1200">
          <cell r="B1200" t="str">
            <v>749203</v>
          </cell>
          <cell r="C1200" t="str">
            <v>Intervent° diverses</v>
          </cell>
          <cell r="D1200" t="str">
            <v>741000</v>
          </cell>
          <cell r="E1200" t="str">
            <v xml:space="preserve">SUBVENTIONS AIDE EMPLOI (ANPE ASSEDIC   </v>
          </cell>
          <cell r="F1200" t="str">
            <v>Subventions d'exploitation</v>
          </cell>
          <cell r="G1200" t="str">
            <v>RESULTAT OPERATIONNEL COURANT</v>
          </cell>
        </row>
        <row r="1201">
          <cell r="B1201" t="str">
            <v>749204</v>
          </cell>
          <cell r="C1201" t="str">
            <v>REPAS POUR LE PERSONNEL</v>
          </cell>
          <cell r="D1201" t="str">
            <v>706312</v>
          </cell>
          <cell r="E1201" t="str">
            <v xml:space="preserve">REPAS PERSONNEL                        </v>
          </cell>
          <cell r="F1201" t="str">
            <v xml:space="preserve">Chiffres d'affaires </v>
          </cell>
          <cell r="G1201" t="str">
            <v>RESULTAT OPERATIONNEL COURANT</v>
          </cell>
        </row>
        <row r="1202">
          <cell r="B1202" t="str">
            <v>749205</v>
          </cell>
          <cell r="C1202" t="str">
            <v>Récupérat°  Chèques-repas</v>
          </cell>
          <cell r="D1202" t="str">
            <v>706310</v>
          </cell>
          <cell r="E1202" t="str">
            <v>REPAS INVITES 19.6%</v>
          </cell>
          <cell r="F1202" t="str">
            <v xml:space="preserve">Chiffres d'affaires </v>
          </cell>
          <cell r="G1202" t="str">
            <v>RESULTAT OPERATIONNEL COURANT</v>
          </cell>
        </row>
        <row r="1203">
          <cell r="B1203" t="str">
            <v>749206</v>
          </cell>
          <cell r="C1203" t="str">
            <v>Téléphone du personnel</v>
          </cell>
          <cell r="D1203" t="str">
            <v>706610</v>
          </cell>
          <cell r="E1203" t="str">
            <v xml:space="preserve">TELEPHONE                              </v>
          </cell>
          <cell r="F1203" t="str">
            <v xml:space="preserve">Chiffres d'affaires </v>
          </cell>
          <cell r="G1203" t="str">
            <v>RESULTAT OPERATIONNEL COURANT</v>
          </cell>
        </row>
        <row r="1204">
          <cell r="B1204" t="str">
            <v>749207</v>
          </cell>
          <cell r="C1204" t="str">
            <v> Récupération ATN (90%)</v>
          </cell>
          <cell r="D1204" t="str">
            <v>648200</v>
          </cell>
          <cell r="E1204" t="str">
            <v>REGULARISAT° ORGANISMES SOCIAUX (D&amp;C)</v>
          </cell>
          <cell r="F1204" t="str">
            <v>Charges sociales</v>
          </cell>
          <cell r="G1204" t="str">
            <v>RESULTAT OPERATIONNEL COURANT</v>
          </cell>
        </row>
        <row r="1205">
          <cell r="B1205" t="str">
            <v>749208</v>
          </cell>
          <cell r="C1205" t="str">
            <v> AUTRES PRODUITS D'EXPLOITATIO</v>
          </cell>
          <cell r="D1205" t="str">
            <v>758000</v>
          </cell>
          <cell r="E1205" t="str">
            <v>PRODUITS DIVERS DE GEST° COURANTE</v>
          </cell>
          <cell r="F1205" t="str">
            <v>Autres produits</v>
          </cell>
          <cell r="G1205" t="str">
            <v>RESULTAT OPERATIONNEL COURANT</v>
          </cell>
        </row>
        <row r="1206">
          <cell r="B1206" t="str">
            <v>749209</v>
          </cell>
          <cell r="C1206" t="str">
            <v>Récupération ATN (85%)</v>
          </cell>
          <cell r="D1206" t="str">
            <v>648200</v>
          </cell>
          <cell r="E1206" t="str">
            <v>REGULARISAT° ORGANISMES SOCIAUX (D&amp;C)</v>
          </cell>
          <cell r="F1206" t="str">
            <v>Charges sociales</v>
          </cell>
          <cell r="G1206" t="str">
            <v>RESULTAT OPERATIONNEL COURANT</v>
          </cell>
        </row>
        <row r="1207">
          <cell r="B1207" t="str">
            <v>749210</v>
          </cell>
          <cell r="C1207" t="str">
            <v>Récupération ATN (80%)</v>
          </cell>
          <cell r="D1207" t="str">
            <v>648200</v>
          </cell>
          <cell r="E1207" t="str">
            <v>REGULARISAT° ORGANISMES SOCIAUX (D&amp;C)</v>
          </cell>
          <cell r="F1207" t="str">
            <v>Charges sociales</v>
          </cell>
          <cell r="G1207" t="str">
            <v>RESULTAT OPERATIONNEL COURANT</v>
          </cell>
        </row>
        <row r="1208">
          <cell r="B1208" t="str">
            <v>749211</v>
          </cell>
          <cell r="C1208" t="str">
            <v>Récupération ATN (75%)</v>
          </cell>
          <cell r="D1208" t="str">
            <v>648200</v>
          </cell>
          <cell r="E1208" t="str">
            <v>REGULARISAT° ORGANISMES SOCIAUX (D&amp;C)</v>
          </cell>
          <cell r="F1208" t="str">
            <v>Charges sociales</v>
          </cell>
          <cell r="G1208" t="str">
            <v>RESULTAT OPERATIONNEL COURANT</v>
          </cell>
        </row>
        <row r="1209">
          <cell r="B1209" t="str">
            <v>749212</v>
          </cell>
          <cell r="C1209" t="str">
            <v>Récupération ATN (60%)</v>
          </cell>
          <cell r="D1209" t="str">
            <v>648200</v>
          </cell>
          <cell r="E1209" t="str">
            <v>REGULARISAT° ORGANISMES SOCIAUX (D&amp;C)</v>
          </cell>
          <cell r="F1209" t="str">
            <v>Charges sociales</v>
          </cell>
          <cell r="G1209" t="str">
            <v>RESULTAT OPERATIONNEL COURANT</v>
          </cell>
        </row>
        <row r="1210">
          <cell r="B1210" t="str">
            <v>749213</v>
          </cell>
          <cell r="C1210" t="str">
            <v>Récupération ATN (70%)</v>
          </cell>
          <cell r="D1210" t="str">
            <v>648200</v>
          </cell>
          <cell r="E1210" t="str">
            <v>REGULARISAT° ORGANISMES SOCIAUX (D&amp;C)</v>
          </cell>
          <cell r="F1210" t="str">
            <v>Charges sociales</v>
          </cell>
          <cell r="G1210" t="str">
            <v>RESULTAT OPERATIONNEL COURANT</v>
          </cell>
        </row>
        <row r="1211">
          <cell r="B1211" t="str">
            <v>749214</v>
          </cell>
          <cell r="C1211" t="str">
            <v>Récupération ATN (50%)</v>
          </cell>
          <cell r="D1211" t="str">
            <v>648200</v>
          </cell>
          <cell r="E1211" t="str">
            <v>REGULARISAT° ORGANISMES SOCIAUX (D&amp;C)</v>
          </cell>
          <cell r="F1211" t="str">
            <v>Charges sociales</v>
          </cell>
          <cell r="G1211" t="str">
            <v>RESULTAT OPERATIONNEL COURANT</v>
          </cell>
        </row>
        <row r="1212">
          <cell r="B1212" t="str">
            <v>750000</v>
          </cell>
          <cell r="C1212" t="str">
            <v> Résultat Manujac SCI </v>
          </cell>
          <cell r="D1212" t="str">
            <v>768100</v>
          </cell>
          <cell r="E1212" t="str">
            <v>AUTRES PRODUITS FINANCIERS</v>
          </cell>
          <cell r="F1212" t="str">
            <v>Autres intérêts et produits assimilés</v>
          </cell>
          <cell r="G1212" t="str">
            <v>Résultat net avant résultat des activités arrétées</v>
          </cell>
        </row>
        <row r="1213">
          <cell r="B1213" t="str">
            <v>750001</v>
          </cell>
          <cell r="C1213" t="str">
            <v>Revenus s/ Participat° Financ</v>
          </cell>
          <cell r="D1213" t="str">
            <v>768100</v>
          </cell>
          <cell r="E1213" t="str">
            <v>AUTRES PRODUITS FINANCIERS</v>
          </cell>
          <cell r="F1213" t="str">
            <v>Autres intérêts et produits assimilés</v>
          </cell>
          <cell r="G1213" t="str">
            <v>Résultat net avant résultat des activités arrétées</v>
          </cell>
        </row>
        <row r="1214">
          <cell r="B1214" t="str">
            <v>750570</v>
          </cell>
          <cell r="C1214" t="str">
            <v>Intérêts sur C/C</v>
          </cell>
          <cell r="D1214" t="str">
            <v>768200</v>
          </cell>
          <cell r="E1214" t="str">
            <v>PRODUITS FIN. INTRA GROUPE</v>
          </cell>
          <cell r="F1214" t="str">
            <v>Intérêts et charges financières</v>
          </cell>
          <cell r="G1214" t="str">
            <v>Résultat net avant résultat des activités arrétées</v>
          </cell>
        </row>
        <row r="1215">
          <cell r="B1215" t="str">
            <v>751200</v>
          </cell>
          <cell r="C1215" t="str">
            <v>Fortis - Intérêts bancaires</v>
          </cell>
          <cell r="D1215" t="str">
            <v>768100</v>
          </cell>
          <cell r="E1215" t="str">
            <v>AUTRES PRODUITS FINANCIERS</v>
          </cell>
          <cell r="F1215" t="str">
            <v>Autres intérêts et produits assimilés</v>
          </cell>
          <cell r="G1215" t="str">
            <v>Résultat net avant résultat des activités arrétées</v>
          </cell>
        </row>
        <row r="1216">
          <cell r="B1216" t="str">
            <v>751210</v>
          </cell>
          <cell r="C1216" t="str">
            <v>Dexia - Intérêts bancaires</v>
          </cell>
          <cell r="D1216" t="str">
            <v>768100</v>
          </cell>
          <cell r="E1216" t="str">
            <v>AUTRES PRODUITS FINANCIERS</v>
          </cell>
          <cell r="F1216" t="str">
            <v>Autres intérêts et produits assimilés</v>
          </cell>
          <cell r="G1216" t="str">
            <v>Résultat net avant résultat des activités arrétées</v>
          </cell>
        </row>
        <row r="1217">
          <cell r="B1217" t="str">
            <v>751220</v>
          </cell>
          <cell r="C1217" t="str">
            <v>ING - Intérêts bancaires</v>
          </cell>
          <cell r="D1217" t="str">
            <v>768100</v>
          </cell>
          <cell r="E1217" t="str">
            <v>AUTRES PRODUITS FINANCIERS</v>
          </cell>
          <cell r="F1217" t="str">
            <v>Autres intérêts et produits assimilés</v>
          </cell>
          <cell r="G1217" t="str">
            <v>Résultat net avant résultat des activités arrétées</v>
          </cell>
        </row>
        <row r="1218">
          <cell r="B1218" t="str">
            <v>751230</v>
          </cell>
          <cell r="C1218" t="str">
            <v>CBC - Intérêts bancaires</v>
          </cell>
          <cell r="D1218" t="str">
            <v>768100</v>
          </cell>
          <cell r="E1218" t="str">
            <v>AUTRES PRODUITS FINANCIERS</v>
          </cell>
          <cell r="F1218" t="str">
            <v>Autres intérêts et produits assimilés</v>
          </cell>
          <cell r="G1218" t="str">
            <v>Résultat net avant résultat des activités arrétées</v>
          </cell>
        </row>
        <row r="1219">
          <cell r="B1219" t="str">
            <v>751240</v>
          </cell>
          <cell r="C1219" t="str">
            <v>KBC - Intérêts bancaires</v>
          </cell>
          <cell r="D1219" t="str">
            <v>768100</v>
          </cell>
          <cell r="E1219" t="str">
            <v>AUTRES PRODUITS FINANCIERS</v>
          </cell>
          <cell r="F1219" t="str">
            <v>Autres intérêts et produits assimilés</v>
          </cell>
          <cell r="G1219" t="str">
            <v>Résultat net avant résultat des activités arrétées</v>
          </cell>
        </row>
        <row r="1220">
          <cell r="B1220" t="str">
            <v>751250</v>
          </cell>
          <cell r="C1220" t="str">
            <v>AXA - Intérêts bancaires</v>
          </cell>
          <cell r="D1220" t="str">
            <v>768100</v>
          </cell>
          <cell r="E1220" t="str">
            <v>AUTRES PRODUITS FINANCIERS</v>
          </cell>
          <cell r="F1220" t="str">
            <v>Autres intérêts et produits assimilés</v>
          </cell>
          <cell r="G1220" t="str">
            <v>Résultat net avant résultat des activités arrétées</v>
          </cell>
        </row>
        <row r="1221">
          <cell r="B1221" t="str">
            <v>751260</v>
          </cell>
          <cell r="C1221" t="str">
            <v>Crédit Ag - Intérêts bancaires</v>
          </cell>
          <cell r="D1221" t="str">
            <v>768100</v>
          </cell>
          <cell r="E1221" t="str">
            <v>AUTRES PRODUITS FINANCIERS</v>
          </cell>
          <cell r="F1221" t="str">
            <v>Autres intérêts et produits assimilés</v>
          </cell>
          <cell r="G1221" t="str">
            <v>Résultat net avant résultat des activités arrétées</v>
          </cell>
        </row>
        <row r="1222">
          <cell r="B1222" t="str">
            <v>751290</v>
          </cell>
          <cell r="C1222" t="str">
            <v>XXXX - Intérêts bancaires</v>
          </cell>
          <cell r="D1222" t="str">
            <v>768100</v>
          </cell>
          <cell r="E1222" t="str">
            <v>AUTRES PRODUITS FINANCIERS</v>
          </cell>
          <cell r="F1222" t="str">
            <v>Autres intérêts et produits assimilés</v>
          </cell>
          <cell r="G1222" t="str">
            <v>Résultat net avant résultat des activités arrétées</v>
          </cell>
        </row>
        <row r="1223">
          <cell r="B1223" t="str">
            <v>759100</v>
          </cell>
          <cell r="C1223" t="str">
            <v>Intérêts de retards</v>
          </cell>
          <cell r="D1223" t="str">
            <v>768100</v>
          </cell>
          <cell r="E1223" t="str">
            <v>AUTRES PRODUITS FINANCIERS</v>
          </cell>
          <cell r="F1223" t="str">
            <v>Autres intérêts et produits assimilés</v>
          </cell>
          <cell r="G1223" t="str">
            <v>Résultat net avant résultat des activités arrétées</v>
          </cell>
        </row>
        <row r="1224">
          <cell r="B1224" t="str">
            <v>759300</v>
          </cell>
          <cell r="C1224" t="str">
            <v>Différence de paiement</v>
          </cell>
          <cell r="D1224" t="str">
            <v>768100</v>
          </cell>
          <cell r="E1224" t="str">
            <v>AUTRES PRODUITS FINANCIERS</v>
          </cell>
          <cell r="F1224" t="str">
            <v>Autres intérêts et produits assimilés</v>
          </cell>
          <cell r="G1224" t="str">
            <v>Résultat net avant résultat des activités arrétées</v>
          </cell>
        </row>
        <row r="1225">
          <cell r="B1225" t="str">
            <v>759900</v>
          </cell>
          <cell r="C1225" t="str">
            <v>PRODUITS FINANCIERS DIVERS</v>
          </cell>
          <cell r="D1225" t="str">
            <v>768100</v>
          </cell>
          <cell r="E1225" t="str">
            <v>AUTRES PRODUITS FINANCIERS</v>
          </cell>
          <cell r="F1225" t="str">
            <v>Autres intérêts et produits assimilés</v>
          </cell>
          <cell r="G1225" t="str">
            <v>Résultat net avant résultat des activités arrétées</v>
          </cell>
        </row>
        <row r="1226">
          <cell r="B1226" t="str">
            <v>760000</v>
          </cell>
          <cell r="C1226" t="str">
            <v>Reprise. amort. &amp; réduct° val</v>
          </cell>
          <cell r="D1226" t="str">
            <v>771800</v>
          </cell>
          <cell r="E1226" t="str">
            <v xml:space="preserve">PROD. EXCEP.  / OP° GESTION            </v>
          </cell>
          <cell r="F1226" t="str">
            <v xml:space="preserve">Produits exceptionnels sur opérations de gestion </v>
          </cell>
          <cell r="G1226" t="str">
            <v>RESULTAT OPERATIONNEL</v>
          </cell>
        </row>
        <row r="1227">
          <cell r="B1227" t="str">
            <v>763000</v>
          </cell>
          <cell r="C1227" t="str">
            <v>+ Value s/réal. Intra-Groupe</v>
          </cell>
          <cell r="D1227" t="str">
            <v>771800</v>
          </cell>
          <cell r="E1227" t="str">
            <v xml:space="preserve">PROD. EXCEP.  / OP° GESTION            </v>
          </cell>
          <cell r="F1227" t="str">
            <v xml:space="preserve">Produits exceptionnels sur opérations de gestion </v>
          </cell>
          <cell r="G1227" t="str">
            <v>RESULTAT OPERATIONNEL</v>
          </cell>
        </row>
        <row r="1228">
          <cell r="B1228" t="str">
            <v>763100</v>
          </cell>
          <cell r="C1228" t="str">
            <v>+ Value voiture (90%)</v>
          </cell>
          <cell r="D1228" t="str">
            <v>771800</v>
          </cell>
          <cell r="E1228" t="str">
            <v xml:space="preserve">PROD. EXCEP.  / OP° GESTION            </v>
          </cell>
          <cell r="F1228" t="str">
            <v xml:space="preserve">Produits exceptionnels sur opérations de gestion </v>
          </cell>
          <cell r="G1228" t="str">
            <v>RESULTAT OPERATIONNEL</v>
          </cell>
        </row>
        <row r="1229">
          <cell r="B1229" t="str">
            <v>763101</v>
          </cell>
          <cell r="C1229" t="str">
            <v>+ Value s/réal. Extra Groupe</v>
          </cell>
          <cell r="D1229" t="str">
            <v>771800</v>
          </cell>
          <cell r="E1229" t="str">
            <v xml:space="preserve">PROD. EXCEP.  / OP° GESTION            </v>
          </cell>
          <cell r="F1229" t="str">
            <v xml:space="preserve">Produits exceptionnels sur opérations de gestion </v>
          </cell>
          <cell r="G1229" t="str">
            <v>RESULTAT OPERATIONNEL</v>
          </cell>
        </row>
        <row r="1230">
          <cell r="B1230" t="str">
            <v>763102</v>
          </cell>
          <cell r="C1230" t="str">
            <v>+ Value voiture (75%)</v>
          </cell>
          <cell r="D1230" t="str">
            <v>771800</v>
          </cell>
          <cell r="E1230" t="str">
            <v xml:space="preserve">PROD. EXCEP.  / OP° GESTION            </v>
          </cell>
          <cell r="F1230" t="str">
            <v xml:space="preserve">Produits exceptionnels sur opérations de gestion </v>
          </cell>
          <cell r="G1230" t="str">
            <v>RESULTAT OPERATIONNEL</v>
          </cell>
        </row>
        <row r="1231">
          <cell r="B1231" t="str">
            <v>763103</v>
          </cell>
          <cell r="C1231" t="str">
            <v>+ Value voiture (70%)</v>
          </cell>
          <cell r="D1231" t="str">
            <v>771800</v>
          </cell>
          <cell r="E1231" t="str">
            <v xml:space="preserve">PROD. EXCEP.  / OP° GESTION            </v>
          </cell>
          <cell r="F1231" t="str">
            <v xml:space="preserve">Produits exceptionnels sur opérations de gestion </v>
          </cell>
          <cell r="G1231" t="str">
            <v>RESULTAT OPERATIONNEL</v>
          </cell>
        </row>
        <row r="1232">
          <cell r="B1232" t="str">
            <v>763104</v>
          </cell>
          <cell r="C1232" t="str">
            <v>+ Value voiture (60%)</v>
          </cell>
          <cell r="D1232" t="str">
            <v>771800</v>
          </cell>
          <cell r="E1232" t="str">
            <v xml:space="preserve">PROD. EXCEP.  / OP° GESTION            </v>
          </cell>
          <cell r="F1232" t="str">
            <v xml:space="preserve">Produits exceptionnels sur opérations de gestion </v>
          </cell>
          <cell r="G1232" t="str">
            <v>RESULTAT OPERATIONNEL</v>
          </cell>
        </row>
        <row r="1233">
          <cell r="B1233" t="str">
            <v>766000</v>
          </cell>
          <cell r="C1233" t="str">
            <v> Produits exceptionnels</v>
          </cell>
          <cell r="D1233" t="str">
            <v>771800</v>
          </cell>
          <cell r="E1233" t="str">
            <v xml:space="preserve">PROD. EXCEP.  / OP° GESTION            </v>
          </cell>
          <cell r="F1233" t="str">
            <v xml:space="preserve">Produits exceptionnels sur opérations de gestion </v>
          </cell>
          <cell r="G1233" t="str">
            <v>RESULTAT OPERATIONNEL</v>
          </cell>
        </row>
        <row r="1234">
          <cell r="B1234" t="str">
            <v>766001</v>
          </cell>
          <cell r="C1234" t="str">
            <v>GARANTIE DE PASSIF</v>
          </cell>
          <cell r="D1234" t="str">
            <v>771800</v>
          </cell>
          <cell r="E1234" t="str">
            <v xml:space="preserve">PROD. EXCEP.  / OP° GESTION            </v>
          </cell>
          <cell r="F1234" t="str">
            <v xml:space="preserve">Produits exceptionnels sur opérations de gestion </v>
          </cell>
          <cell r="G1234" t="str">
            <v>RESULTAT OPERATIONNEL</v>
          </cell>
        </row>
        <row r="1235">
          <cell r="B1235" t="str">
            <v>769000</v>
          </cell>
          <cell r="C1235" t="str">
            <v>Revenus except. Intra Groupe</v>
          </cell>
          <cell r="D1235" t="str">
            <v>771800</v>
          </cell>
          <cell r="E1235" t="str">
            <v xml:space="preserve">PROD. EXCEP.  / OP° GESTION            </v>
          </cell>
          <cell r="F1235" t="str">
            <v xml:space="preserve">Produits exceptionnels sur opérations de gestion </v>
          </cell>
          <cell r="G1235" t="str">
            <v>RESULTAT OPERATIONNEL</v>
          </cell>
        </row>
        <row r="1236">
          <cell r="B1236" t="str">
            <v>771000</v>
          </cell>
          <cell r="C1236" t="str">
            <v>Impôt belge s/résultat (ex. P</v>
          </cell>
          <cell r="D1236" t="str">
            <v>637800</v>
          </cell>
          <cell r="E1236" t="str">
            <v>TAXES DIVERSES (AUTRES ORGM)</v>
          </cell>
          <cell r="F1236" t="str">
            <v>Impôts, taxes et versements assimilés</v>
          </cell>
          <cell r="G1236" t="str">
            <v>RESULTAT OPERATIONNEL COURANT</v>
          </cell>
        </row>
        <row r="1237">
          <cell r="B1237" t="str">
            <v>780000</v>
          </cell>
          <cell r="C1237" t="str">
            <v>Prélèv. s/impôts différés</v>
          </cell>
          <cell r="D1237" t="str">
            <v>637800</v>
          </cell>
          <cell r="E1237" t="str">
            <v>TAXES DIVERSES (AUTRES ORGM)</v>
          </cell>
          <cell r="F1237" t="str">
            <v>Impôts, taxes et versements assimilés</v>
          </cell>
          <cell r="G1237" t="str">
            <v>RESULTAT OPERATIONNEL COURANT</v>
          </cell>
        </row>
        <row r="1238">
          <cell r="B1238" t="str">
            <v>789000</v>
          </cell>
          <cell r="C1238" t="str">
            <v>Prélèv. s/réserves immun.</v>
          </cell>
          <cell r="D1238" t="str">
            <v>637800</v>
          </cell>
          <cell r="E1238" t="str">
            <v>TAXES DIVERSES (AUTRES ORGM)</v>
          </cell>
          <cell r="F1238" t="str">
            <v>Impôts, taxes et versements assimilés</v>
          </cell>
          <cell r="G1238" t="str">
            <v>RESULTAT OPERATIONNEL COURANT</v>
          </cell>
        </row>
        <row r="1239">
          <cell r="B1239" t="str">
            <v>790000</v>
          </cell>
          <cell r="C1239" t="str">
            <v>Bénéfice reporté de l'exerc. P</v>
          </cell>
          <cell r="D1239" t="str">
            <v>119000</v>
          </cell>
          <cell r="E1239" t="str">
            <v xml:space="preserve">REPORT A NOUVEAU SOLDE DEBITEUR        </v>
          </cell>
          <cell r="F1239" t="str">
            <v>Réserves Sociales</v>
          </cell>
          <cell r="G1239" t="str">
            <v>Capitaux propres part du groupe</v>
          </cell>
        </row>
        <row r="1240">
          <cell r="B1240" t="str">
            <v>791000</v>
          </cell>
          <cell r="C1240" t="str">
            <v>Prélèvement s/ capital</v>
          </cell>
          <cell r="D1240" t="str">
            <v>119000</v>
          </cell>
          <cell r="E1240" t="str">
            <v xml:space="preserve">REPORT A NOUVEAU SOLDE DEBITEUR        </v>
          </cell>
          <cell r="F1240" t="str">
            <v>Réserves Sociales</v>
          </cell>
          <cell r="G1240" t="str">
            <v>Capitaux propres part du groupe</v>
          </cell>
        </row>
        <row r="1241">
          <cell r="B1241" t="str">
            <v>792000</v>
          </cell>
          <cell r="C1241" t="str">
            <v>Prélèv. s/les réserves</v>
          </cell>
          <cell r="D1241" t="str">
            <v>120000</v>
          </cell>
          <cell r="E1241" t="str">
            <v xml:space="preserve">RESULTAT DE L'EX. - BENEFICE           </v>
          </cell>
          <cell r="F1241" t="str">
            <v>Résultat net</v>
          </cell>
          <cell r="G1241" t="str">
            <v>Capitaux propres part du groupe</v>
          </cell>
        </row>
        <row r="1242">
          <cell r="B1242" t="str">
            <v>793000</v>
          </cell>
          <cell r="C1242" t="str">
            <v>Perte à reporter</v>
          </cell>
          <cell r="D1242" t="str">
            <v>119000</v>
          </cell>
          <cell r="E1242" t="str">
            <v xml:space="preserve">REPORT A NOUVEAU SOLDE DEBITEUR        </v>
          </cell>
          <cell r="F1242" t="str">
            <v>Réserves Sociales</v>
          </cell>
          <cell r="G1242" t="str">
            <v>Capitaux propres part du groupe</v>
          </cell>
        </row>
        <row r="1243">
          <cell r="B1243"/>
          <cell r="C1243"/>
          <cell r="D1243">
            <v>687000</v>
          </cell>
          <cell r="E1243" t="str">
            <v>rubrique conso</v>
          </cell>
          <cell r="F1243" t="str">
            <v xml:space="preserve">Dotations exceptionnelles aux amort. Et provisions </v>
          </cell>
          <cell r="G1243" t="str">
            <v>RESULTAT OPERATIONNEL</v>
          </cell>
        </row>
        <row r="1244">
          <cell r="B1244"/>
          <cell r="C1244"/>
          <cell r="D1244">
            <v>693200</v>
          </cell>
          <cell r="E1244" t="str">
            <v>rubrique conso</v>
          </cell>
          <cell r="F1244" t="str">
            <v>Impôts différés sur les bénéfices</v>
          </cell>
          <cell r="G1244" t="str">
            <v>Résultat net avant résultat des activités arrétées</v>
          </cell>
        </row>
        <row r="1245">
          <cell r="B1245"/>
          <cell r="C1245"/>
          <cell r="D1245">
            <v>778000</v>
          </cell>
          <cell r="E1245" t="str">
            <v>rubrique conso</v>
          </cell>
          <cell r="F1245" t="str">
            <v>Autres produits exceptionnels s/ opérations en capital</v>
          </cell>
          <cell r="G1245" t="str">
            <v>RESULTAT OPERATIONNEL</v>
          </cell>
        </row>
      </sheetData>
      <sheetData sheetId="2">
        <row r="1">
          <cell r="F1" t="str">
            <v>fit</v>
          </cell>
          <cell r="G1" t="str">
            <v>fit</v>
          </cell>
          <cell r="H1" t="str">
            <v>data</v>
          </cell>
        </row>
        <row r="2">
          <cell r="F2"/>
          <cell r="G2"/>
          <cell r="H2" t="str">
            <v>IsIncluded</v>
          </cell>
        </row>
        <row r="3">
          <cell r="F3"/>
          <cell r="G3"/>
          <cell r="H3"/>
        </row>
        <row r="4">
          <cell r="F4"/>
          <cell r="G4"/>
          <cell r="H4"/>
        </row>
        <row r="5">
          <cell r="F5" t="str">
            <v>Code</v>
          </cell>
          <cell r="G5" t="str">
            <v>Nom résidence</v>
          </cell>
          <cell r="H5" t="str">
            <v>Incluse</v>
          </cell>
        </row>
        <row r="6">
          <cell r="F6" t="str">
            <v>010001</v>
          </cell>
          <cell r="G6" t="str">
            <v>ORPEA BELGIUM SA</v>
          </cell>
          <cell r="H6" t="str">
            <v>Oui</v>
          </cell>
        </row>
        <row r="7">
          <cell r="F7" t="str">
            <v>010010</v>
          </cell>
          <cell r="G7" t="str">
            <v>Résidence Services Domaine Churchill SA</v>
          </cell>
          <cell r="H7" t="str">
            <v>Oui</v>
          </cell>
        </row>
        <row r="8">
          <cell r="F8" t="str">
            <v>010011</v>
          </cell>
          <cell r="G8" t="str">
            <v>Longchamp-Libertas SA</v>
          </cell>
          <cell r="H8" t="str">
            <v>Oui</v>
          </cell>
        </row>
        <row r="9">
          <cell r="F9" t="str">
            <v>010012</v>
          </cell>
          <cell r="G9" t="str">
            <v>Daver NV</v>
          </cell>
          <cell r="H9" t="str">
            <v>Oui</v>
          </cell>
        </row>
        <row r="10">
          <cell r="F10" t="str">
            <v>010013</v>
          </cell>
          <cell r="G10" t="str">
            <v>Premier SA</v>
          </cell>
          <cell r="H10" t="str">
            <v>Oui</v>
          </cell>
        </row>
        <row r="11">
          <cell r="F11" t="str">
            <v>010014</v>
          </cell>
          <cell r="G11" t="str">
            <v>Résidence du Cinquantenaire SA</v>
          </cell>
          <cell r="H11" t="str">
            <v>Oui</v>
          </cell>
        </row>
        <row r="12">
          <cell r="F12" t="str">
            <v>010017</v>
          </cell>
          <cell r="G12" t="str">
            <v>VillerServices Sa</v>
          </cell>
          <cell r="H12" t="str">
            <v>Oui</v>
          </cell>
        </row>
        <row r="13">
          <cell r="F13" t="str">
            <v>010018</v>
          </cell>
          <cell r="G13" t="str">
            <v>Séniorie de L Epinette SA</v>
          </cell>
          <cell r="H13" t="str">
            <v>Oui</v>
          </cell>
        </row>
        <row r="14">
          <cell r="F14" t="str">
            <v>010019</v>
          </cell>
          <cell r="G14" t="str">
            <v>Résidence Carina SA</v>
          </cell>
          <cell r="H14" t="str">
            <v>Oui</v>
          </cell>
        </row>
        <row r="15">
          <cell r="F15" t="str">
            <v>010020</v>
          </cell>
          <cell r="G15" t="str">
            <v>Résidence Senior's Westland SA</v>
          </cell>
          <cell r="H15" t="str">
            <v>Oui</v>
          </cell>
        </row>
        <row r="16">
          <cell r="F16" t="str">
            <v>010021</v>
          </cell>
          <cell r="G16" t="str">
            <v>Les Amarantes Multiservices de Loverval SA</v>
          </cell>
          <cell r="H16" t="str">
            <v>Oui</v>
          </cell>
        </row>
        <row r="17">
          <cell r="F17" t="str">
            <v>010022</v>
          </cell>
          <cell r="G17" t="str">
            <v>Palacea SA</v>
          </cell>
          <cell r="H17" t="str">
            <v>Oui</v>
          </cell>
        </row>
        <row r="18">
          <cell r="F18" t="str">
            <v>010023</v>
          </cell>
          <cell r="G18" t="str">
            <v>Résidence Saint François SA</v>
          </cell>
          <cell r="H18" t="str">
            <v>Oui</v>
          </cell>
        </row>
        <row r="19">
          <cell r="F19" t="str">
            <v>010024</v>
          </cell>
          <cell r="G19" t="str">
            <v>Le Thines SA</v>
          </cell>
          <cell r="H19" t="str">
            <v>Oui</v>
          </cell>
        </row>
        <row r="20">
          <cell r="F20" t="str">
            <v>010026</v>
          </cell>
          <cell r="G20" t="str">
            <v>Les Jardins d'Ariane SA</v>
          </cell>
          <cell r="H20" t="str">
            <v>Oui</v>
          </cell>
        </row>
        <row r="21">
          <cell r="F21" t="str">
            <v>010027</v>
          </cell>
          <cell r="G21" t="str">
            <v>Résidence Montaigne Maison de Repos SPRL</v>
          </cell>
          <cell r="H21" t="str">
            <v>Oui</v>
          </cell>
        </row>
        <row r="22">
          <cell r="F22" t="str">
            <v>010028</v>
          </cell>
          <cell r="G22" t="str">
            <v>Cecolo VZW</v>
          </cell>
          <cell r="H22" t="str">
            <v>Oui</v>
          </cell>
        </row>
        <row r="23">
          <cell r="F23" t="str">
            <v>010029</v>
          </cell>
          <cell r="G23" t="str">
            <v>Résidence d'Outremeuse SPRL</v>
          </cell>
          <cell r="H23" t="str">
            <v>Oui</v>
          </cell>
        </row>
        <row r="24">
          <cell r="F24" t="str">
            <v>010030</v>
          </cell>
          <cell r="G24" t="str">
            <v>Les Chants d'Oiseaux SPRL</v>
          </cell>
          <cell r="H24" t="str">
            <v>Oui</v>
          </cell>
        </row>
        <row r="25">
          <cell r="F25" t="str">
            <v>010031</v>
          </cell>
          <cell r="G25" t="str">
            <v>Résidence Jean de Nivelles ASBL</v>
          </cell>
          <cell r="H25" t="str">
            <v>Oui</v>
          </cell>
        </row>
        <row r="26">
          <cell r="F26" t="str">
            <v>010032</v>
          </cell>
          <cell r="G26" t="str">
            <v>Roos der Koningin VZW</v>
          </cell>
          <cell r="H26" t="str">
            <v>Oui</v>
          </cell>
        </row>
        <row r="27">
          <cell r="F27" t="str">
            <v>010033</v>
          </cell>
          <cell r="G27" t="str">
            <v>Residentie Julien BVBA</v>
          </cell>
          <cell r="H27" t="str">
            <v>Oui</v>
          </cell>
        </row>
        <row r="28">
          <cell r="F28" t="str">
            <v>010034</v>
          </cell>
          <cell r="G28" t="str">
            <v>Gerontologisch Centrum De Haan VZW</v>
          </cell>
          <cell r="H28" t="str">
            <v>Oui</v>
          </cell>
        </row>
        <row r="29">
          <cell r="F29" t="str">
            <v>010035</v>
          </cell>
          <cell r="G29" t="str">
            <v>Résidence Château d'Or</v>
          </cell>
          <cell r="H29" t="str">
            <v>Oui</v>
          </cell>
        </row>
        <row r="30">
          <cell r="F30" t="str">
            <v>010036</v>
          </cell>
          <cell r="G30" t="str">
            <v>L'ADRET SA</v>
          </cell>
          <cell r="H30" t="str">
            <v>Oui</v>
          </cell>
        </row>
        <row r="31">
          <cell r="F31" t="str">
            <v>010037</v>
          </cell>
          <cell r="G31" t="str">
            <v>Château Chenois Gestion SPRL</v>
          </cell>
          <cell r="H31" t="str">
            <v>Oui</v>
          </cell>
        </row>
        <row r="32">
          <cell r="F32" t="str">
            <v>010040</v>
          </cell>
          <cell r="G32" t="str">
            <v>Résidence Diamant SA</v>
          </cell>
          <cell r="H32" t="str">
            <v>Oui</v>
          </cell>
        </row>
        <row r="33">
          <cell r="F33" t="str">
            <v>010041</v>
          </cell>
          <cell r="G33" t="str">
            <v>RESIDENCE DU GOLF SA</v>
          </cell>
          <cell r="H33" t="str">
            <v>Oui</v>
          </cell>
        </row>
        <row r="34">
          <cell r="F34" t="str">
            <v>010042</v>
          </cell>
          <cell r="G34" t="str">
            <v>INTERNATIONAL RESIDENCE SERVICE NV</v>
          </cell>
          <cell r="H34" t="str">
            <v>Oui</v>
          </cell>
        </row>
        <row r="35">
          <cell r="F35" t="str">
            <v>010043</v>
          </cell>
          <cell r="G35" t="str">
            <v>Résidence Linthout SA</v>
          </cell>
          <cell r="H35" t="str">
            <v>Oui</v>
          </cell>
        </row>
        <row r="36">
          <cell r="F36" t="str">
            <v>010044</v>
          </cell>
          <cell r="G36" t="str">
            <v>New Philip SA</v>
          </cell>
          <cell r="H36" t="str">
            <v>Oui</v>
          </cell>
        </row>
        <row r="37">
          <cell r="F37" t="str">
            <v>010047</v>
          </cell>
          <cell r="G37" t="str">
            <v>PARC PALACE SA</v>
          </cell>
          <cell r="H37" t="str">
            <v>Oui</v>
          </cell>
        </row>
        <row r="38">
          <cell r="F38" t="str">
            <v>010048</v>
          </cell>
          <cell r="G38" t="str">
            <v>Progestimmob SA</v>
          </cell>
          <cell r="H38" t="str">
            <v>Oui</v>
          </cell>
        </row>
        <row r="39">
          <cell r="F39" t="str">
            <v>010049</v>
          </cell>
          <cell r="G39" t="str">
            <v>Résidence Rinsdelle SA</v>
          </cell>
          <cell r="H39" t="str">
            <v>Oui</v>
          </cell>
        </row>
        <row r="40">
          <cell r="F40" t="str">
            <v>010050</v>
          </cell>
          <cell r="G40" t="str">
            <v>Top Senior SA</v>
          </cell>
          <cell r="H40" t="str">
            <v>Oui</v>
          </cell>
        </row>
        <row r="41">
          <cell r="F41" t="str">
            <v>010051</v>
          </cell>
          <cell r="G41" t="str">
            <v>La Seniorie du Vigneron SA</v>
          </cell>
          <cell r="H41" t="str">
            <v>Oui</v>
          </cell>
        </row>
        <row r="42">
          <cell r="F42" t="str">
            <v>010052</v>
          </cell>
          <cell r="G42" t="str">
            <v>Thier sur la fontaine SPRL</v>
          </cell>
          <cell r="H42" t="str">
            <v>Oui</v>
          </cell>
        </row>
        <row r="43">
          <cell r="F43" t="str">
            <v>010053</v>
          </cell>
          <cell r="G43" t="str">
            <v>Vesta Senior SA</v>
          </cell>
          <cell r="H43" t="str">
            <v>Oui</v>
          </cell>
        </row>
        <row r="44">
          <cell r="F44" t="str">
            <v>010054</v>
          </cell>
          <cell r="G44" t="str">
            <v>Résidence Souverain SA</v>
          </cell>
          <cell r="H44" t="str">
            <v>Oui</v>
          </cell>
        </row>
        <row r="45">
          <cell r="F45" t="str">
            <v>010055</v>
          </cell>
          <cell r="G45" t="str">
            <v>ATLANTIS NV</v>
          </cell>
          <cell r="H45" t="str">
            <v>Oui</v>
          </cell>
        </row>
        <row r="46">
          <cell r="F46" t="str">
            <v>010059</v>
          </cell>
          <cell r="G46" t="str">
            <v>Residentie Home de Familie</v>
          </cell>
          <cell r="H46" t="str">
            <v>Oui</v>
          </cell>
        </row>
        <row r="47">
          <cell r="F47" t="str">
            <v>010060</v>
          </cell>
          <cell r="G47" t="str">
            <v>VORDENSTEIN BVBA</v>
          </cell>
          <cell r="H47" t="str">
            <v>Oui</v>
          </cell>
        </row>
        <row r="48">
          <cell r="F48" t="str">
            <v>010061</v>
          </cell>
          <cell r="G48" t="str">
            <v>ALBE BVBA</v>
          </cell>
          <cell r="H48" t="str">
            <v>Oui</v>
          </cell>
        </row>
        <row r="49">
          <cell r="F49" t="str">
            <v>010062</v>
          </cell>
          <cell r="G49" t="str">
            <v>Weltershoek Service Flats</v>
          </cell>
          <cell r="H49" t="str">
            <v>Oui</v>
          </cell>
        </row>
        <row r="50">
          <cell r="F50" t="str">
            <v>010063</v>
          </cell>
          <cell r="G50" t="str">
            <v>Seaflower Service Palace</v>
          </cell>
          <cell r="H50" t="str">
            <v>Oui</v>
          </cell>
        </row>
        <row r="51">
          <cell r="F51" t="str">
            <v>010065</v>
          </cell>
          <cell r="G51" t="str">
            <v>Modele Residence NL</v>
          </cell>
          <cell r="H51" t="str">
            <v>Oui</v>
          </cell>
        </row>
        <row r="52">
          <cell r="F52" t="str">
            <v>011001</v>
          </cell>
          <cell r="G52" t="str">
            <v>J.B.VAN LINTHOUT &amp; FILS S.A</v>
          </cell>
          <cell r="H52" t="str">
            <v>Oui</v>
          </cell>
        </row>
        <row r="53">
          <cell r="F53" t="str">
            <v>011002</v>
          </cell>
          <cell r="G53" t="str">
            <v>Ariane Real Estate SA</v>
          </cell>
          <cell r="H53" t="str">
            <v>Oui</v>
          </cell>
        </row>
        <row r="54">
          <cell r="F54" t="str">
            <v>011004</v>
          </cell>
          <cell r="G54" t="str">
            <v>Medidep Belgique</v>
          </cell>
          <cell r="H54" t="str">
            <v>Oui</v>
          </cell>
        </row>
        <row r="55">
          <cell r="F55" t="str">
            <v>011005</v>
          </cell>
          <cell r="G55" t="str">
            <v>Mikanna</v>
          </cell>
          <cell r="H55" t="str">
            <v>Oui</v>
          </cell>
        </row>
        <row r="56">
          <cell r="F56" t="str">
            <v>011006</v>
          </cell>
          <cell r="G56" t="str">
            <v>ZEEDRIFT HOLDING NV</v>
          </cell>
          <cell r="H56" t="str">
            <v>Oui</v>
          </cell>
        </row>
        <row r="57">
          <cell r="F57" t="str">
            <v>011007</v>
          </cell>
          <cell r="G57" t="str">
            <v>IMMO ZEEDRIFT NV</v>
          </cell>
          <cell r="H57" t="str">
            <v>Oui</v>
          </cell>
        </row>
        <row r="58">
          <cell r="F58" t="str">
            <v>011008</v>
          </cell>
          <cell r="G58" t="str">
            <v>PARK LANE IMMO SA</v>
          </cell>
          <cell r="H58" t="str">
            <v>Oui</v>
          </cell>
        </row>
        <row r="59">
          <cell r="F59" t="str">
            <v>011009</v>
          </cell>
          <cell r="G59" t="str">
            <v>NATÏEN IMMO NV</v>
          </cell>
          <cell r="H59" t="str">
            <v>Oui</v>
          </cell>
        </row>
        <row r="60">
          <cell r="F60" t="str">
            <v>011010</v>
          </cell>
          <cell r="G60" t="str">
            <v>Domaine Churchill SA</v>
          </cell>
          <cell r="H60" t="str">
            <v>Oui</v>
          </cell>
        </row>
        <row r="61">
          <cell r="F61" t="str">
            <v>011011</v>
          </cell>
          <cell r="G61" t="str">
            <v>Domaine Longchamp</v>
          </cell>
          <cell r="H61" t="str">
            <v>Oui</v>
          </cell>
        </row>
        <row r="62">
          <cell r="F62" t="str">
            <v>011012</v>
          </cell>
          <cell r="G62" t="str">
            <v>Bora Nv</v>
          </cell>
          <cell r="H62" t="str">
            <v>Oui</v>
          </cell>
        </row>
        <row r="63">
          <cell r="F63" t="str">
            <v>011013</v>
          </cell>
          <cell r="G63" t="str">
            <v>Vintage Classics International Sa</v>
          </cell>
          <cell r="H63" t="str">
            <v>Oui</v>
          </cell>
        </row>
        <row r="64">
          <cell r="F64" t="str">
            <v>011014</v>
          </cell>
          <cell r="G64" t="str">
            <v>MANUJACQ SCI</v>
          </cell>
          <cell r="H64" t="str">
            <v>Oui</v>
          </cell>
        </row>
        <row r="65">
          <cell r="F65" t="str">
            <v>011015</v>
          </cell>
          <cell r="G65" t="str">
            <v>IMMO MALVOZ SPRL</v>
          </cell>
          <cell r="H65" t="str">
            <v>Oui</v>
          </cell>
        </row>
        <row r="66">
          <cell r="F66" t="str">
            <v>011016</v>
          </cell>
          <cell r="G66" t="str">
            <v>Grand Chemin SA</v>
          </cell>
          <cell r="H66" t="str">
            <v>Oui</v>
          </cell>
        </row>
        <row r="67">
          <cell r="F67" t="str">
            <v>011019</v>
          </cell>
          <cell r="G67" t="str">
            <v>ODE Holding SA</v>
          </cell>
          <cell r="H67" t="str">
            <v>Oui</v>
          </cell>
        </row>
        <row r="68">
          <cell r="F68" t="str">
            <v>011020</v>
          </cell>
          <cell r="G68" t="str">
            <v>Senior's Westland Holding SA</v>
          </cell>
          <cell r="H68" t="str">
            <v>Oui</v>
          </cell>
        </row>
        <row r="69">
          <cell r="F69" t="str">
            <v>011021</v>
          </cell>
          <cell r="G69" t="str">
            <v>Legros-Renier - Les Amarantes Seigneurie</v>
          </cell>
          <cell r="H69" t="str">
            <v>Oui</v>
          </cell>
        </row>
        <row r="70">
          <cell r="F70" t="str">
            <v>011022</v>
          </cell>
          <cell r="G70" t="str">
            <v>LFB SA</v>
          </cell>
          <cell r="H70" t="str">
            <v>Oui</v>
          </cell>
        </row>
        <row r="71">
          <cell r="F71" t="str">
            <v>011025</v>
          </cell>
          <cell r="G71" t="str">
            <v>Château de la Lys SA</v>
          </cell>
          <cell r="H71" t="str">
            <v>Oui</v>
          </cell>
        </row>
        <row r="72">
          <cell r="F72" t="str">
            <v>011028</v>
          </cell>
          <cell r="G72" t="str">
            <v>VERAN REAL ESTATE SA</v>
          </cell>
          <cell r="H72" t="str">
            <v>Oui</v>
          </cell>
        </row>
        <row r="73">
          <cell r="F73" t="str">
            <v>011034</v>
          </cell>
          <cell r="G73" t="str">
            <v>Coquelets SA</v>
          </cell>
          <cell r="H73" t="str">
            <v>Oui</v>
          </cell>
        </row>
        <row r="74">
          <cell r="F74" t="str">
            <v>011035</v>
          </cell>
          <cell r="G74" t="str">
            <v>Immobilière du Château d'Or SA</v>
          </cell>
          <cell r="H74" t="str">
            <v>Oui</v>
          </cell>
        </row>
        <row r="75">
          <cell r="F75" t="str">
            <v>011052</v>
          </cell>
          <cell r="G75" t="str">
            <v>Feninvest</v>
          </cell>
          <cell r="H75" t="str">
            <v>Oui</v>
          </cell>
        </row>
        <row r="76">
          <cell r="F76" t="str">
            <v>011053</v>
          </cell>
          <cell r="G76" t="str">
            <v>HOLDING SENIOR INVEST SA</v>
          </cell>
          <cell r="H76" t="str">
            <v>Oui</v>
          </cell>
        </row>
        <row r="77">
          <cell r="F77" t="str">
            <v>011054</v>
          </cell>
          <cell r="G77" t="str">
            <v>CORASEN GROEP NV</v>
          </cell>
          <cell r="H77" t="str">
            <v>Oui</v>
          </cell>
        </row>
        <row r="78">
          <cell r="F78" t="str">
            <v>011055</v>
          </cell>
          <cell r="G78" t="str">
            <v>IMMOBILIEN EN PROJECT MAATSHAPPIJ NV</v>
          </cell>
          <cell r="H78" t="str">
            <v>Oui</v>
          </cell>
        </row>
        <row r="79">
          <cell r="F79" t="str">
            <v>011056</v>
          </cell>
          <cell r="G79" t="str">
            <v>T BISSCHOPPENHOF NV</v>
          </cell>
          <cell r="H79" t="str">
            <v>Oui</v>
          </cell>
        </row>
        <row r="80">
          <cell r="F80" t="str">
            <v>011057</v>
          </cell>
          <cell r="G80" t="str">
            <v>KOALA NV</v>
          </cell>
          <cell r="H80" t="str">
            <v>Oui</v>
          </cell>
        </row>
        <row r="81">
          <cell r="F81" t="str">
            <v>011058</v>
          </cell>
          <cell r="G81" t="str">
            <v>ZORGCENTRUM EUROP NV</v>
          </cell>
          <cell r="H81" t="str">
            <v>Oui</v>
          </cell>
        </row>
        <row r="82">
          <cell r="F82" t="str">
            <v>011059</v>
          </cell>
          <cell r="G82" t="str">
            <v>VORDENSTEIN VASTGOED NV</v>
          </cell>
          <cell r="H82" t="str">
            <v>Oui</v>
          </cell>
        </row>
        <row r="83">
          <cell r="F83" t="str">
            <v>011060</v>
          </cell>
          <cell r="G83" t="str">
            <v>Vastgoed Albe NV</v>
          </cell>
          <cell r="H83" t="str">
            <v>Oui</v>
          </cell>
        </row>
        <row r="84">
          <cell r="F84" t="str">
            <v>011061</v>
          </cell>
          <cell r="G84" t="str">
            <v>Wonen &amp; Zorg BVBA</v>
          </cell>
          <cell r="H84" t="str">
            <v>Oui</v>
          </cell>
        </row>
        <row r="85">
          <cell r="F85" t="str">
            <v>011062</v>
          </cell>
          <cell r="G85" t="str">
            <v>RETAKE BVBA</v>
          </cell>
          <cell r="H85" t="str">
            <v>Oui</v>
          </cell>
        </row>
        <row r="86">
          <cell r="F86" t="str">
            <v>011063</v>
          </cell>
          <cell r="G86" t="str">
            <v>Edegem 3 Eiken BVBA</v>
          </cell>
          <cell r="H86" t="str">
            <v>Oui</v>
          </cell>
        </row>
        <row r="87">
          <cell r="F87" t="str">
            <v>011064</v>
          </cell>
          <cell r="G87" t="str">
            <v>SODEIM NV</v>
          </cell>
          <cell r="H87" t="str">
            <v>Oui</v>
          </cell>
        </row>
        <row r="88">
          <cell r="F88" t="str">
            <v>011065</v>
          </cell>
          <cell r="G88" t="str">
            <v>LEUVEN BRABRANCONNE NV</v>
          </cell>
          <cell r="H88" t="str">
            <v>Oui</v>
          </cell>
        </row>
        <row r="89">
          <cell r="F89" t="str">
            <v>011066</v>
          </cell>
          <cell r="G89" t="str">
            <v>HELCHTEREN HET DORP  NV</v>
          </cell>
          <cell r="H89" t="str">
            <v>Oui</v>
          </cell>
        </row>
        <row r="90">
          <cell r="F90" t="str">
            <v>011067</v>
          </cell>
          <cell r="G90" t="str">
            <v>HOUTHALEN LUCIA</v>
          </cell>
          <cell r="H90" t="str">
            <v>Oui</v>
          </cell>
        </row>
        <row r="91">
          <cell r="F91"/>
          <cell r="G91"/>
          <cell r="H91"/>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CV77"/>
  <sheetViews>
    <sheetView topLeftCell="B3" workbookViewId="0">
      <selection activeCell="B76" sqref="A76:XFD1423"/>
    </sheetView>
  </sheetViews>
  <sheetFormatPr baseColWidth="10" defaultRowHeight="15" x14ac:dyDescent="0.25"/>
  <cols>
    <col min="1" max="1" width="11.42578125" style="8" hidden="1" customWidth="1"/>
    <col min="2" max="2" width="17" style="8" customWidth="1"/>
    <col min="3" max="3" width="11.42578125" style="8" hidden="1" customWidth="1"/>
    <col min="4" max="4" width="10.28515625" style="8" bestFit="1" customWidth="1"/>
    <col min="5" max="5" width="12.85546875" style="8" bestFit="1" customWidth="1"/>
    <col min="6" max="6" width="31.7109375" style="8" bestFit="1" customWidth="1"/>
    <col min="7" max="7" width="18.42578125" style="8" hidden="1" customWidth="1"/>
    <col min="8" max="92" width="14.28515625" style="8" customWidth="1"/>
    <col min="93" max="93" width="5.140625" style="8" hidden="1" customWidth="1"/>
    <col min="94" max="94" width="15.42578125" style="8" bestFit="1" customWidth="1"/>
    <col min="95" max="95" width="10.140625" style="8" bestFit="1" customWidth="1"/>
    <col min="96" max="96" width="29.42578125" style="8" customWidth="1"/>
    <col min="97" max="97" width="13.140625" style="8" bestFit="1" customWidth="1"/>
    <col min="98" max="98" width="42.5703125" style="8" bestFit="1" customWidth="1"/>
    <col min="99" max="99" width="52.85546875" style="8" customWidth="1"/>
    <col min="100" max="100" width="49.140625" style="8" customWidth="1"/>
    <col min="101" max="16384" width="11.42578125" style="8"/>
  </cols>
  <sheetData>
    <row r="1" spans="1:100" hidden="1" x14ac:dyDescent="0.25">
      <c r="A1" s="8" t="s">
        <v>6</v>
      </c>
      <c r="C1" s="8" t="s">
        <v>7</v>
      </c>
      <c r="D1" s="8" t="s">
        <v>8</v>
      </c>
      <c r="E1" s="8" t="s">
        <v>8</v>
      </c>
      <c r="F1" s="8" t="s">
        <v>8</v>
      </c>
      <c r="G1" s="8" t="s">
        <v>7</v>
      </c>
      <c r="I1" s="8" t="s">
        <v>9</v>
      </c>
      <c r="J1" s="8" t="s">
        <v>9</v>
      </c>
      <c r="K1" s="8" t="s">
        <v>9</v>
      </c>
      <c r="L1" s="8" t="s">
        <v>9</v>
      </c>
      <c r="M1" s="8" t="s">
        <v>9</v>
      </c>
      <c r="N1" s="8" t="s">
        <v>9</v>
      </c>
      <c r="O1" s="8" t="s">
        <v>9</v>
      </c>
      <c r="P1" s="8" t="s">
        <v>9</v>
      </c>
      <c r="Q1" s="8" t="s">
        <v>9</v>
      </c>
      <c r="R1" s="8" t="s">
        <v>9</v>
      </c>
      <c r="S1" s="8" t="s">
        <v>9</v>
      </c>
      <c r="T1" s="8" t="s">
        <v>9</v>
      </c>
      <c r="U1" s="8" t="s">
        <v>9</v>
      </c>
      <c r="V1" s="8" t="s">
        <v>9</v>
      </c>
      <c r="W1" s="8" t="s">
        <v>9</v>
      </c>
      <c r="X1" s="8" t="s">
        <v>9</v>
      </c>
      <c r="Y1" s="8" t="s">
        <v>9</v>
      </c>
      <c r="Z1" s="8" t="s">
        <v>9</v>
      </c>
      <c r="AA1" s="8" t="s">
        <v>9</v>
      </c>
      <c r="AB1" s="8" t="s">
        <v>9</v>
      </c>
      <c r="AC1" s="8" t="s">
        <v>9</v>
      </c>
      <c r="AD1" s="8" t="s">
        <v>9</v>
      </c>
      <c r="AE1" s="8" t="s">
        <v>9</v>
      </c>
      <c r="AF1" s="8" t="s">
        <v>9</v>
      </c>
      <c r="AG1" s="8" t="s">
        <v>9</v>
      </c>
      <c r="AH1" s="8" t="s">
        <v>9</v>
      </c>
      <c r="AI1" s="8" t="s">
        <v>9</v>
      </c>
      <c r="AJ1" s="8" t="s">
        <v>9</v>
      </c>
      <c r="AK1" s="8" t="s">
        <v>9</v>
      </c>
      <c r="AL1" s="8" t="s">
        <v>9</v>
      </c>
      <c r="AM1" s="8" t="s">
        <v>9</v>
      </c>
      <c r="AN1" s="8" t="s">
        <v>9</v>
      </c>
      <c r="AO1" s="8" t="s">
        <v>9</v>
      </c>
      <c r="AP1" s="8" t="s">
        <v>9</v>
      </c>
      <c r="AQ1" s="8" t="s">
        <v>9</v>
      </c>
      <c r="AR1" s="8" t="s">
        <v>9</v>
      </c>
      <c r="AS1" s="8" t="s">
        <v>9</v>
      </c>
      <c r="AT1" s="8" t="s">
        <v>9</v>
      </c>
      <c r="AU1" s="8" t="s">
        <v>9</v>
      </c>
      <c r="AV1" s="8" t="s">
        <v>9</v>
      </c>
      <c r="AW1" s="8" t="s">
        <v>9</v>
      </c>
      <c r="AX1" s="8" t="s">
        <v>9</v>
      </c>
      <c r="AY1" s="8" t="s">
        <v>9</v>
      </c>
      <c r="AZ1" s="8" t="s">
        <v>9</v>
      </c>
      <c r="BA1" s="8" t="s">
        <v>9</v>
      </c>
      <c r="BB1" s="8" t="s">
        <v>9</v>
      </c>
      <c r="BC1" s="8" t="s">
        <v>9</v>
      </c>
      <c r="BD1" s="8" t="s">
        <v>9</v>
      </c>
      <c r="BE1" s="8" t="s">
        <v>9</v>
      </c>
      <c r="BF1" s="8" t="s">
        <v>9</v>
      </c>
      <c r="BG1" s="8" t="s">
        <v>9</v>
      </c>
      <c r="BH1" s="8" t="s">
        <v>9</v>
      </c>
      <c r="BI1" s="8" t="s">
        <v>9</v>
      </c>
      <c r="BJ1" s="8" t="s">
        <v>9</v>
      </c>
      <c r="BK1" s="8" t="s">
        <v>9</v>
      </c>
      <c r="BL1" s="8" t="s">
        <v>9</v>
      </c>
      <c r="BM1" s="8" t="s">
        <v>9</v>
      </c>
      <c r="BN1" s="8" t="s">
        <v>9</v>
      </c>
      <c r="BO1" s="8" t="s">
        <v>9</v>
      </c>
      <c r="BP1" s="8" t="s">
        <v>9</v>
      </c>
      <c r="BQ1" s="8" t="s">
        <v>9</v>
      </c>
      <c r="BR1" s="8" t="s">
        <v>9</v>
      </c>
      <c r="BS1" s="8" t="s">
        <v>9</v>
      </c>
      <c r="BT1" s="8" t="s">
        <v>9</v>
      </c>
      <c r="BU1" s="8" t="s">
        <v>9</v>
      </c>
      <c r="BV1" s="8" t="s">
        <v>9</v>
      </c>
      <c r="BW1" s="8" t="s">
        <v>9</v>
      </c>
      <c r="BX1" s="8" t="s">
        <v>9</v>
      </c>
      <c r="BY1" s="8" t="s">
        <v>9</v>
      </c>
      <c r="BZ1" s="8" t="s">
        <v>9</v>
      </c>
      <c r="CA1" s="8" t="s">
        <v>9</v>
      </c>
      <c r="CB1" s="8" t="s">
        <v>9</v>
      </c>
      <c r="CC1" s="8" t="s">
        <v>9</v>
      </c>
      <c r="CD1" s="8" t="s">
        <v>9</v>
      </c>
      <c r="CE1" s="8" t="s">
        <v>9</v>
      </c>
      <c r="CF1" s="8" t="s">
        <v>9</v>
      </c>
      <c r="CG1" s="8" t="s">
        <v>9</v>
      </c>
      <c r="CH1" s="8" t="s">
        <v>9</v>
      </c>
      <c r="CI1" s="8" t="s">
        <v>9</v>
      </c>
      <c r="CJ1" s="8" t="s">
        <v>9</v>
      </c>
      <c r="CK1" s="8" t="s">
        <v>9</v>
      </c>
      <c r="CL1" s="8" t="s">
        <v>9</v>
      </c>
      <c r="CM1" s="8" t="s">
        <v>9</v>
      </c>
      <c r="CN1" s="8" t="s">
        <v>9</v>
      </c>
      <c r="CO1" s="8" t="s">
        <v>7</v>
      </c>
      <c r="CP1" s="8" t="s">
        <v>8</v>
      </c>
    </row>
    <row r="2" spans="1:100" hidden="1" x14ac:dyDescent="0.25">
      <c r="A2" s="8" t="s">
        <v>7</v>
      </c>
      <c r="H2" s="8" t="str">
        <f>VLOOKUP(H$5,[2]PERIMÈTRE!$F:$H,3,FALSE)</f>
        <v>Oui</v>
      </c>
      <c r="I2" s="8" t="str">
        <f>VLOOKUP(I$5,[2]PERIMÈTRE!$F:$H,3,FALSE)</f>
        <v>Oui</v>
      </c>
      <c r="J2" s="8" t="str">
        <f>VLOOKUP(J$5,[2]PERIMÈTRE!$F:$H,3,FALSE)</f>
        <v>Oui</v>
      </c>
      <c r="K2" s="8" t="str">
        <f>VLOOKUP(K$5,[2]PERIMÈTRE!$F:$H,3,FALSE)</f>
        <v>Oui</v>
      </c>
      <c r="L2" s="8" t="str">
        <f>VLOOKUP(L$5,[2]PERIMÈTRE!$F:$H,3,FALSE)</f>
        <v>Oui</v>
      </c>
      <c r="M2" s="8" t="str">
        <f>VLOOKUP(M$5,[2]PERIMÈTRE!$F:$H,3,FALSE)</f>
        <v>Oui</v>
      </c>
      <c r="N2" s="8" t="str">
        <f>VLOOKUP(N$5,[2]PERIMÈTRE!$F:$H,3,FALSE)</f>
        <v>Oui</v>
      </c>
      <c r="O2" s="8" t="str">
        <f>VLOOKUP(O$5,[2]PERIMÈTRE!$F:$H,3,FALSE)</f>
        <v>Oui</v>
      </c>
      <c r="P2" s="8" t="str">
        <f>VLOOKUP(P$5,[2]PERIMÈTRE!$F:$H,3,FALSE)</f>
        <v>Oui</v>
      </c>
      <c r="Q2" s="8" t="str">
        <f>VLOOKUP(Q$5,[2]PERIMÈTRE!$F:$H,3,FALSE)</f>
        <v>Oui</v>
      </c>
      <c r="R2" s="8" t="str">
        <f>VLOOKUP(R$5,[2]PERIMÈTRE!$F:$H,3,FALSE)</f>
        <v>Oui</v>
      </c>
      <c r="S2" s="8" t="str">
        <f>VLOOKUP(S$5,[2]PERIMÈTRE!$F:$H,3,FALSE)</f>
        <v>Oui</v>
      </c>
      <c r="T2" s="8" t="str">
        <f>VLOOKUP(T$5,[2]PERIMÈTRE!$F:$H,3,FALSE)</f>
        <v>Oui</v>
      </c>
      <c r="U2" s="8" t="str">
        <f>VLOOKUP(U$5,[2]PERIMÈTRE!$F:$H,3,FALSE)</f>
        <v>Oui</v>
      </c>
      <c r="V2" s="8" t="str">
        <f>VLOOKUP(V$5,[2]PERIMÈTRE!$F:$H,3,FALSE)</f>
        <v>Oui</v>
      </c>
      <c r="W2" s="8" t="str">
        <f>VLOOKUP(W$5,[2]PERIMÈTRE!$F:$H,3,FALSE)</f>
        <v>Oui</v>
      </c>
      <c r="X2" s="8" t="str">
        <f>VLOOKUP(X$5,[2]PERIMÈTRE!$F:$H,3,FALSE)</f>
        <v>Oui</v>
      </c>
      <c r="Y2" s="8" t="str">
        <f>VLOOKUP(Y$5,[2]PERIMÈTRE!$F:$H,3,FALSE)</f>
        <v>Oui</v>
      </c>
      <c r="Z2" s="8" t="str">
        <f>VLOOKUP(Z$5,[2]PERIMÈTRE!$F:$H,3,FALSE)</f>
        <v>Oui</v>
      </c>
      <c r="AA2" s="8" t="str">
        <f>VLOOKUP(AA$5,[2]PERIMÈTRE!$F:$H,3,FALSE)</f>
        <v>Oui</v>
      </c>
      <c r="AB2" s="8" t="str">
        <f>VLOOKUP(AB$5,[2]PERIMÈTRE!$F:$H,3,FALSE)</f>
        <v>Oui</v>
      </c>
      <c r="AC2" s="8" t="str">
        <f>VLOOKUP(AC$5,[2]PERIMÈTRE!$F:$H,3,FALSE)</f>
        <v>Oui</v>
      </c>
      <c r="AD2" s="8" t="str">
        <f>VLOOKUP(AD$5,[2]PERIMÈTRE!$F:$H,3,FALSE)</f>
        <v>Oui</v>
      </c>
      <c r="AE2" s="8" t="str">
        <f>VLOOKUP(AE$5,[2]PERIMÈTRE!$F:$H,3,FALSE)</f>
        <v>Oui</v>
      </c>
      <c r="AF2" s="8" t="str">
        <f>VLOOKUP(AF$5,[2]PERIMÈTRE!$F:$H,3,FALSE)</f>
        <v>Oui</v>
      </c>
      <c r="AG2" s="8" t="str">
        <f>VLOOKUP(AG$5,[2]PERIMÈTRE!$F:$H,3,FALSE)</f>
        <v>Oui</v>
      </c>
      <c r="AH2" s="8" t="str">
        <f>VLOOKUP(AH$5,[2]PERIMÈTRE!$F:$H,3,FALSE)</f>
        <v>Oui</v>
      </c>
      <c r="AI2" s="8" t="str">
        <f>VLOOKUP(AI$5,[2]PERIMÈTRE!$F:$H,3,FALSE)</f>
        <v>Oui</v>
      </c>
      <c r="AJ2" s="8" t="str">
        <f>VLOOKUP(AJ$5,[2]PERIMÈTRE!$F:$H,3,FALSE)</f>
        <v>Oui</v>
      </c>
      <c r="AK2" s="8" t="str">
        <f>VLOOKUP(AK$5,[2]PERIMÈTRE!$F:$H,3,FALSE)</f>
        <v>Oui</v>
      </c>
      <c r="AL2" s="8" t="str">
        <f>VLOOKUP(AL$5,[2]PERIMÈTRE!$F:$H,3,FALSE)</f>
        <v>Oui</v>
      </c>
      <c r="AM2" s="8" t="str">
        <f>VLOOKUP(AM$5,[2]PERIMÈTRE!$F:$H,3,FALSE)</f>
        <v>Oui</v>
      </c>
      <c r="AN2" s="8" t="str">
        <f>VLOOKUP(AN$5,[2]PERIMÈTRE!$F:$H,3,FALSE)</f>
        <v>Oui</v>
      </c>
      <c r="AO2" s="8" t="str">
        <f>VLOOKUP(AO$5,[2]PERIMÈTRE!$F:$H,3,FALSE)</f>
        <v>Oui</v>
      </c>
      <c r="AP2" s="8" t="str">
        <f>VLOOKUP(AP$5,[2]PERIMÈTRE!$F:$H,3,FALSE)</f>
        <v>Oui</v>
      </c>
      <c r="AQ2" s="8" t="str">
        <f>VLOOKUP(AQ$5,[2]PERIMÈTRE!$F:$H,3,FALSE)</f>
        <v>Oui</v>
      </c>
      <c r="AR2" s="8" t="str">
        <f>VLOOKUP(AR$5,[2]PERIMÈTRE!$F:$H,3,FALSE)</f>
        <v>Oui</v>
      </c>
      <c r="AS2" s="8" t="str">
        <f>VLOOKUP(AS$5,[2]PERIMÈTRE!$F:$H,3,FALSE)</f>
        <v>Oui</v>
      </c>
      <c r="AT2" s="8" t="str">
        <f>VLOOKUP(AT$5,[2]PERIMÈTRE!$F:$H,3,FALSE)</f>
        <v>Oui</v>
      </c>
      <c r="AU2" s="8" t="str">
        <f>VLOOKUP(AU$5,[2]PERIMÈTRE!$F:$H,3,FALSE)</f>
        <v>Oui</v>
      </c>
      <c r="AV2" s="8" t="str">
        <f>VLOOKUP(AV$5,[2]PERIMÈTRE!$F:$H,3,FALSE)</f>
        <v>Oui</v>
      </c>
      <c r="AW2" s="8" t="str">
        <f>VLOOKUP(AW$5,[2]PERIMÈTRE!$F:$H,3,FALSE)</f>
        <v>Oui</v>
      </c>
      <c r="AX2" s="8" t="str">
        <f>VLOOKUP(AX$5,[2]PERIMÈTRE!$F:$H,3,FALSE)</f>
        <v>Oui</v>
      </c>
      <c r="AY2" s="8" t="str">
        <f>VLOOKUP(AY$5,[2]PERIMÈTRE!$F:$H,3,FALSE)</f>
        <v>Oui</v>
      </c>
      <c r="AZ2" s="8" t="str">
        <f>VLOOKUP(AZ$5,[2]PERIMÈTRE!$F:$H,3,FALSE)</f>
        <v>Oui</v>
      </c>
      <c r="BA2" s="8" t="str">
        <f>VLOOKUP(BA$5,[2]PERIMÈTRE!$F:$H,3,FALSE)</f>
        <v>Oui</v>
      </c>
      <c r="BB2" s="8" t="str">
        <f>VLOOKUP(BB$5,[2]PERIMÈTRE!$F:$H,3,FALSE)</f>
        <v>Oui</v>
      </c>
      <c r="BC2" s="8" t="str">
        <f>VLOOKUP(BC$5,[2]PERIMÈTRE!$F:$H,3,FALSE)</f>
        <v>Oui</v>
      </c>
      <c r="BD2" s="8" t="str">
        <f>VLOOKUP(BD$5,[2]PERIMÈTRE!$F:$H,3,FALSE)</f>
        <v>Oui</v>
      </c>
      <c r="BE2" s="8" t="str">
        <f>VLOOKUP(BE$5,[2]PERIMÈTRE!$F:$H,3,FALSE)</f>
        <v>Oui</v>
      </c>
      <c r="BF2" s="8" t="str">
        <f>VLOOKUP(BF$5,[2]PERIMÈTRE!$F:$H,3,FALSE)</f>
        <v>Oui</v>
      </c>
      <c r="BG2" s="8" t="str">
        <f>VLOOKUP(BG$5,[2]PERIMÈTRE!$F:$H,3,FALSE)</f>
        <v>Oui</v>
      </c>
      <c r="BH2" s="8" t="str">
        <f>VLOOKUP(BH$5,[2]PERIMÈTRE!$F:$H,3,FALSE)</f>
        <v>Oui</v>
      </c>
      <c r="BI2" s="8" t="str">
        <f>VLOOKUP(BI$5,[2]PERIMÈTRE!$F:$H,3,FALSE)</f>
        <v>Oui</v>
      </c>
      <c r="BJ2" s="8" t="str">
        <f>VLOOKUP(BJ$5,[2]PERIMÈTRE!$F:$H,3,FALSE)</f>
        <v>Oui</v>
      </c>
      <c r="BK2" s="8" t="str">
        <f>VLOOKUP(BK$5,[2]PERIMÈTRE!$F:$H,3,FALSE)</f>
        <v>Oui</v>
      </c>
      <c r="BL2" s="8" t="str">
        <f>VLOOKUP(BL$5,[2]PERIMÈTRE!$F:$H,3,FALSE)</f>
        <v>Oui</v>
      </c>
      <c r="BM2" s="8" t="str">
        <f>VLOOKUP(BM$5,[2]PERIMÈTRE!$F:$H,3,FALSE)</f>
        <v>Oui</v>
      </c>
      <c r="BN2" s="8" t="str">
        <f>VLOOKUP(BN$5,[2]PERIMÈTRE!$F:$H,3,FALSE)</f>
        <v>Oui</v>
      </c>
      <c r="BO2" s="8" t="str">
        <f>VLOOKUP(BO$5,[2]PERIMÈTRE!$F:$H,3,FALSE)</f>
        <v>Oui</v>
      </c>
      <c r="BP2" s="8" t="str">
        <f>VLOOKUP(BP$5,[2]PERIMÈTRE!$F:$H,3,FALSE)</f>
        <v>Oui</v>
      </c>
      <c r="BQ2" s="8" t="str">
        <f>VLOOKUP(BQ$5,[2]PERIMÈTRE!$F:$H,3,FALSE)</f>
        <v>Oui</v>
      </c>
      <c r="BR2" s="8" t="str">
        <f>VLOOKUP(BR$5,[2]PERIMÈTRE!$F:$H,3,FALSE)</f>
        <v>Oui</v>
      </c>
      <c r="BS2" s="8" t="str">
        <f>VLOOKUP(BS$5,[2]PERIMÈTRE!$F:$H,3,FALSE)</f>
        <v>Oui</v>
      </c>
      <c r="BT2" s="8" t="str">
        <f>VLOOKUP(BT$5,[2]PERIMÈTRE!$F:$H,3,FALSE)</f>
        <v>Oui</v>
      </c>
      <c r="BU2" s="8" t="str">
        <f>VLOOKUP(BU$5,[2]PERIMÈTRE!$F:$H,3,FALSE)</f>
        <v>Oui</v>
      </c>
      <c r="BV2" s="8" t="str">
        <f>VLOOKUP(BV$5,[2]PERIMÈTRE!$F:$H,3,FALSE)</f>
        <v>Oui</v>
      </c>
      <c r="BW2" s="8" t="str">
        <f>VLOOKUP(BW$5,[2]PERIMÈTRE!$F:$H,3,FALSE)</f>
        <v>Oui</v>
      </c>
      <c r="BX2" s="8" t="str">
        <f>VLOOKUP(BX$5,[2]PERIMÈTRE!$F:$H,3,FALSE)</f>
        <v>Oui</v>
      </c>
      <c r="BY2" s="8" t="str">
        <f>VLOOKUP(BY$5,[2]PERIMÈTRE!$F:$H,3,FALSE)</f>
        <v>Oui</v>
      </c>
      <c r="BZ2" s="8" t="str">
        <f>VLOOKUP(BZ$5,[2]PERIMÈTRE!$F:$H,3,FALSE)</f>
        <v>Oui</v>
      </c>
      <c r="CA2" s="8" t="str">
        <f>VLOOKUP(CA$5,[2]PERIMÈTRE!$F:$H,3,FALSE)</f>
        <v>Oui</v>
      </c>
      <c r="CB2" s="8" t="str">
        <f>VLOOKUP(CB$5,[2]PERIMÈTRE!$F:$H,3,FALSE)</f>
        <v>Oui</v>
      </c>
      <c r="CC2" s="8" t="str">
        <f>VLOOKUP(CC$5,[2]PERIMÈTRE!$F:$H,3,FALSE)</f>
        <v>Oui</v>
      </c>
      <c r="CD2" s="8" t="str">
        <f>VLOOKUP(CD$5,[2]PERIMÈTRE!$F:$H,3,FALSE)</f>
        <v>Oui</v>
      </c>
      <c r="CE2" s="8" t="str">
        <f>VLOOKUP(CE$5,[2]PERIMÈTRE!$F:$H,3,FALSE)</f>
        <v>Oui</v>
      </c>
      <c r="CF2" s="8" t="str">
        <f>VLOOKUP(CF$5,[2]PERIMÈTRE!$F:$H,3,FALSE)</f>
        <v>Oui</v>
      </c>
      <c r="CG2" s="8" t="str">
        <f>VLOOKUP(CG$5,[2]PERIMÈTRE!$F:$H,3,FALSE)</f>
        <v>Oui</v>
      </c>
      <c r="CH2" s="8" t="str">
        <f>VLOOKUP(CH$5,[2]PERIMÈTRE!$F:$H,3,FALSE)</f>
        <v>Oui</v>
      </c>
      <c r="CI2" s="8" t="str">
        <f>VLOOKUP(CI$5,[2]PERIMÈTRE!$F:$H,3,FALSE)</f>
        <v>Oui</v>
      </c>
      <c r="CJ2" s="8" t="str">
        <f>VLOOKUP(CJ$5,[2]PERIMÈTRE!$F:$H,3,FALSE)</f>
        <v>Oui</v>
      </c>
      <c r="CK2" s="8" t="str">
        <f>VLOOKUP(CK$5,[2]PERIMÈTRE!$F:$H,3,FALSE)</f>
        <v>Oui</v>
      </c>
      <c r="CL2" s="8" t="str">
        <f>VLOOKUP(CL$5,[2]PERIMÈTRE!$F:$H,3,FALSE)</f>
        <v>Oui</v>
      </c>
      <c r="CM2" s="8" t="str">
        <f>VLOOKUP(CM$5,[2]PERIMÈTRE!$F:$H,3,FALSE)</f>
        <v>Oui</v>
      </c>
      <c r="CN2" s="8" t="str">
        <f>VLOOKUP(CN$5,[2]PERIMÈTRE!$F:$H,3,FALSE)</f>
        <v>Oui</v>
      </c>
    </row>
    <row r="4" spans="1:100" ht="30" customHeight="1" x14ac:dyDescent="0.25">
      <c r="CQ4" s="29" t="s">
        <v>10</v>
      </c>
      <c r="CR4" s="30"/>
      <c r="CS4" s="31" t="s">
        <v>11</v>
      </c>
      <c r="CT4" s="32"/>
      <c r="CU4" s="33" t="s">
        <v>12</v>
      </c>
      <c r="CV4" s="34"/>
    </row>
    <row r="5" spans="1:100" x14ac:dyDescent="0.25">
      <c r="D5" s="1" t="s">
        <v>0</v>
      </c>
      <c r="E5" s="1" t="s">
        <v>1</v>
      </c>
      <c r="F5" s="1" t="s">
        <v>2</v>
      </c>
      <c r="G5" s="1" t="s">
        <v>3</v>
      </c>
      <c r="H5" s="2" t="s">
        <v>4</v>
      </c>
      <c r="I5" s="2" t="str">
        <f>"010010"</f>
        <v>010010</v>
      </c>
      <c r="J5" s="2" t="str">
        <f>"010011"</f>
        <v>010011</v>
      </c>
      <c r="K5" s="2" t="str">
        <f>"010012"</f>
        <v>010012</v>
      </c>
      <c r="L5" s="2" t="str">
        <f>"010013"</f>
        <v>010013</v>
      </c>
      <c r="M5" s="2" t="str">
        <f>"010014"</f>
        <v>010014</v>
      </c>
      <c r="N5" s="2" t="str">
        <f>"010017"</f>
        <v>010017</v>
      </c>
      <c r="O5" s="2" t="str">
        <f>"010018"</f>
        <v>010018</v>
      </c>
      <c r="P5" s="2" t="str">
        <f>"010019"</f>
        <v>010019</v>
      </c>
      <c r="Q5" s="2" t="str">
        <f>"010020"</f>
        <v>010020</v>
      </c>
      <c r="R5" s="2" t="str">
        <f>"010021"</f>
        <v>010021</v>
      </c>
      <c r="S5" s="2" t="str">
        <f>"010022"</f>
        <v>010022</v>
      </c>
      <c r="T5" s="2" t="str">
        <f>"010023"</f>
        <v>010023</v>
      </c>
      <c r="U5" s="2" t="str">
        <f>"010024"</f>
        <v>010024</v>
      </c>
      <c r="V5" s="2" t="str">
        <f>"010026"</f>
        <v>010026</v>
      </c>
      <c r="W5" s="2" t="str">
        <f>"010027"</f>
        <v>010027</v>
      </c>
      <c r="X5" s="2" t="str">
        <f>"010028"</f>
        <v>010028</v>
      </c>
      <c r="Y5" s="2" t="str">
        <f>"010029"</f>
        <v>010029</v>
      </c>
      <c r="Z5" s="2" t="str">
        <f>"010030"</f>
        <v>010030</v>
      </c>
      <c r="AA5" s="2" t="str">
        <f>"010031"</f>
        <v>010031</v>
      </c>
      <c r="AB5" s="2" t="str">
        <f>"010032"</f>
        <v>010032</v>
      </c>
      <c r="AC5" s="2" t="str">
        <f>"010033"</f>
        <v>010033</v>
      </c>
      <c r="AD5" s="2" t="str">
        <f>"010034"</f>
        <v>010034</v>
      </c>
      <c r="AE5" s="2" t="str">
        <f>"010035"</f>
        <v>010035</v>
      </c>
      <c r="AF5" s="2" t="str">
        <f>"010036"</f>
        <v>010036</v>
      </c>
      <c r="AG5" s="2" t="str">
        <f>"010037"</f>
        <v>010037</v>
      </c>
      <c r="AH5" s="2" t="str">
        <f>"010040"</f>
        <v>010040</v>
      </c>
      <c r="AI5" s="2" t="str">
        <f>"010041"</f>
        <v>010041</v>
      </c>
      <c r="AJ5" s="2" t="str">
        <f>"010042"</f>
        <v>010042</v>
      </c>
      <c r="AK5" s="2" t="str">
        <f>"010043"</f>
        <v>010043</v>
      </c>
      <c r="AL5" s="2" t="str">
        <f>"010044"</f>
        <v>010044</v>
      </c>
      <c r="AM5" s="2" t="str">
        <f>"010047"</f>
        <v>010047</v>
      </c>
      <c r="AN5" s="2" t="str">
        <f>"010048"</f>
        <v>010048</v>
      </c>
      <c r="AO5" s="2" t="str">
        <f>"010049"</f>
        <v>010049</v>
      </c>
      <c r="AP5" s="2" t="str">
        <f>"010050"</f>
        <v>010050</v>
      </c>
      <c r="AQ5" s="2" t="str">
        <f>"010051"</f>
        <v>010051</v>
      </c>
      <c r="AR5" s="2" t="str">
        <f>"010052"</f>
        <v>010052</v>
      </c>
      <c r="AS5" s="2" t="str">
        <f>"010053"</f>
        <v>010053</v>
      </c>
      <c r="AT5" s="2" t="str">
        <f>"010054"</f>
        <v>010054</v>
      </c>
      <c r="AU5" s="2" t="str">
        <f>"010055"</f>
        <v>010055</v>
      </c>
      <c r="AV5" s="2" t="str">
        <f>"010059"</f>
        <v>010059</v>
      </c>
      <c r="AW5" s="2" t="str">
        <f>"010060"</f>
        <v>010060</v>
      </c>
      <c r="AX5" s="2" t="str">
        <f>"010061"</f>
        <v>010061</v>
      </c>
      <c r="AY5" s="2" t="str">
        <f>"010062"</f>
        <v>010062</v>
      </c>
      <c r="AZ5" s="2" t="str">
        <f>"010063"</f>
        <v>010063</v>
      </c>
      <c r="BA5" s="2" t="str">
        <f>"010065"</f>
        <v>010065</v>
      </c>
      <c r="BB5" s="2" t="str">
        <f>"011001"</f>
        <v>011001</v>
      </c>
      <c r="BC5" s="2" t="str">
        <f>"011002"</f>
        <v>011002</v>
      </c>
      <c r="BD5" s="2" t="str">
        <f>"011004"</f>
        <v>011004</v>
      </c>
      <c r="BE5" s="2" t="str">
        <f>"011005"</f>
        <v>011005</v>
      </c>
      <c r="BF5" s="2" t="str">
        <f>"011006"</f>
        <v>011006</v>
      </c>
      <c r="BG5" s="2" t="str">
        <f>"011007"</f>
        <v>011007</v>
      </c>
      <c r="BH5" s="2" t="str">
        <f>"011008"</f>
        <v>011008</v>
      </c>
      <c r="BI5" s="2" t="str">
        <f>"011009"</f>
        <v>011009</v>
      </c>
      <c r="BJ5" s="2" t="str">
        <f>"011010"</f>
        <v>011010</v>
      </c>
      <c r="BK5" s="2" t="str">
        <f>"011011"</f>
        <v>011011</v>
      </c>
      <c r="BL5" s="2" t="str">
        <f>"011012"</f>
        <v>011012</v>
      </c>
      <c r="BM5" s="2" t="str">
        <f>"011013"</f>
        <v>011013</v>
      </c>
      <c r="BN5" s="2" t="str">
        <f>"011014"</f>
        <v>011014</v>
      </c>
      <c r="BO5" s="2" t="str">
        <f>"011015"</f>
        <v>011015</v>
      </c>
      <c r="BP5" s="2" t="str">
        <f>"011016"</f>
        <v>011016</v>
      </c>
      <c r="BQ5" s="2" t="str">
        <f>"011019"</f>
        <v>011019</v>
      </c>
      <c r="BR5" s="2" t="str">
        <f>"011020"</f>
        <v>011020</v>
      </c>
      <c r="BS5" s="2" t="str">
        <f>"011021"</f>
        <v>011021</v>
      </c>
      <c r="BT5" s="2" t="str">
        <f>"011022"</f>
        <v>011022</v>
      </c>
      <c r="BU5" s="2" t="str">
        <f>"011025"</f>
        <v>011025</v>
      </c>
      <c r="BV5" s="2" t="str">
        <f>"011028"</f>
        <v>011028</v>
      </c>
      <c r="BW5" s="2" t="str">
        <f>"011034"</f>
        <v>011034</v>
      </c>
      <c r="BX5" s="2" t="str">
        <f>"011035"</f>
        <v>011035</v>
      </c>
      <c r="BY5" s="2" t="str">
        <f>"011052"</f>
        <v>011052</v>
      </c>
      <c r="BZ5" s="2" t="str">
        <f>"011053"</f>
        <v>011053</v>
      </c>
      <c r="CA5" s="2" t="str">
        <f>"011054"</f>
        <v>011054</v>
      </c>
      <c r="CB5" s="2" t="str">
        <f>"011055"</f>
        <v>011055</v>
      </c>
      <c r="CC5" s="2" t="str">
        <f>"011056"</f>
        <v>011056</v>
      </c>
      <c r="CD5" s="2" t="str">
        <f>"011057"</f>
        <v>011057</v>
      </c>
      <c r="CE5" s="2" t="str">
        <f>"011058"</f>
        <v>011058</v>
      </c>
      <c r="CF5" s="2" t="str">
        <f>"011059"</f>
        <v>011059</v>
      </c>
      <c r="CG5" s="2" t="str">
        <f>"011060"</f>
        <v>011060</v>
      </c>
      <c r="CH5" s="2" t="str">
        <f>"011061"</f>
        <v>011061</v>
      </c>
      <c r="CI5" s="2" t="str">
        <f>"011062"</f>
        <v>011062</v>
      </c>
      <c r="CJ5" s="2" t="str">
        <f>"011063"</f>
        <v>011063</v>
      </c>
      <c r="CK5" s="2" t="str">
        <f>"011064"</f>
        <v>011064</v>
      </c>
      <c r="CL5" s="2" t="str">
        <f>"011065"</f>
        <v>011065</v>
      </c>
      <c r="CM5" s="2" t="str">
        <f>"011066"</f>
        <v>011066</v>
      </c>
      <c r="CN5" s="2" t="str">
        <f>"011067"</f>
        <v>011067</v>
      </c>
      <c r="CO5" s="3"/>
      <c r="CP5" s="1" t="s">
        <v>5</v>
      </c>
      <c r="CQ5" s="16" t="s">
        <v>13</v>
      </c>
      <c r="CR5" s="17" t="s">
        <v>14</v>
      </c>
      <c r="CS5" s="18" t="s">
        <v>13</v>
      </c>
      <c r="CT5" s="18" t="s">
        <v>2</v>
      </c>
      <c r="CU5" s="19" t="s">
        <v>15</v>
      </c>
      <c r="CV5" s="19" t="s">
        <v>16</v>
      </c>
    </row>
    <row r="6" spans="1:100" hidden="1" x14ac:dyDescent="0.25">
      <c r="A6" s="8" t="s">
        <v>7</v>
      </c>
      <c r="D6" s="4"/>
      <c r="E6" s="4"/>
      <c r="F6" s="4"/>
      <c r="G6" s="4"/>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6"/>
      <c r="CP6" s="7"/>
    </row>
    <row r="7" spans="1:100" x14ac:dyDescent="0.25">
      <c r="C7" s="8" t="s">
        <v>17</v>
      </c>
      <c r="D7" s="8" t="str">
        <f>"100000"</f>
        <v>100000</v>
      </c>
      <c r="E7" s="8" t="str">
        <f>"101300"</f>
        <v>101300</v>
      </c>
      <c r="F7" s="8" t="str">
        <f>"Capital Souscrit"</f>
        <v>Capital Souscrit</v>
      </c>
      <c r="G7" s="8" t="str">
        <f t="shared" ref="G7:G70" si="0">IF(OR(LEFT($D7,1)="6",LEFT($D7,1)="7"),PeriodStart,"")</f>
        <v/>
      </c>
      <c r="H7" s="9">
        <v>-81500000</v>
      </c>
      <c r="I7" s="9">
        <v>-265000</v>
      </c>
      <c r="J7" s="9">
        <v>-90000</v>
      </c>
      <c r="K7" s="9">
        <v>-136341.44</v>
      </c>
      <c r="L7" s="9">
        <v>-114999.99999999999</v>
      </c>
      <c r="M7" s="9">
        <v>-200000.00000000003</v>
      </c>
      <c r="N7" s="9">
        <v>-99157.41</v>
      </c>
      <c r="O7" s="9">
        <v>-294900</v>
      </c>
      <c r="P7" s="9">
        <v>-242500.00000000003</v>
      </c>
      <c r="Q7" s="9">
        <v>-1183427.3399999999</v>
      </c>
      <c r="R7" s="9">
        <v>-225000.00000000003</v>
      </c>
      <c r="S7" s="9">
        <v>-62000</v>
      </c>
      <c r="T7" s="9">
        <v>-62000</v>
      </c>
      <c r="U7" s="9">
        <v>-150000</v>
      </c>
      <c r="V7" s="9">
        <v>-237500</v>
      </c>
      <c r="W7" s="9">
        <v>-919999.99999999988</v>
      </c>
      <c r="X7" s="9">
        <v>0</v>
      </c>
      <c r="Y7" s="9">
        <v>-461999.99999999994</v>
      </c>
      <c r="Z7" s="9">
        <v>-18592.009999999998</v>
      </c>
      <c r="AA7" s="9">
        <v>0</v>
      </c>
      <c r="AB7" s="9">
        <v>0</v>
      </c>
      <c r="AC7" s="9">
        <v>-80565.399999999994</v>
      </c>
      <c r="AD7" s="9">
        <v>0</v>
      </c>
      <c r="AE7" s="9">
        <v>-10000000</v>
      </c>
      <c r="AF7" s="9">
        <v>-311980.52999999997</v>
      </c>
      <c r="AG7" s="9">
        <v>-6150000</v>
      </c>
      <c r="AH7" s="9">
        <v>-62000</v>
      </c>
      <c r="AI7" s="9">
        <v>-212000</v>
      </c>
      <c r="AJ7" s="9">
        <v>-62000</v>
      </c>
      <c r="AK7" s="9">
        <v>-61973.38</v>
      </c>
      <c r="AL7" s="9">
        <v>-62000</v>
      </c>
      <c r="AM7" s="9">
        <v>-62000</v>
      </c>
      <c r="AN7" s="9">
        <v>-62000</v>
      </c>
      <c r="AO7" s="9">
        <v>-123946.76</v>
      </c>
      <c r="AP7" s="9">
        <v>-62000</v>
      </c>
      <c r="AQ7" s="9">
        <v>-62000</v>
      </c>
      <c r="AR7" s="9">
        <v>-3218600</v>
      </c>
      <c r="AS7" s="9">
        <v>-700000</v>
      </c>
      <c r="AT7" s="9">
        <v>-662500</v>
      </c>
      <c r="AU7" s="9">
        <v>-61973.38</v>
      </c>
      <c r="AV7" s="9">
        <v>0</v>
      </c>
      <c r="AW7" s="9">
        <v>-20000</v>
      </c>
      <c r="AX7" s="9">
        <v>-20000</v>
      </c>
      <c r="AY7" s="9">
        <v>0</v>
      </c>
      <c r="AZ7" s="9">
        <v>-18600</v>
      </c>
      <c r="BA7" s="9">
        <v>0</v>
      </c>
      <c r="BB7" s="9">
        <v>-80317.5</v>
      </c>
      <c r="BC7" s="9">
        <v>-62000</v>
      </c>
      <c r="BD7" s="9">
        <v>-1750000</v>
      </c>
      <c r="BE7" s="9">
        <v>-18600</v>
      </c>
      <c r="BF7" s="9">
        <v>-61500</v>
      </c>
      <c r="BG7" s="9">
        <v>-492000</v>
      </c>
      <c r="BH7" s="9">
        <v>-62500</v>
      </c>
      <c r="BI7" s="9">
        <v>-62000</v>
      </c>
      <c r="BJ7" s="9">
        <v>-815000</v>
      </c>
      <c r="BK7" s="9">
        <v>-64999.999999999993</v>
      </c>
      <c r="BL7" s="9">
        <v>-120000</v>
      </c>
      <c r="BM7" s="9">
        <v>-62000</v>
      </c>
      <c r="BN7" s="9">
        <v>-750</v>
      </c>
      <c r="BO7" s="9">
        <v>-40000</v>
      </c>
      <c r="BP7" s="9">
        <v>-138820.37</v>
      </c>
      <c r="BQ7" s="9">
        <v>-1162000</v>
      </c>
      <c r="BR7" s="9">
        <v>-851700</v>
      </c>
      <c r="BS7" s="9">
        <v>-1608433.6</v>
      </c>
      <c r="BT7" s="9">
        <v>-3724159.9999999995</v>
      </c>
      <c r="BU7" s="9">
        <v>-62000</v>
      </c>
      <c r="BV7" s="9">
        <v>-100000.00000000001</v>
      </c>
      <c r="BW7" s="9">
        <v>-330000</v>
      </c>
      <c r="BX7" s="9">
        <v>-350000</v>
      </c>
      <c r="BY7" s="9">
        <v>-1062000</v>
      </c>
      <c r="BZ7" s="9">
        <v>-1500000</v>
      </c>
      <c r="CA7" s="9">
        <v>-15594999.999999998</v>
      </c>
      <c r="CB7" s="9">
        <v>-3919300</v>
      </c>
      <c r="CC7" s="9">
        <v>-247893.52</v>
      </c>
      <c r="CD7" s="9">
        <v>-800000.00000000012</v>
      </c>
      <c r="CE7" s="9">
        <v>-161500</v>
      </c>
      <c r="CF7" s="9">
        <v>-500000</v>
      </c>
      <c r="CG7" s="9">
        <v>-1250000</v>
      </c>
      <c r="CH7" s="9">
        <v>-18900</v>
      </c>
      <c r="CI7" s="9">
        <v>-373600</v>
      </c>
      <c r="CJ7" s="9">
        <v>-823600.00000000012</v>
      </c>
      <c r="CK7" s="9">
        <v>-533000</v>
      </c>
      <c r="CL7" s="9">
        <v>-2498600</v>
      </c>
      <c r="CM7" s="9">
        <v>-761500</v>
      </c>
      <c r="CN7" s="9">
        <v>-1500000</v>
      </c>
      <c r="CP7" s="10">
        <f>SUMIF(H$2:CO$2,"Oui",H7:CO7)</f>
        <v>-151903232.64000002</v>
      </c>
      <c r="CQ7" s="20" t="str">
        <f>IFERROR(VLOOKUP($D7,'[2]Mappage de compte'!$B:$G,1,FALSE),"")</f>
        <v>100000</v>
      </c>
      <c r="CR7" s="21" t="str">
        <f>IFERROR(VLOOKUP($D7,'[2]Mappage de compte'!$B:$G,2,FALSE),"")</f>
        <v>Capital Souscrit</v>
      </c>
      <c r="CS7" s="22" t="str">
        <f>IFERROR(VLOOKUP($D7,'[2]Mappage de compte'!$B:$G,3,FALSE),"")</f>
        <v>101300</v>
      </c>
      <c r="CT7" s="22" t="str">
        <f>IFERROR(VLOOKUP($D7,'[2]Mappage de compte'!$B:$G,4,FALSE),"")</f>
        <v xml:space="preserve">CAPITAL SOUSCRIT APPELE VERSE          </v>
      </c>
      <c r="CU7" s="23" t="str">
        <f>IFERROR(VLOOKUP($D7,'[2]Mappage de compte'!$B:$G,5,FALSE),"")</f>
        <v>Capital</v>
      </c>
      <c r="CV7" s="23" t="str">
        <f>IFERROR(VLOOKUP($D7,'[2]Mappage de compte'!$B:$G,6,FALSE),"")</f>
        <v>Capitaux propres part du groupe</v>
      </c>
    </row>
    <row r="8" spans="1:100" x14ac:dyDescent="0.25">
      <c r="A8" s="8" t="s">
        <v>9</v>
      </c>
      <c r="C8" s="8" t="str">
        <f>"""ORPEA BE"",""010010"",""15"",""1"",""101000"""</f>
        <v>"ORPEA BE","010010","15","1","101000"</v>
      </c>
      <c r="D8" s="8" t="str">
        <f>"101000"</f>
        <v>101000</v>
      </c>
      <c r="E8" s="8" t="str">
        <f>"101300"</f>
        <v>101300</v>
      </c>
      <c r="F8" s="8" t="str">
        <f>"Capital non appelé"</f>
        <v>Capital non appelé</v>
      </c>
      <c r="G8" s="8" t="str">
        <f t="shared" si="0"/>
        <v/>
      </c>
      <c r="H8" s="9">
        <v>0</v>
      </c>
      <c r="I8" s="9">
        <v>0</v>
      </c>
      <c r="J8" s="9">
        <v>0</v>
      </c>
      <c r="K8" s="9">
        <v>0</v>
      </c>
      <c r="L8" s="9">
        <v>0</v>
      </c>
      <c r="M8" s="9">
        <v>0</v>
      </c>
      <c r="N8" s="9">
        <v>0</v>
      </c>
      <c r="O8" s="9">
        <v>0</v>
      </c>
      <c r="P8" s="9">
        <v>0</v>
      </c>
      <c r="Q8" s="9">
        <v>0</v>
      </c>
      <c r="R8" s="9">
        <v>0</v>
      </c>
      <c r="S8" s="9">
        <v>0</v>
      </c>
      <c r="T8" s="9">
        <v>0</v>
      </c>
      <c r="U8" s="9">
        <v>0</v>
      </c>
      <c r="V8" s="9">
        <v>0</v>
      </c>
      <c r="W8" s="9">
        <v>0</v>
      </c>
      <c r="X8" s="9">
        <v>0</v>
      </c>
      <c r="Y8" s="9">
        <v>0</v>
      </c>
      <c r="Z8" s="9">
        <v>0</v>
      </c>
      <c r="AA8" s="9">
        <v>0</v>
      </c>
      <c r="AB8" s="9">
        <v>0</v>
      </c>
      <c r="AC8" s="9">
        <v>0</v>
      </c>
      <c r="AD8" s="9">
        <v>0</v>
      </c>
      <c r="AE8" s="9">
        <v>0</v>
      </c>
      <c r="AF8" s="9">
        <v>0</v>
      </c>
      <c r="AG8" s="9">
        <v>0</v>
      </c>
      <c r="AH8" s="9">
        <v>0</v>
      </c>
      <c r="AI8" s="9">
        <v>0</v>
      </c>
      <c r="AJ8" s="9">
        <v>0</v>
      </c>
      <c r="AK8" s="9">
        <v>0</v>
      </c>
      <c r="AL8" s="9">
        <v>0</v>
      </c>
      <c r="AM8" s="9">
        <v>0</v>
      </c>
      <c r="AN8" s="9">
        <v>0</v>
      </c>
      <c r="AO8" s="9">
        <v>0</v>
      </c>
      <c r="AP8" s="9">
        <v>0</v>
      </c>
      <c r="AQ8" s="9">
        <v>0</v>
      </c>
      <c r="AR8" s="9">
        <v>0</v>
      </c>
      <c r="AS8" s="9">
        <v>0</v>
      </c>
      <c r="AT8" s="9">
        <v>0</v>
      </c>
      <c r="AU8" s="9">
        <v>0</v>
      </c>
      <c r="AV8" s="9">
        <v>0</v>
      </c>
      <c r="AW8" s="9">
        <v>0</v>
      </c>
      <c r="AX8" s="9">
        <v>0</v>
      </c>
      <c r="AY8" s="9">
        <v>0</v>
      </c>
      <c r="AZ8" s="9">
        <v>0</v>
      </c>
      <c r="BA8" s="9">
        <v>0</v>
      </c>
      <c r="BB8" s="9">
        <v>0</v>
      </c>
      <c r="BC8" s="9">
        <v>0</v>
      </c>
      <c r="BD8" s="9">
        <v>0</v>
      </c>
      <c r="BE8" s="9">
        <v>0</v>
      </c>
      <c r="BF8" s="9">
        <v>0</v>
      </c>
      <c r="BG8" s="9">
        <v>0</v>
      </c>
      <c r="BH8" s="9">
        <v>0</v>
      </c>
      <c r="BI8" s="9">
        <v>0</v>
      </c>
      <c r="BJ8" s="9">
        <v>0</v>
      </c>
      <c r="BK8" s="9">
        <v>0</v>
      </c>
      <c r="BL8" s="9">
        <v>0</v>
      </c>
      <c r="BM8" s="9">
        <v>0</v>
      </c>
      <c r="BN8" s="9">
        <v>0</v>
      </c>
      <c r="BO8" s="9">
        <v>0</v>
      </c>
      <c r="BP8" s="9">
        <v>0</v>
      </c>
      <c r="BQ8" s="9">
        <v>0</v>
      </c>
      <c r="BR8" s="9">
        <v>0</v>
      </c>
      <c r="BS8" s="9">
        <v>0</v>
      </c>
      <c r="BT8" s="9">
        <v>0</v>
      </c>
      <c r="BU8" s="9">
        <v>0</v>
      </c>
      <c r="BV8" s="9">
        <v>0</v>
      </c>
      <c r="BW8" s="9">
        <v>0</v>
      </c>
      <c r="BX8" s="9">
        <v>0</v>
      </c>
      <c r="BY8" s="9">
        <v>0</v>
      </c>
      <c r="BZ8" s="9">
        <v>0</v>
      </c>
      <c r="CA8" s="9">
        <v>0</v>
      </c>
      <c r="CB8" s="9">
        <v>0</v>
      </c>
      <c r="CC8" s="9">
        <v>0</v>
      </c>
      <c r="CD8" s="9">
        <v>0</v>
      </c>
      <c r="CE8" s="9">
        <v>0</v>
      </c>
      <c r="CF8" s="9">
        <v>0</v>
      </c>
      <c r="CG8" s="9">
        <v>0</v>
      </c>
      <c r="CH8" s="9">
        <v>0</v>
      </c>
      <c r="CI8" s="9">
        <v>0</v>
      </c>
      <c r="CJ8" s="9">
        <v>0</v>
      </c>
      <c r="CK8" s="9">
        <v>0</v>
      </c>
      <c r="CL8" s="9">
        <v>0</v>
      </c>
      <c r="CM8" s="9">
        <v>0</v>
      </c>
      <c r="CN8" s="9">
        <v>0</v>
      </c>
      <c r="CP8" s="10">
        <f t="shared" ref="CP8:CP71" si="1">SUMIF(H$2:CO$2,"Oui",H8:CO8)</f>
        <v>0</v>
      </c>
      <c r="CQ8" s="20" t="str">
        <f>IFERROR(VLOOKUP($D8,'[2]Mappage de compte'!$B:$G,1,FALSE),"")</f>
        <v/>
      </c>
      <c r="CR8" s="21" t="str">
        <f>IFERROR(VLOOKUP($D8,'[2]Mappage de compte'!$B:$G,2,FALSE),"")</f>
        <v/>
      </c>
      <c r="CS8" s="22" t="str">
        <f>IFERROR(VLOOKUP($D8,'[2]Mappage de compte'!$B:$G,3,FALSE),"")</f>
        <v/>
      </c>
      <c r="CT8" s="22" t="str">
        <f>IFERROR(VLOOKUP($D8,'[2]Mappage de compte'!$B:$G,4,FALSE),"")</f>
        <v/>
      </c>
      <c r="CU8" s="23" t="str">
        <f>IFERROR(VLOOKUP($D8,'[2]Mappage de compte'!$B:$G,5,FALSE),"")</f>
        <v/>
      </c>
      <c r="CV8" s="23" t="str">
        <f>IFERROR(VLOOKUP($D8,'[2]Mappage de compte'!$B:$G,6,FALSE),"")</f>
        <v/>
      </c>
    </row>
    <row r="9" spans="1:100" x14ac:dyDescent="0.25">
      <c r="A9" s="8" t="s">
        <v>9</v>
      </c>
      <c r="C9" s="8" t="str">
        <f>"""ORPEA BE"",""010010"",""15"",""1"",""101100"""</f>
        <v>"ORPEA BE","010010","15","1","101100"</v>
      </c>
      <c r="D9" s="8" t="str">
        <f>"101100"</f>
        <v>101100</v>
      </c>
      <c r="E9" s="8" t="str">
        <f>"467000"</f>
        <v>467000</v>
      </c>
      <c r="F9" s="8" t="str">
        <f>"Fonds Associatif"</f>
        <v>Fonds Associatif</v>
      </c>
      <c r="G9" s="8" t="str">
        <f t="shared" si="0"/>
        <v/>
      </c>
      <c r="H9" s="9">
        <v>0</v>
      </c>
      <c r="I9" s="9">
        <v>0</v>
      </c>
      <c r="J9" s="9">
        <v>0</v>
      </c>
      <c r="K9" s="9">
        <v>0</v>
      </c>
      <c r="L9" s="9">
        <v>0</v>
      </c>
      <c r="M9" s="9">
        <v>0</v>
      </c>
      <c r="N9" s="9">
        <v>0</v>
      </c>
      <c r="O9" s="9">
        <v>0</v>
      </c>
      <c r="P9" s="9">
        <v>0</v>
      </c>
      <c r="Q9" s="9">
        <v>0</v>
      </c>
      <c r="R9" s="9">
        <v>0</v>
      </c>
      <c r="S9" s="9">
        <v>0</v>
      </c>
      <c r="T9" s="9">
        <v>0</v>
      </c>
      <c r="U9" s="9">
        <v>0</v>
      </c>
      <c r="V9" s="9">
        <v>0</v>
      </c>
      <c r="W9" s="9">
        <v>0</v>
      </c>
      <c r="X9" s="9">
        <v>-32190.71</v>
      </c>
      <c r="Y9" s="9">
        <v>0</v>
      </c>
      <c r="Z9" s="9">
        <v>0</v>
      </c>
      <c r="AA9" s="9">
        <v>-32190.71</v>
      </c>
      <c r="AB9" s="9">
        <v>-32190.730000000003</v>
      </c>
      <c r="AC9" s="9">
        <v>0</v>
      </c>
      <c r="AD9" s="9">
        <v>0</v>
      </c>
      <c r="AE9" s="9">
        <v>0</v>
      </c>
      <c r="AF9" s="9">
        <v>0</v>
      </c>
      <c r="AG9" s="9">
        <v>0</v>
      </c>
      <c r="AH9" s="9">
        <v>0</v>
      </c>
      <c r="AI9" s="9">
        <v>0</v>
      </c>
      <c r="AJ9" s="9">
        <v>0</v>
      </c>
      <c r="AK9" s="9">
        <v>0</v>
      </c>
      <c r="AL9" s="9">
        <v>0</v>
      </c>
      <c r="AM9" s="9">
        <v>0</v>
      </c>
      <c r="AN9" s="9">
        <v>0</v>
      </c>
      <c r="AO9" s="9">
        <v>0</v>
      </c>
      <c r="AP9" s="9">
        <v>0</v>
      </c>
      <c r="AQ9" s="9">
        <v>0</v>
      </c>
      <c r="AR9" s="9">
        <v>0</v>
      </c>
      <c r="AS9" s="9">
        <v>0</v>
      </c>
      <c r="AT9" s="9">
        <v>0</v>
      </c>
      <c r="AU9" s="9">
        <v>0</v>
      </c>
      <c r="AV9" s="9">
        <v>0</v>
      </c>
      <c r="AW9" s="9">
        <v>0</v>
      </c>
      <c r="AX9" s="9">
        <v>0</v>
      </c>
      <c r="AY9" s="9">
        <v>0</v>
      </c>
      <c r="AZ9" s="9">
        <v>0</v>
      </c>
      <c r="BA9" s="9">
        <v>0</v>
      </c>
      <c r="BB9" s="9">
        <v>0</v>
      </c>
      <c r="BC9" s="9">
        <v>0</v>
      </c>
      <c r="BD9" s="9">
        <v>0</v>
      </c>
      <c r="BE9" s="9">
        <v>0</v>
      </c>
      <c r="BF9" s="9">
        <v>0</v>
      </c>
      <c r="BG9" s="9">
        <v>0</v>
      </c>
      <c r="BH9" s="9">
        <v>0</v>
      </c>
      <c r="BI9" s="9">
        <v>0</v>
      </c>
      <c r="BJ9" s="9">
        <v>0</v>
      </c>
      <c r="BK9" s="9">
        <v>0</v>
      </c>
      <c r="BL9" s="9">
        <v>0</v>
      </c>
      <c r="BM9" s="9">
        <v>0</v>
      </c>
      <c r="BN9" s="9">
        <v>0</v>
      </c>
      <c r="BO9" s="9">
        <v>0</v>
      </c>
      <c r="BP9" s="9">
        <v>0</v>
      </c>
      <c r="BQ9" s="9">
        <v>0</v>
      </c>
      <c r="BR9" s="9">
        <v>0</v>
      </c>
      <c r="BS9" s="9">
        <v>0</v>
      </c>
      <c r="BT9" s="9">
        <v>0</v>
      </c>
      <c r="BU9" s="9">
        <v>0</v>
      </c>
      <c r="BV9" s="9">
        <v>0</v>
      </c>
      <c r="BW9" s="9">
        <v>0</v>
      </c>
      <c r="BX9" s="9">
        <v>0</v>
      </c>
      <c r="BY9" s="9">
        <v>0</v>
      </c>
      <c r="BZ9" s="9">
        <v>0</v>
      </c>
      <c r="CA9" s="9">
        <v>0</v>
      </c>
      <c r="CB9" s="9">
        <v>0</v>
      </c>
      <c r="CC9" s="9">
        <v>0</v>
      </c>
      <c r="CD9" s="9">
        <v>0</v>
      </c>
      <c r="CE9" s="9">
        <v>0</v>
      </c>
      <c r="CF9" s="9">
        <v>0</v>
      </c>
      <c r="CG9" s="9">
        <v>0</v>
      </c>
      <c r="CH9" s="9">
        <v>0</v>
      </c>
      <c r="CI9" s="9">
        <v>0</v>
      </c>
      <c r="CJ9" s="9">
        <v>0</v>
      </c>
      <c r="CK9" s="9">
        <v>0</v>
      </c>
      <c r="CL9" s="9">
        <v>0</v>
      </c>
      <c r="CM9" s="9">
        <v>0</v>
      </c>
      <c r="CN9" s="9">
        <v>0</v>
      </c>
      <c r="CP9" s="10">
        <f t="shared" si="1"/>
        <v>-96572.15</v>
      </c>
      <c r="CQ9" s="20" t="str">
        <f>IFERROR(VLOOKUP($D9,'[2]Mappage de compte'!$B:$G,1,FALSE),"")</f>
        <v>101100</v>
      </c>
      <c r="CR9" s="21" t="str">
        <f>IFERROR(VLOOKUP($D9,'[2]Mappage de compte'!$B:$G,2,FALSE),"")</f>
        <v>Fonds Associatif</v>
      </c>
      <c r="CS9" s="22" t="str">
        <f>IFERROR(VLOOKUP($D9,'[2]Mappage de compte'!$B:$G,3,FALSE),"")</f>
        <v>467951</v>
      </c>
      <c r="CT9" s="22" t="str">
        <f>IFERROR(VLOOKUP($D9,'[2]Mappage de compte'!$B:$G,4,FALSE),"")</f>
        <v>ACHAT - BELGIQUE</v>
      </c>
      <c r="CU9" s="23" t="str">
        <f>IFERROR(VLOOKUP($D9,'[2]Mappage de compte'!$B:$G,5,FALSE),"")</f>
        <v>Autres passifs courants</v>
      </c>
      <c r="CV9" s="23" t="str">
        <f>IFERROR(VLOOKUP($D9,'[2]Mappage de compte'!$B:$G,6,FALSE),"")</f>
        <v>PASSIFS COURANTS</v>
      </c>
    </row>
    <row r="10" spans="1:100" x14ac:dyDescent="0.25">
      <c r="A10" s="8" t="s">
        <v>9</v>
      </c>
      <c r="C10" s="8" t="str">
        <f>"""ORPEA BE"",""010010"",""15"",""1"",""110000"""</f>
        <v>"ORPEA BE","010010","15","1","110000"</v>
      </c>
      <c r="D10" s="8" t="str">
        <f>"110000"</f>
        <v>110000</v>
      </c>
      <c r="E10" s="8" t="str">
        <f>"109000"</f>
        <v>109000</v>
      </c>
      <c r="F10" s="8" t="str">
        <f>"Prime d'émission"</f>
        <v>Prime d'émission</v>
      </c>
      <c r="G10" s="8" t="str">
        <f t="shared" si="0"/>
        <v/>
      </c>
      <c r="H10" s="9">
        <v>0</v>
      </c>
      <c r="I10" s="9">
        <v>-38.67</v>
      </c>
      <c r="J10" s="9">
        <v>0</v>
      </c>
      <c r="K10" s="9">
        <v>0</v>
      </c>
      <c r="L10" s="9">
        <v>0</v>
      </c>
      <c r="M10" s="9">
        <v>0</v>
      </c>
      <c r="N10" s="9">
        <v>0</v>
      </c>
      <c r="O10" s="9">
        <v>0</v>
      </c>
      <c r="P10" s="9">
        <v>0</v>
      </c>
      <c r="Q10" s="9">
        <v>0</v>
      </c>
      <c r="R10" s="9">
        <v>0</v>
      </c>
      <c r="S10" s="9">
        <v>0</v>
      </c>
      <c r="T10" s="9">
        <v>0</v>
      </c>
      <c r="U10" s="9">
        <v>0</v>
      </c>
      <c r="V10" s="9">
        <v>0</v>
      </c>
      <c r="W10" s="9">
        <v>0</v>
      </c>
      <c r="X10" s="9">
        <v>0</v>
      </c>
      <c r="Y10" s="9">
        <v>0</v>
      </c>
      <c r="Z10" s="9">
        <v>0</v>
      </c>
      <c r="AA10" s="9">
        <v>0</v>
      </c>
      <c r="AB10" s="9">
        <v>0</v>
      </c>
      <c r="AC10" s="9">
        <v>0</v>
      </c>
      <c r="AD10" s="9">
        <v>0</v>
      </c>
      <c r="AE10" s="9">
        <v>0</v>
      </c>
      <c r="AF10" s="9">
        <v>0</v>
      </c>
      <c r="AG10" s="9">
        <v>0</v>
      </c>
      <c r="AH10" s="9">
        <v>0</v>
      </c>
      <c r="AI10" s="9">
        <v>0</v>
      </c>
      <c r="AJ10" s="9">
        <v>0</v>
      </c>
      <c r="AK10" s="9">
        <v>0</v>
      </c>
      <c r="AL10" s="9">
        <v>0</v>
      </c>
      <c r="AM10" s="9">
        <v>0</v>
      </c>
      <c r="AN10" s="9">
        <v>0</v>
      </c>
      <c r="AO10" s="9">
        <v>0</v>
      </c>
      <c r="AP10" s="9">
        <v>0</v>
      </c>
      <c r="AQ10" s="9">
        <v>0</v>
      </c>
      <c r="AR10" s="9">
        <v>0</v>
      </c>
      <c r="AS10" s="9">
        <v>0</v>
      </c>
      <c r="AT10" s="9">
        <v>0</v>
      </c>
      <c r="AU10" s="9">
        <v>0</v>
      </c>
      <c r="AV10" s="9">
        <v>0</v>
      </c>
      <c r="AW10" s="9">
        <v>0</v>
      </c>
      <c r="AX10" s="9">
        <v>0</v>
      </c>
      <c r="AY10" s="9">
        <v>0</v>
      </c>
      <c r="AZ10" s="9">
        <v>0</v>
      </c>
      <c r="BA10" s="9">
        <v>0</v>
      </c>
      <c r="BB10" s="9">
        <v>0</v>
      </c>
      <c r="BC10" s="9">
        <v>0</v>
      </c>
      <c r="BD10" s="9">
        <v>0</v>
      </c>
      <c r="BE10" s="9">
        <v>0</v>
      </c>
      <c r="BF10" s="9">
        <v>0</v>
      </c>
      <c r="BG10" s="9">
        <v>0</v>
      </c>
      <c r="BH10" s="9">
        <v>0</v>
      </c>
      <c r="BI10" s="9">
        <v>0</v>
      </c>
      <c r="BJ10" s="9">
        <v>-11.65</v>
      </c>
      <c r="BK10" s="9">
        <v>-25.929999999999996</v>
      </c>
      <c r="BL10" s="9">
        <v>0</v>
      </c>
      <c r="BM10" s="9">
        <v>0</v>
      </c>
      <c r="BN10" s="9">
        <v>0</v>
      </c>
      <c r="BO10" s="9">
        <v>0</v>
      </c>
      <c r="BP10" s="9">
        <v>0</v>
      </c>
      <c r="BQ10" s="9">
        <v>0</v>
      </c>
      <c r="BR10" s="9">
        <v>0</v>
      </c>
      <c r="BS10" s="9">
        <v>0</v>
      </c>
      <c r="BT10" s="9">
        <v>0</v>
      </c>
      <c r="BU10" s="9">
        <v>0</v>
      </c>
      <c r="BV10" s="9">
        <v>0</v>
      </c>
      <c r="BW10" s="9">
        <v>0</v>
      </c>
      <c r="BX10" s="9">
        <v>0</v>
      </c>
      <c r="BY10" s="9">
        <v>0</v>
      </c>
      <c r="BZ10" s="9">
        <v>0</v>
      </c>
      <c r="CA10" s="9">
        <v>0</v>
      </c>
      <c r="CB10" s="9">
        <v>0</v>
      </c>
      <c r="CC10" s="9">
        <v>0</v>
      </c>
      <c r="CD10" s="9">
        <v>0</v>
      </c>
      <c r="CE10" s="9">
        <v>0</v>
      </c>
      <c r="CF10" s="9">
        <v>0</v>
      </c>
      <c r="CG10" s="9">
        <v>0</v>
      </c>
      <c r="CH10" s="9">
        <v>0</v>
      </c>
      <c r="CI10" s="9">
        <v>0</v>
      </c>
      <c r="CJ10" s="9">
        <v>0</v>
      </c>
      <c r="CK10" s="9">
        <v>0</v>
      </c>
      <c r="CL10" s="9">
        <v>0</v>
      </c>
      <c r="CM10" s="9">
        <v>0</v>
      </c>
      <c r="CN10" s="9">
        <v>0</v>
      </c>
      <c r="CP10" s="10">
        <f t="shared" si="1"/>
        <v>-76.25</v>
      </c>
      <c r="CQ10" s="20" t="str">
        <f>IFERROR(VLOOKUP($D10,'[2]Mappage de compte'!$B:$G,1,FALSE),"")</f>
        <v>110000</v>
      </c>
      <c r="CR10" s="21" t="str">
        <f>IFERROR(VLOOKUP($D10,'[2]Mappage de compte'!$B:$G,2,FALSE),"")</f>
        <v>Prime d'émission</v>
      </c>
      <c r="CS10" s="22" t="str">
        <f>IFERROR(VLOOKUP($D10,'[2]Mappage de compte'!$B:$G,3,FALSE),"")</f>
        <v>101100</v>
      </c>
      <c r="CT10" s="22" t="str">
        <f>IFERROR(VLOOKUP($D10,'[2]Mappage de compte'!$B:$G,4,FALSE),"")</f>
        <v>CAPITAL SOUSC NON APPELE</v>
      </c>
      <c r="CU10" s="23" t="str">
        <f>IFERROR(VLOOKUP($D10,'[2]Mappage de compte'!$B:$G,5,FALSE),"")</f>
        <v>Capital</v>
      </c>
      <c r="CV10" s="23" t="str">
        <f>IFERROR(VLOOKUP($D10,'[2]Mappage de compte'!$B:$G,6,FALSE),"")</f>
        <v>Capitaux propres part du groupe</v>
      </c>
    </row>
    <row r="11" spans="1:100" x14ac:dyDescent="0.25">
      <c r="A11" s="8" t="s">
        <v>9</v>
      </c>
      <c r="C11" s="8" t="str">
        <f>"""ORPEA BE"",""010010"",""15"",""1"",""111111"""</f>
        <v>"ORPEA BE","010010","15","1","111111"</v>
      </c>
      <c r="D11" s="8" t="str">
        <f>"111111"</f>
        <v>111111</v>
      </c>
      <c r="G11" s="8" t="str">
        <f t="shared" si="0"/>
        <v/>
      </c>
      <c r="H11" s="9">
        <v>0</v>
      </c>
      <c r="I11" s="9">
        <v>0</v>
      </c>
      <c r="J11" s="9">
        <v>0</v>
      </c>
      <c r="K11" s="9">
        <v>0</v>
      </c>
      <c r="L11" s="9">
        <v>0</v>
      </c>
      <c r="M11" s="9">
        <v>0</v>
      </c>
      <c r="N11" s="9">
        <v>0</v>
      </c>
      <c r="O11" s="9">
        <v>0</v>
      </c>
      <c r="P11" s="9">
        <v>0</v>
      </c>
      <c r="Q11" s="9">
        <v>0</v>
      </c>
      <c r="R11" s="9">
        <v>0</v>
      </c>
      <c r="S11" s="9">
        <v>0</v>
      </c>
      <c r="T11" s="9">
        <v>0</v>
      </c>
      <c r="U11" s="9">
        <v>0</v>
      </c>
      <c r="V11" s="9">
        <v>0</v>
      </c>
      <c r="W11" s="9">
        <v>0</v>
      </c>
      <c r="X11" s="9">
        <v>0</v>
      </c>
      <c r="Y11" s="9">
        <v>0</v>
      </c>
      <c r="Z11" s="9">
        <v>0</v>
      </c>
      <c r="AA11" s="9">
        <v>0</v>
      </c>
      <c r="AB11" s="9">
        <v>0</v>
      </c>
      <c r="AC11" s="9">
        <v>0</v>
      </c>
      <c r="AD11" s="9">
        <v>0</v>
      </c>
      <c r="AE11" s="9">
        <v>0</v>
      </c>
      <c r="AF11" s="9">
        <v>0</v>
      </c>
      <c r="AG11" s="9">
        <v>0</v>
      </c>
      <c r="AH11" s="9">
        <v>0</v>
      </c>
      <c r="AI11" s="9">
        <v>0</v>
      </c>
      <c r="AJ11" s="9">
        <v>0</v>
      </c>
      <c r="AK11" s="9">
        <v>0</v>
      </c>
      <c r="AL11" s="9">
        <v>0</v>
      </c>
      <c r="AM11" s="9">
        <v>0</v>
      </c>
      <c r="AN11" s="9">
        <v>0</v>
      </c>
      <c r="AO11" s="9">
        <v>0</v>
      </c>
      <c r="AP11" s="9">
        <v>0</v>
      </c>
      <c r="AQ11" s="9">
        <v>0</v>
      </c>
      <c r="AR11" s="9">
        <v>0</v>
      </c>
      <c r="AS11" s="9">
        <v>0</v>
      </c>
      <c r="AT11" s="9">
        <v>0</v>
      </c>
      <c r="AU11" s="9">
        <v>0</v>
      </c>
      <c r="AV11" s="9">
        <v>0</v>
      </c>
      <c r="AW11" s="9">
        <v>0</v>
      </c>
      <c r="AX11" s="9">
        <v>0</v>
      </c>
      <c r="AY11" s="9">
        <v>0</v>
      </c>
      <c r="AZ11" s="9">
        <v>0</v>
      </c>
      <c r="BA11" s="9">
        <v>0</v>
      </c>
      <c r="BB11" s="9">
        <v>0</v>
      </c>
      <c r="BC11" s="9">
        <v>0</v>
      </c>
      <c r="BD11" s="9">
        <v>0</v>
      </c>
      <c r="BE11" s="9">
        <v>0</v>
      </c>
      <c r="BF11" s="9">
        <v>0</v>
      </c>
      <c r="BG11" s="9">
        <v>0</v>
      </c>
      <c r="BH11" s="9">
        <v>0</v>
      </c>
      <c r="BI11" s="9">
        <v>0</v>
      </c>
      <c r="BJ11" s="9">
        <v>0</v>
      </c>
      <c r="BK11" s="9">
        <v>0</v>
      </c>
      <c r="BL11" s="9">
        <v>0</v>
      </c>
      <c r="BM11" s="9">
        <v>0</v>
      </c>
      <c r="BN11" s="9">
        <v>0</v>
      </c>
      <c r="BO11" s="9">
        <v>0</v>
      </c>
      <c r="BP11" s="9">
        <v>0</v>
      </c>
      <c r="BQ11" s="9">
        <v>0</v>
      </c>
      <c r="BR11" s="9">
        <v>0</v>
      </c>
      <c r="BS11" s="9">
        <v>0</v>
      </c>
      <c r="BT11" s="9">
        <v>0</v>
      </c>
      <c r="BU11" s="9">
        <v>0</v>
      </c>
      <c r="BV11" s="9">
        <v>0</v>
      </c>
      <c r="BW11" s="9">
        <v>0</v>
      </c>
      <c r="BX11" s="9">
        <v>0</v>
      </c>
      <c r="BY11" s="9">
        <v>0</v>
      </c>
      <c r="BZ11" s="9">
        <v>0</v>
      </c>
      <c r="CA11" s="9">
        <v>0</v>
      </c>
      <c r="CB11" s="9">
        <v>0</v>
      </c>
      <c r="CC11" s="9">
        <v>0</v>
      </c>
      <c r="CD11" s="9">
        <v>0</v>
      </c>
      <c r="CE11" s="9">
        <v>0</v>
      </c>
      <c r="CF11" s="9">
        <v>0</v>
      </c>
      <c r="CG11" s="9">
        <v>0</v>
      </c>
      <c r="CH11" s="9">
        <v>0</v>
      </c>
      <c r="CI11" s="9">
        <v>0</v>
      </c>
      <c r="CJ11" s="9">
        <v>0</v>
      </c>
      <c r="CK11" s="9">
        <v>0</v>
      </c>
      <c r="CL11" s="9">
        <v>0</v>
      </c>
      <c r="CM11" s="9">
        <v>0</v>
      </c>
      <c r="CN11" s="9">
        <v>0</v>
      </c>
      <c r="CP11" s="10">
        <f t="shared" si="1"/>
        <v>0</v>
      </c>
      <c r="CQ11" s="20" t="str">
        <f>IFERROR(VLOOKUP($D11,'[2]Mappage de compte'!$B:$G,1,FALSE),"")</f>
        <v/>
      </c>
      <c r="CR11" s="21" t="str">
        <f>IFERROR(VLOOKUP($D11,'[2]Mappage de compte'!$B:$G,2,FALSE),"")</f>
        <v/>
      </c>
      <c r="CS11" s="22" t="str">
        <f>IFERROR(VLOOKUP($D11,'[2]Mappage de compte'!$B:$G,3,FALSE),"")</f>
        <v/>
      </c>
      <c r="CT11" s="22" t="str">
        <f>IFERROR(VLOOKUP($D11,'[2]Mappage de compte'!$B:$G,4,FALSE),"")</f>
        <v/>
      </c>
      <c r="CU11" s="23" t="str">
        <f>IFERROR(VLOOKUP($D11,'[2]Mappage de compte'!$B:$G,5,FALSE),"")</f>
        <v/>
      </c>
      <c r="CV11" s="23" t="str">
        <f>IFERROR(VLOOKUP($D11,'[2]Mappage de compte'!$B:$G,6,FALSE),"")</f>
        <v/>
      </c>
    </row>
    <row r="12" spans="1:100" x14ac:dyDescent="0.25">
      <c r="A12" s="8" t="s">
        <v>9</v>
      </c>
      <c r="C12" s="8" t="str">
        <f>"""ORPEA BE"",""010010"",""15"",""1"",""121000"""</f>
        <v>"ORPEA BE","010010","15","1","121000"</v>
      </c>
      <c r="D12" s="8" t="str">
        <f>"121000"</f>
        <v>121000</v>
      </c>
      <c r="E12" s="8" t="str">
        <f>"106880"</f>
        <v>106880</v>
      </c>
      <c r="F12" s="8" t="str">
        <f>"+value réévaluat° s/immo corp"</f>
        <v>+value réévaluat° s/immo corp</v>
      </c>
      <c r="G12" s="8" t="str">
        <f t="shared" si="0"/>
        <v/>
      </c>
      <c r="H12" s="9">
        <v>0</v>
      </c>
      <c r="I12" s="9">
        <v>0</v>
      </c>
      <c r="J12" s="9">
        <v>0</v>
      </c>
      <c r="K12" s="9">
        <v>0</v>
      </c>
      <c r="L12" s="9">
        <v>0</v>
      </c>
      <c r="M12" s="9">
        <v>0</v>
      </c>
      <c r="N12" s="9">
        <v>-188697.46000000002</v>
      </c>
      <c r="O12" s="9">
        <v>-1328839.95</v>
      </c>
      <c r="P12" s="9">
        <v>-3880800.76</v>
      </c>
      <c r="Q12" s="9">
        <v>-1559744.1800000002</v>
      </c>
      <c r="R12" s="9">
        <v>0</v>
      </c>
      <c r="S12" s="9">
        <v>0</v>
      </c>
      <c r="T12" s="9">
        <v>-1379796.5999999999</v>
      </c>
      <c r="U12" s="9">
        <v>-1107998.97</v>
      </c>
      <c r="V12" s="9">
        <v>0</v>
      </c>
      <c r="W12" s="9">
        <v>0</v>
      </c>
      <c r="X12" s="9">
        <v>0</v>
      </c>
      <c r="Y12" s="9">
        <v>0</v>
      </c>
      <c r="Z12" s="9">
        <v>0</v>
      </c>
      <c r="AA12" s="9">
        <v>0</v>
      </c>
      <c r="AB12" s="9">
        <v>0</v>
      </c>
      <c r="AC12" s="9">
        <v>0</v>
      </c>
      <c r="AD12" s="9">
        <v>0</v>
      </c>
      <c r="AE12" s="9">
        <v>0</v>
      </c>
      <c r="AF12" s="9">
        <v>0</v>
      </c>
      <c r="AG12" s="9">
        <v>0</v>
      </c>
      <c r="AH12" s="9">
        <v>0</v>
      </c>
      <c r="AI12" s="9">
        <v>0</v>
      </c>
      <c r="AJ12" s="9">
        <v>0</v>
      </c>
      <c r="AK12" s="9">
        <v>0</v>
      </c>
      <c r="AL12" s="9">
        <v>0</v>
      </c>
      <c r="AM12" s="9">
        <v>0</v>
      </c>
      <c r="AN12" s="9">
        <v>0</v>
      </c>
      <c r="AO12" s="9">
        <v>0</v>
      </c>
      <c r="AP12" s="9">
        <v>0</v>
      </c>
      <c r="AQ12" s="9">
        <v>0</v>
      </c>
      <c r="AR12" s="9">
        <v>0</v>
      </c>
      <c r="AS12" s="9">
        <v>0</v>
      </c>
      <c r="AT12" s="9">
        <v>0</v>
      </c>
      <c r="AU12" s="9">
        <v>0</v>
      </c>
      <c r="AV12" s="9">
        <v>0</v>
      </c>
      <c r="AW12" s="9">
        <v>0</v>
      </c>
      <c r="AX12" s="9">
        <v>0</v>
      </c>
      <c r="AY12" s="9">
        <v>0</v>
      </c>
      <c r="AZ12" s="9">
        <v>0</v>
      </c>
      <c r="BA12" s="9">
        <v>0</v>
      </c>
      <c r="BB12" s="9">
        <v>-28547.550000000003</v>
      </c>
      <c r="BC12" s="9">
        <v>0</v>
      </c>
      <c r="BD12" s="9">
        <v>0</v>
      </c>
      <c r="BE12" s="9">
        <v>0</v>
      </c>
      <c r="BF12" s="9">
        <v>0</v>
      </c>
      <c r="BG12" s="9">
        <v>0</v>
      </c>
      <c r="BH12" s="9">
        <v>0</v>
      </c>
      <c r="BI12" s="9">
        <v>0</v>
      </c>
      <c r="BJ12" s="9">
        <v>-2466802.65</v>
      </c>
      <c r="BK12" s="9">
        <v>-10922351.780000001</v>
      </c>
      <c r="BL12" s="9">
        <v>-1889495.18</v>
      </c>
      <c r="BM12" s="9">
        <v>-1858556.09</v>
      </c>
      <c r="BN12" s="9">
        <v>0</v>
      </c>
      <c r="BO12" s="9">
        <v>-3240808.4999999995</v>
      </c>
      <c r="BP12" s="9">
        <v>-813813.05</v>
      </c>
      <c r="BQ12" s="9">
        <v>0</v>
      </c>
      <c r="BR12" s="9">
        <v>0</v>
      </c>
      <c r="BS12" s="9">
        <v>-3574869.09</v>
      </c>
      <c r="BT12" s="9">
        <v>0</v>
      </c>
      <c r="BU12" s="9">
        <v>-1512890.33</v>
      </c>
      <c r="BV12" s="9">
        <v>0</v>
      </c>
      <c r="BW12" s="9">
        <v>0</v>
      </c>
      <c r="BX12" s="9">
        <v>0</v>
      </c>
      <c r="BY12" s="9">
        <v>0</v>
      </c>
      <c r="BZ12" s="9">
        <v>0</v>
      </c>
      <c r="CA12" s="9">
        <v>0</v>
      </c>
      <c r="CB12" s="9">
        <v>0</v>
      </c>
      <c r="CC12" s="9">
        <v>-914330.69</v>
      </c>
      <c r="CD12" s="9">
        <v>-3105000.03</v>
      </c>
      <c r="CE12" s="9">
        <v>0</v>
      </c>
      <c r="CF12" s="9">
        <v>0</v>
      </c>
      <c r="CG12" s="9">
        <v>0</v>
      </c>
      <c r="CH12" s="9">
        <v>0</v>
      </c>
      <c r="CI12" s="9">
        <v>0</v>
      </c>
      <c r="CJ12" s="9">
        <v>0</v>
      </c>
      <c r="CK12" s="9">
        <v>0</v>
      </c>
      <c r="CL12" s="9">
        <v>0</v>
      </c>
      <c r="CM12" s="9">
        <v>0</v>
      </c>
      <c r="CN12" s="9">
        <v>0</v>
      </c>
      <c r="CP12" s="10">
        <f t="shared" si="1"/>
        <v>-39773342.859999999</v>
      </c>
      <c r="CQ12" s="20" t="str">
        <f>IFERROR(VLOOKUP($D12,'[2]Mappage de compte'!$B:$G,1,FALSE),"")</f>
        <v>121000</v>
      </c>
      <c r="CR12" s="21" t="str">
        <f>IFERROR(VLOOKUP($D12,'[2]Mappage de compte'!$B:$G,2,FALSE),"")</f>
        <v>+value réévaluat° s/immo corp</v>
      </c>
      <c r="CS12" s="22" t="str">
        <f>IFERROR(VLOOKUP($D12,'[2]Mappage de compte'!$B:$G,3,FALSE),"")</f>
        <v>104100</v>
      </c>
      <c r="CT12" s="22" t="str">
        <f>IFERROR(VLOOKUP($D12,'[2]Mappage de compte'!$B:$G,4,FALSE),"")</f>
        <v>PRIME EMISSION</v>
      </c>
      <c r="CU12" s="23" t="str">
        <f>IFERROR(VLOOKUP($D12,'[2]Mappage de compte'!$B:$G,5,FALSE),"")</f>
        <v>Primes</v>
      </c>
      <c r="CV12" s="23" t="str">
        <f>IFERROR(VLOOKUP($D12,'[2]Mappage de compte'!$B:$G,6,FALSE),"")</f>
        <v>Capitaux propres part du groupe</v>
      </c>
    </row>
    <row r="13" spans="1:100" x14ac:dyDescent="0.25">
      <c r="A13" s="8" t="s">
        <v>9</v>
      </c>
      <c r="C13" s="8" t="str">
        <f>"""ORPEA BE"",""010010"",""15"",""1"",""121001"""</f>
        <v>"ORPEA BE","010010","15","1","121001"</v>
      </c>
      <c r="D13" s="8" t="str">
        <f>"121001"</f>
        <v>121001</v>
      </c>
      <c r="E13" s="8" t="str">
        <f>"106880"</f>
        <v>106880</v>
      </c>
      <c r="F13" s="8" t="str">
        <f>"+value réévaluat° s/immo corp"</f>
        <v>+value réévaluat° s/immo corp</v>
      </c>
      <c r="G13" s="8" t="str">
        <f t="shared" si="0"/>
        <v/>
      </c>
      <c r="H13" s="9">
        <v>0</v>
      </c>
      <c r="I13" s="9">
        <v>0</v>
      </c>
      <c r="J13" s="9">
        <v>0</v>
      </c>
      <c r="K13" s="9">
        <v>0</v>
      </c>
      <c r="L13" s="9">
        <v>0</v>
      </c>
      <c r="M13" s="9">
        <v>0</v>
      </c>
      <c r="N13" s="9">
        <v>0</v>
      </c>
      <c r="O13" s="9">
        <v>0</v>
      </c>
      <c r="P13" s="9">
        <v>0</v>
      </c>
      <c r="Q13" s="9">
        <v>0</v>
      </c>
      <c r="R13" s="9">
        <v>0</v>
      </c>
      <c r="S13" s="9">
        <v>0</v>
      </c>
      <c r="T13" s="9">
        <v>0</v>
      </c>
      <c r="U13" s="9">
        <v>0</v>
      </c>
      <c r="V13" s="9">
        <v>0</v>
      </c>
      <c r="W13" s="9">
        <v>0</v>
      </c>
      <c r="X13" s="9">
        <v>0</v>
      </c>
      <c r="Y13" s="9">
        <v>0</v>
      </c>
      <c r="Z13" s="9">
        <v>0</v>
      </c>
      <c r="AA13" s="9">
        <v>0</v>
      </c>
      <c r="AB13" s="9">
        <v>0</v>
      </c>
      <c r="AC13" s="9">
        <v>0</v>
      </c>
      <c r="AD13" s="9">
        <v>0</v>
      </c>
      <c r="AE13" s="9">
        <v>0</v>
      </c>
      <c r="AF13" s="9">
        <v>0</v>
      </c>
      <c r="AG13" s="9">
        <v>0</v>
      </c>
      <c r="AH13" s="9">
        <v>0</v>
      </c>
      <c r="AI13" s="9">
        <v>0</v>
      </c>
      <c r="AJ13" s="9">
        <v>0</v>
      </c>
      <c r="AK13" s="9">
        <v>0</v>
      </c>
      <c r="AL13" s="9">
        <v>0</v>
      </c>
      <c r="AM13" s="9">
        <v>0</v>
      </c>
      <c r="AN13" s="9">
        <v>0</v>
      </c>
      <c r="AO13" s="9">
        <v>0</v>
      </c>
      <c r="AP13" s="9">
        <v>0</v>
      </c>
      <c r="AQ13" s="9">
        <v>0</v>
      </c>
      <c r="AR13" s="9">
        <v>0</v>
      </c>
      <c r="AS13" s="9">
        <v>0</v>
      </c>
      <c r="AT13" s="9">
        <v>0</v>
      </c>
      <c r="AU13" s="9">
        <v>0</v>
      </c>
      <c r="AV13" s="9">
        <v>0</v>
      </c>
      <c r="AW13" s="9">
        <v>0</v>
      </c>
      <c r="AX13" s="9">
        <v>0</v>
      </c>
      <c r="AY13" s="9">
        <v>0</v>
      </c>
      <c r="AZ13" s="9">
        <v>0</v>
      </c>
      <c r="BA13" s="9">
        <v>0</v>
      </c>
      <c r="BB13" s="9">
        <v>0</v>
      </c>
      <c r="BC13" s="9">
        <v>0</v>
      </c>
      <c r="BD13" s="9">
        <v>0</v>
      </c>
      <c r="BE13" s="9">
        <v>0</v>
      </c>
      <c r="BF13" s="9">
        <v>0</v>
      </c>
      <c r="BG13" s="9">
        <v>0</v>
      </c>
      <c r="BH13" s="9">
        <v>0</v>
      </c>
      <c r="BI13" s="9">
        <v>0</v>
      </c>
      <c r="BJ13" s="9">
        <v>0</v>
      </c>
      <c r="BK13" s="9">
        <v>0</v>
      </c>
      <c r="BL13" s="9">
        <v>0</v>
      </c>
      <c r="BM13" s="9">
        <v>0</v>
      </c>
      <c r="BN13" s="9">
        <v>0</v>
      </c>
      <c r="BO13" s="9">
        <v>0</v>
      </c>
      <c r="BP13" s="9">
        <v>-1494791.56</v>
      </c>
      <c r="BQ13" s="9">
        <v>0</v>
      </c>
      <c r="BR13" s="9">
        <v>0</v>
      </c>
      <c r="BS13" s="9">
        <v>0</v>
      </c>
      <c r="BT13" s="9">
        <v>0</v>
      </c>
      <c r="BU13" s="9">
        <v>0</v>
      </c>
      <c r="BV13" s="9">
        <v>0</v>
      </c>
      <c r="BW13" s="9">
        <v>0</v>
      </c>
      <c r="BX13" s="9">
        <v>0</v>
      </c>
      <c r="BY13" s="9">
        <v>0</v>
      </c>
      <c r="BZ13" s="9">
        <v>0</v>
      </c>
      <c r="CA13" s="9">
        <v>0</v>
      </c>
      <c r="CB13" s="9">
        <v>0</v>
      </c>
      <c r="CC13" s="9">
        <v>0</v>
      </c>
      <c r="CD13" s="9">
        <v>0</v>
      </c>
      <c r="CE13" s="9">
        <v>0</v>
      </c>
      <c r="CF13" s="9">
        <v>0</v>
      </c>
      <c r="CG13" s="9">
        <v>0</v>
      </c>
      <c r="CH13" s="9">
        <v>0</v>
      </c>
      <c r="CI13" s="9">
        <v>0</v>
      </c>
      <c r="CJ13" s="9">
        <v>0</v>
      </c>
      <c r="CK13" s="9">
        <v>0</v>
      </c>
      <c r="CL13" s="9">
        <v>0</v>
      </c>
      <c r="CM13" s="9">
        <v>0</v>
      </c>
      <c r="CN13" s="9">
        <v>0</v>
      </c>
      <c r="CP13" s="10">
        <f t="shared" si="1"/>
        <v>-1494791.56</v>
      </c>
      <c r="CQ13" s="20" t="str">
        <f>IFERROR(VLOOKUP($D13,'[2]Mappage de compte'!$B:$G,1,FALSE),"")</f>
        <v>121001</v>
      </c>
      <c r="CR13" s="21" t="str">
        <f>IFERROR(VLOOKUP($D13,'[2]Mappage de compte'!$B:$G,2,FALSE),"")</f>
        <v>+value réévaluat° s/immo corp</v>
      </c>
      <c r="CS13" s="22" t="str">
        <f>IFERROR(VLOOKUP($D13,'[2]Mappage de compte'!$B:$G,3,FALSE),"")</f>
        <v>106881</v>
      </c>
      <c r="CT13" s="22" t="str">
        <f>IFERROR(VLOOKUP($D13,'[2]Mappage de compte'!$B:$G,4,FALSE),"")</f>
        <v>RESERVES DIVERSES réev.</v>
      </c>
      <c r="CU13" s="23" t="str">
        <f>IFERROR(VLOOKUP($D13,'[2]Mappage de compte'!$B:$G,5,FALSE),"")</f>
        <v>Réserves Sociales</v>
      </c>
      <c r="CV13" s="23" t="str">
        <f>IFERROR(VLOOKUP($D13,'[2]Mappage de compte'!$B:$G,6,FALSE),"")</f>
        <v>Capitaux propres part du groupe</v>
      </c>
    </row>
    <row r="14" spans="1:100" x14ac:dyDescent="0.25">
      <c r="A14" s="8" t="s">
        <v>9</v>
      </c>
      <c r="C14" s="8" t="str">
        <f>"""ORPEA BE"",""010010"",""15"",""1"",""121009"""</f>
        <v>"ORPEA BE","010010","15","1","121009"</v>
      </c>
      <c r="D14" s="8" t="str">
        <f>"121009"</f>
        <v>121009</v>
      </c>
      <c r="E14" s="8" t="str">
        <f>"105000"</f>
        <v>105000</v>
      </c>
      <c r="F14" s="8" t="str">
        <f>"Quotité amortie de la +value"</f>
        <v>Quotité amortie de la +value</v>
      </c>
      <c r="G14" s="8" t="str">
        <f t="shared" si="0"/>
        <v/>
      </c>
      <c r="H14" s="9">
        <v>0</v>
      </c>
      <c r="I14" s="9">
        <v>0</v>
      </c>
      <c r="J14" s="9">
        <v>0</v>
      </c>
      <c r="K14" s="9">
        <v>0</v>
      </c>
      <c r="L14" s="9">
        <v>0</v>
      </c>
      <c r="M14" s="9">
        <v>0</v>
      </c>
      <c r="N14" s="9">
        <v>0</v>
      </c>
      <c r="O14" s="9">
        <v>0</v>
      </c>
      <c r="P14" s="9">
        <v>0</v>
      </c>
      <c r="Q14" s="9">
        <v>0</v>
      </c>
      <c r="R14" s="9">
        <v>0</v>
      </c>
      <c r="S14" s="9">
        <v>0</v>
      </c>
      <c r="T14" s="9">
        <v>0</v>
      </c>
      <c r="U14" s="9">
        <v>0</v>
      </c>
      <c r="V14" s="9">
        <v>0</v>
      </c>
      <c r="W14" s="9">
        <v>0</v>
      </c>
      <c r="X14" s="9">
        <v>0</v>
      </c>
      <c r="Y14" s="9">
        <v>0</v>
      </c>
      <c r="Z14" s="9">
        <v>0</v>
      </c>
      <c r="AA14" s="9">
        <v>0</v>
      </c>
      <c r="AB14" s="9">
        <v>0</v>
      </c>
      <c r="AC14" s="9">
        <v>0</v>
      </c>
      <c r="AD14" s="9">
        <v>0</v>
      </c>
      <c r="AE14" s="9">
        <v>0</v>
      </c>
      <c r="AF14" s="9">
        <v>0</v>
      </c>
      <c r="AG14" s="9">
        <v>0</v>
      </c>
      <c r="AH14" s="9">
        <v>0</v>
      </c>
      <c r="AI14" s="9">
        <v>0</v>
      </c>
      <c r="AJ14" s="9">
        <v>0</v>
      </c>
      <c r="AK14" s="9">
        <v>0</v>
      </c>
      <c r="AL14" s="9">
        <v>0</v>
      </c>
      <c r="AM14" s="9">
        <v>0</v>
      </c>
      <c r="AN14" s="9">
        <v>0</v>
      </c>
      <c r="AO14" s="9">
        <v>0</v>
      </c>
      <c r="AP14" s="9">
        <v>0</v>
      </c>
      <c r="AQ14" s="9">
        <v>0</v>
      </c>
      <c r="AR14" s="9">
        <v>0</v>
      </c>
      <c r="AS14" s="9">
        <v>0</v>
      </c>
      <c r="AT14" s="9">
        <v>0</v>
      </c>
      <c r="AU14" s="9">
        <v>0</v>
      </c>
      <c r="AV14" s="9">
        <v>0</v>
      </c>
      <c r="AW14" s="9">
        <v>0</v>
      </c>
      <c r="AX14" s="9">
        <v>0</v>
      </c>
      <c r="AY14" s="9">
        <v>0</v>
      </c>
      <c r="AZ14" s="9">
        <v>0</v>
      </c>
      <c r="BA14" s="9">
        <v>0</v>
      </c>
      <c r="BB14" s="9">
        <v>0</v>
      </c>
      <c r="BC14" s="9">
        <v>0</v>
      </c>
      <c r="BD14" s="9">
        <v>0</v>
      </c>
      <c r="BE14" s="9">
        <v>0</v>
      </c>
      <c r="BF14" s="9">
        <v>0</v>
      </c>
      <c r="BG14" s="9">
        <v>0</v>
      </c>
      <c r="BH14" s="9">
        <v>0</v>
      </c>
      <c r="BI14" s="9">
        <v>0</v>
      </c>
      <c r="BJ14" s="9">
        <v>0</v>
      </c>
      <c r="BK14" s="9">
        <v>0</v>
      </c>
      <c r="BL14" s="9">
        <v>0</v>
      </c>
      <c r="BM14" s="9">
        <v>0</v>
      </c>
      <c r="BN14" s="9">
        <v>0</v>
      </c>
      <c r="BO14" s="9">
        <v>0</v>
      </c>
      <c r="BP14" s="9">
        <v>0</v>
      </c>
      <c r="BQ14" s="9">
        <v>0</v>
      </c>
      <c r="BR14" s="9">
        <v>0</v>
      </c>
      <c r="BS14" s="9">
        <v>0</v>
      </c>
      <c r="BT14" s="9">
        <v>0</v>
      </c>
      <c r="BU14" s="9">
        <v>0</v>
      </c>
      <c r="BV14" s="9">
        <v>0</v>
      </c>
      <c r="BW14" s="9">
        <v>0</v>
      </c>
      <c r="BX14" s="9">
        <v>0</v>
      </c>
      <c r="BY14" s="9">
        <v>0</v>
      </c>
      <c r="BZ14" s="9">
        <v>0</v>
      </c>
      <c r="CA14" s="9">
        <v>0</v>
      </c>
      <c r="CB14" s="9">
        <v>0</v>
      </c>
      <c r="CC14" s="9">
        <v>0</v>
      </c>
      <c r="CD14" s="9">
        <v>0</v>
      </c>
      <c r="CE14" s="9">
        <v>0</v>
      </c>
      <c r="CF14" s="9">
        <v>0</v>
      </c>
      <c r="CG14" s="9">
        <v>0</v>
      </c>
      <c r="CH14" s="9">
        <v>0</v>
      </c>
      <c r="CI14" s="9">
        <v>0</v>
      </c>
      <c r="CJ14" s="9">
        <v>0</v>
      </c>
      <c r="CK14" s="9">
        <v>0</v>
      </c>
      <c r="CL14" s="9">
        <v>0</v>
      </c>
      <c r="CM14" s="9">
        <v>0</v>
      </c>
      <c r="CN14" s="9">
        <v>0</v>
      </c>
      <c r="CP14" s="10">
        <f t="shared" si="1"/>
        <v>0</v>
      </c>
      <c r="CQ14" s="20" t="str">
        <f>IFERROR(VLOOKUP($D14,'[2]Mappage de compte'!$B:$G,1,FALSE),"")</f>
        <v/>
      </c>
      <c r="CR14" s="21" t="str">
        <f>IFERROR(VLOOKUP($D14,'[2]Mappage de compte'!$B:$G,2,FALSE),"")</f>
        <v/>
      </c>
      <c r="CS14" s="22" t="str">
        <f>IFERROR(VLOOKUP($D14,'[2]Mappage de compte'!$B:$G,3,FALSE),"")</f>
        <v/>
      </c>
      <c r="CT14" s="22" t="str">
        <f>IFERROR(VLOOKUP($D14,'[2]Mappage de compte'!$B:$G,4,FALSE),"")</f>
        <v/>
      </c>
      <c r="CU14" s="23" t="str">
        <f>IFERROR(VLOOKUP($D14,'[2]Mappage de compte'!$B:$G,5,FALSE),"")</f>
        <v/>
      </c>
      <c r="CV14" s="23" t="str">
        <f>IFERROR(VLOOKUP($D14,'[2]Mappage de compte'!$B:$G,6,FALSE),"")</f>
        <v/>
      </c>
    </row>
    <row r="15" spans="1:100" x14ac:dyDescent="0.25">
      <c r="A15" s="8" t="s">
        <v>9</v>
      </c>
      <c r="C15" s="8" t="str">
        <f>"""ORPEA BE"",""010010"",""15"",""1"",""122000"""</f>
        <v>"ORPEA BE","010010","15","1","122000"</v>
      </c>
      <c r="D15" s="8" t="str">
        <f>"122000"</f>
        <v>122000</v>
      </c>
      <c r="E15" s="8" t="str">
        <f t="shared" ref="E15:E21" si="2">"106880"</f>
        <v>106880</v>
      </c>
      <c r="F15" s="8" t="str">
        <f>"+Value Réévaluat° s/Participat"</f>
        <v>+Value Réévaluat° s/Participat</v>
      </c>
      <c r="G15" s="8" t="str">
        <f t="shared" si="0"/>
        <v/>
      </c>
      <c r="H15" s="9">
        <v>-9467772.1600000001</v>
      </c>
      <c r="I15" s="9">
        <v>0</v>
      </c>
      <c r="J15" s="9">
        <v>0</v>
      </c>
      <c r="K15" s="9">
        <v>0</v>
      </c>
      <c r="L15" s="9">
        <v>0</v>
      </c>
      <c r="M15" s="9">
        <v>0</v>
      </c>
      <c r="N15" s="9">
        <v>0</v>
      </c>
      <c r="O15" s="9">
        <v>0</v>
      </c>
      <c r="P15" s="9">
        <v>0</v>
      </c>
      <c r="Q15" s="9">
        <v>0</v>
      </c>
      <c r="R15" s="9">
        <v>0</v>
      </c>
      <c r="S15" s="9">
        <v>0</v>
      </c>
      <c r="T15" s="9">
        <v>0</v>
      </c>
      <c r="U15" s="9">
        <v>0</v>
      </c>
      <c r="V15" s="9">
        <v>0</v>
      </c>
      <c r="W15" s="9">
        <v>0</v>
      </c>
      <c r="X15" s="9">
        <v>0</v>
      </c>
      <c r="Y15" s="9">
        <v>0</v>
      </c>
      <c r="Z15" s="9">
        <v>0</v>
      </c>
      <c r="AA15" s="9">
        <v>0</v>
      </c>
      <c r="AB15" s="9">
        <v>0</v>
      </c>
      <c r="AC15" s="9">
        <v>0</v>
      </c>
      <c r="AD15" s="9">
        <v>0</v>
      </c>
      <c r="AE15" s="9">
        <v>0</v>
      </c>
      <c r="AF15" s="9">
        <v>0</v>
      </c>
      <c r="AG15" s="9">
        <v>0</v>
      </c>
      <c r="AH15" s="9">
        <v>0</v>
      </c>
      <c r="AI15" s="9">
        <v>0</v>
      </c>
      <c r="AJ15" s="9">
        <v>0</v>
      </c>
      <c r="AK15" s="9">
        <v>0</v>
      </c>
      <c r="AL15" s="9">
        <v>0</v>
      </c>
      <c r="AM15" s="9">
        <v>0</v>
      </c>
      <c r="AN15" s="9">
        <v>0</v>
      </c>
      <c r="AO15" s="9">
        <v>0</v>
      </c>
      <c r="AP15" s="9">
        <v>0</v>
      </c>
      <c r="AQ15" s="9">
        <v>0</v>
      </c>
      <c r="AR15" s="9">
        <v>0</v>
      </c>
      <c r="AS15" s="9">
        <v>0</v>
      </c>
      <c r="AT15" s="9">
        <v>0</v>
      </c>
      <c r="AU15" s="9">
        <v>0</v>
      </c>
      <c r="AV15" s="9">
        <v>0</v>
      </c>
      <c r="AW15" s="9">
        <v>0</v>
      </c>
      <c r="AX15" s="9">
        <v>0</v>
      </c>
      <c r="AY15" s="9">
        <v>0</v>
      </c>
      <c r="AZ15" s="9">
        <v>0</v>
      </c>
      <c r="BA15" s="9">
        <v>0</v>
      </c>
      <c r="BB15" s="9">
        <v>0</v>
      </c>
      <c r="BC15" s="9">
        <v>0</v>
      </c>
      <c r="BD15" s="9">
        <v>0</v>
      </c>
      <c r="BE15" s="9">
        <v>0</v>
      </c>
      <c r="BF15" s="9">
        <v>0</v>
      </c>
      <c r="BG15" s="9">
        <v>0</v>
      </c>
      <c r="BH15" s="9">
        <v>0</v>
      </c>
      <c r="BI15" s="9">
        <v>0</v>
      </c>
      <c r="BJ15" s="9">
        <v>-10302.09</v>
      </c>
      <c r="BK15" s="9">
        <v>0</v>
      </c>
      <c r="BL15" s="9">
        <v>0</v>
      </c>
      <c r="BM15" s="9">
        <v>0</v>
      </c>
      <c r="BN15" s="9">
        <v>0</v>
      </c>
      <c r="BO15" s="9">
        <v>0</v>
      </c>
      <c r="BP15" s="9">
        <v>0</v>
      </c>
      <c r="BQ15" s="9">
        <v>0</v>
      </c>
      <c r="BR15" s="9">
        <v>-2756104.85</v>
      </c>
      <c r="BS15" s="9">
        <v>0</v>
      </c>
      <c r="BT15" s="9">
        <v>0</v>
      </c>
      <c r="BU15" s="9">
        <v>0</v>
      </c>
      <c r="BV15" s="9">
        <v>0</v>
      </c>
      <c r="BW15" s="9">
        <v>0</v>
      </c>
      <c r="BX15" s="9">
        <v>0</v>
      </c>
      <c r="BY15" s="9">
        <v>0</v>
      </c>
      <c r="BZ15" s="9">
        <v>0</v>
      </c>
      <c r="CA15" s="9">
        <v>0</v>
      </c>
      <c r="CB15" s="9">
        <v>0</v>
      </c>
      <c r="CC15" s="9">
        <v>0</v>
      </c>
      <c r="CD15" s="9">
        <v>0</v>
      </c>
      <c r="CE15" s="9">
        <v>0</v>
      </c>
      <c r="CF15" s="9">
        <v>0</v>
      </c>
      <c r="CG15" s="9">
        <v>0</v>
      </c>
      <c r="CH15" s="9">
        <v>0</v>
      </c>
      <c r="CI15" s="9">
        <v>0</v>
      </c>
      <c r="CJ15" s="9">
        <v>0</v>
      </c>
      <c r="CK15" s="9">
        <v>0</v>
      </c>
      <c r="CL15" s="9">
        <v>0</v>
      </c>
      <c r="CM15" s="9">
        <v>0</v>
      </c>
      <c r="CN15" s="9">
        <v>0</v>
      </c>
      <c r="CP15" s="10">
        <f t="shared" si="1"/>
        <v>-12234179.1</v>
      </c>
      <c r="CQ15" s="20" t="str">
        <f>IFERROR(VLOOKUP($D15,'[2]Mappage de compte'!$B:$G,1,FALSE),"")</f>
        <v>122000</v>
      </c>
      <c r="CR15" s="21" t="str">
        <f>IFERROR(VLOOKUP($D15,'[2]Mappage de compte'!$B:$G,2,FALSE),"")</f>
        <v>+value réévaluat° s/participat</v>
      </c>
      <c r="CS15" s="22" t="str">
        <f>IFERROR(VLOOKUP($D15,'[2]Mappage de compte'!$B:$G,3,FALSE),"")</f>
        <v>106881</v>
      </c>
      <c r="CT15" s="22" t="str">
        <f>IFERROR(VLOOKUP($D15,'[2]Mappage de compte'!$B:$G,4,FALSE),"")</f>
        <v>RESERVES DIVERSES réev.</v>
      </c>
      <c r="CU15" s="23" t="str">
        <f>IFERROR(VLOOKUP($D15,'[2]Mappage de compte'!$B:$G,5,FALSE),"")</f>
        <v>Réserves Sociales</v>
      </c>
      <c r="CV15" s="23" t="str">
        <f>IFERROR(VLOOKUP($D15,'[2]Mappage de compte'!$B:$G,6,FALSE),"")</f>
        <v>Capitaux propres part du groupe</v>
      </c>
    </row>
    <row r="16" spans="1:100" x14ac:dyDescent="0.25">
      <c r="A16" s="8" t="s">
        <v>9</v>
      </c>
      <c r="C16" s="8" t="str">
        <f>"""ORPEA BE"",""010010"",""15"",""1"",""130000"""</f>
        <v>"ORPEA BE","010010","15","1","130000"</v>
      </c>
      <c r="D16" s="8" t="str">
        <f>"130000"</f>
        <v>130000</v>
      </c>
      <c r="E16" s="8" t="str">
        <f t="shared" si="2"/>
        <v>106880</v>
      </c>
      <c r="F16" s="8" t="str">
        <f>"Réserve légale"</f>
        <v>Réserve légale</v>
      </c>
      <c r="G16" s="8" t="str">
        <f t="shared" si="0"/>
        <v/>
      </c>
      <c r="H16" s="9">
        <v>-8150000</v>
      </c>
      <c r="I16" s="9">
        <v>-26500</v>
      </c>
      <c r="J16" s="9">
        <v>-9000</v>
      </c>
      <c r="K16" s="9">
        <v>-13634.14</v>
      </c>
      <c r="L16" s="9">
        <v>-7436.8099999999995</v>
      </c>
      <c r="M16" s="9">
        <v>-9915.74</v>
      </c>
      <c r="N16" s="9">
        <v>-9915.74</v>
      </c>
      <c r="O16" s="9">
        <v>-383.1</v>
      </c>
      <c r="P16" s="9">
        <v>-24250</v>
      </c>
      <c r="Q16" s="9">
        <v>-88040.819999999992</v>
      </c>
      <c r="R16" s="9">
        <v>-2950.25</v>
      </c>
      <c r="S16" s="9">
        <v>0</v>
      </c>
      <c r="T16" s="9">
        <v>-6199.9999999999991</v>
      </c>
      <c r="U16" s="9">
        <v>-15000</v>
      </c>
      <c r="V16" s="9">
        <v>0</v>
      </c>
      <c r="W16" s="9">
        <v>0</v>
      </c>
      <c r="X16" s="9">
        <v>0</v>
      </c>
      <c r="Y16" s="9">
        <v>-7025.35</v>
      </c>
      <c r="Z16" s="9">
        <v>-6199.9999999999991</v>
      </c>
      <c r="AA16" s="9">
        <v>0</v>
      </c>
      <c r="AB16" s="9">
        <v>0</v>
      </c>
      <c r="AC16" s="9">
        <v>-8056.54</v>
      </c>
      <c r="AD16" s="9">
        <v>0</v>
      </c>
      <c r="AE16" s="9">
        <v>-1000000</v>
      </c>
      <c r="AF16" s="9">
        <v>-31198.05</v>
      </c>
      <c r="AG16" s="9">
        <v>0</v>
      </c>
      <c r="AH16" s="9">
        <v>-6199.9999999999991</v>
      </c>
      <c r="AI16" s="9">
        <v>-12900</v>
      </c>
      <c r="AJ16" s="9">
        <v>-6199.9999999999991</v>
      </c>
      <c r="AK16" s="9">
        <v>-6197.34</v>
      </c>
      <c r="AL16" s="9">
        <v>-6199.9999999999991</v>
      </c>
      <c r="AM16" s="9">
        <v>-6199.9999999999991</v>
      </c>
      <c r="AN16" s="9">
        <v>-6199.9999999999991</v>
      </c>
      <c r="AO16" s="9">
        <v>-12394.68</v>
      </c>
      <c r="AP16" s="9">
        <v>-6199.9999999999991</v>
      </c>
      <c r="AQ16" s="9">
        <v>-6199.9999999999991</v>
      </c>
      <c r="AR16" s="9">
        <v>-1860</v>
      </c>
      <c r="AS16" s="9">
        <v>0</v>
      </c>
      <c r="AT16" s="9">
        <v>0</v>
      </c>
      <c r="AU16" s="9">
        <v>-4201.63</v>
      </c>
      <c r="AV16" s="9">
        <v>0</v>
      </c>
      <c r="AW16" s="9">
        <v>0</v>
      </c>
      <c r="AX16" s="9">
        <v>0</v>
      </c>
      <c r="AY16" s="9">
        <v>0</v>
      </c>
      <c r="AZ16" s="9">
        <v>-1860</v>
      </c>
      <c r="BA16" s="9">
        <v>0</v>
      </c>
      <c r="BB16" s="9">
        <v>-30176.13</v>
      </c>
      <c r="BC16" s="9">
        <v>-6199.9999999999991</v>
      </c>
      <c r="BD16" s="9">
        <v>0</v>
      </c>
      <c r="BE16" s="9">
        <v>-1860</v>
      </c>
      <c r="BF16" s="9">
        <v>0</v>
      </c>
      <c r="BG16" s="9">
        <v>0</v>
      </c>
      <c r="BH16" s="9">
        <v>0</v>
      </c>
      <c r="BI16" s="9">
        <v>0</v>
      </c>
      <c r="BJ16" s="9">
        <v>-81500</v>
      </c>
      <c r="BK16" s="9">
        <v>-3842.35</v>
      </c>
      <c r="BL16" s="9">
        <v>-4957.87</v>
      </c>
      <c r="BM16" s="9">
        <v>-6199.9999999999991</v>
      </c>
      <c r="BN16" s="9">
        <v>0</v>
      </c>
      <c r="BO16" s="9">
        <v>-3999.9999999999995</v>
      </c>
      <c r="BP16" s="9">
        <v>-13882.04</v>
      </c>
      <c r="BQ16" s="9">
        <v>-116200</v>
      </c>
      <c r="BR16" s="9">
        <v>-506.67999999999995</v>
      </c>
      <c r="BS16" s="9">
        <v>-6199.9999999999991</v>
      </c>
      <c r="BT16" s="9">
        <v>0</v>
      </c>
      <c r="BU16" s="9">
        <v>-6199.9999999999991</v>
      </c>
      <c r="BV16" s="9">
        <v>-10000</v>
      </c>
      <c r="BW16" s="9">
        <v>0</v>
      </c>
      <c r="BX16" s="9">
        <v>-36</v>
      </c>
      <c r="BY16" s="9">
        <v>-4544.53</v>
      </c>
      <c r="BZ16" s="9">
        <v>0</v>
      </c>
      <c r="CA16" s="9">
        <v>0</v>
      </c>
      <c r="CB16" s="9">
        <v>-26000</v>
      </c>
      <c r="CC16" s="9">
        <v>-25.08</v>
      </c>
      <c r="CD16" s="9">
        <v>-3658.64</v>
      </c>
      <c r="CE16" s="9">
        <v>-3885.68</v>
      </c>
      <c r="CF16" s="9">
        <v>0</v>
      </c>
      <c r="CG16" s="9">
        <v>0</v>
      </c>
      <c r="CH16" s="9">
        <v>0</v>
      </c>
      <c r="CI16" s="9">
        <v>-16756.900000000001</v>
      </c>
      <c r="CJ16" s="9">
        <v>0</v>
      </c>
      <c r="CK16" s="9">
        <v>-145116.87</v>
      </c>
      <c r="CL16" s="9">
        <v>0</v>
      </c>
      <c r="CM16" s="9">
        <v>0</v>
      </c>
      <c r="CN16" s="9">
        <v>0</v>
      </c>
      <c r="CP16" s="10">
        <f t="shared" si="1"/>
        <v>-9990268.9599999972</v>
      </c>
      <c r="CQ16" s="20" t="str">
        <f>IFERROR(VLOOKUP($D16,'[2]Mappage de compte'!$B:$G,1,FALSE),"")</f>
        <v>130000</v>
      </c>
      <c r="CR16" s="21" t="str">
        <f>IFERROR(VLOOKUP($D16,'[2]Mappage de compte'!$B:$G,2,FALSE),"")</f>
        <v>Réserve légale</v>
      </c>
      <c r="CS16" s="22" t="str">
        <f>IFERROR(VLOOKUP($D16,'[2]Mappage de compte'!$B:$G,3,FALSE),"")</f>
        <v>106881</v>
      </c>
      <c r="CT16" s="22" t="str">
        <f>IFERROR(VLOOKUP($D16,'[2]Mappage de compte'!$B:$G,4,FALSE),"")</f>
        <v>RESERVES DIVERSES réev.</v>
      </c>
      <c r="CU16" s="23" t="str">
        <f>IFERROR(VLOOKUP($D16,'[2]Mappage de compte'!$B:$G,5,FALSE),"")</f>
        <v>Réserves Sociales</v>
      </c>
      <c r="CV16" s="23" t="str">
        <f>IFERROR(VLOOKUP($D16,'[2]Mappage de compte'!$B:$G,6,FALSE),"")</f>
        <v>Capitaux propres part du groupe</v>
      </c>
    </row>
    <row r="17" spans="1:100" x14ac:dyDescent="0.25">
      <c r="A17" s="8" t="s">
        <v>9</v>
      </c>
      <c r="C17" s="8" t="str">
        <f>"""ORPEA BE"",""010010"",""15"",""1"",""131000"""</f>
        <v>"ORPEA BE","010010","15","1","131000"</v>
      </c>
      <c r="D17" s="8" t="str">
        <f>"131000"</f>
        <v>131000</v>
      </c>
      <c r="E17" s="8" t="str">
        <f t="shared" si="2"/>
        <v>106880</v>
      </c>
      <c r="F17" s="8" t="str">
        <f>"Réserve indisponible"</f>
        <v>Réserve indisponible</v>
      </c>
      <c r="G17" s="8" t="str">
        <f t="shared" si="0"/>
        <v/>
      </c>
      <c r="H17" s="9">
        <v>0</v>
      </c>
      <c r="I17" s="9">
        <v>0</v>
      </c>
      <c r="J17" s="9">
        <v>0</v>
      </c>
      <c r="K17" s="9">
        <v>0</v>
      </c>
      <c r="L17" s="9">
        <v>0</v>
      </c>
      <c r="M17" s="9">
        <v>0</v>
      </c>
      <c r="N17" s="9">
        <v>0</v>
      </c>
      <c r="O17" s="9">
        <v>0</v>
      </c>
      <c r="P17" s="9">
        <v>-21564.83</v>
      </c>
      <c r="Q17" s="9">
        <v>0</v>
      </c>
      <c r="R17" s="9">
        <v>0</v>
      </c>
      <c r="S17" s="9">
        <v>0</v>
      </c>
      <c r="T17" s="9">
        <v>0</v>
      </c>
      <c r="U17" s="9">
        <v>0</v>
      </c>
      <c r="V17" s="9">
        <v>0</v>
      </c>
      <c r="W17" s="9">
        <v>0</v>
      </c>
      <c r="X17" s="9">
        <v>0</v>
      </c>
      <c r="Y17" s="9">
        <v>0</v>
      </c>
      <c r="Z17" s="9">
        <v>0</v>
      </c>
      <c r="AA17" s="9">
        <v>0</v>
      </c>
      <c r="AB17" s="9">
        <v>0</v>
      </c>
      <c r="AC17" s="9">
        <v>-1188.97</v>
      </c>
      <c r="AD17" s="9">
        <v>0</v>
      </c>
      <c r="AE17" s="9">
        <v>0</v>
      </c>
      <c r="AF17" s="9">
        <v>0</v>
      </c>
      <c r="AG17" s="9">
        <v>0</v>
      </c>
      <c r="AH17" s="9">
        <v>0</v>
      </c>
      <c r="AI17" s="9">
        <v>0</v>
      </c>
      <c r="AJ17" s="9">
        <v>-5821.88</v>
      </c>
      <c r="AK17" s="9">
        <v>0</v>
      </c>
      <c r="AL17" s="9">
        <v>0</v>
      </c>
      <c r="AM17" s="9">
        <v>0</v>
      </c>
      <c r="AN17" s="9">
        <v>0</v>
      </c>
      <c r="AO17" s="9">
        <v>0</v>
      </c>
      <c r="AP17" s="9">
        <v>0</v>
      </c>
      <c r="AQ17" s="9">
        <v>0</v>
      </c>
      <c r="AR17" s="9">
        <v>0</v>
      </c>
      <c r="AS17" s="9">
        <v>0</v>
      </c>
      <c r="AT17" s="9">
        <v>0</v>
      </c>
      <c r="AU17" s="9">
        <v>-12709.3</v>
      </c>
      <c r="AV17" s="9">
        <v>0</v>
      </c>
      <c r="AW17" s="9">
        <v>0</v>
      </c>
      <c r="AX17" s="9">
        <v>0</v>
      </c>
      <c r="AY17" s="9">
        <v>0</v>
      </c>
      <c r="AZ17" s="9">
        <v>0</v>
      </c>
      <c r="BA17" s="9">
        <v>0</v>
      </c>
      <c r="BB17" s="9">
        <v>0</v>
      </c>
      <c r="BC17" s="9">
        <v>0</v>
      </c>
      <c r="BD17" s="9">
        <v>0</v>
      </c>
      <c r="BE17" s="9">
        <v>0</v>
      </c>
      <c r="BF17" s="9">
        <v>0</v>
      </c>
      <c r="BG17" s="9">
        <v>0</v>
      </c>
      <c r="BH17" s="9">
        <v>0</v>
      </c>
      <c r="BI17" s="9">
        <v>0</v>
      </c>
      <c r="BJ17" s="9">
        <v>0</v>
      </c>
      <c r="BK17" s="9">
        <v>0</v>
      </c>
      <c r="BL17" s="9">
        <v>0</v>
      </c>
      <c r="BM17" s="9">
        <v>0</v>
      </c>
      <c r="BN17" s="9">
        <v>0</v>
      </c>
      <c r="BO17" s="9">
        <v>0</v>
      </c>
      <c r="BP17" s="9">
        <v>0</v>
      </c>
      <c r="BQ17" s="9">
        <v>0</v>
      </c>
      <c r="BR17" s="9">
        <v>0</v>
      </c>
      <c r="BS17" s="9">
        <v>0</v>
      </c>
      <c r="BT17" s="9">
        <v>0</v>
      </c>
      <c r="BU17" s="9">
        <v>0</v>
      </c>
      <c r="BV17" s="9">
        <v>0</v>
      </c>
      <c r="BW17" s="9">
        <v>0</v>
      </c>
      <c r="BX17" s="9">
        <v>0</v>
      </c>
      <c r="BY17" s="9">
        <v>0</v>
      </c>
      <c r="BZ17" s="9">
        <v>0</v>
      </c>
      <c r="CA17" s="9">
        <v>0</v>
      </c>
      <c r="CB17" s="9">
        <v>0</v>
      </c>
      <c r="CC17" s="9">
        <v>0</v>
      </c>
      <c r="CD17" s="9">
        <v>0</v>
      </c>
      <c r="CE17" s="9">
        <v>0</v>
      </c>
      <c r="CF17" s="9">
        <v>0</v>
      </c>
      <c r="CG17" s="9">
        <v>0</v>
      </c>
      <c r="CH17" s="9">
        <v>0</v>
      </c>
      <c r="CI17" s="9">
        <v>0</v>
      </c>
      <c r="CJ17" s="9">
        <v>0</v>
      </c>
      <c r="CK17" s="9">
        <v>0</v>
      </c>
      <c r="CL17" s="9">
        <v>0</v>
      </c>
      <c r="CM17" s="9">
        <v>0</v>
      </c>
      <c r="CN17" s="9">
        <v>0</v>
      </c>
      <c r="CP17" s="10">
        <f t="shared" si="1"/>
        <v>-41284.980000000003</v>
      </c>
      <c r="CQ17" s="20" t="str">
        <f>IFERROR(VLOOKUP($D17,'[2]Mappage de compte'!$B:$G,1,FALSE),"")</f>
        <v>131000</v>
      </c>
      <c r="CR17" s="21" t="str">
        <f>IFERROR(VLOOKUP($D17,'[2]Mappage de compte'!$B:$G,2,FALSE),"")</f>
        <v>Réserve indisponible</v>
      </c>
      <c r="CS17" s="22" t="str">
        <f>IFERROR(VLOOKUP($D17,'[2]Mappage de compte'!$B:$G,3,FALSE),"")</f>
        <v>106200</v>
      </c>
      <c r="CT17" s="22" t="str">
        <f>IFERROR(VLOOKUP($D17,'[2]Mappage de compte'!$B:$G,4,FALSE),"")</f>
        <v>RESERVES INDISPONIBLES</v>
      </c>
      <c r="CU17" s="23" t="str">
        <f>IFERROR(VLOOKUP($D17,'[2]Mappage de compte'!$B:$G,5,FALSE),"")</f>
        <v>Réserves Sociales</v>
      </c>
      <c r="CV17" s="23" t="str">
        <f>IFERROR(VLOOKUP($D17,'[2]Mappage de compte'!$B:$G,6,FALSE),"")</f>
        <v>Capitaux propres part du groupe</v>
      </c>
    </row>
    <row r="18" spans="1:100" x14ac:dyDescent="0.25">
      <c r="A18" s="8" t="s">
        <v>9</v>
      </c>
      <c r="C18" s="8" t="str">
        <f>"""ORPEA BE"",""010010"",""15"",""1"",""132000"""</f>
        <v>"ORPEA BE","010010","15","1","132000"</v>
      </c>
      <c r="D18" s="8" t="str">
        <f>"132000"</f>
        <v>132000</v>
      </c>
      <c r="E18" s="8" t="str">
        <f t="shared" si="2"/>
        <v>106880</v>
      </c>
      <c r="F18" s="8" t="str">
        <f>"Réserve immunisée"</f>
        <v>Réserve immunisée</v>
      </c>
      <c r="G18" s="8" t="str">
        <f t="shared" si="0"/>
        <v/>
      </c>
      <c r="H18" s="9">
        <v>0</v>
      </c>
      <c r="I18" s="9">
        <v>0</v>
      </c>
      <c r="J18" s="9">
        <v>0</v>
      </c>
      <c r="K18" s="9">
        <v>-37859.5</v>
      </c>
      <c r="L18" s="9">
        <v>0</v>
      </c>
      <c r="M18" s="9">
        <v>0</v>
      </c>
      <c r="N18" s="9">
        <v>-56250.000000000007</v>
      </c>
      <c r="O18" s="9">
        <v>0</v>
      </c>
      <c r="P18" s="9">
        <v>0</v>
      </c>
      <c r="Q18" s="9">
        <v>0</v>
      </c>
      <c r="R18" s="9">
        <v>0</v>
      </c>
      <c r="S18" s="9">
        <v>0</v>
      </c>
      <c r="T18" s="9">
        <v>0</v>
      </c>
      <c r="U18" s="9">
        <v>0</v>
      </c>
      <c r="V18" s="9">
        <v>0</v>
      </c>
      <c r="W18" s="9">
        <v>0</v>
      </c>
      <c r="X18" s="9">
        <v>0</v>
      </c>
      <c r="Y18" s="9">
        <v>-197576.48</v>
      </c>
      <c r="Z18" s="9">
        <v>0</v>
      </c>
      <c r="AA18" s="9">
        <v>0</v>
      </c>
      <c r="AB18" s="9">
        <v>0</v>
      </c>
      <c r="AC18" s="9">
        <v>0</v>
      </c>
      <c r="AD18" s="9">
        <v>0</v>
      </c>
      <c r="AE18" s="9">
        <v>0</v>
      </c>
      <c r="AF18" s="9">
        <v>0</v>
      </c>
      <c r="AG18" s="9">
        <v>0</v>
      </c>
      <c r="AH18" s="9">
        <v>0</v>
      </c>
      <c r="AI18" s="9">
        <v>0</v>
      </c>
      <c r="AJ18" s="9">
        <v>0</v>
      </c>
      <c r="AK18" s="9">
        <v>0</v>
      </c>
      <c r="AL18" s="9">
        <v>0</v>
      </c>
      <c r="AM18" s="9">
        <v>0</v>
      </c>
      <c r="AN18" s="9">
        <v>0</v>
      </c>
      <c r="AO18" s="9">
        <v>0</v>
      </c>
      <c r="AP18" s="9">
        <v>-909.2</v>
      </c>
      <c r="AQ18" s="9">
        <v>-1015311.1100000001</v>
      </c>
      <c r="AR18" s="9">
        <v>0</v>
      </c>
      <c r="AS18" s="9">
        <v>0</v>
      </c>
      <c r="AT18" s="9">
        <v>0</v>
      </c>
      <c r="AU18" s="9">
        <v>0</v>
      </c>
      <c r="AV18" s="9">
        <v>0</v>
      </c>
      <c r="AW18" s="9">
        <v>0</v>
      </c>
      <c r="AX18" s="9">
        <v>0</v>
      </c>
      <c r="AY18" s="9">
        <v>0</v>
      </c>
      <c r="AZ18" s="9">
        <v>0</v>
      </c>
      <c r="BA18" s="9">
        <v>0</v>
      </c>
      <c r="BB18" s="9">
        <v>-5765.8600000000006</v>
      </c>
      <c r="BC18" s="9">
        <v>0</v>
      </c>
      <c r="BD18" s="9">
        <v>0</v>
      </c>
      <c r="BE18" s="9">
        <v>0</v>
      </c>
      <c r="BF18" s="9">
        <v>0</v>
      </c>
      <c r="BG18" s="9">
        <v>0</v>
      </c>
      <c r="BH18" s="9">
        <v>0</v>
      </c>
      <c r="BI18" s="9">
        <v>0</v>
      </c>
      <c r="BJ18" s="9">
        <v>0</v>
      </c>
      <c r="BK18" s="9">
        <v>0</v>
      </c>
      <c r="BL18" s="9">
        <v>-53613.840000000004</v>
      </c>
      <c r="BM18" s="9">
        <v>0</v>
      </c>
      <c r="BN18" s="9">
        <v>0</v>
      </c>
      <c r="BO18" s="9">
        <v>0</v>
      </c>
      <c r="BP18" s="9">
        <v>-4933.3499999999995</v>
      </c>
      <c r="BQ18" s="9">
        <v>0</v>
      </c>
      <c r="BR18" s="9">
        <v>0</v>
      </c>
      <c r="BS18" s="9">
        <v>0</v>
      </c>
      <c r="BT18" s="9">
        <v>0</v>
      </c>
      <c r="BU18" s="9">
        <v>0</v>
      </c>
      <c r="BV18" s="9">
        <v>0</v>
      </c>
      <c r="BW18" s="9">
        <v>0</v>
      </c>
      <c r="BX18" s="9">
        <v>0</v>
      </c>
      <c r="BY18" s="9">
        <v>-316114.91000000003</v>
      </c>
      <c r="BZ18" s="9">
        <v>0</v>
      </c>
      <c r="CA18" s="9">
        <v>0</v>
      </c>
      <c r="CB18" s="9">
        <v>0</v>
      </c>
      <c r="CC18" s="9">
        <v>0</v>
      </c>
      <c r="CD18" s="9">
        <v>0</v>
      </c>
      <c r="CE18" s="9">
        <v>-318828.3</v>
      </c>
      <c r="CF18" s="9">
        <v>0</v>
      </c>
      <c r="CG18" s="9">
        <v>0</v>
      </c>
      <c r="CH18" s="9">
        <v>0</v>
      </c>
      <c r="CI18" s="9">
        <v>0</v>
      </c>
      <c r="CJ18" s="9">
        <v>0</v>
      </c>
      <c r="CK18" s="9">
        <v>0</v>
      </c>
      <c r="CL18" s="9">
        <v>0</v>
      </c>
      <c r="CM18" s="9">
        <v>0</v>
      </c>
      <c r="CN18" s="9">
        <v>0</v>
      </c>
      <c r="CP18" s="10">
        <f t="shared" si="1"/>
        <v>-2007162.5500000005</v>
      </c>
      <c r="CQ18" s="20" t="str">
        <f>IFERROR(VLOOKUP($D18,'[2]Mappage de compte'!$B:$G,1,FALSE),"")</f>
        <v>132000</v>
      </c>
      <c r="CR18" s="21" t="str">
        <f>IFERROR(VLOOKUP($D18,'[2]Mappage de compte'!$B:$G,2,FALSE),"")</f>
        <v>Réserve immunisée</v>
      </c>
      <c r="CS18" s="22" t="str">
        <f>IFERROR(VLOOKUP($D18,'[2]Mappage de compte'!$B:$G,3,FALSE),"")</f>
        <v>106200</v>
      </c>
      <c r="CT18" s="22" t="str">
        <f>IFERROR(VLOOKUP($D18,'[2]Mappage de compte'!$B:$G,4,FALSE),"")</f>
        <v>RESERVES INDISPONIBLES</v>
      </c>
      <c r="CU18" s="23" t="str">
        <f>IFERROR(VLOOKUP($D18,'[2]Mappage de compte'!$B:$G,5,FALSE),"")</f>
        <v>Réserves Sociales</v>
      </c>
      <c r="CV18" s="23" t="str">
        <f>IFERROR(VLOOKUP($D18,'[2]Mappage de compte'!$B:$G,6,FALSE),"")</f>
        <v>Capitaux propres part du groupe</v>
      </c>
    </row>
    <row r="19" spans="1:100" x14ac:dyDescent="0.25">
      <c r="A19" s="8" t="s">
        <v>9</v>
      </c>
      <c r="C19" s="8" t="str">
        <f>"""ORPEA BE"",""010010"",""15"",""1"",""132100"""</f>
        <v>"ORPEA BE","010010","15","1","132100"</v>
      </c>
      <c r="D19" s="8" t="str">
        <f>"132100"</f>
        <v>132100</v>
      </c>
      <c r="E19" s="8" t="str">
        <f t="shared" si="2"/>
        <v>106880</v>
      </c>
      <c r="F19" s="8" t="str">
        <f>"Rés. immunisée investissement"</f>
        <v>Rés. immunisée investissement</v>
      </c>
      <c r="G19" s="8" t="str">
        <f t="shared" si="0"/>
        <v/>
      </c>
      <c r="H19" s="9">
        <v>0</v>
      </c>
      <c r="I19" s="9">
        <v>0</v>
      </c>
      <c r="J19" s="9">
        <v>0</v>
      </c>
      <c r="K19" s="9">
        <v>0</v>
      </c>
      <c r="L19" s="9">
        <v>0</v>
      </c>
      <c r="M19" s="9">
        <v>0</v>
      </c>
      <c r="N19" s="9">
        <v>0</v>
      </c>
      <c r="O19" s="9">
        <v>0</v>
      </c>
      <c r="P19" s="9">
        <v>0</v>
      </c>
      <c r="Q19" s="9">
        <v>0</v>
      </c>
      <c r="R19" s="9">
        <v>0</v>
      </c>
      <c r="S19" s="9">
        <v>0</v>
      </c>
      <c r="T19" s="9">
        <v>0</v>
      </c>
      <c r="U19" s="9">
        <v>0</v>
      </c>
      <c r="V19" s="9">
        <v>0</v>
      </c>
      <c r="W19" s="9">
        <v>0</v>
      </c>
      <c r="X19" s="9">
        <v>0</v>
      </c>
      <c r="Y19" s="9">
        <v>0</v>
      </c>
      <c r="Z19" s="9">
        <v>0</v>
      </c>
      <c r="AA19" s="9">
        <v>-18750</v>
      </c>
      <c r="AB19" s="9">
        <v>0</v>
      </c>
      <c r="AC19" s="9">
        <v>-140523.87</v>
      </c>
      <c r="AD19" s="9">
        <v>0</v>
      </c>
      <c r="AE19" s="9">
        <v>0</v>
      </c>
      <c r="AF19" s="9">
        <v>0</v>
      </c>
      <c r="AG19" s="9">
        <v>0</v>
      </c>
      <c r="AH19" s="9">
        <v>0</v>
      </c>
      <c r="AI19" s="9">
        <v>0</v>
      </c>
      <c r="AJ19" s="9">
        <v>0</v>
      </c>
      <c r="AK19" s="9">
        <v>0</v>
      </c>
      <c r="AL19" s="9">
        <v>0</v>
      </c>
      <c r="AM19" s="9">
        <v>0</v>
      </c>
      <c r="AN19" s="9">
        <v>0</v>
      </c>
      <c r="AO19" s="9">
        <v>0</v>
      </c>
      <c r="AP19" s="9">
        <v>0</v>
      </c>
      <c r="AQ19" s="9">
        <v>0</v>
      </c>
      <c r="AR19" s="9">
        <v>0</v>
      </c>
      <c r="AS19" s="9">
        <v>0</v>
      </c>
      <c r="AT19" s="9">
        <v>0</v>
      </c>
      <c r="AU19" s="9">
        <v>0</v>
      </c>
      <c r="AV19" s="9">
        <v>0</v>
      </c>
      <c r="AW19" s="9">
        <v>0</v>
      </c>
      <c r="AX19" s="9">
        <v>0</v>
      </c>
      <c r="AY19" s="9">
        <v>0</v>
      </c>
      <c r="AZ19" s="9">
        <v>0</v>
      </c>
      <c r="BA19" s="9">
        <v>0</v>
      </c>
      <c r="BB19" s="9">
        <v>0</v>
      </c>
      <c r="BC19" s="9">
        <v>0</v>
      </c>
      <c r="BD19" s="9">
        <v>0</v>
      </c>
      <c r="BE19" s="9">
        <v>0</v>
      </c>
      <c r="BF19" s="9">
        <v>0</v>
      </c>
      <c r="BG19" s="9">
        <v>0</v>
      </c>
      <c r="BH19" s="9">
        <v>0</v>
      </c>
      <c r="BI19" s="9">
        <v>0</v>
      </c>
      <c r="BJ19" s="9">
        <v>0</v>
      </c>
      <c r="BK19" s="9">
        <v>0</v>
      </c>
      <c r="BL19" s="9">
        <v>0</v>
      </c>
      <c r="BM19" s="9">
        <v>0</v>
      </c>
      <c r="BN19" s="9">
        <v>0</v>
      </c>
      <c r="BO19" s="9">
        <v>-37500</v>
      </c>
      <c r="BP19" s="9">
        <v>-56250.000000000007</v>
      </c>
      <c r="BQ19" s="9">
        <v>0</v>
      </c>
      <c r="BR19" s="9">
        <v>0</v>
      </c>
      <c r="BS19" s="9">
        <v>0</v>
      </c>
      <c r="BT19" s="9">
        <v>0</v>
      </c>
      <c r="BU19" s="9">
        <v>-15907.820000000002</v>
      </c>
      <c r="BV19" s="9">
        <v>0</v>
      </c>
      <c r="BW19" s="9">
        <v>0</v>
      </c>
      <c r="BX19" s="9">
        <v>0</v>
      </c>
      <c r="BY19" s="9">
        <v>0</v>
      </c>
      <c r="BZ19" s="9">
        <v>0</v>
      </c>
      <c r="CA19" s="9">
        <v>0</v>
      </c>
      <c r="CB19" s="9">
        <v>0</v>
      </c>
      <c r="CC19" s="9">
        <v>0</v>
      </c>
      <c r="CD19" s="9">
        <v>0</v>
      </c>
      <c r="CE19" s="9">
        <v>0</v>
      </c>
      <c r="CF19" s="9">
        <v>0</v>
      </c>
      <c r="CG19" s="9">
        <v>0</v>
      </c>
      <c r="CH19" s="9">
        <v>0</v>
      </c>
      <c r="CI19" s="9">
        <v>0</v>
      </c>
      <c r="CJ19" s="9">
        <v>0</v>
      </c>
      <c r="CK19" s="9">
        <v>0</v>
      </c>
      <c r="CL19" s="9">
        <v>0</v>
      </c>
      <c r="CM19" s="9">
        <v>0</v>
      </c>
      <c r="CN19" s="9">
        <v>0</v>
      </c>
      <c r="CP19" s="10">
        <f t="shared" si="1"/>
        <v>-268931.69</v>
      </c>
      <c r="CQ19" s="20" t="str">
        <f>IFERROR(VLOOKUP($D19,'[2]Mappage de compte'!$B:$G,1,FALSE),"")</f>
        <v>132100</v>
      </c>
      <c r="CR19" s="21" t="str">
        <f>IFERROR(VLOOKUP($D19,'[2]Mappage de compte'!$B:$G,2,FALSE),"")</f>
        <v>Rés. immunisée investissement</v>
      </c>
      <c r="CS19" s="22" t="str">
        <f>IFERROR(VLOOKUP($D19,'[2]Mappage de compte'!$B:$G,3,FALSE),"")</f>
        <v>106200</v>
      </c>
      <c r="CT19" s="22" t="str">
        <f>IFERROR(VLOOKUP($D19,'[2]Mappage de compte'!$B:$G,4,FALSE),"")</f>
        <v>RESERVES INDISPONIBLES</v>
      </c>
      <c r="CU19" s="23" t="str">
        <f>IFERROR(VLOOKUP($D19,'[2]Mappage de compte'!$B:$G,5,FALSE),"")</f>
        <v>Réserves Sociales</v>
      </c>
      <c r="CV19" s="23" t="str">
        <f>IFERROR(VLOOKUP($D19,'[2]Mappage de compte'!$B:$G,6,FALSE),"")</f>
        <v>Capitaux propres part du groupe</v>
      </c>
    </row>
    <row r="20" spans="1:100" x14ac:dyDescent="0.25">
      <c r="A20" s="8" t="s">
        <v>9</v>
      </c>
      <c r="C20" s="8" t="str">
        <f>"""ORPEA BE"",""010010"",""15"",""1"",""133000"""</f>
        <v>"ORPEA BE","010010","15","1","133000"</v>
      </c>
      <c r="D20" s="8" t="str">
        <f>"133000"</f>
        <v>133000</v>
      </c>
      <c r="E20" s="8" t="str">
        <f t="shared" si="2"/>
        <v>106880</v>
      </c>
      <c r="F20" s="8" t="str">
        <f>"Réserve disponible"</f>
        <v>Réserve disponible</v>
      </c>
      <c r="G20" s="8" t="str">
        <f t="shared" si="0"/>
        <v/>
      </c>
      <c r="H20" s="9">
        <v>0</v>
      </c>
      <c r="I20" s="9">
        <v>-782.33</v>
      </c>
      <c r="J20" s="9">
        <v>0</v>
      </c>
      <c r="K20" s="9">
        <v>0</v>
      </c>
      <c r="L20" s="9">
        <v>0</v>
      </c>
      <c r="M20" s="9">
        <v>-30814.030000000002</v>
      </c>
      <c r="N20" s="9">
        <v>0</v>
      </c>
      <c r="O20" s="9">
        <v>0</v>
      </c>
      <c r="P20" s="9">
        <v>-49606.82</v>
      </c>
      <c r="Q20" s="9">
        <v>0</v>
      </c>
      <c r="R20" s="9">
        <v>0</v>
      </c>
      <c r="S20" s="9">
        <v>0</v>
      </c>
      <c r="T20" s="9">
        <v>-519999.99999999994</v>
      </c>
      <c r="U20" s="9">
        <v>0</v>
      </c>
      <c r="V20" s="9">
        <v>0</v>
      </c>
      <c r="W20" s="9">
        <v>0</v>
      </c>
      <c r="X20" s="9">
        <v>0</v>
      </c>
      <c r="Y20" s="9">
        <v>0</v>
      </c>
      <c r="Z20" s="9">
        <v>0</v>
      </c>
      <c r="AA20" s="9">
        <v>0</v>
      </c>
      <c r="AB20" s="9">
        <v>0</v>
      </c>
      <c r="AC20" s="9">
        <v>0</v>
      </c>
      <c r="AD20" s="9">
        <v>0</v>
      </c>
      <c r="AE20" s="9">
        <v>0</v>
      </c>
      <c r="AF20" s="9">
        <v>0</v>
      </c>
      <c r="AG20" s="9">
        <v>0</v>
      </c>
      <c r="AH20" s="9">
        <v>-6170.7199999999993</v>
      </c>
      <c r="AI20" s="9">
        <v>0</v>
      </c>
      <c r="AJ20" s="9">
        <v>0</v>
      </c>
      <c r="AK20" s="9">
        <v>0</v>
      </c>
      <c r="AL20" s="9">
        <v>0</v>
      </c>
      <c r="AM20" s="9">
        <v>0</v>
      </c>
      <c r="AN20" s="9">
        <v>0</v>
      </c>
      <c r="AO20" s="9">
        <v>0</v>
      </c>
      <c r="AP20" s="9">
        <v>0</v>
      </c>
      <c r="AQ20" s="9">
        <v>0</v>
      </c>
      <c r="AR20" s="9">
        <v>0</v>
      </c>
      <c r="AS20" s="9">
        <v>0</v>
      </c>
      <c r="AT20" s="9">
        <v>0</v>
      </c>
      <c r="AU20" s="9">
        <v>-122916.23999999999</v>
      </c>
      <c r="AV20" s="9">
        <v>0</v>
      </c>
      <c r="AW20" s="9">
        <v>0</v>
      </c>
      <c r="AX20" s="9">
        <v>0</v>
      </c>
      <c r="AY20" s="9">
        <v>0</v>
      </c>
      <c r="AZ20" s="9">
        <v>-75000</v>
      </c>
      <c r="BA20" s="9">
        <v>0</v>
      </c>
      <c r="BB20" s="9">
        <v>0</v>
      </c>
      <c r="BC20" s="9">
        <v>0</v>
      </c>
      <c r="BD20" s="9">
        <v>0</v>
      </c>
      <c r="BE20" s="9">
        <v>0</v>
      </c>
      <c r="BF20" s="9">
        <v>0</v>
      </c>
      <c r="BG20" s="9">
        <v>0</v>
      </c>
      <c r="BH20" s="9">
        <v>0</v>
      </c>
      <c r="BI20" s="9">
        <v>0</v>
      </c>
      <c r="BJ20" s="9">
        <v>-4388.5600000000004</v>
      </c>
      <c r="BK20" s="9">
        <v>-2120.8000000000002</v>
      </c>
      <c r="BL20" s="9">
        <v>0</v>
      </c>
      <c r="BM20" s="9">
        <v>0</v>
      </c>
      <c r="BN20" s="9">
        <v>0</v>
      </c>
      <c r="BO20" s="9">
        <v>0</v>
      </c>
      <c r="BP20" s="9">
        <v>0</v>
      </c>
      <c r="BQ20" s="9">
        <v>0</v>
      </c>
      <c r="BR20" s="9">
        <v>0</v>
      </c>
      <c r="BS20" s="9">
        <v>0</v>
      </c>
      <c r="BT20" s="9">
        <v>0</v>
      </c>
      <c r="BU20" s="9">
        <v>-25000.000000000004</v>
      </c>
      <c r="BV20" s="9">
        <v>0</v>
      </c>
      <c r="BW20" s="9">
        <v>0</v>
      </c>
      <c r="BX20" s="9">
        <v>0</v>
      </c>
      <c r="BY20" s="9">
        <v>0</v>
      </c>
      <c r="BZ20" s="9">
        <v>0</v>
      </c>
      <c r="CA20" s="9">
        <v>0</v>
      </c>
      <c r="CB20" s="9">
        <v>0</v>
      </c>
      <c r="CC20" s="9">
        <v>-476.54</v>
      </c>
      <c r="CD20" s="9">
        <v>0</v>
      </c>
      <c r="CE20" s="9">
        <v>-60827</v>
      </c>
      <c r="CF20" s="9">
        <v>0</v>
      </c>
      <c r="CG20" s="9">
        <v>0</v>
      </c>
      <c r="CH20" s="9">
        <v>0</v>
      </c>
      <c r="CI20" s="9">
        <v>-270000</v>
      </c>
      <c r="CJ20" s="9">
        <v>0</v>
      </c>
      <c r="CK20" s="9">
        <v>-371840.29</v>
      </c>
      <c r="CL20" s="9">
        <v>0</v>
      </c>
      <c r="CM20" s="9">
        <v>0</v>
      </c>
      <c r="CN20" s="9">
        <v>0</v>
      </c>
      <c r="CP20" s="10">
        <f t="shared" si="1"/>
        <v>-1539943.33</v>
      </c>
      <c r="CQ20" s="20" t="str">
        <f>IFERROR(VLOOKUP($D20,'[2]Mappage de compte'!$B:$G,1,FALSE),"")</f>
        <v>133000</v>
      </c>
      <c r="CR20" s="21" t="str">
        <f>IFERROR(VLOOKUP($D20,'[2]Mappage de compte'!$B:$G,2,FALSE),"")</f>
        <v>Réserve disponible</v>
      </c>
      <c r="CS20" s="22" t="str">
        <f>IFERROR(VLOOKUP($D20,'[2]Mappage de compte'!$B:$G,3,FALSE),"")</f>
        <v>106880</v>
      </c>
      <c r="CT20" s="22" t="str">
        <f>IFERROR(VLOOKUP($D20,'[2]Mappage de compte'!$B:$G,4,FALSE),"")</f>
        <v>RESERVES DIVERSES</v>
      </c>
      <c r="CU20" s="23" t="str">
        <f>IFERROR(VLOOKUP($D20,'[2]Mappage de compte'!$B:$G,5,FALSE),"")</f>
        <v>Réserves Sociales</v>
      </c>
      <c r="CV20" s="23" t="str">
        <f>IFERROR(VLOOKUP($D20,'[2]Mappage de compte'!$B:$G,6,FALSE),"")</f>
        <v>Capitaux propres part du groupe</v>
      </c>
    </row>
    <row r="21" spans="1:100" x14ac:dyDescent="0.25">
      <c r="A21" s="8" t="s">
        <v>9</v>
      </c>
      <c r="C21" s="8" t="str">
        <f>"""ORPEA BE"",""010010"",""15"",""1"",""133100"""</f>
        <v>"ORPEA BE","010010","15","1","133100"</v>
      </c>
      <c r="D21" s="8" t="str">
        <f>"133100"</f>
        <v>133100</v>
      </c>
      <c r="E21" s="8" t="str">
        <f t="shared" si="2"/>
        <v>106880</v>
      </c>
      <c r="F21" s="8" t="str">
        <f>"Amortissement s/Plus Value I"</f>
        <v>Amortissement s/Plus Value I</v>
      </c>
      <c r="G21" s="8" t="str">
        <f t="shared" si="0"/>
        <v/>
      </c>
      <c r="H21" s="9">
        <v>0</v>
      </c>
      <c r="I21" s="9">
        <v>0</v>
      </c>
      <c r="J21" s="9">
        <v>0</v>
      </c>
      <c r="K21" s="9">
        <v>0</v>
      </c>
      <c r="L21" s="9">
        <v>0</v>
      </c>
      <c r="M21" s="9">
        <v>0</v>
      </c>
      <c r="N21" s="9">
        <v>0</v>
      </c>
      <c r="O21" s="9">
        <v>-1915755.55</v>
      </c>
      <c r="P21" s="9">
        <v>-1073474.77</v>
      </c>
      <c r="Q21" s="9">
        <v>-425325.08</v>
      </c>
      <c r="R21" s="9">
        <v>0</v>
      </c>
      <c r="S21" s="9">
        <v>0</v>
      </c>
      <c r="T21" s="9">
        <v>-1007711.9299999999</v>
      </c>
      <c r="U21" s="9">
        <v>-2564974.06</v>
      </c>
      <c r="V21" s="9">
        <v>0</v>
      </c>
      <c r="W21" s="9">
        <v>0</v>
      </c>
      <c r="X21" s="9">
        <v>0</v>
      </c>
      <c r="Y21" s="9">
        <v>0</v>
      </c>
      <c r="Z21" s="9">
        <v>0</v>
      </c>
      <c r="AA21" s="9">
        <v>0</v>
      </c>
      <c r="AB21" s="9">
        <v>0</v>
      </c>
      <c r="AC21" s="9">
        <v>0</v>
      </c>
      <c r="AD21" s="9">
        <v>0</v>
      </c>
      <c r="AE21" s="9">
        <v>0</v>
      </c>
      <c r="AF21" s="9">
        <v>0</v>
      </c>
      <c r="AG21" s="9">
        <v>0</v>
      </c>
      <c r="AH21" s="9">
        <v>0</v>
      </c>
      <c r="AI21" s="9">
        <v>0</v>
      </c>
      <c r="AJ21" s="9">
        <v>0</v>
      </c>
      <c r="AK21" s="9">
        <v>0</v>
      </c>
      <c r="AL21" s="9">
        <v>0</v>
      </c>
      <c r="AM21" s="9">
        <v>0</v>
      </c>
      <c r="AN21" s="9">
        <v>0</v>
      </c>
      <c r="AO21" s="9">
        <v>0</v>
      </c>
      <c r="AP21" s="9">
        <v>0</v>
      </c>
      <c r="AQ21" s="9">
        <v>0</v>
      </c>
      <c r="AR21" s="9">
        <v>0</v>
      </c>
      <c r="AS21" s="9">
        <v>0</v>
      </c>
      <c r="AT21" s="9">
        <v>0</v>
      </c>
      <c r="AU21" s="9">
        <v>0</v>
      </c>
      <c r="AV21" s="9">
        <v>0</v>
      </c>
      <c r="AW21" s="9">
        <v>0</v>
      </c>
      <c r="AX21" s="9">
        <v>0</v>
      </c>
      <c r="AY21" s="9">
        <v>0</v>
      </c>
      <c r="AZ21" s="9">
        <v>0</v>
      </c>
      <c r="BA21" s="9">
        <v>0</v>
      </c>
      <c r="BB21" s="9">
        <v>-105489.87</v>
      </c>
      <c r="BC21" s="9">
        <v>0</v>
      </c>
      <c r="BD21" s="9">
        <v>0</v>
      </c>
      <c r="BE21" s="9">
        <v>0</v>
      </c>
      <c r="BF21" s="9">
        <v>0</v>
      </c>
      <c r="BG21" s="9">
        <v>0</v>
      </c>
      <c r="BH21" s="9">
        <v>0</v>
      </c>
      <c r="BI21" s="9">
        <v>0</v>
      </c>
      <c r="BJ21" s="9">
        <v>0</v>
      </c>
      <c r="BK21" s="9">
        <v>-3077985.85</v>
      </c>
      <c r="BL21" s="9">
        <v>-192078.57</v>
      </c>
      <c r="BM21" s="9">
        <v>0</v>
      </c>
      <c r="BN21" s="9">
        <v>0</v>
      </c>
      <c r="BO21" s="9">
        <v>-567218.49</v>
      </c>
      <c r="BP21" s="9">
        <v>-1801202.8599999999</v>
      </c>
      <c r="BQ21" s="9">
        <v>0</v>
      </c>
      <c r="BR21" s="9">
        <v>0</v>
      </c>
      <c r="BS21" s="9">
        <v>-576968.06999999995</v>
      </c>
      <c r="BT21" s="9">
        <v>0</v>
      </c>
      <c r="BU21" s="9">
        <v>-248598.22999999998</v>
      </c>
      <c r="BV21" s="9">
        <v>0</v>
      </c>
      <c r="BW21" s="9">
        <v>0</v>
      </c>
      <c r="BX21" s="9">
        <v>0</v>
      </c>
      <c r="BY21" s="9">
        <v>0</v>
      </c>
      <c r="BZ21" s="9">
        <v>0</v>
      </c>
      <c r="CA21" s="9">
        <v>0</v>
      </c>
      <c r="CB21" s="9">
        <v>0</v>
      </c>
      <c r="CC21" s="9">
        <v>0</v>
      </c>
      <c r="CD21" s="9">
        <v>0</v>
      </c>
      <c r="CE21" s="9">
        <v>0</v>
      </c>
      <c r="CF21" s="9">
        <v>0</v>
      </c>
      <c r="CG21" s="9">
        <v>0</v>
      </c>
      <c r="CH21" s="9">
        <v>0</v>
      </c>
      <c r="CI21" s="9">
        <v>0</v>
      </c>
      <c r="CJ21" s="9">
        <v>0</v>
      </c>
      <c r="CK21" s="9">
        <v>0</v>
      </c>
      <c r="CL21" s="9">
        <v>0</v>
      </c>
      <c r="CM21" s="9">
        <v>0</v>
      </c>
      <c r="CN21" s="9">
        <v>0</v>
      </c>
      <c r="CP21" s="10">
        <f t="shared" si="1"/>
        <v>-13556783.330000002</v>
      </c>
      <c r="CQ21" s="20" t="str">
        <f>IFERROR(VLOOKUP($D21,'[2]Mappage de compte'!$B:$G,1,FALSE),"")</f>
        <v>133100</v>
      </c>
      <c r="CR21" s="21" t="str">
        <f>IFERROR(VLOOKUP($D21,'[2]Mappage de compte'!$B:$G,2,FALSE),"")</f>
        <v>Amortissement s/Plus Value I</v>
      </c>
      <c r="CS21" s="22" t="str">
        <f>IFERROR(VLOOKUP($D21,'[2]Mappage de compte'!$B:$G,3,FALSE),"")</f>
        <v>106880</v>
      </c>
      <c r="CT21" s="22" t="str">
        <f>IFERROR(VLOOKUP($D21,'[2]Mappage de compte'!$B:$G,4,FALSE),"")</f>
        <v>RESERVES DIVERSES</v>
      </c>
      <c r="CU21" s="23" t="str">
        <f>IFERROR(VLOOKUP($D21,'[2]Mappage de compte'!$B:$G,5,FALSE),"")</f>
        <v>Réserves Sociales</v>
      </c>
      <c r="CV21" s="23" t="str">
        <f>IFERROR(VLOOKUP($D21,'[2]Mappage de compte'!$B:$G,6,FALSE),"")</f>
        <v>Capitaux propres part du groupe</v>
      </c>
    </row>
    <row r="22" spans="1:100" x14ac:dyDescent="0.25">
      <c r="A22" s="8" t="s">
        <v>9</v>
      </c>
      <c r="C22" s="8" t="str">
        <f>"""ORPEA BE"",""010010"",""15"",""1"",""140000"""</f>
        <v>"ORPEA BE","010010","15","1","140000"</v>
      </c>
      <c r="D22" s="8" t="str">
        <f>"140000"</f>
        <v>140000</v>
      </c>
      <c r="E22" s="8" t="str">
        <f>"119000"</f>
        <v>119000</v>
      </c>
      <c r="F22" s="8" t="str">
        <f>"Bénéfice reporté"</f>
        <v>Bénéfice reporté</v>
      </c>
      <c r="G22" s="8" t="str">
        <f t="shared" si="0"/>
        <v/>
      </c>
      <c r="H22" s="9">
        <v>-41660062.420000002</v>
      </c>
      <c r="I22" s="9">
        <v>-141592.69999999998</v>
      </c>
      <c r="J22" s="9">
        <v>-418028.67</v>
      </c>
      <c r="K22" s="9">
        <v>-51299.179999999993</v>
      </c>
      <c r="L22" s="9">
        <v>0</v>
      </c>
      <c r="M22" s="9">
        <v>0</v>
      </c>
      <c r="N22" s="9">
        <v>-157493.35</v>
      </c>
      <c r="O22" s="9">
        <v>0</v>
      </c>
      <c r="P22" s="9">
        <v>-19253.030000000002</v>
      </c>
      <c r="Q22" s="9">
        <v>-198158.98</v>
      </c>
      <c r="R22" s="9">
        <v>0</v>
      </c>
      <c r="S22" s="9">
        <v>0</v>
      </c>
      <c r="T22" s="9">
        <v>0</v>
      </c>
      <c r="U22" s="9">
        <v>0</v>
      </c>
      <c r="V22" s="9">
        <v>0</v>
      </c>
      <c r="W22" s="9">
        <v>0</v>
      </c>
      <c r="X22" s="9">
        <v>0</v>
      </c>
      <c r="Y22" s="9">
        <v>0</v>
      </c>
      <c r="Z22" s="9">
        <v>-131478.25</v>
      </c>
      <c r="AA22" s="9">
        <v>0</v>
      </c>
      <c r="AB22" s="9">
        <v>0</v>
      </c>
      <c r="AC22" s="9">
        <v>0</v>
      </c>
      <c r="AD22" s="9">
        <v>0</v>
      </c>
      <c r="AE22" s="9">
        <v>-4105039.94</v>
      </c>
      <c r="AF22" s="9">
        <v>-120834.33</v>
      </c>
      <c r="AG22" s="9">
        <v>0</v>
      </c>
      <c r="AH22" s="9">
        <v>0</v>
      </c>
      <c r="AI22" s="9">
        <v>-9135.11</v>
      </c>
      <c r="AJ22" s="9">
        <v>-61802.179999999993</v>
      </c>
      <c r="AK22" s="9">
        <v>-49250.189999999995</v>
      </c>
      <c r="AL22" s="9">
        <v>0</v>
      </c>
      <c r="AM22" s="9">
        <v>-113898.06</v>
      </c>
      <c r="AN22" s="9">
        <v>-4614632.43</v>
      </c>
      <c r="AO22" s="9">
        <v>-64847.570000000007</v>
      </c>
      <c r="AP22" s="9">
        <v>-350500.75</v>
      </c>
      <c r="AQ22" s="9">
        <v>-257809.12</v>
      </c>
      <c r="AR22" s="9">
        <v>0</v>
      </c>
      <c r="AS22" s="9">
        <v>0</v>
      </c>
      <c r="AT22" s="9">
        <v>0</v>
      </c>
      <c r="AU22" s="9">
        <v>0</v>
      </c>
      <c r="AV22" s="9">
        <v>0</v>
      </c>
      <c r="AW22" s="9">
        <v>0</v>
      </c>
      <c r="AX22" s="9">
        <v>0</v>
      </c>
      <c r="AY22" s="9">
        <v>0</v>
      </c>
      <c r="AZ22" s="9">
        <v>0</v>
      </c>
      <c r="BA22" s="9">
        <v>0</v>
      </c>
      <c r="BB22" s="9">
        <v>0</v>
      </c>
      <c r="BC22" s="9">
        <v>0</v>
      </c>
      <c r="BD22" s="9">
        <v>0</v>
      </c>
      <c r="BE22" s="9">
        <v>-3626661.5300000003</v>
      </c>
      <c r="BF22" s="9">
        <v>0</v>
      </c>
      <c r="BG22" s="9">
        <v>0</v>
      </c>
      <c r="BH22" s="9">
        <v>0</v>
      </c>
      <c r="BI22" s="9">
        <v>0</v>
      </c>
      <c r="BJ22" s="9">
        <v>-13293543.32</v>
      </c>
      <c r="BK22" s="9">
        <v>0</v>
      </c>
      <c r="BL22" s="9">
        <v>0</v>
      </c>
      <c r="BM22" s="9">
        <v>-2624994.1599999997</v>
      </c>
      <c r="BN22" s="9">
        <v>0</v>
      </c>
      <c r="BO22" s="9">
        <v>-45867.71</v>
      </c>
      <c r="BP22" s="9">
        <v>0</v>
      </c>
      <c r="BQ22" s="9">
        <v>-3590353.16</v>
      </c>
      <c r="BR22" s="9">
        <v>0</v>
      </c>
      <c r="BS22" s="9">
        <v>0</v>
      </c>
      <c r="BT22" s="9">
        <v>0</v>
      </c>
      <c r="BU22" s="9">
        <v>-275844.39</v>
      </c>
      <c r="BV22" s="9">
        <v>-746.71</v>
      </c>
      <c r="BW22" s="9">
        <v>0</v>
      </c>
      <c r="BX22" s="9">
        <v>0</v>
      </c>
      <c r="BY22" s="9">
        <v>0</v>
      </c>
      <c r="BZ22" s="9">
        <v>0</v>
      </c>
      <c r="CA22" s="9">
        <v>0</v>
      </c>
      <c r="CB22" s="9">
        <v>-62039.48</v>
      </c>
      <c r="CC22" s="9">
        <v>0</v>
      </c>
      <c r="CD22" s="9">
        <v>-69514.259999999995</v>
      </c>
      <c r="CE22" s="9">
        <v>0</v>
      </c>
      <c r="CF22" s="9">
        <v>0</v>
      </c>
      <c r="CG22" s="9">
        <v>0</v>
      </c>
      <c r="CH22" s="9">
        <v>0</v>
      </c>
      <c r="CI22" s="9">
        <v>-18381.12</v>
      </c>
      <c r="CJ22" s="9">
        <v>0</v>
      </c>
      <c r="CK22" s="9">
        <v>-389888.13</v>
      </c>
      <c r="CL22" s="9">
        <v>0</v>
      </c>
      <c r="CM22" s="9">
        <v>0</v>
      </c>
      <c r="CN22" s="9">
        <v>0</v>
      </c>
      <c r="CP22" s="10">
        <f t="shared" si="1"/>
        <v>-76522950.229999989</v>
      </c>
      <c r="CQ22" s="20" t="str">
        <f>IFERROR(VLOOKUP($D22,'[2]Mappage de compte'!$B:$G,1,FALSE),"")</f>
        <v>140000</v>
      </c>
      <c r="CR22" s="21" t="str">
        <f>IFERROR(VLOOKUP($D22,'[2]Mappage de compte'!$B:$G,2,FALSE),"")</f>
        <v>Bénéfice reporté</v>
      </c>
      <c r="CS22" s="22" t="str">
        <f>IFERROR(VLOOKUP($D22,'[2]Mappage de compte'!$B:$G,3,FALSE),"")</f>
        <v>119000</v>
      </c>
      <c r="CT22" s="22" t="str">
        <f>IFERROR(VLOOKUP($D22,'[2]Mappage de compte'!$B:$G,4,FALSE),"")</f>
        <v xml:space="preserve">REPORT A NOUVEAU SOLDE DEBITEUR        </v>
      </c>
      <c r="CU22" s="23" t="str">
        <f>IFERROR(VLOOKUP($D22,'[2]Mappage de compte'!$B:$G,5,FALSE),"")</f>
        <v>Réserves Sociales</v>
      </c>
      <c r="CV22" s="23" t="str">
        <f>IFERROR(VLOOKUP($D22,'[2]Mappage de compte'!$B:$G,6,FALSE),"")</f>
        <v>Capitaux propres part du groupe</v>
      </c>
    </row>
    <row r="23" spans="1:100" x14ac:dyDescent="0.25">
      <c r="A23" s="8" t="s">
        <v>9</v>
      </c>
      <c r="C23" s="8" t="str">
        <f>"""ORPEA BE"",""010010"",""15"",""1"",""141000"""</f>
        <v>"ORPEA BE","010010","15","1","141000"</v>
      </c>
      <c r="D23" s="8" t="str">
        <f>"141000"</f>
        <v>141000</v>
      </c>
      <c r="E23" s="8" t="str">
        <f>"119000"</f>
        <v>119000</v>
      </c>
      <c r="F23" s="8" t="str">
        <f>"Perte reportée"</f>
        <v>Perte reportée</v>
      </c>
      <c r="G23" s="8" t="str">
        <f t="shared" si="0"/>
        <v/>
      </c>
      <c r="H23" s="9">
        <v>0</v>
      </c>
      <c r="I23" s="9">
        <v>0</v>
      </c>
      <c r="J23" s="9">
        <v>0</v>
      </c>
      <c r="K23" s="9">
        <v>0</v>
      </c>
      <c r="L23" s="9">
        <v>77054.33</v>
      </c>
      <c r="M23" s="9">
        <v>787806.44000000006</v>
      </c>
      <c r="N23" s="9">
        <v>0</v>
      </c>
      <c r="O23" s="9">
        <v>1261538.8399999999</v>
      </c>
      <c r="P23" s="9">
        <v>0</v>
      </c>
      <c r="Q23" s="9">
        <v>0</v>
      </c>
      <c r="R23" s="9">
        <v>1010285.14</v>
      </c>
      <c r="S23" s="9">
        <v>1865308.61</v>
      </c>
      <c r="T23" s="9">
        <v>561041.27</v>
      </c>
      <c r="U23" s="9">
        <v>1551912.99</v>
      </c>
      <c r="V23" s="9">
        <v>2091959.9100000001</v>
      </c>
      <c r="W23" s="9">
        <v>841837.41</v>
      </c>
      <c r="X23" s="9">
        <v>1895536.9200000002</v>
      </c>
      <c r="Y23" s="9">
        <v>607708.56000000006</v>
      </c>
      <c r="Z23" s="9">
        <v>0</v>
      </c>
      <c r="AA23" s="9">
        <v>1193663.47</v>
      </c>
      <c r="AB23" s="9">
        <v>1035507.77</v>
      </c>
      <c r="AC23" s="9">
        <v>802836.81</v>
      </c>
      <c r="AD23" s="9">
        <v>310.05</v>
      </c>
      <c r="AE23" s="9">
        <v>0</v>
      </c>
      <c r="AF23" s="9">
        <v>0</v>
      </c>
      <c r="AG23" s="9">
        <v>8095159.7399999993</v>
      </c>
      <c r="AH23" s="9">
        <v>8109.35</v>
      </c>
      <c r="AI23" s="9">
        <v>0</v>
      </c>
      <c r="AJ23" s="9">
        <v>0</v>
      </c>
      <c r="AK23" s="9">
        <v>0</v>
      </c>
      <c r="AL23" s="9">
        <v>203999.29</v>
      </c>
      <c r="AM23" s="9">
        <v>0</v>
      </c>
      <c r="AN23" s="9">
        <v>0</v>
      </c>
      <c r="AO23" s="9">
        <v>0</v>
      </c>
      <c r="AP23" s="9">
        <v>0</v>
      </c>
      <c r="AQ23" s="9">
        <v>0</v>
      </c>
      <c r="AR23" s="9">
        <v>2667976.2600000002</v>
      </c>
      <c r="AS23" s="9">
        <v>2371307.14</v>
      </c>
      <c r="AT23" s="9">
        <v>889181.92999999993</v>
      </c>
      <c r="AU23" s="9">
        <v>895141.29999999993</v>
      </c>
      <c r="AV23" s="9">
        <v>60464.81</v>
      </c>
      <c r="AW23" s="9">
        <v>10119.790000000001</v>
      </c>
      <c r="AX23" s="9">
        <v>10656.24</v>
      </c>
      <c r="AY23" s="9">
        <v>348291.26</v>
      </c>
      <c r="AZ23" s="9">
        <v>69025.09</v>
      </c>
      <c r="BA23" s="9">
        <v>0</v>
      </c>
      <c r="BB23" s="9">
        <v>28375.530000000002</v>
      </c>
      <c r="BC23" s="9">
        <v>716057.66</v>
      </c>
      <c r="BD23" s="9">
        <v>530820.28</v>
      </c>
      <c r="BE23" s="9">
        <v>0</v>
      </c>
      <c r="BF23" s="9">
        <v>40600.840000000004</v>
      </c>
      <c r="BG23" s="9">
        <v>500299.75</v>
      </c>
      <c r="BH23" s="9">
        <v>0</v>
      </c>
      <c r="BI23" s="9">
        <v>0</v>
      </c>
      <c r="BJ23" s="9">
        <v>0</v>
      </c>
      <c r="BK23" s="9">
        <v>2233889.21</v>
      </c>
      <c r="BL23" s="9">
        <v>89526.11</v>
      </c>
      <c r="BM23" s="9">
        <v>0</v>
      </c>
      <c r="BN23" s="9">
        <v>0</v>
      </c>
      <c r="BO23" s="9">
        <v>0</v>
      </c>
      <c r="BP23" s="9">
        <v>653888.61</v>
      </c>
      <c r="BQ23" s="9">
        <v>0</v>
      </c>
      <c r="BR23" s="9">
        <v>215146.49000000002</v>
      </c>
      <c r="BS23" s="9">
        <v>1017946.49</v>
      </c>
      <c r="BT23" s="9">
        <v>846167.58000000007</v>
      </c>
      <c r="BU23" s="9">
        <v>0</v>
      </c>
      <c r="BV23" s="9">
        <v>0</v>
      </c>
      <c r="BW23" s="9">
        <v>201173.09</v>
      </c>
      <c r="BX23" s="9">
        <v>47033.11</v>
      </c>
      <c r="BY23" s="9">
        <v>654342.99</v>
      </c>
      <c r="BZ23" s="9">
        <v>0</v>
      </c>
      <c r="CA23" s="9">
        <v>341083.1</v>
      </c>
      <c r="CB23" s="9">
        <v>0</v>
      </c>
      <c r="CC23" s="9">
        <v>152389.50999999998</v>
      </c>
      <c r="CD23" s="9">
        <v>0</v>
      </c>
      <c r="CE23" s="9">
        <v>289278.23</v>
      </c>
      <c r="CF23" s="9">
        <v>175893.31</v>
      </c>
      <c r="CG23" s="9">
        <v>602489.38</v>
      </c>
      <c r="CH23" s="9">
        <v>6047.07</v>
      </c>
      <c r="CI23" s="9">
        <v>0</v>
      </c>
      <c r="CJ23" s="9">
        <v>32159.170000000002</v>
      </c>
      <c r="CK23" s="9">
        <v>0</v>
      </c>
      <c r="CL23" s="9">
        <v>39410.799999999996</v>
      </c>
      <c r="CM23" s="9">
        <v>16942.77</v>
      </c>
      <c r="CN23" s="9">
        <v>1248.97</v>
      </c>
      <c r="CP23" s="10">
        <f t="shared" si="1"/>
        <v>40645950.770000011</v>
      </c>
      <c r="CQ23" s="20" t="str">
        <f>IFERROR(VLOOKUP($D23,'[2]Mappage de compte'!$B:$G,1,FALSE),"")</f>
        <v>141000</v>
      </c>
      <c r="CR23" s="21" t="str">
        <f>IFERROR(VLOOKUP($D23,'[2]Mappage de compte'!$B:$G,2,FALSE),"")</f>
        <v>Perte reportée</v>
      </c>
      <c r="CS23" s="22" t="str">
        <f>IFERROR(VLOOKUP($D23,'[2]Mappage de compte'!$B:$G,3,FALSE),"")</f>
        <v>119000</v>
      </c>
      <c r="CT23" s="22" t="str">
        <f>IFERROR(VLOOKUP($D23,'[2]Mappage de compte'!$B:$G,4,FALSE),"")</f>
        <v xml:space="preserve">REPORT A NOUVEAU SOLDE DEBITEUR        </v>
      </c>
      <c r="CU23" s="23" t="str">
        <f>IFERROR(VLOOKUP($D23,'[2]Mappage de compte'!$B:$G,5,FALSE),"")</f>
        <v>Réserves Sociales</v>
      </c>
      <c r="CV23" s="23" t="str">
        <f>IFERROR(VLOOKUP($D23,'[2]Mappage de compte'!$B:$G,6,FALSE),"")</f>
        <v>Capitaux propres part du groupe</v>
      </c>
    </row>
    <row r="24" spans="1:100" x14ac:dyDescent="0.25">
      <c r="A24" s="8" t="s">
        <v>9</v>
      </c>
      <c r="C24" s="8" t="str">
        <f>"""ORPEA BE"",""010010"",""15"",""1"",""150000"""</f>
        <v>"ORPEA BE","010010","15","1","150000"</v>
      </c>
      <c r="D24" s="8" t="str">
        <f>"150000"</f>
        <v>150000</v>
      </c>
      <c r="E24" s="8" t="str">
        <f>"131000"</f>
        <v>131000</v>
      </c>
      <c r="F24" s="8" t="str">
        <f>"Subsides en K"</f>
        <v>Subsides en K</v>
      </c>
      <c r="G24" s="8" t="str">
        <f t="shared" si="0"/>
        <v/>
      </c>
      <c r="H24" s="9">
        <v>0</v>
      </c>
      <c r="I24" s="9">
        <v>0</v>
      </c>
      <c r="J24" s="9">
        <v>0</v>
      </c>
      <c r="K24" s="9">
        <v>0</v>
      </c>
      <c r="L24" s="9">
        <v>0</v>
      </c>
      <c r="M24" s="9">
        <v>0</v>
      </c>
      <c r="N24" s="9">
        <v>0</v>
      </c>
      <c r="O24" s="9">
        <v>0</v>
      </c>
      <c r="P24" s="9">
        <v>0</v>
      </c>
      <c r="Q24" s="9">
        <v>0</v>
      </c>
      <c r="R24" s="9">
        <v>0</v>
      </c>
      <c r="S24" s="9">
        <v>0</v>
      </c>
      <c r="T24" s="9">
        <v>0</v>
      </c>
      <c r="U24" s="9">
        <v>0</v>
      </c>
      <c r="V24" s="9">
        <v>0</v>
      </c>
      <c r="W24" s="9">
        <v>0</v>
      </c>
      <c r="X24" s="9">
        <v>0</v>
      </c>
      <c r="Y24" s="9">
        <v>0</v>
      </c>
      <c r="Z24" s="9">
        <v>0</v>
      </c>
      <c r="AA24" s="9">
        <v>0</v>
      </c>
      <c r="AB24" s="9">
        <v>0</v>
      </c>
      <c r="AC24" s="9">
        <v>0</v>
      </c>
      <c r="AD24" s="9">
        <v>0</v>
      </c>
      <c r="AE24" s="9">
        <v>0</v>
      </c>
      <c r="AF24" s="9">
        <v>0</v>
      </c>
      <c r="AG24" s="9">
        <v>0</v>
      </c>
      <c r="AH24" s="9">
        <v>0</v>
      </c>
      <c r="AI24" s="9">
        <v>0</v>
      </c>
      <c r="AJ24" s="9">
        <v>0</v>
      </c>
      <c r="AK24" s="9">
        <v>0</v>
      </c>
      <c r="AL24" s="9">
        <v>0</v>
      </c>
      <c r="AM24" s="9">
        <v>0</v>
      </c>
      <c r="AN24" s="9">
        <v>0</v>
      </c>
      <c r="AO24" s="9">
        <v>0</v>
      </c>
      <c r="AP24" s="9">
        <v>0</v>
      </c>
      <c r="AQ24" s="9">
        <v>0</v>
      </c>
      <c r="AR24" s="9">
        <v>0</v>
      </c>
      <c r="AS24" s="9">
        <v>0</v>
      </c>
      <c r="AT24" s="9">
        <v>0</v>
      </c>
      <c r="AU24" s="9">
        <v>0</v>
      </c>
      <c r="AV24" s="9">
        <v>0</v>
      </c>
      <c r="AW24" s="9">
        <v>0</v>
      </c>
      <c r="AX24" s="9">
        <v>0</v>
      </c>
      <c r="AY24" s="9">
        <v>0</v>
      </c>
      <c r="AZ24" s="9">
        <v>0</v>
      </c>
      <c r="BA24" s="9">
        <v>0</v>
      </c>
      <c r="BB24" s="9">
        <v>0</v>
      </c>
      <c r="BC24" s="9">
        <v>0</v>
      </c>
      <c r="BD24" s="9">
        <v>0</v>
      </c>
      <c r="BE24" s="9">
        <v>0</v>
      </c>
      <c r="BF24" s="9">
        <v>0</v>
      </c>
      <c r="BG24" s="9">
        <v>0</v>
      </c>
      <c r="BH24" s="9">
        <v>0</v>
      </c>
      <c r="BI24" s="9">
        <v>0</v>
      </c>
      <c r="BJ24" s="9">
        <v>0</v>
      </c>
      <c r="BK24" s="9">
        <v>0</v>
      </c>
      <c r="BL24" s="9">
        <v>0</v>
      </c>
      <c r="BM24" s="9">
        <v>0</v>
      </c>
      <c r="BN24" s="9">
        <v>0</v>
      </c>
      <c r="BO24" s="9">
        <v>-14205.41</v>
      </c>
      <c r="BP24" s="9">
        <v>0</v>
      </c>
      <c r="BQ24" s="9">
        <v>0</v>
      </c>
      <c r="BR24" s="9">
        <v>0</v>
      </c>
      <c r="BS24" s="9">
        <v>0</v>
      </c>
      <c r="BT24" s="9">
        <v>0</v>
      </c>
      <c r="BU24" s="9">
        <v>0</v>
      </c>
      <c r="BV24" s="9">
        <v>0</v>
      </c>
      <c r="BW24" s="9">
        <v>0</v>
      </c>
      <c r="BX24" s="9">
        <v>0</v>
      </c>
      <c r="BY24" s="9">
        <v>0</v>
      </c>
      <c r="BZ24" s="9">
        <v>0</v>
      </c>
      <c r="CA24" s="9">
        <v>0</v>
      </c>
      <c r="CB24" s="9">
        <v>0</v>
      </c>
      <c r="CC24" s="9">
        <v>0</v>
      </c>
      <c r="CD24" s="9">
        <v>0</v>
      </c>
      <c r="CE24" s="9">
        <v>0</v>
      </c>
      <c r="CF24" s="9">
        <v>0</v>
      </c>
      <c r="CG24" s="9">
        <v>0</v>
      </c>
      <c r="CH24" s="9">
        <v>0</v>
      </c>
      <c r="CI24" s="9">
        <v>0</v>
      </c>
      <c r="CJ24" s="9">
        <v>0</v>
      </c>
      <c r="CK24" s="9">
        <v>0</v>
      </c>
      <c r="CL24" s="9">
        <v>0</v>
      </c>
      <c r="CM24" s="9">
        <v>0</v>
      </c>
      <c r="CN24" s="9">
        <v>0</v>
      </c>
      <c r="CP24" s="10">
        <f t="shared" si="1"/>
        <v>-14205.41</v>
      </c>
      <c r="CQ24" s="20" t="str">
        <f>IFERROR(VLOOKUP($D24,'[2]Mappage de compte'!$B:$G,1,FALSE),"")</f>
        <v/>
      </c>
      <c r="CR24" s="21" t="str">
        <f>IFERROR(VLOOKUP($D24,'[2]Mappage de compte'!$B:$G,2,FALSE),"")</f>
        <v/>
      </c>
      <c r="CS24" s="22" t="str">
        <f>IFERROR(VLOOKUP($D24,'[2]Mappage de compte'!$B:$G,3,FALSE),"")</f>
        <v/>
      </c>
      <c r="CT24" s="22" t="str">
        <f>IFERROR(VLOOKUP($D24,'[2]Mappage de compte'!$B:$G,4,FALSE),"")</f>
        <v/>
      </c>
      <c r="CU24" s="23" t="str">
        <f>IFERROR(VLOOKUP($D24,'[2]Mappage de compte'!$B:$G,5,FALSE),"")</f>
        <v/>
      </c>
      <c r="CV24" s="23" t="str">
        <f>IFERROR(VLOOKUP($D24,'[2]Mappage de compte'!$B:$G,6,FALSE),"")</f>
        <v/>
      </c>
    </row>
    <row r="25" spans="1:100" x14ac:dyDescent="0.25">
      <c r="A25" s="8" t="s">
        <v>9</v>
      </c>
      <c r="C25" s="8" t="str">
        <f>"""ORPEA BE"",""010010"",""15"",""1"",""150900"""</f>
        <v>"ORPEA BE","010010","15","1","150900"</v>
      </c>
      <c r="D25" s="8" t="str">
        <f>"150900"</f>
        <v>150900</v>
      </c>
      <c r="E25" s="8" t="str">
        <f>"139000"</f>
        <v>139000</v>
      </c>
      <c r="F25" s="8" t="str">
        <f>"Amortissement Subsides en K"</f>
        <v>Amortissement Subsides en K</v>
      </c>
      <c r="G25" s="8" t="str">
        <f t="shared" si="0"/>
        <v/>
      </c>
      <c r="H25" s="9">
        <v>0</v>
      </c>
      <c r="I25" s="9">
        <v>0</v>
      </c>
      <c r="J25" s="9">
        <v>0</v>
      </c>
      <c r="K25" s="9">
        <v>0</v>
      </c>
      <c r="L25" s="9">
        <v>0</v>
      </c>
      <c r="M25" s="9">
        <v>0</v>
      </c>
      <c r="N25" s="9">
        <v>0</v>
      </c>
      <c r="O25" s="9">
        <v>0</v>
      </c>
      <c r="P25" s="9">
        <v>0</v>
      </c>
      <c r="Q25" s="9">
        <v>0</v>
      </c>
      <c r="R25" s="9">
        <v>0</v>
      </c>
      <c r="S25" s="9">
        <v>0</v>
      </c>
      <c r="T25" s="9">
        <v>0</v>
      </c>
      <c r="U25" s="9">
        <v>0</v>
      </c>
      <c r="V25" s="9">
        <v>0</v>
      </c>
      <c r="W25" s="9">
        <v>0</v>
      </c>
      <c r="X25" s="9">
        <v>0</v>
      </c>
      <c r="Y25" s="9">
        <v>0</v>
      </c>
      <c r="Z25" s="9">
        <v>0</v>
      </c>
      <c r="AA25" s="9">
        <v>0</v>
      </c>
      <c r="AB25" s="9">
        <v>0</v>
      </c>
      <c r="AC25" s="9">
        <v>0</v>
      </c>
      <c r="AD25" s="9">
        <v>0</v>
      </c>
      <c r="AE25" s="9">
        <v>0</v>
      </c>
      <c r="AF25" s="9">
        <v>0</v>
      </c>
      <c r="AG25" s="9">
        <v>0</v>
      </c>
      <c r="AH25" s="9">
        <v>0</v>
      </c>
      <c r="AI25" s="9">
        <v>0</v>
      </c>
      <c r="AJ25" s="9">
        <v>0</v>
      </c>
      <c r="AK25" s="9">
        <v>0</v>
      </c>
      <c r="AL25" s="9">
        <v>0</v>
      </c>
      <c r="AM25" s="9">
        <v>0</v>
      </c>
      <c r="AN25" s="9">
        <v>0</v>
      </c>
      <c r="AO25" s="9">
        <v>0</v>
      </c>
      <c r="AP25" s="9">
        <v>0</v>
      </c>
      <c r="AQ25" s="9">
        <v>0</v>
      </c>
      <c r="AR25" s="9">
        <v>0</v>
      </c>
      <c r="AS25" s="9">
        <v>0</v>
      </c>
      <c r="AT25" s="9">
        <v>0</v>
      </c>
      <c r="AU25" s="9">
        <v>0</v>
      </c>
      <c r="AV25" s="9">
        <v>0</v>
      </c>
      <c r="AW25" s="9">
        <v>0</v>
      </c>
      <c r="AX25" s="9">
        <v>0</v>
      </c>
      <c r="AY25" s="9">
        <v>0</v>
      </c>
      <c r="AZ25" s="9">
        <v>0</v>
      </c>
      <c r="BA25" s="9">
        <v>0</v>
      </c>
      <c r="BB25" s="9">
        <v>0</v>
      </c>
      <c r="BC25" s="9">
        <v>0</v>
      </c>
      <c r="BD25" s="9">
        <v>0</v>
      </c>
      <c r="BE25" s="9">
        <v>0</v>
      </c>
      <c r="BF25" s="9">
        <v>0</v>
      </c>
      <c r="BG25" s="9">
        <v>0</v>
      </c>
      <c r="BH25" s="9">
        <v>0</v>
      </c>
      <c r="BI25" s="9">
        <v>0</v>
      </c>
      <c r="BJ25" s="9">
        <v>0</v>
      </c>
      <c r="BK25" s="9">
        <v>0</v>
      </c>
      <c r="BL25" s="9">
        <v>0</v>
      </c>
      <c r="BM25" s="9">
        <v>0</v>
      </c>
      <c r="BN25" s="9">
        <v>0</v>
      </c>
      <c r="BO25" s="9">
        <v>11364.32</v>
      </c>
      <c r="BP25" s="9">
        <v>0</v>
      </c>
      <c r="BQ25" s="9">
        <v>0</v>
      </c>
      <c r="BR25" s="9">
        <v>0</v>
      </c>
      <c r="BS25" s="9">
        <v>0</v>
      </c>
      <c r="BT25" s="9">
        <v>0</v>
      </c>
      <c r="BU25" s="9">
        <v>0</v>
      </c>
      <c r="BV25" s="9">
        <v>0</v>
      </c>
      <c r="BW25" s="9">
        <v>0</v>
      </c>
      <c r="BX25" s="9">
        <v>0</v>
      </c>
      <c r="BY25" s="9">
        <v>0</v>
      </c>
      <c r="BZ25" s="9">
        <v>0</v>
      </c>
      <c r="CA25" s="9">
        <v>0</v>
      </c>
      <c r="CB25" s="9">
        <v>0</v>
      </c>
      <c r="CC25" s="9">
        <v>0</v>
      </c>
      <c r="CD25" s="9">
        <v>0</v>
      </c>
      <c r="CE25" s="9">
        <v>0</v>
      </c>
      <c r="CF25" s="9">
        <v>0</v>
      </c>
      <c r="CG25" s="9">
        <v>0</v>
      </c>
      <c r="CH25" s="9">
        <v>0</v>
      </c>
      <c r="CI25" s="9">
        <v>0</v>
      </c>
      <c r="CJ25" s="9">
        <v>0</v>
      </c>
      <c r="CK25" s="9">
        <v>0</v>
      </c>
      <c r="CL25" s="9">
        <v>0</v>
      </c>
      <c r="CM25" s="9">
        <v>0</v>
      </c>
      <c r="CN25" s="9">
        <v>0</v>
      </c>
      <c r="CP25" s="10">
        <f t="shared" si="1"/>
        <v>11364.32</v>
      </c>
      <c r="CQ25" s="20" t="str">
        <f>IFERROR(VLOOKUP($D25,'[2]Mappage de compte'!$B:$G,1,FALSE),"")</f>
        <v/>
      </c>
      <c r="CR25" s="21" t="str">
        <f>IFERROR(VLOOKUP($D25,'[2]Mappage de compte'!$B:$G,2,FALSE),"")</f>
        <v/>
      </c>
      <c r="CS25" s="22" t="str">
        <f>IFERROR(VLOOKUP($D25,'[2]Mappage de compte'!$B:$G,3,FALSE),"")</f>
        <v/>
      </c>
      <c r="CT25" s="22" t="str">
        <f>IFERROR(VLOOKUP($D25,'[2]Mappage de compte'!$B:$G,4,FALSE),"")</f>
        <v/>
      </c>
      <c r="CU25" s="23" t="str">
        <f>IFERROR(VLOOKUP($D25,'[2]Mappage de compte'!$B:$G,5,FALSE),"")</f>
        <v/>
      </c>
      <c r="CV25" s="23" t="str">
        <f>IFERROR(VLOOKUP($D25,'[2]Mappage de compte'!$B:$G,6,FALSE),"")</f>
        <v/>
      </c>
    </row>
    <row r="26" spans="1:100" x14ac:dyDescent="0.25">
      <c r="A26" s="8" t="s">
        <v>9</v>
      </c>
      <c r="C26" s="8" t="str">
        <f>"""ORPEA BE"",""010010"",""15"",""1"",""160000"""</f>
        <v>"ORPEA BE","010010","15","1","160000"</v>
      </c>
      <c r="D26" s="8" t="str">
        <f>"160000"</f>
        <v>160000</v>
      </c>
      <c r="E26" s="8" t="str">
        <f>"151800"</f>
        <v>151800</v>
      </c>
      <c r="F26" s="8" t="str">
        <f>"Prov. pension-obligation"</f>
        <v>Prov. pension-obligation</v>
      </c>
      <c r="G26" s="8" t="str">
        <f t="shared" si="0"/>
        <v/>
      </c>
      <c r="H26" s="9">
        <v>0</v>
      </c>
      <c r="I26" s="9">
        <v>0</v>
      </c>
      <c r="J26" s="9">
        <v>0</v>
      </c>
      <c r="K26" s="9">
        <v>0</v>
      </c>
      <c r="L26" s="9">
        <v>0</v>
      </c>
      <c r="M26" s="9">
        <v>0</v>
      </c>
      <c r="N26" s="9">
        <v>0</v>
      </c>
      <c r="O26" s="9">
        <v>0</v>
      </c>
      <c r="P26" s="9">
        <v>-145961.31</v>
      </c>
      <c r="Q26" s="9">
        <v>0</v>
      </c>
      <c r="R26" s="9">
        <v>0</v>
      </c>
      <c r="S26" s="9">
        <v>0</v>
      </c>
      <c r="T26" s="9">
        <v>0</v>
      </c>
      <c r="U26" s="9">
        <v>0</v>
      </c>
      <c r="V26" s="9">
        <v>0</v>
      </c>
      <c r="W26" s="9">
        <v>0</v>
      </c>
      <c r="X26" s="9">
        <v>0</v>
      </c>
      <c r="Y26" s="9">
        <v>0</v>
      </c>
      <c r="Z26" s="9">
        <v>-1000.09</v>
      </c>
      <c r="AA26" s="9">
        <v>0</v>
      </c>
      <c r="AB26" s="9">
        <v>0</v>
      </c>
      <c r="AC26" s="9">
        <v>0</v>
      </c>
      <c r="AD26" s="9">
        <v>0</v>
      </c>
      <c r="AE26" s="9">
        <v>0</v>
      </c>
      <c r="AF26" s="9">
        <v>0</v>
      </c>
      <c r="AG26" s="9">
        <v>-11615.68</v>
      </c>
      <c r="AH26" s="9">
        <v>0</v>
      </c>
      <c r="AI26" s="9">
        <v>0</v>
      </c>
      <c r="AJ26" s="9">
        <v>0</v>
      </c>
      <c r="AK26" s="9">
        <v>0</v>
      </c>
      <c r="AL26" s="9">
        <v>0</v>
      </c>
      <c r="AM26" s="9">
        <v>0</v>
      </c>
      <c r="AN26" s="9">
        <v>0</v>
      </c>
      <c r="AO26" s="9">
        <v>0</v>
      </c>
      <c r="AP26" s="9">
        <v>0</v>
      </c>
      <c r="AQ26" s="9">
        <v>0</v>
      </c>
      <c r="AR26" s="9">
        <v>0</v>
      </c>
      <c r="AS26" s="9">
        <v>0</v>
      </c>
      <c r="AT26" s="9">
        <v>0</v>
      </c>
      <c r="AU26" s="9">
        <v>0</v>
      </c>
      <c r="AV26" s="9">
        <v>0</v>
      </c>
      <c r="AW26" s="9">
        <v>0</v>
      </c>
      <c r="AX26" s="9">
        <v>0</v>
      </c>
      <c r="AY26" s="9">
        <v>0</v>
      </c>
      <c r="AZ26" s="9">
        <v>0</v>
      </c>
      <c r="BA26" s="9">
        <v>0</v>
      </c>
      <c r="BB26" s="9">
        <v>0</v>
      </c>
      <c r="BC26" s="9">
        <v>0</v>
      </c>
      <c r="BD26" s="9">
        <v>0</v>
      </c>
      <c r="BE26" s="9">
        <v>0</v>
      </c>
      <c r="BF26" s="9">
        <v>0</v>
      </c>
      <c r="BG26" s="9">
        <v>0</v>
      </c>
      <c r="BH26" s="9">
        <v>0</v>
      </c>
      <c r="BI26" s="9">
        <v>0</v>
      </c>
      <c r="BJ26" s="9">
        <v>0</v>
      </c>
      <c r="BK26" s="9">
        <v>0</v>
      </c>
      <c r="BL26" s="9">
        <v>0</v>
      </c>
      <c r="BM26" s="9">
        <v>0</v>
      </c>
      <c r="BN26" s="9">
        <v>0</v>
      </c>
      <c r="BO26" s="9">
        <v>0</v>
      </c>
      <c r="BP26" s="9">
        <v>0</v>
      </c>
      <c r="BQ26" s="9">
        <v>0</v>
      </c>
      <c r="BR26" s="9">
        <v>0</v>
      </c>
      <c r="BS26" s="9">
        <v>0</v>
      </c>
      <c r="BT26" s="9">
        <v>0</v>
      </c>
      <c r="BU26" s="9">
        <v>0</v>
      </c>
      <c r="BV26" s="9">
        <v>0</v>
      </c>
      <c r="BW26" s="9">
        <v>0</v>
      </c>
      <c r="BX26" s="9">
        <v>0</v>
      </c>
      <c r="BY26" s="9">
        <v>0</v>
      </c>
      <c r="BZ26" s="9">
        <v>0</v>
      </c>
      <c r="CA26" s="9">
        <v>0</v>
      </c>
      <c r="CB26" s="9">
        <v>0</v>
      </c>
      <c r="CC26" s="9">
        <v>0</v>
      </c>
      <c r="CD26" s="9">
        <v>0</v>
      </c>
      <c r="CE26" s="9">
        <v>0</v>
      </c>
      <c r="CF26" s="9">
        <v>0</v>
      </c>
      <c r="CG26" s="9">
        <v>0</v>
      </c>
      <c r="CH26" s="9">
        <v>0</v>
      </c>
      <c r="CI26" s="9">
        <v>0</v>
      </c>
      <c r="CJ26" s="9">
        <v>0</v>
      </c>
      <c r="CK26" s="9">
        <v>0</v>
      </c>
      <c r="CL26" s="9">
        <v>0</v>
      </c>
      <c r="CM26" s="9">
        <v>0</v>
      </c>
      <c r="CN26" s="9">
        <v>0</v>
      </c>
      <c r="CP26" s="10">
        <f t="shared" si="1"/>
        <v>-158577.07999999999</v>
      </c>
      <c r="CQ26" s="20" t="str">
        <f>IFERROR(VLOOKUP($D26,'[2]Mappage de compte'!$B:$G,1,FALSE),"")</f>
        <v>160000</v>
      </c>
      <c r="CR26" s="21" t="str">
        <f>IFERROR(VLOOKUP($D26,'[2]Mappage de compte'!$B:$G,2,FALSE),"")</f>
        <v>PROV. PENSION-OBLIGATION</v>
      </c>
      <c r="CS26" s="22">
        <f>IFERROR(VLOOKUP($D26,'[2]Mappage de compte'!$B:$G,3,FALSE),"")</f>
        <v>151800</v>
      </c>
      <c r="CT26" s="22" t="str">
        <f>IFERROR(VLOOKUP($D26,'[2]Mappage de compte'!$B:$G,4,FALSE),"")</f>
        <v xml:space="preserve">PROVISIONS POUR IMPOTS        </v>
      </c>
      <c r="CU26" s="23" t="str">
        <f>IFERROR(VLOOKUP($D26,'[2]Mappage de compte'!$B:$G,5,FALSE),"")</f>
        <v>Provisions courantes ou non courantes</v>
      </c>
      <c r="CV26" s="23" t="str">
        <f>IFERROR(VLOOKUP($D26,'[2]Mappage de compte'!$B:$G,6,FALSE),"")</f>
        <v>Passifs courants ou non courants</v>
      </c>
    </row>
    <row r="27" spans="1:100" x14ac:dyDescent="0.25">
      <c r="A27" s="8" t="s">
        <v>9</v>
      </c>
      <c r="C27" s="8" t="str">
        <f>"""ORPEA BE"",""010010"",""15"",""1"",""161000"""</f>
        <v>"ORPEA BE","010010","15","1","161000"</v>
      </c>
      <c r="D27" s="8" t="str">
        <f>"161000"</f>
        <v>161000</v>
      </c>
      <c r="E27" s="8" t="str">
        <f>"151800"</f>
        <v>151800</v>
      </c>
      <c r="F27" s="8" t="str">
        <f>"Prov. charges fiscales"</f>
        <v>Prov. charges fiscales</v>
      </c>
      <c r="G27" s="8" t="str">
        <f t="shared" si="0"/>
        <v/>
      </c>
      <c r="H27" s="9">
        <v>0</v>
      </c>
      <c r="I27" s="9">
        <v>0</v>
      </c>
      <c r="J27" s="9">
        <v>0</v>
      </c>
      <c r="K27" s="9">
        <v>0</v>
      </c>
      <c r="L27" s="9">
        <v>0</v>
      </c>
      <c r="M27" s="9">
        <v>0</v>
      </c>
      <c r="N27" s="9">
        <v>0</v>
      </c>
      <c r="O27" s="9">
        <v>0</v>
      </c>
      <c r="P27" s="9">
        <v>0</v>
      </c>
      <c r="Q27" s="9">
        <v>0</v>
      </c>
      <c r="R27" s="9">
        <v>0</v>
      </c>
      <c r="S27" s="9">
        <v>0</v>
      </c>
      <c r="T27" s="9">
        <v>0</v>
      </c>
      <c r="U27" s="9">
        <v>0</v>
      </c>
      <c r="V27" s="9">
        <v>0</v>
      </c>
      <c r="W27" s="9">
        <v>0</v>
      </c>
      <c r="X27" s="9">
        <v>0</v>
      </c>
      <c r="Y27" s="9">
        <v>0</v>
      </c>
      <c r="Z27" s="9">
        <v>0</v>
      </c>
      <c r="AA27" s="9">
        <v>0</v>
      </c>
      <c r="AB27" s="9">
        <v>0</v>
      </c>
      <c r="AC27" s="9">
        <v>0</v>
      </c>
      <c r="AD27" s="9">
        <v>0</v>
      </c>
      <c r="AE27" s="9">
        <v>0</v>
      </c>
      <c r="AF27" s="9">
        <v>0</v>
      </c>
      <c r="AG27" s="9">
        <v>0</v>
      </c>
      <c r="AH27" s="9">
        <v>0</v>
      </c>
      <c r="AI27" s="9">
        <v>0</v>
      </c>
      <c r="AJ27" s="9">
        <v>0</v>
      </c>
      <c r="AK27" s="9">
        <v>0</v>
      </c>
      <c r="AL27" s="9">
        <v>0</v>
      </c>
      <c r="AM27" s="9">
        <v>0</v>
      </c>
      <c r="AN27" s="9">
        <v>0</v>
      </c>
      <c r="AO27" s="9">
        <v>0</v>
      </c>
      <c r="AP27" s="9">
        <v>0</v>
      </c>
      <c r="AQ27" s="9">
        <v>0</v>
      </c>
      <c r="AR27" s="9">
        <v>0</v>
      </c>
      <c r="AS27" s="9">
        <v>0</v>
      </c>
      <c r="AT27" s="9">
        <v>0</v>
      </c>
      <c r="AU27" s="9">
        <v>0</v>
      </c>
      <c r="AV27" s="9">
        <v>0</v>
      </c>
      <c r="AW27" s="9">
        <v>0</v>
      </c>
      <c r="AX27" s="9">
        <v>0</v>
      </c>
      <c r="AY27" s="9">
        <v>0</v>
      </c>
      <c r="AZ27" s="9">
        <v>0</v>
      </c>
      <c r="BA27" s="9">
        <v>0</v>
      </c>
      <c r="BB27" s="9">
        <v>0</v>
      </c>
      <c r="BC27" s="9">
        <v>0</v>
      </c>
      <c r="BD27" s="9">
        <v>0</v>
      </c>
      <c r="BE27" s="9">
        <v>0</v>
      </c>
      <c r="BF27" s="9">
        <v>0</v>
      </c>
      <c r="BG27" s="9">
        <v>0</v>
      </c>
      <c r="BH27" s="9">
        <v>0</v>
      </c>
      <c r="BI27" s="9">
        <v>0</v>
      </c>
      <c r="BJ27" s="9">
        <v>0</v>
      </c>
      <c r="BK27" s="9">
        <v>0</v>
      </c>
      <c r="BL27" s="9">
        <v>-27754.98</v>
      </c>
      <c r="BM27" s="9">
        <v>0</v>
      </c>
      <c r="BN27" s="9">
        <v>0</v>
      </c>
      <c r="BO27" s="9">
        <v>0</v>
      </c>
      <c r="BP27" s="9">
        <v>0</v>
      </c>
      <c r="BQ27" s="9">
        <v>0</v>
      </c>
      <c r="BR27" s="9">
        <v>0</v>
      </c>
      <c r="BS27" s="9">
        <v>0</v>
      </c>
      <c r="BT27" s="9">
        <v>0</v>
      </c>
      <c r="BU27" s="9">
        <v>0</v>
      </c>
      <c r="BV27" s="9">
        <v>0</v>
      </c>
      <c r="BW27" s="9">
        <v>0</v>
      </c>
      <c r="BX27" s="9">
        <v>0</v>
      </c>
      <c r="BY27" s="9">
        <v>0</v>
      </c>
      <c r="BZ27" s="9">
        <v>0</v>
      </c>
      <c r="CA27" s="9">
        <v>0</v>
      </c>
      <c r="CB27" s="9">
        <v>0</v>
      </c>
      <c r="CC27" s="9">
        <v>0</v>
      </c>
      <c r="CD27" s="9">
        <v>0</v>
      </c>
      <c r="CE27" s="9">
        <v>0</v>
      </c>
      <c r="CF27" s="9">
        <v>0</v>
      </c>
      <c r="CG27" s="9">
        <v>0</v>
      </c>
      <c r="CH27" s="9">
        <v>0</v>
      </c>
      <c r="CI27" s="9">
        <v>0</v>
      </c>
      <c r="CJ27" s="9">
        <v>0</v>
      </c>
      <c r="CK27" s="9">
        <v>0</v>
      </c>
      <c r="CL27" s="9">
        <v>0</v>
      </c>
      <c r="CM27" s="9">
        <v>0</v>
      </c>
      <c r="CN27" s="9">
        <v>0</v>
      </c>
      <c r="CP27" s="10">
        <f t="shared" si="1"/>
        <v>-27754.98</v>
      </c>
      <c r="CQ27" s="20" t="str">
        <f>IFERROR(VLOOKUP($D27,'[2]Mappage de compte'!$B:$G,1,FALSE),"")</f>
        <v>161000</v>
      </c>
      <c r="CR27" s="21" t="str">
        <f>IFERROR(VLOOKUP($D27,'[2]Mappage de compte'!$B:$G,2,FALSE),"")</f>
        <v>Prov. charges fiscales</v>
      </c>
      <c r="CS27" s="22">
        <f>IFERROR(VLOOKUP($D27,'[2]Mappage de compte'!$B:$G,3,FALSE),"")</f>
        <v>151800</v>
      </c>
      <c r="CT27" s="22" t="str">
        <f>IFERROR(VLOOKUP($D27,'[2]Mappage de compte'!$B:$G,4,FALSE),"")</f>
        <v xml:space="preserve">PROVISIONS POUR IMPOTS        </v>
      </c>
      <c r="CU27" s="23" t="str">
        <f>IFERROR(VLOOKUP($D27,'[2]Mappage de compte'!$B:$G,5,FALSE),"")</f>
        <v>Provisions courantes ou non courantes</v>
      </c>
      <c r="CV27" s="23" t="str">
        <f>IFERROR(VLOOKUP($D27,'[2]Mappage de compte'!$B:$G,6,FALSE),"")</f>
        <v>Passifs courants ou non courants</v>
      </c>
    </row>
    <row r="28" spans="1:100" x14ac:dyDescent="0.25">
      <c r="A28" s="8" t="s">
        <v>9</v>
      </c>
      <c r="C28" s="8" t="str">
        <f>"""ORPEA BE"",""010010"",""15"",""1"",""162000"""</f>
        <v>"ORPEA BE","010010","15","1","162000"</v>
      </c>
      <c r="D28" s="8" t="str">
        <f>"162000"</f>
        <v>162000</v>
      </c>
      <c r="E28" s="8" t="str">
        <f>"151800"</f>
        <v>151800</v>
      </c>
      <c r="F28" s="8" t="str">
        <f>"Prov. grosse réparat°-entr."</f>
        <v>Prov. grosse réparat°-entr.</v>
      </c>
      <c r="G28" s="8" t="str">
        <f t="shared" si="0"/>
        <v/>
      </c>
      <c r="H28" s="9">
        <v>0</v>
      </c>
      <c r="I28" s="9">
        <v>0</v>
      </c>
      <c r="J28" s="9">
        <v>-59500</v>
      </c>
      <c r="K28" s="9">
        <v>0</v>
      </c>
      <c r="L28" s="9">
        <v>0</v>
      </c>
      <c r="M28" s="9">
        <v>0</v>
      </c>
      <c r="N28" s="9">
        <v>0</v>
      </c>
      <c r="O28" s="9">
        <v>-102499.99999999999</v>
      </c>
      <c r="P28" s="9">
        <v>0</v>
      </c>
      <c r="Q28" s="9">
        <v>-20500</v>
      </c>
      <c r="R28" s="9">
        <v>0</v>
      </c>
      <c r="S28" s="9">
        <v>0</v>
      </c>
      <c r="T28" s="9">
        <v>0</v>
      </c>
      <c r="U28" s="9">
        <v>0</v>
      </c>
      <c r="V28" s="9">
        <v>0</v>
      </c>
      <c r="W28" s="9">
        <v>0</v>
      </c>
      <c r="X28" s="9">
        <v>0</v>
      </c>
      <c r="Y28" s="9">
        <v>0</v>
      </c>
      <c r="Z28" s="9">
        <v>0</v>
      </c>
      <c r="AA28" s="9">
        <v>0</v>
      </c>
      <c r="AB28" s="9">
        <v>0</v>
      </c>
      <c r="AC28" s="9">
        <v>0</v>
      </c>
      <c r="AD28" s="9">
        <v>0</v>
      </c>
      <c r="AE28" s="9">
        <v>0</v>
      </c>
      <c r="AF28" s="9">
        <v>0</v>
      </c>
      <c r="AG28" s="9">
        <v>0</v>
      </c>
      <c r="AH28" s="9">
        <v>0</v>
      </c>
      <c r="AI28" s="9">
        <v>0</v>
      </c>
      <c r="AJ28" s="9">
        <v>0</v>
      </c>
      <c r="AK28" s="9">
        <v>0</v>
      </c>
      <c r="AL28" s="9">
        <v>0</v>
      </c>
      <c r="AM28" s="9">
        <v>0</v>
      </c>
      <c r="AN28" s="9">
        <v>0</v>
      </c>
      <c r="AO28" s="9">
        <v>0</v>
      </c>
      <c r="AP28" s="9">
        <v>0</v>
      </c>
      <c r="AQ28" s="9">
        <v>0</v>
      </c>
      <c r="AR28" s="9">
        <v>0</v>
      </c>
      <c r="AS28" s="9">
        <v>0</v>
      </c>
      <c r="AT28" s="9">
        <v>0</v>
      </c>
      <c r="AU28" s="9">
        <v>0</v>
      </c>
      <c r="AV28" s="9">
        <v>0</v>
      </c>
      <c r="AW28" s="9">
        <v>0</v>
      </c>
      <c r="AX28" s="9">
        <v>0</v>
      </c>
      <c r="AY28" s="9">
        <v>0</v>
      </c>
      <c r="AZ28" s="9">
        <v>0</v>
      </c>
      <c r="BA28" s="9">
        <v>0</v>
      </c>
      <c r="BB28" s="9">
        <v>0</v>
      </c>
      <c r="BC28" s="9">
        <v>0</v>
      </c>
      <c r="BD28" s="9">
        <v>0</v>
      </c>
      <c r="BE28" s="9">
        <v>0</v>
      </c>
      <c r="BF28" s="9">
        <v>0</v>
      </c>
      <c r="BG28" s="9">
        <v>0</v>
      </c>
      <c r="BH28" s="9">
        <v>0</v>
      </c>
      <c r="BI28" s="9">
        <v>0</v>
      </c>
      <c r="BJ28" s="9">
        <v>0</v>
      </c>
      <c r="BK28" s="9">
        <v>-5613.86</v>
      </c>
      <c r="BL28" s="9">
        <v>0</v>
      </c>
      <c r="BM28" s="9">
        <v>0</v>
      </c>
      <c r="BN28" s="9">
        <v>0</v>
      </c>
      <c r="BO28" s="9">
        <v>0</v>
      </c>
      <c r="BP28" s="9">
        <v>0</v>
      </c>
      <c r="BQ28" s="9">
        <v>0</v>
      </c>
      <c r="BR28" s="9">
        <v>0</v>
      </c>
      <c r="BS28" s="9">
        <v>0</v>
      </c>
      <c r="BT28" s="9">
        <v>0</v>
      </c>
      <c r="BU28" s="9">
        <v>0</v>
      </c>
      <c r="BV28" s="9">
        <v>0</v>
      </c>
      <c r="BW28" s="9">
        <v>0</v>
      </c>
      <c r="BX28" s="9">
        <v>0</v>
      </c>
      <c r="BY28" s="9">
        <v>0</v>
      </c>
      <c r="BZ28" s="9">
        <v>0</v>
      </c>
      <c r="CA28" s="9">
        <v>0</v>
      </c>
      <c r="CB28" s="9">
        <v>0</v>
      </c>
      <c r="CC28" s="9">
        <v>0</v>
      </c>
      <c r="CD28" s="9">
        <v>0</v>
      </c>
      <c r="CE28" s="9">
        <v>0</v>
      </c>
      <c r="CF28" s="9">
        <v>0</v>
      </c>
      <c r="CG28" s="9">
        <v>0</v>
      </c>
      <c r="CH28" s="9">
        <v>0</v>
      </c>
      <c r="CI28" s="9">
        <v>0</v>
      </c>
      <c r="CJ28" s="9">
        <v>0</v>
      </c>
      <c r="CK28" s="9">
        <v>0</v>
      </c>
      <c r="CL28" s="9">
        <v>0</v>
      </c>
      <c r="CM28" s="9">
        <v>0</v>
      </c>
      <c r="CN28" s="9">
        <v>0</v>
      </c>
      <c r="CP28" s="10">
        <f t="shared" si="1"/>
        <v>-188113.86</v>
      </c>
      <c r="CQ28" s="20" t="str">
        <f>IFERROR(VLOOKUP($D28,'[2]Mappage de compte'!$B:$G,1,FALSE),"")</f>
        <v>162000</v>
      </c>
      <c r="CR28" s="21" t="str">
        <f>IFERROR(VLOOKUP($D28,'[2]Mappage de compte'!$B:$G,2,FALSE),"")</f>
        <v>Prov. grosse réparat°-entr.</v>
      </c>
      <c r="CS28" s="22" t="str">
        <f>IFERROR(VLOOKUP($D28,'[2]Mappage de compte'!$B:$G,3,FALSE),"")</f>
        <v>151800</v>
      </c>
      <c r="CT28" s="22" t="str">
        <f>IFERROR(VLOOKUP($D28,'[2]Mappage de compte'!$B:$G,4,FALSE),"")</f>
        <v>AUTRES PROVISIONS POUR RISQUES</v>
      </c>
      <c r="CU28" s="23" t="str">
        <f>IFERROR(VLOOKUP($D28,'[2]Mappage de compte'!$B:$G,5,FALSE),"")</f>
        <v>Provisions courantes ou non courantes</v>
      </c>
      <c r="CV28" s="23" t="str">
        <f>IFERROR(VLOOKUP($D28,'[2]Mappage de compte'!$B:$G,6,FALSE),"")</f>
        <v>Passifs courants ou non courants</v>
      </c>
    </row>
    <row r="29" spans="1:100" x14ac:dyDescent="0.25">
      <c r="A29" s="8" t="s">
        <v>9</v>
      </c>
      <c r="C29" s="8" t="str">
        <f>"""ORPEA BE"",""010010"",""15"",""1"",""163000"""</f>
        <v>"ORPEA BE","010010","15","1","163000"</v>
      </c>
      <c r="D29" s="8" t="str">
        <f>"163000"</f>
        <v>163000</v>
      </c>
      <c r="E29" s="8" t="str">
        <f>"151100"</f>
        <v>151100</v>
      </c>
      <c r="F29" s="8" t="str">
        <f>"Prov risq &amp; charg Personnel"</f>
        <v>Prov risq &amp; charg Personnel</v>
      </c>
      <c r="G29" s="8" t="str">
        <f t="shared" si="0"/>
        <v/>
      </c>
      <c r="H29" s="9">
        <v>0</v>
      </c>
      <c r="I29" s="9">
        <v>0</v>
      </c>
      <c r="J29" s="9">
        <v>0</v>
      </c>
      <c r="K29" s="9">
        <v>0</v>
      </c>
      <c r="L29" s="9">
        <v>0</v>
      </c>
      <c r="M29" s="9">
        <v>0</v>
      </c>
      <c r="N29" s="9">
        <v>0</v>
      </c>
      <c r="O29" s="9">
        <v>0</v>
      </c>
      <c r="P29" s="9">
        <v>0</v>
      </c>
      <c r="Q29" s="9">
        <v>0</v>
      </c>
      <c r="R29" s="9">
        <v>0</v>
      </c>
      <c r="S29" s="9">
        <v>0</v>
      </c>
      <c r="T29" s="9">
        <v>0</v>
      </c>
      <c r="U29" s="9">
        <v>0</v>
      </c>
      <c r="V29" s="9">
        <v>0</v>
      </c>
      <c r="W29" s="9">
        <v>-30000</v>
      </c>
      <c r="X29" s="9">
        <v>0</v>
      </c>
      <c r="Y29" s="9">
        <v>0</v>
      </c>
      <c r="Z29" s="9">
        <v>0</v>
      </c>
      <c r="AA29" s="9">
        <v>0</v>
      </c>
      <c r="AB29" s="9">
        <v>-9000</v>
      </c>
      <c r="AC29" s="9">
        <v>0</v>
      </c>
      <c r="AD29" s="9">
        <v>0</v>
      </c>
      <c r="AE29" s="9">
        <v>0</v>
      </c>
      <c r="AF29" s="9">
        <v>0</v>
      </c>
      <c r="AG29" s="9">
        <v>-42692.24</v>
      </c>
      <c r="AH29" s="9">
        <v>0</v>
      </c>
      <c r="AI29" s="9">
        <v>-8500</v>
      </c>
      <c r="AJ29" s="9">
        <v>0</v>
      </c>
      <c r="AK29" s="9">
        <v>0</v>
      </c>
      <c r="AL29" s="9">
        <v>0</v>
      </c>
      <c r="AM29" s="9">
        <v>0</v>
      </c>
      <c r="AN29" s="9">
        <v>0</v>
      </c>
      <c r="AO29" s="9">
        <v>0</v>
      </c>
      <c r="AP29" s="9">
        <v>0</v>
      </c>
      <c r="AQ29" s="9">
        <v>0</v>
      </c>
      <c r="AR29" s="9">
        <v>-12100</v>
      </c>
      <c r="AS29" s="9">
        <v>0</v>
      </c>
      <c r="AT29" s="9">
        <v>0</v>
      </c>
      <c r="AU29" s="9">
        <v>0</v>
      </c>
      <c r="AV29" s="9">
        <v>0</v>
      </c>
      <c r="AW29" s="9">
        <v>0</v>
      </c>
      <c r="AX29" s="9">
        <v>0</v>
      </c>
      <c r="AY29" s="9">
        <v>0</v>
      </c>
      <c r="AZ29" s="9">
        <v>0</v>
      </c>
      <c r="BA29" s="9">
        <v>0</v>
      </c>
      <c r="BB29" s="9">
        <v>0</v>
      </c>
      <c r="BC29" s="9">
        <v>0</v>
      </c>
      <c r="BD29" s="9">
        <v>0</v>
      </c>
      <c r="BE29" s="9">
        <v>0</v>
      </c>
      <c r="BF29" s="9">
        <v>0</v>
      </c>
      <c r="BG29" s="9">
        <v>0</v>
      </c>
      <c r="BH29" s="9">
        <v>0</v>
      </c>
      <c r="BI29" s="9">
        <v>0</v>
      </c>
      <c r="BJ29" s="9">
        <v>0</v>
      </c>
      <c r="BK29" s="9">
        <v>0</v>
      </c>
      <c r="BL29" s="9">
        <v>0</v>
      </c>
      <c r="BM29" s="9">
        <v>0</v>
      </c>
      <c r="BN29" s="9">
        <v>0</v>
      </c>
      <c r="BO29" s="9">
        <v>0</v>
      </c>
      <c r="BP29" s="9">
        <v>0</v>
      </c>
      <c r="BQ29" s="9">
        <v>0</v>
      </c>
      <c r="BR29" s="9">
        <v>0</v>
      </c>
      <c r="BS29" s="9">
        <v>0</v>
      </c>
      <c r="BT29" s="9">
        <v>0</v>
      </c>
      <c r="BU29" s="9">
        <v>0</v>
      </c>
      <c r="BV29" s="9">
        <v>0</v>
      </c>
      <c r="BW29" s="9">
        <v>0</v>
      </c>
      <c r="BX29" s="9">
        <v>0</v>
      </c>
      <c r="BY29" s="9">
        <v>0</v>
      </c>
      <c r="BZ29" s="9">
        <v>0</v>
      </c>
      <c r="CA29" s="9">
        <v>0</v>
      </c>
      <c r="CB29" s="9">
        <v>0</v>
      </c>
      <c r="CC29" s="9">
        <v>-16276.070000000002</v>
      </c>
      <c r="CD29" s="9">
        <v>0</v>
      </c>
      <c r="CE29" s="9">
        <v>0</v>
      </c>
      <c r="CF29" s="9">
        <v>0</v>
      </c>
      <c r="CG29" s="9">
        <v>-50380</v>
      </c>
      <c r="CH29" s="9">
        <v>0</v>
      </c>
      <c r="CI29" s="9">
        <v>0</v>
      </c>
      <c r="CJ29" s="9">
        <v>0</v>
      </c>
      <c r="CK29" s="9">
        <v>-60000</v>
      </c>
      <c r="CL29" s="9">
        <v>0</v>
      </c>
      <c r="CM29" s="9">
        <v>0</v>
      </c>
      <c r="CN29" s="9">
        <v>0</v>
      </c>
      <c r="CP29" s="10">
        <f t="shared" si="1"/>
        <v>-228948.31</v>
      </c>
      <c r="CQ29" s="20" t="str">
        <f>IFERROR(VLOOKUP($D29,'[2]Mappage de compte'!$B:$G,1,FALSE),"")</f>
        <v>163000</v>
      </c>
      <c r="CR29" s="21" t="str">
        <f>IFERROR(VLOOKUP($D29,'[2]Mappage de compte'!$B:$G,2,FALSE),"")</f>
        <v>Prov risques et charges</v>
      </c>
      <c r="CS29" s="22">
        <f>IFERROR(VLOOKUP($D29,'[2]Mappage de compte'!$B:$G,3,FALSE),"")</f>
        <v>151100</v>
      </c>
      <c r="CT29" s="22" t="str">
        <f>IFERROR(VLOOKUP($D29,'[2]Mappage de compte'!$B:$G,4,FALSE),"")</f>
        <v>AUTRES PROVISIONS POUR RISQUES</v>
      </c>
      <c r="CU29" s="23" t="str">
        <f>IFERROR(VLOOKUP($D29,'[2]Mappage de compte'!$B:$G,5,FALSE),"")</f>
        <v>Provisions courantes ou non courantes</v>
      </c>
      <c r="CV29" s="23" t="str">
        <f>IFERROR(VLOOKUP($D29,'[2]Mappage de compte'!$B:$G,6,FALSE),"")</f>
        <v>Passifs courants ou non courants</v>
      </c>
    </row>
    <row r="30" spans="1:100" x14ac:dyDescent="0.25">
      <c r="A30" s="8" t="s">
        <v>9</v>
      </c>
      <c r="C30" s="8" t="str">
        <f>"""ORPEA BE"",""010010"",""15"",""1"",""163001"""</f>
        <v>"ORPEA BE","010010","15","1","163001"</v>
      </c>
      <c r="D30" s="8" t="str">
        <f>"163001"</f>
        <v>163001</v>
      </c>
      <c r="E30" s="8" t="str">
        <f>"151800"</f>
        <v>151800</v>
      </c>
      <c r="F30" s="8" t="str">
        <f>"Provision Risq &amp; Charg Autres"</f>
        <v>Provision Risq &amp; Charg Autres</v>
      </c>
      <c r="G30" s="8" t="str">
        <f t="shared" si="0"/>
        <v/>
      </c>
      <c r="H30" s="9">
        <v>0</v>
      </c>
      <c r="I30" s="9">
        <v>0</v>
      </c>
      <c r="J30" s="9">
        <v>0</v>
      </c>
      <c r="K30" s="9">
        <v>0</v>
      </c>
      <c r="L30" s="9">
        <v>0</v>
      </c>
      <c r="M30" s="9">
        <v>0</v>
      </c>
      <c r="N30" s="9">
        <v>0</v>
      </c>
      <c r="O30" s="9">
        <v>0</v>
      </c>
      <c r="P30" s="9">
        <v>0</v>
      </c>
      <c r="Q30" s="9">
        <v>0</v>
      </c>
      <c r="R30" s="9">
        <v>0</v>
      </c>
      <c r="S30" s="9">
        <v>0</v>
      </c>
      <c r="T30" s="9">
        <v>0</v>
      </c>
      <c r="U30" s="9">
        <v>0</v>
      </c>
      <c r="V30" s="9">
        <v>0</v>
      </c>
      <c r="W30" s="9">
        <v>0</v>
      </c>
      <c r="X30" s="9">
        <v>0</v>
      </c>
      <c r="Y30" s="9">
        <v>0</v>
      </c>
      <c r="Z30" s="9">
        <v>0</v>
      </c>
      <c r="AA30" s="9">
        <v>0</v>
      </c>
      <c r="AB30" s="9">
        <v>0</v>
      </c>
      <c r="AC30" s="9">
        <v>0</v>
      </c>
      <c r="AD30" s="9">
        <v>0</v>
      </c>
      <c r="AE30" s="9">
        <v>0</v>
      </c>
      <c r="AF30" s="9">
        <v>0</v>
      </c>
      <c r="AG30" s="9">
        <v>0</v>
      </c>
      <c r="AH30" s="9">
        <v>0</v>
      </c>
      <c r="AI30" s="9">
        <v>0</v>
      </c>
      <c r="AJ30" s="9">
        <v>0</v>
      </c>
      <c r="AK30" s="9">
        <v>0</v>
      </c>
      <c r="AL30" s="9">
        <v>0</v>
      </c>
      <c r="AM30" s="9">
        <v>0</v>
      </c>
      <c r="AN30" s="9">
        <v>0</v>
      </c>
      <c r="AO30" s="9">
        <v>0</v>
      </c>
      <c r="AP30" s="9">
        <v>0</v>
      </c>
      <c r="AQ30" s="9">
        <v>0</v>
      </c>
      <c r="AR30" s="9">
        <v>0</v>
      </c>
      <c r="AS30" s="9">
        <v>0</v>
      </c>
      <c r="AT30" s="9">
        <v>0</v>
      </c>
      <c r="AU30" s="9">
        <v>0</v>
      </c>
      <c r="AV30" s="9">
        <v>0</v>
      </c>
      <c r="AW30" s="9">
        <v>0</v>
      </c>
      <c r="AX30" s="9">
        <v>0</v>
      </c>
      <c r="AY30" s="9">
        <v>0</v>
      </c>
      <c r="AZ30" s="9">
        <v>0</v>
      </c>
      <c r="BA30" s="9">
        <v>0</v>
      </c>
      <c r="BB30" s="9">
        <v>0</v>
      </c>
      <c r="BC30" s="9">
        <v>0</v>
      </c>
      <c r="BD30" s="9">
        <v>0</v>
      </c>
      <c r="BE30" s="9">
        <v>0</v>
      </c>
      <c r="BF30" s="9">
        <v>0</v>
      </c>
      <c r="BG30" s="9">
        <v>0</v>
      </c>
      <c r="BH30" s="9">
        <v>0</v>
      </c>
      <c r="BI30" s="9">
        <v>0</v>
      </c>
      <c r="BJ30" s="9">
        <v>0</v>
      </c>
      <c r="BK30" s="9">
        <v>0</v>
      </c>
      <c r="BL30" s="9">
        <v>0</v>
      </c>
      <c r="BM30" s="9">
        <v>0</v>
      </c>
      <c r="BN30" s="9">
        <v>0</v>
      </c>
      <c r="BO30" s="9">
        <v>0</v>
      </c>
      <c r="BP30" s="9">
        <v>0</v>
      </c>
      <c r="BQ30" s="9">
        <v>0</v>
      </c>
      <c r="BR30" s="9">
        <v>0</v>
      </c>
      <c r="BS30" s="9">
        <v>0</v>
      </c>
      <c r="BT30" s="9">
        <v>0</v>
      </c>
      <c r="BU30" s="9">
        <v>0</v>
      </c>
      <c r="BV30" s="9">
        <v>0</v>
      </c>
      <c r="BW30" s="9">
        <v>0</v>
      </c>
      <c r="BX30" s="9">
        <v>0</v>
      </c>
      <c r="BY30" s="9">
        <v>0</v>
      </c>
      <c r="BZ30" s="9">
        <v>0</v>
      </c>
      <c r="CA30" s="9">
        <v>0</v>
      </c>
      <c r="CB30" s="9">
        <v>0</v>
      </c>
      <c r="CC30" s="9">
        <v>0</v>
      </c>
      <c r="CD30" s="9">
        <v>0</v>
      </c>
      <c r="CE30" s="9">
        <v>0</v>
      </c>
      <c r="CF30" s="9">
        <v>0</v>
      </c>
      <c r="CG30" s="9">
        <v>0</v>
      </c>
      <c r="CH30" s="9">
        <v>0</v>
      </c>
      <c r="CI30" s="9">
        <v>0</v>
      </c>
      <c r="CJ30" s="9">
        <v>0</v>
      </c>
      <c r="CK30" s="9">
        <v>0</v>
      </c>
      <c r="CL30" s="9">
        <v>0</v>
      </c>
      <c r="CM30" s="9">
        <v>0</v>
      </c>
      <c r="CN30" s="9">
        <v>0</v>
      </c>
      <c r="CP30" s="10">
        <f t="shared" si="1"/>
        <v>0</v>
      </c>
      <c r="CQ30" s="20" t="str">
        <f>IFERROR(VLOOKUP($D30,'[2]Mappage de compte'!$B:$G,1,FALSE),"")</f>
        <v>163001</v>
      </c>
      <c r="CR30" s="21" t="str">
        <f>IFERROR(VLOOKUP($D30,'[2]Mappage de compte'!$B:$G,2,FALSE),"")</f>
        <v>Prov risques et charges "autres"</v>
      </c>
      <c r="CS30" s="22" t="str">
        <f>IFERROR(VLOOKUP($D30,'[2]Mappage de compte'!$B:$G,3,FALSE),"")</f>
        <v>151800</v>
      </c>
      <c r="CT30" s="22" t="str">
        <f>IFERROR(VLOOKUP($D30,'[2]Mappage de compte'!$B:$G,4,FALSE),"")</f>
        <v>AUTRES PROVISIONS POUR RISQUES</v>
      </c>
      <c r="CU30" s="23" t="str">
        <f>IFERROR(VLOOKUP($D30,'[2]Mappage de compte'!$B:$G,5,FALSE),"")</f>
        <v>Provisions courantes ou non courantes</v>
      </c>
      <c r="CV30" s="23" t="str">
        <f>IFERROR(VLOOKUP($D30,'[2]Mappage de compte'!$B:$G,6,FALSE),"")</f>
        <v>Passifs courants ou non courants</v>
      </c>
    </row>
    <row r="31" spans="1:100" x14ac:dyDescent="0.25">
      <c r="A31" s="8" t="s">
        <v>9</v>
      </c>
      <c r="C31" s="8" t="str">
        <f>"""ORPEA BE"",""010010"",""15"",""1"",""165000"""</f>
        <v>"ORPEA BE","010010","15","1","165000"</v>
      </c>
      <c r="D31" s="8" t="str">
        <f>"165000"</f>
        <v>165000</v>
      </c>
      <c r="E31" s="8" t="str">
        <f>"151800"</f>
        <v>151800</v>
      </c>
      <c r="F31" s="8" t="str">
        <f>"Prov. prépension"</f>
        <v>Prov. prépension</v>
      </c>
      <c r="G31" s="8" t="str">
        <f t="shared" si="0"/>
        <v/>
      </c>
      <c r="H31" s="9">
        <v>0</v>
      </c>
      <c r="I31" s="9">
        <v>0</v>
      </c>
      <c r="J31" s="9">
        <v>-3417.9500000000003</v>
      </c>
      <c r="K31" s="9">
        <v>0</v>
      </c>
      <c r="L31" s="9">
        <v>0</v>
      </c>
      <c r="M31" s="9">
        <v>-7000</v>
      </c>
      <c r="N31" s="9">
        <v>0</v>
      </c>
      <c r="O31" s="9">
        <v>0</v>
      </c>
      <c r="P31" s="9">
        <v>0</v>
      </c>
      <c r="Q31" s="9">
        <v>0</v>
      </c>
      <c r="R31" s="9">
        <v>-7382.65</v>
      </c>
      <c r="S31" s="9">
        <v>-9748.380000000001</v>
      </c>
      <c r="T31" s="9">
        <v>0</v>
      </c>
      <c r="U31" s="9">
        <v>0</v>
      </c>
      <c r="V31" s="9">
        <v>0</v>
      </c>
      <c r="W31" s="9">
        <v>0</v>
      </c>
      <c r="X31" s="9">
        <v>0</v>
      </c>
      <c r="Y31" s="9">
        <v>0</v>
      </c>
      <c r="Z31" s="9">
        <v>0</v>
      </c>
      <c r="AA31" s="9">
        <v>0</v>
      </c>
      <c r="AB31" s="9">
        <v>0</v>
      </c>
      <c r="AC31" s="9">
        <v>0</v>
      </c>
      <c r="AD31" s="9">
        <v>0</v>
      </c>
      <c r="AE31" s="9">
        <v>0</v>
      </c>
      <c r="AF31" s="9">
        <v>0</v>
      </c>
      <c r="AG31" s="9">
        <v>0</v>
      </c>
      <c r="AH31" s="9">
        <v>0</v>
      </c>
      <c r="AI31" s="9">
        <v>0</v>
      </c>
      <c r="AJ31" s="9">
        <v>0</v>
      </c>
      <c r="AK31" s="9">
        <v>0</v>
      </c>
      <c r="AL31" s="9">
        <v>-28895.999999999996</v>
      </c>
      <c r="AM31" s="9">
        <v>0</v>
      </c>
      <c r="AN31" s="9">
        <v>0</v>
      </c>
      <c r="AO31" s="9">
        <v>0</v>
      </c>
      <c r="AP31" s="9">
        <v>0</v>
      </c>
      <c r="AQ31" s="9">
        <v>0</v>
      </c>
      <c r="AR31" s="9">
        <v>0</v>
      </c>
      <c r="AS31" s="9">
        <v>0</v>
      </c>
      <c r="AT31" s="9">
        <v>0</v>
      </c>
      <c r="AU31" s="9">
        <v>0</v>
      </c>
      <c r="AV31" s="9">
        <v>0</v>
      </c>
      <c r="AW31" s="9">
        <v>0</v>
      </c>
      <c r="AX31" s="9">
        <v>0</v>
      </c>
      <c r="AY31" s="9">
        <v>0</v>
      </c>
      <c r="AZ31" s="9">
        <v>0</v>
      </c>
      <c r="BA31" s="9">
        <v>0</v>
      </c>
      <c r="BB31" s="9">
        <v>0</v>
      </c>
      <c r="BC31" s="9">
        <v>0</v>
      </c>
      <c r="BD31" s="9">
        <v>0</v>
      </c>
      <c r="BE31" s="9">
        <v>0</v>
      </c>
      <c r="BF31" s="9">
        <v>0</v>
      </c>
      <c r="BG31" s="9">
        <v>0</v>
      </c>
      <c r="BH31" s="9">
        <v>0</v>
      </c>
      <c r="BI31" s="9">
        <v>0</v>
      </c>
      <c r="BJ31" s="9">
        <v>0</v>
      </c>
      <c r="BK31" s="9">
        <v>0</v>
      </c>
      <c r="BL31" s="9">
        <v>0</v>
      </c>
      <c r="BM31" s="9">
        <v>0</v>
      </c>
      <c r="BN31" s="9">
        <v>0</v>
      </c>
      <c r="BO31" s="9">
        <v>0</v>
      </c>
      <c r="BP31" s="9">
        <v>0</v>
      </c>
      <c r="BQ31" s="9">
        <v>0</v>
      </c>
      <c r="BR31" s="9">
        <v>0</v>
      </c>
      <c r="BS31" s="9">
        <v>0</v>
      </c>
      <c r="BT31" s="9">
        <v>0</v>
      </c>
      <c r="BU31" s="9">
        <v>0</v>
      </c>
      <c r="BV31" s="9">
        <v>0</v>
      </c>
      <c r="BW31" s="9">
        <v>0</v>
      </c>
      <c r="BX31" s="9">
        <v>0</v>
      </c>
      <c r="BY31" s="9">
        <v>0</v>
      </c>
      <c r="BZ31" s="9">
        <v>0</v>
      </c>
      <c r="CA31" s="9">
        <v>0</v>
      </c>
      <c r="CB31" s="9">
        <v>0</v>
      </c>
      <c r="CC31" s="9">
        <v>0</v>
      </c>
      <c r="CD31" s="9">
        <v>0</v>
      </c>
      <c r="CE31" s="9">
        <v>0</v>
      </c>
      <c r="CF31" s="9">
        <v>0</v>
      </c>
      <c r="CG31" s="9">
        <v>0</v>
      </c>
      <c r="CH31" s="9">
        <v>0</v>
      </c>
      <c r="CI31" s="9">
        <v>0</v>
      </c>
      <c r="CJ31" s="9">
        <v>0</v>
      </c>
      <c r="CK31" s="9">
        <v>0</v>
      </c>
      <c r="CL31" s="9">
        <v>0</v>
      </c>
      <c r="CM31" s="9">
        <v>0</v>
      </c>
      <c r="CN31" s="9">
        <v>0</v>
      </c>
      <c r="CP31" s="10">
        <f t="shared" si="1"/>
        <v>-56444.979999999996</v>
      </c>
      <c r="CQ31" s="20" t="str">
        <f>IFERROR(VLOOKUP($D31,'[2]Mappage de compte'!$B:$G,1,FALSE),"")</f>
        <v>165000</v>
      </c>
      <c r="CR31" s="21" t="str">
        <f>IFERROR(VLOOKUP($D31,'[2]Mappage de compte'!$B:$G,2,FALSE),"")</f>
        <v>Prov. prépension</v>
      </c>
      <c r="CS31" s="22" t="str">
        <f>IFERROR(VLOOKUP($D31,'[2]Mappage de compte'!$B:$G,3,FALSE),"")</f>
        <v>151800</v>
      </c>
      <c r="CT31" s="22" t="str">
        <f>IFERROR(VLOOKUP($D31,'[2]Mappage de compte'!$B:$G,4,FALSE),"")</f>
        <v>AUTRES PROVISIONS POUR RISQUES</v>
      </c>
      <c r="CU31" s="23" t="str">
        <f>IFERROR(VLOOKUP($D31,'[2]Mappage de compte'!$B:$G,5,FALSE),"")</f>
        <v>Provisions courantes ou non courantes</v>
      </c>
      <c r="CV31" s="23" t="str">
        <f>IFERROR(VLOOKUP($D31,'[2]Mappage de compte'!$B:$G,6,FALSE),"")</f>
        <v>Passifs courants ou non courants</v>
      </c>
    </row>
    <row r="32" spans="1:100" x14ac:dyDescent="0.25">
      <c r="A32" s="8" t="s">
        <v>9</v>
      </c>
      <c r="C32" s="8" t="str">
        <f>"""ORPEA BE"",""010010"",""15"",""1"",""168000"""</f>
        <v>"ORPEA BE","010010","15","1","168000"</v>
      </c>
      <c r="D32" s="8" t="str">
        <f>"168000"</f>
        <v>168000</v>
      </c>
      <c r="E32" s="8" t="str">
        <f>"151800"</f>
        <v>151800</v>
      </c>
      <c r="F32" s="8" t="str">
        <f>"Impôts diff. s/+value exprimée"</f>
        <v>Impôts diff. s/+value exprimée</v>
      </c>
      <c r="G32" s="8" t="str">
        <f t="shared" si="0"/>
        <v/>
      </c>
      <c r="H32" s="9">
        <v>0</v>
      </c>
      <c r="I32" s="9">
        <v>0</v>
      </c>
      <c r="J32" s="9">
        <v>0</v>
      </c>
      <c r="K32" s="9">
        <v>-19494.71</v>
      </c>
      <c r="L32" s="9">
        <v>0</v>
      </c>
      <c r="M32" s="9">
        <v>0</v>
      </c>
      <c r="N32" s="9">
        <v>-97164.479999999996</v>
      </c>
      <c r="O32" s="9">
        <v>-677659.98</v>
      </c>
      <c r="P32" s="9">
        <v>-1998309.6300000001</v>
      </c>
      <c r="Q32" s="9">
        <v>-718550.58</v>
      </c>
      <c r="R32" s="9">
        <v>0</v>
      </c>
      <c r="S32" s="9">
        <v>0</v>
      </c>
      <c r="T32" s="9">
        <v>-710487.7</v>
      </c>
      <c r="U32" s="9">
        <v>-570533</v>
      </c>
      <c r="V32" s="9">
        <v>0</v>
      </c>
      <c r="W32" s="9">
        <v>0</v>
      </c>
      <c r="X32" s="9">
        <v>0</v>
      </c>
      <c r="Y32" s="9">
        <v>0</v>
      </c>
      <c r="Z32" s="9">
        <v>0</v>
      </c>
      <c r="AA32" s="9">
        <v>0</v>
      </c>
      <c r="AB32" s="9">
        <v>0</v>
      </c>
      <c r="AC32" s="9">
        <v>0</v>
      </c>
      <c r="AD32" s="9">
        <v>0</v>
      </c>
      <c r="AE32" s="9">
        <v>0</v>
      </c>
      <c r="AF32" s="9">
        <v>0</v>
      </c>
      <c r="AG32" s="9">
        <v>0</v>
      </c>
      <c r="AH32" s="9">
        <v>0</v>
      </c>
      <c r="AI32" s="9">
        <v>0</v>
      </c>
      <c r="AJ32" s="9">
        <v>0</v>
      </c>
      <c r="AK32" s="9">
        <v>0</v>
      </c>
      <c r="AL32" s="9">
        <v>0</v>
      </c>
      <c r="AM32" s="9">
        <v>0</v>
      </c>
      <c r="AN32" s="9">
        <v>0</v>
      </c>
      <c r="AO32" s="9">
        <v>0</v>
      </c>
      <c r="AP32" s="9">
        <v>0</v>
      </c>
      <c r="AQ32" s="9">
        <v>0</v>
      </c>
      <c r="AR32" s="9">
        <v>0</v>
      </c>
      <c r="AS32" s="9">
        <v>0</v>
      </c>
      <c r="AT32" s="9">
        <v>0</v>
      </c>
      <c r="AU32" s="9">
        <v>0</v>
      </c>
      <c r="AV32" s="9">
        <v>0</v>
      </c>
      <c r="AW32" s="9">
        <v>0</v>
      </c>
      <c r="AX32" s="9">
        <v>0</v>
      </c>
      <c r="AY32" s="9">
        <v>0</v>
      </c>
      <c r="AZ32" s="9">
        <v>0</v>
      </c>
      <c r="BA32" s="9">
        <v>0</v>
      </c>
      <c r="BB32" s="9">
        <v>-14698.689999999999</v>
      </c>
      <c r="BC32" s="9">
        <v>0</v>
      </c>
      <c r="BD32" s="9">
        <v>0</v>
      </c>
      <c r="BE32" s="9">
        <v>0</v>
      </c>
      <c r="BF32" s="9">
        <v>0</v>
      </c>
      <c r="BG32" s="9">
        <v>0</v>
      </c>
      <c r="BH32" s="9">
        <v>0</v>
      </c>
      <c r="BI32" s="9">
        <v>0</v>
      </c>
      <c r="BJ32" s="9">
        <v>-647886.9</v>
      </c>
      <c r="BK32" s="9">
        <v>-4807487.99</v>
      </c>
      <c r="BL32" s="9">
        <v>-963921.54</v>
      </c>
      <c r="BM32" s="9">
        <v>-139162.46</v>
      </c>
      <c r="BN32" s="9">
        <v>0</v>
      </c>
      <c r="BO32" s="9">
        <v>-1643297.0599999998</v>
      </c>
      <c r="BP32" s="9">
        <v>-1177598.6300000001</v>
      </c>
      <c r="BQ32" s="9">
        <v>0</v>
      </c>
      <c r="BR32" s="9">
        <v>0</v>
      </c>
      <c r="BS32" s="9">
        <v>-1516292.61</v>
      </c>
      <c r="BT32" s="9">
        <v>0</v>
      </c>
      <c r="BU32" s="9">
        <v>-779020.48</v>
      </c>
      <c r="BV32" s="9">
        <v>0</v>
      </c>
      <c r="BW32" s="9">
        <v>0</v>
      </c>
      <c r="BX32" s="9">
        <v>0</v>
      </c>
      <c r="BY32" s="9">
        <v>0</v>
      </c>
      <c r="BZ32" s="9">
        <v>0</v>
      </c>
      <c r="CA32" s="9">
        <v>0</v>
      </c>
      <c r="CB32" s="9">
        <v>0</v>
      </c>
      <c r="CC32" s="9">
        <v>0</v>
      </c>
      <c r="CD32" s="9">
        <v>0</v>
      </c>
      <c r="CE32" s="9">
        <v>-164171.70000000001</v>
      </c>
      <c r="CF32" s="9">
        <v>0</v>
      </c>
      <c r="CG32" s="9">
        <v>0</v>
      </c>
      <c r="CH32" s="9">
        <v>0</v>
      </c>
      <c r="CI32" s="9">
        <v>0</v>
      </c>
      <c r="CJ32" s="9">
        <v>0</v>
      </c>
      <c r="CK32" s="9">
        <v>0</v>
      </c>
      <c r="CL32" s="9">
        <v>0</v>
      </c>
      <c r="CM32" s="9">
        <v>0</v>
      </c>
      <c r="CN32" s="9">
        <v>0</v>
      </c>
      <c r="CP32" s="10">
        <f t="shared" si="1"/>
        <v>-16645738.140000001</v>
      </c>
      <c r="CQ32" s="20" t="str">
        <f>IFERROR(VLOOKUP($D32,'[2]Mappage de compte'!$B:$G,1,FALSE),"")</f>
        <v>168000</v>
      </c>
      <c r="CR32" s="21" t="str">
        <f>IFERROR(VLOOKUP($D32,'[2]Mappage de compte'!$B:$G,2,FALSE),"")</f>
        <v>Impôts diff. s/+value exprimée</v>
      </c>
      <c r="CS32" s="22">
        <f>IFERROR(VLOOKUP($D32,'[2]Mappage de compte'!$B:$G,3,FALSE),"")</f>
        <v>151810</v>
      </c>
      <c r="CT32" s="22" t="str">
        <f>IFERROR(VLOOKUP($D32,'[2]Mappage de compte'!$B:$G,4,FALSE),"")</f>
        <v xml:space="preserve">PROVISIONS POUR IMPOTS        </v>
      </c>
      <c r="CU32" s="23" t="str">
        <f>IFERROR(VLOOKUP($D32,'[2]Mappage de compte'!$B:$G,5,FALSE),"")</f>
        <v>Provisions courantes ou non courantes</v>
      </c>
      <c r="CV32" s="23" t="str">
        <f>IFERROR(VLOOKUP($D32,'[2]Mappage de compte'!$B:$G,6,FALSE),"")</f>
        <v>Passifs courants ou non courants</v>
      </c>
    </row>
    <row r="33" spans="1:100" x14ac:dyDescent="0.25">
      <c r="A33" s="8" t="s">
        <v>9</v>
      </c>
      <c r="C33" s="8" t="str">
        <f>"""ORPEA BE"",""010010"",""15"",""1"",""168001"""</f>
        <v>"ORPEA BE","010010","15","1","168001"</v>
      </c>
      <c r="D33" s="8" t="str">
        <f>"168001"</f>
        <v>168001</v>
      </c>
      <c r="E33" s="8" t="str">
        <f>"151800"</f>
        <v>151800</v>
      </c>
      <c r="F33" s="8" t="str">
        <f>"Impôts diff. s/+value exprimée"</f>
        <v>Impôts diff. s/+value exprimée</v>
      </c>
      <c r="G33" s="8" t="str">
        <f t="shared" si="0"/>
        <v/>
      </c>
      <c r="H33" s="9">
        <v>0</v>
      </c>
      <c r="I33" s="9">
        <v>0</v>
      </c>
      <c r="J33" s="9">
        <v>0</v>
      </c>
      <c r="K33" s="9">
        <v>0</v>
      </c>
      <c r="L33" s="9">
        <v>0</v>
      </c>
      <c r="M33" s="9">
        <v>0</v>
      </c>
      <c r="N33" s="9">
        <v>0</v>
      </c>
      <c r="O33" s="9">
        <v>0</v>
      </c>
      <c r="P33" s="9">
        <v>0</v>
      </c>
      <c r="Q33" s="9">
        <v>0</v>
      </c>
      <c r="R33" s="9">
        <v>0</v>
      </c>
      <c r="S33" s="9">
        <v>0</v>
      </c>
      <c r="T33" s="9">
        <v>0</v>
      </c>
      <c r="U33" s="9">
        <v>0</v>
      </c>
      <c r="V33" s="9">
        <v>0</v>
      </c>
      <c r="W33" s="9">
        <v>0</v>
      </c>
      <c r="X33" s="9">
        <v>0</v>
      </c>
      <c r="Y33" s="9">
        <v>0</v>
      </c>
      <c r="Z33" s="9">
        <v>0</v>
      </c>
      <c r="AA33" s="9">
        <v>0</v>
      </c>
      <c r="AB33" s="9">
        <v>0</v>
      </c>
      <c r="AC33" s="9">
        <v>0</v>
      </c>
      <c r="AD33" s="9">
        <v>0</v>
      </c>
      <c r="AE33" s="9">
        <v>0</v>
      </c>
      <c r="AF33" s="9">
        <v>0</v>
      </c>
      <c r="AG33" s="9">
        <v>0</v>
      </c>
      <c r="AH33" s="9">
        <v>0</v>
      </c>
      <c r="AI33" s="9">
        <v>0</v>
      </c>
      <c r="AJ33" s="9">
        <v>0</v>
      </c>
      <c r="AK33" s="9">
        <v>0</v>
      </c>
      <c r="AL33" s="9">
        <v>0</v>
      </c>
      <c r="AM33" s="9">
        <v>0</v>
      </c>
      <c r="AN33" s="9">
        <v>0</v>
      </c>
      <c r="AO33" s="9">
        <v>0</v>
      </c>
      <c r="AP33" s="9">
        <v>0</v>
      </c>
      <c r="AQ33" s="9">
        <v>-522806.01</v>
      </c>
      <c r="AR33" s="9">
        <v>0</v>
      </c>
      <c r="AS33" s="9">
        <v>0</v>
      </c>
      <c r="AT33" s="9">
        <v>0</v>
      </c>
      <c r="AU33" s="9">
        <v>0</v>
      </c>
      <c r="AV33" s="9">
        <v>0</v>
      </c>
      <c r="AW33" s="9">
        <v>0</v>
      </c>
      <c r="AX33" s="9">
        <v>0</v>
      </c>
      <c r="AY33" s="9">
        <v>0</v>
      </c>
      <c r="AZ33" s="9">
        <v>0</v>
      </c>
      <c r="BA33" s="9">
        <v>0</v>
      </c>
      <c r="BB33" s="9">
        <v>0</v>
      </c>
      <c r="BC33" s="9">
        <v>0</v>
      </c>
      <c r="BD33" s="9">
        <v>0</v>
      </c>
      <c r="BE33" s="9">
        <v>0</v>
      </c>
      <c r="BF33" s="9">
        <v>0</v>
      </c>
      <c r="BG33" s="9">
        <v>0</v>
      </c>
      <c r="BH33" s="9">
        <v>0</v>
      </c>
      <c r="BI33" s="9">
        <v>0</v>
      </c>
      <c r="BJ33" s="9">
        <v>0</v>
      </c>
      <c r="BK33" s="9">
        <v>0</v>
      </c>
      <c r="BL33" s="9">
        <v>0</v>
      </c>
      <c r="BM33" s="9">
        <v>0</v>
      </c>
      <c r="BN33" s="9">
        <v>0</v>
      </c>
      <c r="BO33" s="9">
        <v>0</v>
      </c>
      <c r="BP33" s="9">
        <v>0</v>
      </c>
      <c r="BQ33" s="9">
        <v>0</v>
      </c>
      <c r="BR33" s="9">
        <v>0</v>
      </c>
      <c r="BS33" s="9">
        <v>0</v>
      </c>
      <c r="BT33" s="9">
        <v>0</v>
      </c>
      <c r="BU33" s="9">
        <v>0</v>
      </c>
      <c r="BV33" s="9">
        <v>0</v>
      </c>
      <c r="BW33" s="9">
        <v>0</v>
      </c>
      <c r="BX33" s="9">
        <v>0</v>
      </c>
      <c r="BY33" s="9">
        <v>0</v>
      </c>
      <c r="BZ33" s="9">
        <v>0</v>
      </c>
      <c r="CA33" s="9">
        <v>0</v>
      </c>
      <c r="CB33" s="9">
        <v>0</v>
      </c>
      <c r="CC33" s="9">
        <v>0</v>
      </c>
      <c r="CD33" s="9">
        <v>0</v>
      </c>
      <c r="CE33" s="9">
        <v>0</v>
      </c>
      <c r="CF33" s="9">
        <v>0</v>
      </c>
      <c r="CG33" s="9">
        <v>0</v>
      </c>
      <c r="CH33" s="9">
        <v>0</v>
      </c>
      <c r="CI33" s="9">
        <v>0</v>
      </c>
      <c r="CJ33" s="9">
        <v>0</v>
      </c>
      <c r="CK33" s="9">
        <v>0</v>
      </c>
      <c r="CL33" s="9">
        <v>0</v>
      </c>
      <c r="CM33" s="9">
        <v>0</v>
      </c>
      <c r="CN33" s="9">
        <v>0</v>
      </c>
      <c r="CP33" s="10">
        <f t="shared" si="1"/>
        <v>-522806.01</v>
      </c>
      <c r="CQ33" s="20" t="str">
        <f>IFERROR(VLOOKUP($D33,'[2]Mappage de compte'!$B:$G,1,FALSE),"")</f>
        <v>168001</v>
      </c>
      <c r="CR33" s="21" t="str">
        <f>IFERROR(VLOOKUP($D33,'[2]Mappage de compte'!$B:$G,2,FALSE),"")</f>
        <v>Impôts diff. s/+value exprimée</v>
      </c>
      <c r="CS33" s="22">
        <f>IFERROR(VLOOKUP($D33,'[2]Mappage de compte'!$B:$G,3,FALSE),"")</f>
        <v>151810</v>
      </c>
      <c r="CT33" s="22" t="str">
        <f>IFERROR(VLOOKUP($D33,'[2]Mappage de compte'!$B:$G,4,FALSE),"")</f>
        <v xml:space="preserve">PROVISIONS POUR IMPOTS        </v>
      </c>
      <c r="CU33" s="23" t="str">
        <f>IFERROR(VLOOKUP($D33,'[2]Mappage de compte'!$B:$G,5,FALSE),"")</f>
        <v>Provisions courantes ou non courantes</v>
      </c>
      <c r="CV33" s="23" t="str">
        <f>IFERROR(VLOOKUP($D33,'[2]Mappage de compte'!$B:$G,6,FALSE),"")</f>
        <v>Passifs courants ou non courants</v>
      </c>
    </row>
    <row r="34" spans="1:100" x14ac:dyDescent="0.25">
      <c r="A34" s="8" t="s">
        <v>9</v>
      </c>
      <c r="C34" s="8" t="str">
        <f>"""ORPEA BE"",""010010"",""15"",""1"",""168002"""</f>
        <v>"ORPEA BE","010010","15","1","168002"</v>
      </c>
      <c r="D34" s="8" t="str">
        <f>"168002"</f>
        <v>168002</v>
      </c>
      <c r="E34" s="8" t="str">
        <f>"151800"</f>
        <v>151800</v>
      </c>
      <c r="F34" s="8" t="str">
        <f>"Impôts diff. s/+value réalisée"</f>
        <v>Impôts diff. s/+value réalisée</v>
      </c>
      <c r="G34" s="8" t="str">
        <f t="shared" si="0"/>
        <v/>
      </c>
      <c r="H34" s="9">
        <v>0</v>
      </c>
      <c r="I34" s="9">
        <v>0</v>
      </c>
      <c r="J34" s="9">
        <v>0</v>
      </c>
      <c r="K34" s="9">
        <v>0</v>
      </c>
      <c r="L34" s="9">
        <v>0</v>
      </c>
      <c r="M34" s="9">
        <v>0</v>
      </c>
      <c r="N34" s="9">
        <v>0</v>
      </c>
      <c r="O34" s="9">
        <v>0</v>
      </c>
      <c r="P34" s="9">
        <v>0</v>
      </c>
      <c r="Q34" s="9">
        <v>0</v>
      </c>
      <c r="R34" s="9">
        <v>0</v>
      </c>
      <c r="S34" s="9">
        <v>0</v>
      </c>
      <c r="T34" s="9">
        <v>0</v>
      </c>
      <c r="U34" s="9">
        <v>0</v>
      </c>
      <c r="V34" s="9">
        <v>0</v>
      </c>
      <c r="W34" s="9">
        <v>0</v>
      </c>
      <c r="X34" s="9">
        <v>0</v>
      </c>
      <c r="Y34" s="9">
        <v>-101736.47000000002</v>
      </c>
      <c r="Z34" s="9">
        <v>0</v>
      </c>
      <c r="AA34" s="9">
        <v>0</v>
      </c>
      <c r="AB34" s="9">
        <v>0</v>
      </c>
      <c r="AC34" s="9">
        <v>0</v>
      </c>
      <c r="AD34" s="9">
        <v>0</v>
      </c>
      <c r="AE34" s="9">
        <v>0</v>
      </c>
      <c r="AF34" s="9">
        <v>0</v>
      </c>
      <c r="AG34" s="9">
        <v>0</v>
      </c>
      <c r="AH34" s="9">
        <v>0</v>
      </c>
      <c r="AI34" s="9">
        <v>0</v>
      </c>
      <c r="AJ34" s="9">
        <v>0</v>
      </c>
      <c r="AK34" s="9">
        <v>0</v>
      </c>
      <c r="AL34" s="9">
        <v>0</v>
      </c>
      <c r="AM34" s="9">
        <v>0</v>
      </c>
      <c r="AN34" s="9">
        <v>0</v>
      </c>
      <c r="AO34" s="9">
        <v>0</v>
      </c>
      <c r="AP34" s="9">
        <v>0</v>
      </c>
      <c r="AQ34" s="9">
        <v>0</v>
      </c>
      <c r="AR34" s="9">
        <v>0</v>
      </c>
      <c r="AS34" s="9">
        <v>0</v>
      </c>
      <c r="AT34" s="9">
        <v>0</v>
      </c>
      <c r="AU34" s="9">
        <v>0</v>
      </c>
      <c r="AV34" s="9">
        <v>0</v>
      </c>
      <c r="AW34" s="9">
        <v>0</v>
      </c>
      <c r="AX34" s="9">
        <v>0</v>
      </c>
      <c r="AY34" s="9">
        <v>0</v>
      </c>
      <c r="AZ34" s="9">
        <v>0</v>
      </c>
      <c r="BA34" s="9">
        <v>0</v>
      </c>
      <c r="BB34" s="9">
        <v>0</v>
      </c>
      <c r="BC34" s="9">
        <v>0</v>
      </c>
      <c r="BD34" s="9">
        <v>0</v>
      </c>
      <c r="BE34" s="9">
        <v>0</v>
      </c>
      <c r="BF34" s="9">
        <v>0</v>
      </c>
      <c r="BG34" s="9">
        <v>0</v>
      </c>
      <c r="BH34" s="9">
        <v>0</v>
      </c>
      <c r="BI34" s="9">
        <v>0</v>
      </c>
      <c r="BJ34" s="9">
        <v>0</v>
      </c>
      <c r="BK34" s="9">
        <v>0</v>
      </c>
      <c r="BL34" s="9">
        <v>0</v>
      </c>
      <c r="BM34" s="9">
        <v>0</v>
      </c>
      <c r="BN34" s="9">
        <v>0</v>
      </c>
      <c r="BO34" s="9">
        <v>0</v>
      </c>
      <c r="BP34" s="9">
        <v>-2540.29</v>
      </c>
      <c r="BQ34" s="9">
        <v>0</v>
      </c>
      <c r="BR34" s="9">
        <v>0</v>
      </c>
      <c r="BS34" s="9">
        <v>0</v>
      </c>
      <c r="BT34" s="9">
        <v>0</v>
      </c>
      <c r="BU34" s="9">
        <v>0</v>
      </c>
      <c r="BV34" s="9">
        <v>0</v>
      </c>
      <c r="BW34" s="9">
        <v>0</v>
      </c>
      <c r="BX34" s="9">
        <v>0</v>
      </c>
      <c r="BY34" s="9">
        <v>0</v>
      </c>
      <c r="BZ34" s="9">
        <v>0</v>
      </c>
      <c r="CA34" s="9">
        <v>0</v>
      </c>
      <c r="CB34" s="9">
        <v>0</v>
      </c>
      <c r="CC34" s="9">
        <v>0</v>
      </c>
      <c r="CD34" s="9">
        <v>0</v>
      </c>
      <c r="CE34" s="9">
        <v>0</v>
      </c>
      <c r="CF34" s="9">
        <v>0</v>
      </c>
      <c r="CG34" s="9">
        <v>0</v>
      </c>
      <c r="CH34" s="9">
        <v>0</v>
      </c>
      <c r="CI34" s="9">
        <v>0</v>
      </c>
      <c r="CJ34" s="9">
        <v>0</v>
      </c>
      <c r="CK34" s="9">
        <v>0</v>
      </c>
      <c r="CL34" s="9">
        <v>0</v>
      </c>
      <c r="CM34" s="9">
        <v>0</v>
      </c>
      <c r="CN34" s="9">
        <v>0</v>
      </c>
      <c r="CP34" s="10">
        <f t="shared" si="1"/>
        <v>-104276.76000000001</v>
      </c>
      <c r="CQ34" s="20" t="str">
        <f>IFERROR(VLOOKUP($D34,'[2]Mappage de compte'!$B:$G,1,FALSE),"")</f>
        <v>168002</v>
      </c>
      <c r="CR34" s="21" t="str">
        <f>IFERROR(VLOOKUP($D34,'[2]Mappage de compte'!$B:$G,2,FALSE),"")</f>
        <v>Impôts diff. s/+value réalisée</v>
      </c>
      <c r="CS34" s="22">
        <f>IFERROR(VLOOKUP($D34,'[2]Mappage de compte'!$B:$G,3,FALSE),"")</f>
        <v>151810</v>
      </c>
      <c r="CT34" s="22" t="str">
        <f>IFERROR(VLOOKUP($D34,'[2]Mappage de compte'!$B:$G,4,FALSE),"")</f>
        <v xml:space="preserve">PROVISIONS POUR IMPOTS        </v>
      </c>
      <c r="CU34" s="23" t="str">
        <f>IFERROR(VLOOKUP($D34,'[2]Mappage de compte'!$B:$G,5,FALSE),"")</f>
        <v>Provisions courantes ou non courantes</v>
      </c>
      <c r="CV34" s="23" t="str">
        <f>IFERROR(VLOOKUP($D34,'[2]Mappage de compte'!$B:$G,6,FALSE),"")</f>
        <v>Passifs courants ou non courants</v>
      </c>
    </row>
    <row r="35" spans="1:100" x14ac:dyDescent="0.25">
      <c r="A35" s="8" t="s">
        <v>9</v>
      </c>
      <c r="C35" s="8" t="str">
        <f>"""ORPEA BE"",""010010"",""15"",""1"",""171101"""</f>
        <v>"ORPEA BE","010010","15","1","171101"</v>
      </c>
      <c r="D35" s="8" t="str">
        <f>"171101"</f>
        <v>171101</v>
      </c>
      <c r="E35" s="8" t="str">
        <f>"161000"</f>
        <v>161000</v>
      </c>
      <c r="F35" s="8" t="str">
        <f>"Emprunt Oblig non convertible"</f>
        <v>Emprunt Oblig non convertible</v>
      </c>
      <c r="G35" s="8" t="str">
        <f t="shared" si="0"/>
        <v/>
      </c>
      <c r="H35" s="9">
        <v>-55000000</v>
      </c>
      <c r="I35" s="9">
        <v>0</v>
      </c>
      <c r="J35" s="9">
        <v>0</v>
      </c>
      <c r="K35" s="9">
        <v>0</v>
      </c>
      <c r="L35" s="9">
        <v>0</v>
      </c>
      <c r="M35" s="9">
        <v>0</v>
      </c>
      <c r="N35" s="9">
        <v>0</v>
      </c>
      <c r="O35" s="9">
        <v>0</v>
      </c>
      <c r="P35" s="9">
        <v>0</v>
      </c>
      <c r="Q35" s="9">
        <v>0</v>
      </c>
      <c r="R35" s="9">
        <v>0</v>
      </c>
      <c r="S35" s="9">
        <v>0</v>
      </c>
      <c r="T35" s="9">
        <v>0</v>
      </c>
      <c r="U35" s="9">
        <v>0</v>
      </c>
      <c r="V35" s="9">
        <v>0</v>
      </c>
      <c r="W35" s="9">
        <v>0</v>
      </c>
      <c r="X35" s="9">
        <v>0</v>
      </c>
      <c r="Y35" s="9">
        <v>0</v>
      </c>
      <c r="Z35" s="9">
        <v>0</v>
      </c>
      <c r="AA35" s="9">
        <v>0</v>
      </c>
      <c r="AB35" s="9">
        <v>0</v>
      </c>
      <c r="AC35" s="9">
        <v>0</v>
      </c>
      <c r="AD35" s="9">
        <v>0</v>
      </c>
      <c r="AE35" s="9">
        <v>0</v>
      </c>
      <c r="AF35" s="9">
        <v>0</v>
      </c>
      <c r="AG35" s="9">
        <v>0</v>
      </c>
      <c r="AH35" s="9">
        <v>0</v>
      </c>
      <c r="AI35" s="9">
        <v>0</v>
      </c>
      <c r="AJ35" s="9">
        <v>0</v>
      </c>
      <c r="AK35" s="9">
        <v>0</v>
      </c>
      <c r="AL35" s="9">
        <v>0</v>
      </c>
      <c r="AM35" s="9">
        <v>0</v>
      </c>
      <c r="AN35" s="9">
        <v>0</v>
      </c>
      <c r="AO35" s="9">
        <v>0</v>
      </c>
      <c r="AP35" s="9">
        <v>0</v>
      </c>
      <c r="AQ35" s="9">
        <v>0</v>
      </c>
      <c r="AR35" s="9">
        <v>0</v>
      </c>
      <c r="AS35" s="9">
        <v>0</v>
      </c>
      <c r="AT35" s="9">
        <v>0</v>
      </c>
      <c r="AU35" s="9">
        <v>0</v>
      </c>
      <c r="AV35" s="9">
        <v>0</v>
      </c>
      <c r="AW35" s="9">
        <v>0</v>
      </c>
      <c r="AX35" s="9">
        <v>0</v>
      </c>
      <c r="AY35" s="9">
        <v>0</v>
      </c>
      <c r="AZ35" s="9">
        <v>0</v>
      </c>
      <c r="BA35" s="9">
        <v>0</v>
      </c>
      <c r="BB35" s="9">
        <v>0</v>
      </c>
      <c r="BC35" s="9">
        <v>0</v>
      </c>
      <c r="BD35" s="9">
        <v>0</v>
      </c>
      <c r="BE35" s="9">
        <v>0</v>
      </c>
      <c r="BF35" s="9">
        <v>0</v>
      </c>
      <c r="BG35" s="9">
        <v>0</v>
      </c>
      <c r="BH35" s="9">
        <v>0</v>
      </c>
      <c r="BI35" s="9">
        <v>0</v>
      </c>
      <c r="BJ35" s="9">
        <v>0</v>
      </c>
      <c r="BK35" s="9">
        <v>0</v>
      </c>
      <c r="BL35" s="9">
        <v>0</v>
      </c>
      <c r="BM35" s="9">
        <v>0</v>
      </c>
      <c r="BN35" s="9">
        <v>0</v>
      </c>
      <c r="BO35" s="9">
        <v>0</v>
      </c>
      <c r="BP35" s="9">
        <v>0</v>
      </c>
      <c r="BQ35" s="9">
        <v>0</v>
      </c>
      <c r="BR35" s="9">
        <v>0</v>
      </c>
      <c r="BS35" s="9">
        <v>0</v>
      </c>
      <c r="BT35" s="9">
        <v>0</v>
      </c>
      <c r="BU35" s="9">
        <v>0</v>
      </c>
      <c r="BV35" s="9">
        <v>0</v>
      </c>
      <c r="BW35" s="9">
        <v>0</v>
      </c>
      <c r="BX35" s="9">
        <v>0</v>
      </c>
      <c r="BY35" s="9">
        <v>0</v>
      </c>
      <c r="BZ35" s="9">
        <v>0</v>
      </c>
      <c r="CA35" s="9">
        <v>0</v>
      </c>
      <c r="CB35" s="9">
        <v>0</v>
      </c>
      <c r="CC35" s="9">
        <v>0</v>
      </c>
      <c r="CD35" s="9">
        <v>0</v>
      </c>
      <c r="CE35" s="9">
        <v>0</v>
      </c>
      <c r="CF35" s="9">
        <v>0</v>
      </c>
      <c r="CG35" s="9">
        <v>0</v>
      </c>
      <c r="CH35" s="9">
        <v>0</v>
      </c>
      <c r="CI35" s="9">
        <v>0</v>
      </c>
      <c r="CJ35" s="9">
        <v>0</v>
      </c>
      <c r="CK35" s="9">
        <v>0</v>
      </c>
      <c r="CL35" s="9">
        <v>0</v>
      </c>
      <c r="CM35" s="9">
        <v>0</v>
      </c>
      <c r="CN35" s="9">
        <v>0</v>
      </c>
      <c r="CP35" s="10">
        <f t="shared" si="1"/>
        <v>-55000000</v>
      </c>
      <c r="CQ35" s="20" t="str">
        <f>IFERROR(VLOOKUP($D35,'[2]Mappage de compte'!$B:$G,1,FALSE),"")</f>
        <v>171101</v>
      </c>
      <c r="CR35" s="21" t="str">
        <f>IFERROR(VLOOKUP($D35,'[2]Mappage de compte'!$B:$G,2,FALSE),"")</f>
        <v>Emprunt Oblig non convertible</v>
      </c>
      <c r="CS35" s="22" t="str">
        <f>IFERROR(VLOOKUP($D35,'[2]Mappage de compte'!$B:$G,3,FALSE),"")</f>
        <v>161000</v>
      </c>
      <c r="CT35" s="22" t="str">
        <f>IFERROR(VLOOKUP($D35,'[2]Mappage de compte'!$B:$G,4,FALSE),"")</f>
        <v>EMPRUNT OBLIGATAIRE</v>
      </c>
      <c r="CU35" s="23" t="str">
        <f>IFERROR(VLOOKUP($D35,'[2]Mappage de compte'!$B:$G,5,FALSE),"")</f>
        <v>Passifs courants ou non courants portant intérêts ou non</v>
      </c>
      <c r="CV35" s="23" t="str">
        <f>IFERROR(VLOOKUP($D35,'[2]Mappage de compte'!$B:$G,6,FALSE),"")</f>
        <v>Passifs courants ou non courants</v>
      </c>
    </row>
    <row r="36" spans="1:100" x14ac:dyDescent="0.25">
      <c r="A36" s="8" t="s">
        <v>9</v>
      </c>
      <c r="C36" s="8" t="str">
        <f>"""ORPEA BE"",""010010"",""15"",""1"",""171102"""</f>
        <v>"ORPEA BE","010010","15","1","171102"</v>
      </c>
      <c r="D36" s="8" t="str">
        <f>"171102"</f>
        <v>171102</v>
      </c>
      <c r="E36" s="8" t="str">
        <f>"161000"</f>
        <v>161000</v>
      </c>
      <c r="F36" s="8" t="str">
        <f>"Emprunt oblig non convertible"</f>
        <v>Emprunt oblig non convertible</v>
      </c>
      <c r="G36" s="8" t="str">
        <f t="shared" si="0"/>
        <v/>
      </c>
      <c r="H36" s="9">
        <v>-20000000</v>
      </c>
      <c r="I36" s="9">
        <v>0</v>
      </c>
      <c r="J36" s="9">
        <v>0</v>
      </c>
      <c r="K36" s="9">
        <v>0</v>
      </c>
      <c r="L36" s="9">
        <v>0</v>
      </c>
      <c r="M36" s="9">
        <v>0</v>
      </c>
      <c r="N36" s="9">
        <v>0</v>
      </c>
      <c r="O36" s="9">
        <v>0</v>
      </c>
      <c r="P36" s="9">
        <v>0</v>
      </c>
      <c r="Q36" s="9">
        <v>0</v>
      </c>
      <c r="R36" s="9">
        <v>0</v>
      </c>
      <c r="S36" s="9">
        <v>0</v>
      </c>
      <c r="T36" s="9">
        <v>0</v>
      </c>
      <c r="U36" s="9">
        <v>0</v>
      </c>
      <c r="V36" s="9">
        <v>0</v>
      </c>
      <c r="W36" s="9">
        <v>0</v>
      </c>
      <c r="X36" s="9">
        <v>0</v>
      </c>
      <c r="Y36" s="9">
        <v>0</v>
      </c>
      <c r="Z36" s="9">
        <v>0</v>
      </c>
      <c r="AA36" s="9">
        <v>0</v>
      </c>
      <c r="AB36" s="9">
        <v>0</v>
      </c>
      <c r="AC36" s="9">
        <v>0</v>
      </c>
      <c r="AD36" s="9">
        <v>0</v>
      </c>
      <c r="AE36" s="9">
        <v>0</v>
      </c>
      <c r="AF36" s="9">
        <v>0</v>
      </c>
      <c r="AG36" s="9">
        <v>0</v>
      </c>
      <c r="AH36" s="9">
        <v>0</v>
      </c>
      <c r="AI36" s="9">
        <v>0</v>
      </c>
      <c r="AJ36" s="9">
        <v>0</v>
      </c>
      <c r="AK36" s="9">
        <v>0</v>
      </c>
      <c r="AL36" s="9">
        <v>0</v>
      </c>
      <c r="AM36" s="9">
        <v>0</v>
      </c>
      <c r="AN36" s="9">
        <v>0</v>
      </c>
      <c r="AO36" s="9">
        <v>0</v>
      </c>
      <c r="AP36" s="9">
        <v>0</v>
      </c>
      <c r="AQ36" s="9">
        <v>0</v>
      </c>
      <c r="AR36" s="9">
        <v>0</v>
      </c>
      <c r="AS36" s="9">
        <v>0</v>
      </c>
      <c r="AT36" s="9">
        <v>0</v>
      </c>
      <c r="AU36" s="9">
        <v>0</v>
      </c>
      <c r="AV36" s="9">
        <v>0</v>
      </c>
      <c r="AW36" s="9">
        <v>0</v>
      </c>
      <c r="AX36" s="9">
        <v>0</v>
      </c>
      <c r="AY36" s="9">
        <v>0</v>
      </c>
      <c r="AZ36" s="9">
        <v>0</v>
      </c>
      <c r="BA36" s="9">
        <v>0</v>
      </c>
      <c r="BB36" s="9">
        <v>0</v>
      </c>
      <c r="BC36" s="9">
        <v>0</v>
      </c>
      <c r="BD36" s="9">
        <v>0</v>
      </c>
      <c r="BE36" s="9">
        <v>0</v>
      </c>
      <c r="BF36" s="9">
        <v>0</v>
      </c>
      <c r="BG36" s="9">
        <v>0</v>
      </c>
      <c r="BH36" s="9">
        <v>0</v>
      </c>
      <c r="BI36" s="9">
        <v>0</v>
      </c>
      <c r="BJ36" s="9">
        <v>0</v>
      </c>
      <c r="BK36" s="9">
        <v>0</v>
      </c>
      <c r="BL36" s="9">
        <v>0</v>
      </c>
      <c r="BM36" s="9">
        <v>0</v>
      </c>
      <c r="BN36" s="9">
        <v>0</v>
      </c>
      <c r="BO36" s="9">
        <v>0</v>
      </c>
      <c r="BP36" s="9">
        <v>0</v>
      </c>
      <c r="BQ36" s="9">
        <v>0</v>
      </c>
      <c r="BR36" s="9">
        <v>0</v>
      </c>
      <c r="BS36" s="9">
        <v>0</v>
      </c>
      <c r="BT36" s="9">
        <v>0</v>
      </c>
      <c r="BU36" s="9">
        <v>0</v>
      </c>
      <c r="BV36" s="9">
        <v>0</v>
      </c>
      <c r="BW36" s="9">
        <v>0</v>
      </c>
      <c r="BX36" s="9">
        <v>0</v>
      </c>
      <c r="BY36" s="9">
        <v>0</v>
      </c>
      <c r="BZ36" s="9">
        <v>0</v>
      </c>
      <c r="CA36" s="9">
        <v>0</v>
      </c>
      <c r="CB36" s="9">
        <v>0</v>
      </c>
      <c r="CC36" s="9">
        <v>0</v>
      </c>
      <c r="CD36" s="9">
        <v>0</v>
      </c>
      <c r="CE36" s="9">
        <v>0</v>
      </c>
      <c r="CF36" s="9">
        <v>0</v>
      </c>
      <c r="CG36" s="9">
        <v>0</v>
      </c>
      <c r="CH36" s="9">
        <v>0</v>
      </c>
      <c r="CI36" s="9">
        <v>0</v>
      </c>
      <c r="CJ36" s="9">
        <v>0</v>
      </c>
      <c r="CK36" s="9">
        <v>0</v>
      </c>
      <c r="CL36" s="9">
        <v>0</v>
      </c>
      <c r="CM36" s="9">
        <v>0</v>
      </c>
      <c r="CN36" s="9">
        <v>0</v>
      </c>
      <c r="CP36" s="10">
        <f t="shared" si="1"/>
        <v>-20000000</v>
      </c>
      <c r="CQ36" s="20" t="str">
        <f>IFERROR(VLOOKUP($D36,'[2]Mappage de compte'!$B:$G,1,FALSE),"")</f>
        <v>171102</v>
      </c>
      <c r="CR36" s="21" t="str">
        <f>IFERROR(VLOOKUP($D36,'[2]Mappage de compte'!$B:$G,2,FALSE),"")</f>
        <v>Emprunt oblig non convertible</v>
      </c>
      <c r="CS36" s="22" t="str">
        <f>IFERROR(VLOOKUP($D36,'[2]Mappage de compte'!$B:$G,3,FALSE),"")</f>
        <v>161000</v>
      </c>
      <c r="CT36" s="22" t="str">
        <f>IFERROR(VLOOKUP($D36,'[2]Mappage de compte'!$B:$G,4,FALSE),"")</f>
        <v>EMPRUNT OBLIGATAIRE</v>
      </c>
      <c r="CU36" s="23" t="str">
        <f>IFERROR(VLOOKUP($D36,'[2]Mappage de compte'!$B:$G,5,FALSE),"")</f>
        <v>Passifs courants ou non courants portant intérêts ou non</v>
      </c>
      <c r="CV36" s="23" t="str">
        <f>IFERROR(VLOOKUP($D36,'[2]Mappage de compte'!$B:$G,6,FALSE),"")</f>
        <v>Passifs courants ou non courants</v>
      </c>
    </row>
    <row r="37" spans="1:100" x14ac:dyDescent="0.25">
      <c r="A37" s="8" t="s">
        <v>9</v>
      </c>
      <c r="C37" s="8" t="str">
        <f>"""ORPEA BE"",""010010"",""15"",""1"",""172000"""</f>
        <v>"ORPEA BE","010010","15","1","172000"</v>
      </c>
      <c r="D37" s="8" t="str">
        <f>"172000"</f>
        <v>172000</v>
      </c>
      <c r="E37" s="8" t="str">
        <f t="shared" ref="E37:E46" si="3">"164000"</f>
        <v>164000</v>
      </c>
      <c r="F37" s="8" t="str">
        <f>"Fortis - Créance locat°-Fin."</f>
        <v>Fortis - Créance locat°-Fin.</v>
      </c>
      <c r="G37" s="8" t="str">
        <f t="shared" si="0"/>
        <v/>
      </c>
      <c r="H37" s="9">
        <v>0</v>
      </c>
      <c r="I37" s="9">
        <v>0</v>
      </c>
      <c r="J37" s="9">
        <v>0</v>
      </c>
      <c r="K37" s="9">
        <v>0</v>
      </c>
      <c r="L37" s="9">
        <v>0</v>
      </c>
      <c r="M37" s="9">
        <v>0</v>
      </c>
      <c r="N37" s="9">
        <v>0</v>
      </c>
      <c r="O37" s="9">
        <v>0</v>
      </c>
      <c r="P37" s="9">
        <v>0</v>
      </c>
      <c r="Q37" s="9">
        <v>0</v>
      </c>
      <c r="R37" s="9">
        <v>0</v>
      </c>
      <c r="S37" s="9">
        <v>0</v>
      </c>
      <c r="T37" s="9">
        <v>0</v>
      </c>
      <c r="U37" s="9">
        <v>0</v>
      </c>
      <c r="V37" s="9">
        <v>0</v>
      </c>
      <c r="W37" s="9">
        <v>0</v>
      </c>
      <c r="X37" s="9">
        <v>0</v>
      </c>
      <c r="Y37" s="9">
        <v>0</v>
      </c>
      <c r="Z37" s="9">
        <v>0</v>
      </c>
      <c r="AA37" s="9">
        <v>0</v>
      </c>
      <c r="AB37" s="9">
        <v>0</v>
      </c>
      <c r="AC37" s="9">
        <v>0</v>
      </c>
      <c r="AD37" s="9">
        <v>0</v>
      </c>
      <c r="AE37" s="9">
        <v>0</v>
      </c>
      <c r="AF37" s="9">
        <v>0</v>
      </c>
      <c r="AG37" s="9">
        <v>0</v>
      </c>
      <c r="AH37" s="9">
        <v>0</v>
      </c>
      <c r="AI37" s="9">
        <v>0</v>
      </c>
      <c r="AJ37" s="9">
        <v>0</v>
      </c>
      <c r="AK37" s="9">
        <v>0</v>
      </c>
      <c r="AL37" s="9">
        <v>0</v>
      </c>
      <c r="AM37" s="9">
        <v>0</v>
      </c>
      <c r="AN37" s="9">
        <v>0</v>
      </c>
      <c r="AO37" s="9">
        <v>0</v>
      </c>
      <c r="AP37" s="9">
        <v>0</v>
      </c>
      <c r="AQ37" s="9">
        <v>0</v>
      </c>
      <c r="AR37" s="9">
        <v>0</v>
      </c>
      <c r="AS37" s="9">
        <v>0</v>
      </c>
      <c r="AT37" s="9">
        <v>0</v>
      </c>
      <c r="AU37" s="9">
        <v>0</v>
      </c>
      <c r="AV37" s="9">
        <v>0</v>
      </c>
      <c r="AW37" s="9">
        <v>0</v>
      </c>
      <c r="AX37" s="9">
        <v>0</v>
      </c>
      <c r="AY37" s="9">
        <v>0</v>
      </c>
      <c r="AZ37" s="9">
        <v>0</v>
      </c>
      <c r="BA37" s="9">
        <v>0</v>
      </c>
      <c r="BB37" s="9">
        <v>0</v>
      </c>
      <c r="BC37" s="9">
        <v>0</v>
      </c>
      <c r="BD37" s="9">
        <v>0</v>
      </c>
      <c r="BE37" s="9">
        <v>0</v>
      </c>
      <c r="BF37" s="9">
        <v>0</v>
      </c>
      <c r="BG37" s="9">
        <v>0</v>
      </c>
      <c r="BH37" s="9">
        <v>0</v>
      </c>
      <c r="BI37" s="9">
        <v>0</v>
      </c>
      <c r="BJ37" s="9">
        <v>0</v>
      </c>
      <c r="BK37" s="9">
        <v>0</v>
      </c>
      <c r="BL37" s="9">
        <v>0</v>
      </c>
      <c r="BM37" s="9">
        <v>0</v>
      </c>
      <c r="BN37" s="9">
        <v>0</v>
      </c>
      <c r="BO37" s="9">
        <v>0</v>
      </c>
      <c r="BP37" s="9">
        <v>0</v>
      </c>
      <c r="BQ37" s="9">
        <v>0</v>
      </c>
      <c r="BR37" s="9">
        <v>0</v>
      </c>
      <c r="BS37" s="9">
        <v>0</v>
      </c>
      <c r="BT37" s="9">
        <v>0</v>
      </c>
      <c r="BU37" s="9">
        <v>0</v>
      </c>
      <c r="BV37" s="9">
        <v>0</v>
      </c>
      <c r="BW37" s="9">
        <v>0</v>
      </c>
      <c r="BX37" s="9">
        <v>0</v>
      </c>
      <c r="BY37" s="9">
        <v>0</v>
      </c>
      <c r="BZ37" s="9">
        <v>0</v>
      </c>
      <c r="CA37" s="9">
        <v>0</v>
      </c>
      <c r="CB37" s="9">
        <v>0</v>
      </c>
      <c r="CC37" s="9">
        <v>0</v>
      </c>
      <c r="CD37" s="9">
        <v>0</v>
      </c>
      <c r="CE37" s="9">
        <v>0</v>
      </c>
      <c r="CF37" s="9">
        <v>0</v>
      </c>
      <c r="CG37" s="9">
        <v>0</v>
      </c>
      <c r="CH37" s="9">
        <v>0</v>
      </c>
      <c r="CI37" s="9">
        <v>0</v>
      </c>
      <c r="CJ37" s="9">
        <v>0</v>
      </c>
      <c r="CK37" s="9">
        <v>0</v>
      </c>
      <c r="CL37" s="9">
        <v>0</v>
      </c>
      <c r="CM37" s="9">
        <v>0</v>
      </c>
      <c r="CN37" s="9">
        <v>0</v>
      </c>
      <c r="CP37" s="10">
        <f t="shared" si="1"/>
        <v>0</v>
      </c>
      <c r="CQ37" s="20" t="str">
        <f>IFERROR(VLOOKUP($D37,'[2]Mappage de compte'!$B:$G,1,FALSE),"")</f>
        <v>172000</v>
      </c>
      <c r="CR37" s="21" t="str">
        <f>IFERROR(VLOOKUP($D37,'[2]Mappage de compte'!$B:$G,2,FALSE),"")</f>
        <v>Fortis - Créance locat°-Fin.</v>
      </c>
      <c r="CS37" s="22" t="str">
        <f>IFERROR(VLOOKUP($D37,'[2]Mappage de compte'!$B:$G,3,FALSE),"")</f>
        <v>164001</v>
      </c>
      <c r="CT37" s="22" t="str">
        <f>IFERROR(VLOOKUP($D37,'[2]Mappage de compte'!$B:$G,4,FALSE),"")</f>
        <v xml:space="preserve">EMPRUNT BELGIQUE      </v>
      </c>
      <c r="CU37" s="23" t="str">
        <f>IFERROR(VLOOKUP($D37,'[2]Mappage de compte'!$B:$G,5,FALSE),"")</f>
        <v>Passifs courants ou non courants portant intérêts ou non</v>
      </c>
      <c r="CV37" s="23" t="str">
        <f>IFERROR(VLOOKUP($D37,'[2]Mappage de compte'!$B:$G,6,FALSE),"")</f>
        <v>Passifs courants ou non courants</v>
      </c>
    </row>
    <row r="38" spans="1:100" x14ac:dyDescent="0.25">
      <c r="A38" s="8" t="s">
        <v>9</v>
      </c>
      <c r="C38" s="8" t="str">
        <f>"""ORPEA BE"",""010010"",""15"",""1"",""172010"""</f>
        <v>"ORPEA BE","010010","15","1","172010"</v>
      </c>
      <c r="D38" s="8" t="str">
        <f>"172010"</f>
        <v>172010</v>
      </c>
      <c r="E38" s="8" t="str">
        <f t="shared" si="3"/>
        <v>164000</v>
      </c>
      <c r="F38" s="8" t="str">
        <f>"Dexia - Créance locat°-Fin."</f>
        <v>Dexia - Créance locat°-Fin.</v>
      </c>
      <c r="G38" s="8" t="str">
        <f t="shared" si="0"/>
        <v/>
      </c>
      <c r="H38" s="9">
        <v>0</v>
      </c>
      <c r="I38" s="9">
        <v>0</v>
      </c>
      <c r="J38" s="9">
        <v>0</v>
      </c>
      <c r="K38" s="9">
        <v>0</v>
      </c>
      <c r="L38" s="9">
        <v>0</v>
      </c>
      <c r="M38" s="9">
        <v>0</v>
      </c>
      <c r="N38" s="9">
        <v>0</v>
      </c>
      <c r="O38" s="9">
        <v>0</v>
      </c>
      <c r="P38" s="9">
        <v>0</v>
      </c>
      <c r="Q38" s="9">
        <v>0</v>
      </c>
      <c r="R38" s="9">
        <v>0</v>
      </c>
      <c r="S38" s="9">
        <v>0</v>
      </c>
      <c r="T38" s="9">
        <v>0</v>
      </c>
      <c r="U38" s="9">
        <v>0</v>
      </c>
      <c r="V38" s="9">
        <v>0</v>
      </c>
      <c r="W38" s="9">
        <v>0</v>
      </c>
      <c r="X38" s="9">
        <v>0</v>
      </c>
      <c r="Y38" s="9">
        <v>0</v>
      </c>
      <c r="Z38" s="9">
        <v>0</v>
      </c>
      <c r="AA38" s="9">
        <v>0</v>
      </c>
      <c r="AB38" s="9">
        <v>0</v>
      </c>
      <c r="AC38" s="9">
        <v>0</v>
      </c>
      <c r="AD38" s="9">
        <v>0</v>
      </c>
      <c r="AE38" s="9">
        <v>0</v>
      </c>
      <c r="AF38" s="9">
        <v>0</v>
      </c>
      <c r="AG38" s="9">
        <v>0</v>
      </c>
      <c r="AH38" s="9">
        <v>0</v>
      </c>
      <c r="AI38" s="9">
        <v>0</v>
      </c>
      <c r="AJ38" s="9">
        <v>0</v>
      </c>
      <c r="AK38" s="9">
        <v>0</v>
      </c>
      <c r="AL38" s="9">
        <v>0</v>
      </c>
      <c r="AM38" s="9">
        <v>0</v>
      </c>
      <c r="AN38" s="9">
        <v>0</v>
      </c>
      <c r="AO38" s="9">
        <v>0</v>
      </c>
      <c r="AP38" s="9">
        <v>0</v>
      </c>
      <c r="AQ38" s="9">
        <v>0</v>
      </c>
      <c r="AR38" s="9">
        <v>0</v>
      </c>
      <c r="AS38" s="9">
        <v>0</v>
      </c>
      <c r="AT38" s="9">
        <v>0</v>
      </c>
      <c r="AU38" s="9">
        <v>0</v>
      </c>
      <c r="AV38" s="9">
        <v>0</v>
      </c>
      <c r="AW38" s="9">
        <v>0</v>
      </c>
      <c r="AX38" s="9">
        <v>0</v>
      </c>
      <c r="AY38" s="9">
        <v>0</v>
      </c>
      <c r="AZ38" s="9">
        <v>0</v>
      </c>
      <c r="BA38" s="9">
        <v>0</v>
      </c>
      <c r="BB38" s="9">
        <v>0</v>
      </c>
      <c r="BC38" s="9">
        <v>0</v>
      </c>
      <c r="BD38" s="9">
        <v>0</v>
      </c>
      <c r="BE38" s="9">
        <v>0</v>
      </c>
      <c r="BF38" s="9">
        <v>0</v>
      </c>
      <c r="BG38" s="9">
        <v>0</v>
      </c>
      <c r="BH38" s="9">
        <v>0</v>
      </c>
      <c r="BI38" s="9">
        <v>0</v>
      </c>
      <c r="BJ38" s="9">
        <v>0</v>
      </c>
      <c r="BK38" s="9">
        <v>0</v>
      </c>
      <c r="BL38" s="9">
        <v>0</v>
      </c>
      <c r="BM38" s="9">
        <v>0</v>
      </c>
      <c r="BN38" s="9">
        <v>0</v>
      </c>
      <c r="BO38" s="9">
        <v>0</v>
      </c>
      <c r="BP38" s="9">
        <v>0</v>
      </c>
      <c r="BQ38" s="9">
        <v>0</v>
      </c>
      <c r="BR38" s="9">
        <v>0</v>
      </c>
      <c r="BS38" s="9">
        <v>0</v>
      </c>
      <c r="BT38" s="9">
        <v>0</v>
      </c>
      <c r="BU38" s="9">
        <v>0</v>
      </c>
      <c r="BV38" s="9">
        <v>0</v>
      </c>
      <c r="BW38" s="9">
        <v>0</v>
      </c>
      <c r="BX38" s="9">
        <v>0</v>
      </c>
      <c r="BY38" s="9">
        <v>0</v>
      </c>
      <c r="BZ38" s="9">
        <v>0</v>
      </c>
      <c r="CA38" s="9">
        <v>0</v>
      </c>
      <c r="CB38" s="9">
        <v>0</v>
      </c>
      <c r="CC38" s="9">
        <v>0</v>
      </c>
      <c r="CD38" s="9">
        <v>0</v>
      </c>
      <c r="CE38" s="9">
        <v>0</v>
      </c>
      <c r="CF38" s="9">
        <v>0</v>
      </c>
      <c r="CG38" s="9">
        <v>0</v>
      </c>
      <c r="CH38" s="9">
        <v>0</v>
      </c>
      <c r="CI38" s="9">
        <v>0</v>
      </c>
      <c r="CJ38" s="9">
        <v>0</v>
      </c>
      <c r="CK38" s="9">
        <v>0</v>
      </c>
      <c r="CL38" s="9">
        <v>0</v>
      </c>
      <c r="CM38" s="9">
        <v>0</v>
      </c>
      <c r="CN38" s="9">
        <v>0</v>
      </c>
      <c r="CP38" s="10">
        <f t="shared" si="1"/>
        <v>0</v>
      </c>
      <c r="CQ38" s="20" t="str">
        <f>IFERROR(VLOOKUP($D38,'[2]Mappage de compte'!$B:$G,1,FALSE),"")</f>
        <v>172010</v>
      </c>
      <c r="CR38" s="21" t="str">
        <f>IFERROR(VLOOKUP($D38,'[2]Mappage de compte'!$B:$G,2,FALSE),"")</f>
        <v>Dexia - Créance locat°-Fin.</v>
      </c>
      <c r="CS38" s="22" t="str">
        <f>IFERROR(VLOOKUP($D38,'[2]Mappage de compte'!$B:$G,3,FALSE),"")</f>
        <v>164001</v>
      </c>
      <c r="CT38" s="22" t="str">
        <f>IFERROR(VLOOKUP($D38,'[2]Mappage de compte'!$B:$G,4,FALSE),"")</f>
        <v xml:space="preserve">EMPRUNT BELGIQUE      </v>
      </c>
      <c r="CU38" s="23" t="str">
        <f>IFERROR(VLOOKUP($D38,'[2]Mappage de compte'!$B:$G,5,FALSE),"")</f>
        <v>Passifs courants ou non courants portant intérêts ou non</v>
      </c>
      <c r="CV38" s="23" t="str">
        <f>IFERROR(VLOOKUP($D38,'[2]Mappage de compte'!$B:$G,6,FALSE),"")</f>
        <v>Passifs courants ou non courants</v>
      </c>
    </row>
    <row r="39" spans="1:100" x14ac:dyDescent="0.25">
      <c r="A39" s="8" t="s">
        <v>9</v>
      </c>
      <c r="C39" s="8" t="str">
        <f>"""ORPEA BE"",""010010"",""15"",""1"",""172020"""</f>
        <v>"ORPEA BE","010010","15","1","172020"</v>
      </c>
      <c r="D39" s="8" t="str">
        <f>"172020"</f>
        <v>172020</v>
      </c>
      <c r="E39" s="8" t="str">
        <f t="shared" si="3"/>
        <v>164000</v>
      </c>
      <c r="F39" s="8" t="str">
        <f>"ING - Créance locat°-Fin."</f>
        <v>ING - Créance locat°-Fin.</v>
      </c>
      <c r="G39" s="8" t="str">
        <f t="shared" si="0"/>
        <v/>
      </c>
      <c r="H39" s="9">
        <v>0</v>
      </c>
      <c r="I39" s="9">
        <v>0</v>
      </c>
      <c r="J39" s="9">
        <v>0</v>
      </c>
      <c r="K39" s="9">
        <v>0</v>
      </c>
      <c r="L39" s="9">
        <v>0</v>
      </c>
      <c r="M39" s="9">
        <v>0</v>
      </c>
      <c r="N39" s="9">
        <v>0</v>
      </c>
      <c r="O39" s="9">
        <v>0</v>
      </c>
      <c r="P39" s="9">
        <v>0</v>
      </c>
      <c r="Q39" s="9">
        <v>0</v>
      </c>
      <c r="R39" s="9">
        <v>0</v>
      </c>
      <c r="S39" s="9">
        <v>0</v>
      </c>
      <c r="T39" s="9">
        <v>0</v>
      </c>
      <c r="U39" s="9">
        <v>0</v>
      </c>
      <c r="V39" s="9">
        <v>0</v>
      </c>
      <c r="W39" s="9">
        <v>0</v>
      </c>
      <c r="X39" s="9">
        <v>0</v>
      </c>
      <c r="Y39" s="9">
        <v>0</v>
      </c>
      <c r="Z39" s="9">
        <v>0</v>
      </c>
      <c r="AA39" s="9">
        <v>0</v>
      </c>
      <c r="AB39" s="9">
        <v>0</v>
      </c>
      <c r="AC39" s="9">
        <v>0</v>
      </c>
      <c r="AD39" s="9">
        <v>0</v>
      </c>
      <c r="AE39" s="9">
        <v>0</v>
      </c>
      <c r="AF39" s="9">
        <v>0</v>
      </c>
      <c r="AG39" s="9">
        <v>0</v>
      </c>
      <c r="AH39" s="9">
        <v>0</v>
      </c>
      <c r="AI39" s="9">
        <v>0</v>
      </c>
      <c r="AJ39" s="9">
        <v>0</v>
      </c>
      <c r="AK39" s="9">
        <v>0</v>
      </c>
      <c r="AL39" s="9">
        <v>0</v>
      </c>
      <c r="AM39" s="9">
        <v>0</v>
      </c>
      <c r="AN39" s="9">
        <v>0</v>
      </c>
      <c r="AO39" s="9">
        <v>0</v>
      </c>
      <c r="AP39" s="9">
        <v>0</v>
      </c>
      <c r="AQ39" s="9">
        <v>0</v>
      </c>
      <c r="AR39" s="9">
        <v>0</v>
      </c>
      <c r="AS39" s="9">
        <v>0</v>
      </c>
      <c r="AT39" s="9">
        <v>0</v>
      </c>
      <c r="AU39" s="9">
        <v>0</v>
      </c>
      <c r="AV39" s="9">
        <v>0</v>
      </c>
      <c r="AW39" s="9">
        <v>0</v>
      </c>
      <c r="AX39" s="9">
        <v>0</v>
      </c>
      <c r="AY39" s="9">
        <v>0</v>
      </c>
      <c r="AZ39" s="9">
        <v>0</v>
      </c>
      <c r="BA39" s="9">
        <v>0</v>
      </c>
      <c r="BB39" s="9">
        <v>0</v>
      </c>
      <c r="BC39" s="9">
        <v>0</v>
      </c>
      <c r="BD39" s="9">
        <v>0</v>
      </c>
      <c r="BE39" s="9">
        <v>0</v>
      </c>
      <c r="BF39" s="9">
        <v>0</v>
      </c>
      <c r="BG39" s="9">
        <v>0</v>
      </c>
      <c r="BH39" s="9">
        <v>0</v>
      </c>
      <c r="BI39" s="9">
        <v>0</v>
      </c>
      <c r="BJ39" s="9">
        <v>0</v>
      </c>
      <c r="BK39" s="9">
        <v>0</v>
      </c>
      <c r="BL39" s="9">
        <v>0</v>
      </c>
      <c r="BM39" s="9">
        <v>0</v>
      </c>
      <c r="BN39" s="9">
        <v>0</v>
      </c>
      <c r="BO39" s="9">
        <v>0</v>
      </c>
      <c r="BP39" s="9">
        <v>0</v>
      </c>
      <c r="BQ39" s="9">
        <v>0</v>
      </c>
      <c r="BR39" s="9">
        <v>0</v>
      </c>
      <c r="BS39" s="9">
        <v>0</v>
      </c>
      <c r="BT39" s="9">
        <v>0</v>
      </c>
      <c r="BU39" s="9">
        <v>0</v>
      </c>
      <c r="BV39" s="9">
        <v>0</v>
      </c>
      <c r="BW39" s="9">
        <v>0</v>
      </c>
      <c r="BX39" s="9">
        <v>0</v>
      </c>
      <c r="BY39" s="9">
        <v>0</v>
      </c>
      <c r="BZ39" s="9">
        <v>0</v>
      </c>
      <c r="CA39" s="9">
        <v>0</v>
      </c>
      <c r="CB39" s="9">
        <v>0</v>
      </c>
      <c r="CC39" s="9">
        <v>0</v>
      </c>
      <c r="CD39" s="9">
        <v>0</v>
      </c>
      <c r="CE39" s="9">
        <v>0</v>
      </c>
      <c r="CF39" s="9">
        <v>0</v>
      </c>
      <c r="CG39" s="9">
        <v>0</v>
      </c>
      <c r="CH39" s="9">
        <v>0</v>
      </c>
      <c r="CI39" s="9">
        <v>-1701390.0000000002</v>
      </c>
      <c r="CJ39" s="9">
        <v>0</v>
      </c>
      <c r="CK39" s="9">
        <v>0</v>
      </c>
      <c r="CL39" s="9">
        <v>0</v>
      </c>
      <c r="CM39" s="9">
        <v>0</v>
      </c>
      <c r="CN39" s="9">
        <v>0</v>
      </c>
      <c r="CP39" s="10">
        <f t="shared" si="1"/>
        <v>-1701390.0000000002</v>
      </c>
      <c r="CQ39" s="20" t="str">
        <f>IFERROR(VLOOKUP($D39,'[2]Mappage de compte'!$B:$G,1,FALSE),"")</f>
        <v>172020</v>
      </c>
      <c r="CR39" s="21" t="str">
        <f>IFERROR(VLOOKUP($D39,'[2]Mappage de compte'!$B:$G,2,FALSE),"")</f>
        <v>ING - Créance locat°-Fin.</v>
      </c>
      <c r="CS39" s="22" t="str">
        <f>IFERROR(VLOOKUP($D39,'[2]Mappage de compte'!$B:$G,3,FALSE),"")</f>
        <v>164001</v>
      </c>
      <c r="CT39" s="22" t="str">
        <f>IFERROR(VLOOKUP($D39,'[2]Mappage de compte'!$B:$G,4,FALSE),"")</f>
        <v xml:space="preserve">EMPRUNT BELGIQUE      </v>
      </c>
      <c r="CU39" s="23" t="str">
        <f>IFERROR(VLOOKUP($D39,'[2]Mappage de compte'!$B:$G,5,FALSE),"")</f>
        <v>Passifs courants ou non courants portant intérêts ou non</v>
      </c>
      <c r="CV39" s="23" t="str">
        <f>IFERROR(VLOOKUP($D39,'[2]Mappage de compte'!$B:$G,6,FALSE),"")</f>
        <v>Passifs courants ou non courants</v>
      </c>
    </row>
    <row r="40" spans="1:100" x14ac:dyDescent="0.25">
      <c r="A40" s="8" t="s">
        <v>9</v>
      </c>
      <c r="C40" s="8" t="str">
        <f>"""ORPEA BE"",""010010"",""15"",""1"",""172030"""</f>
        <v>"ORPEA BE","010010","15","1","172030"</v>
      </c>
      <c r="D40" s="8" t="str">
        <f>"172030"</f>
        <v>172030</v>
      </c>
      <c r="E40" s="8" t="str">
        <f t="shared" si="3"/>
        <v>164000</v>
      </c>
      <c r="F40" s="8" t="str">
        <f>"CBC - Créance locat°-Fin."</f>
        <v>CBC - Créance locat°-Fin.</v>
      </c>
      <c r="G40" s="8" t="str">
        <f t="shared" si="0"/>
        <v/>
      </c>
      <c r="H40" s="9">
        <v>0</v>
      </c>
      <c r="I40" s="9">
        <v>0</v>
      </c>
      <c r="J40" s="9">
        <v>0</v>
      </c>
      <c r="K40" s="9">
        <v>0</v>
      </c>
      <c r="L40" s="9">
        <v>0</v>
      </c>
      <c r="M40" s="9">
        <v>0</v>
      </c>
      <c r="N40" s="9">
        <v>0</v>
      </c>
      <c r="O40" s="9">
        <v>0</v>
      </c>
      <c r="P40" s="9">
        <v>0</v>
      </c>
      <c r="Q40" s="9">
        <v>0</v>
      </c>
      <c r="R40" s="9">
        <v>0</v>
      </c>
      <c r="S40" s="9">
        <v>0</v>
      </c>
      <c r="T40" s="9">
        <v>0</v>
      </c>
      <c r="U40" s="9">
        <v>0</v>
      </c>
      <c r="V40" s="9">
        <v>0</v>
      </c>
      <c r="W40" s="9">
        <v>0</v>
      </c>
      <c r="X40" s="9">
        <v>0</v>
      </c>
      <c r="Y40" s="9">
        <v>0</v>
      </c>
      <c r="Z40" s="9">
        <v>0</v>
      </c>
      <c r="AA40" s="9">
        <v>0</v>
      </c>
      <c r="AB40" s="9">
        <v>0</v>
      </c>
      <c r="AC40" s="9">
        <v>0</v>
      </c>
      <c r="AD40" s="9">
        <v>0</v>
      </c>
      <c r="AE40" s="9">
        <v>0</v>
      </c>
      <c r="AF40" s="9">
        <v>0</v>
      </c>
      <c r="AG40" s="9">
        <v>0</v>
      </c>
      <c r="AH40" s="9">
        <v>0</v>
      </c>
      <c r="AI40" s="9">
        <v>0</v>
      </c>
      <c r="AJ40" s="9">
        <v>0</v>
      </c>
      <c r="AK40" s="9">
        <v>0</v>
      </c>
      <c r="AL40" s="9">
        <v>0</v>
      </c>
      <c r="AM40" s="9">
        <v>0</v>
      </c>
      <c r="AN40" s="9">
        <v>0</v>
      </c>
      <c r="AO40" s="9">
        <v>0</v>
      </c>
      <c r="AP40" s="9">
        <v>0</v>
      </c>
      <c r="AQ40" s="9">
        <v>0</v>
      </c>
      <c r="AR40" s="9">
        <v>0</v>
      </c>
      <c r="AS40" s="9">
        <v>0</v>
      </c>
      <c r="AT40" s="9">
        <v>0</v>
      </c>
      <c r="AU40" s="9">
        <v>0</v>
      </c>
      <c r="AV40" s="9">
        <v>0</v>
      </c>
      <c r="AW40" s="9">
        <v>0</v>
      </c>
      <c r="AX40" s="9">
        <v>0</v>
      </c>
      <c r="AY40" s="9">
        <v>0</v>
      </c>
      <c r="AZ40" s="9">
        <v>0</v>
      </c>
      <c r="BA40" s="9">
        <v>0</v>
      </c>
      <c r="BB40" s="9">
        <v>0</v>
      </c>
      <c r="BC40" s="9">
        <v>0</v>
      </c>
      <c r="BD40" s="9">
        <v>0</v>
      </c>
      <c r="BE40" s="9">
        <v>0</v>
      </c>
      <c r="BF40" s="9">
        <v>0</v>
      </c>
      <c r="BG40" s="9">
        <v>0</v>
      </c>
      <c r="BH40" s="9">
        <v>0</v>
      </c>
      <c r="BI40" s="9">
        <v>0</v>
      </c>
      <c r="BJ40" s="9">
        <v>0</v>
      </c>
      <c r="BK40" s="9">
        <v>0</v>
      </c>
      <c r="BL40" s="9">
        <v>0</v>
      </c>
      <c r="BM40" s="9">
        <v>0</v>
      </c>
      <c r="BN40" s="9">
        <v>0</v>
      </c>
      <c r="BO40" s="9">
        <v>0</v>
      </c>
      <c r="BP40" s="9">
        <v>0</v>
      </c>
      <c r="BQ40" s="9">
        <v>0</v>
      </c>
      <c r="BR40" s="9">
        <v>0</v>
      </c>
      <c r="BS40" s="9">
        <v>0</v>
      </c>
      <c r="BT40" s="9">
        <v>0</v>
      </c>
      <c r="BU40" s="9">
        <v>0</v>
      </c>
      <c r="BV40" s="9">
        <v>0</v>
      </c>
      <c r="BW40" s="9">
        <v>0</v>
      </c>
      <c r="BX40" s="9">
        <v>0</v>
      </c>
      <c r="BY40" s="9">
        <v>0</v>
      </c>
      <c r="BZ40" s="9">
        <v>0</v>
      </c>
      <c r="CA40" s="9">
        <v>0</v>
      </c>
      <c r="CB40" s="9">
        <v>0</v>
      </c>
      <c r="CC40" s="9">
        <v>0</v>
      </c>
      <c r="CD40" s="9">
        <v>0</v>
      </c>
      <c r="CE40" s="9">
        <v>0</v>
      </c>
      <c r="CF40" s="9">
        <v>0</v>
      </c>
      <c r="CG40" s="9">
        <v>0</v>
      </c>
      <c r="CH40" s="9">
        <v>0</v>
      </c>
      <c r="CI40" s="9">
        <v>0</v>
      </c>
      <c r="CJ40" s="9">
        <v>0</v>
      </c>
      <c r="CK40" s="9">
        <v>0</v>
      </c>
      <c r="CL40" s="9">
        <v>0</v>
      </c>
      <c r="CM40" s="9">
        <v>0</v>
      </c>
      <c r="CN40" s="9">
        <v>0</v>
      </c>
      <c r="CP40" s="10">
        <f t="shared" si="1"/>
        <v>0</v>
      </c>
      <c r="CQ40" s="20" t="str">
        <f>IFERROR(VLOOKUP($D40,'[2]Mappage de compte'!$B:$G,1,FALSE),"")</f>
        <v>172030</v>
      </c>
      <c r="CR40" s="21" t="str">
        <f>IFERROR(VLOOKUP($D40,'[2]Mappage de compte'!$B:$G,2,FALSE),"")</f>
        <v>CBC - Créance locat°-Fin.</v>
      </c>
      <c r="CS40" s="22" t="str">
        <f>IFERROR(VLOOKUP($D40,'[2]Mappage de compte'!$B:$G,3,FALSE),"")</f>
        <v>164001</v>
      </c>
      <c r="CT40" s="22" t="str">
        <f>IFERROR(VLOOKUP($D40,'[2]Mappage de compte'!$B:$G,4,FALSE),"")</f>
        <v xml:space="preserve">EMPRUNT BELGIQUE      </v>
      </c>
      <c r="CU40" s="23" t="str">
        <f>IFERROR(VLOOKUP($D40,'[2]Mappage de compte'!$B:$G,5,FALSE),"")</f>
        <v>Passifs courants ou non courants portant intérêts ou non</v>
      </c>
      <c r="CV40" s="23" t="str">
        <f>IFERROR(VLOOKUP($D40,'[2]Mappage de compte'!$B:$G,6,FALSE),"")</f>
        <v>Passifs courants ou non courants</v>
      </c>
    </row>
    <row r="41" spans="1:100" x14ac:dyDescent="0.25">
      <c r="A41" s="8" t="s">
        <v>9</v>
      </c>
      <c r="C41" s="8" t="str">
        <f>"""ORPEA BE"",""010010"",""15"",""1"",""172040"""</f>
        <v>"ORPEA BE","010010","15","1","172040"</v>
      </c>
      <c r="D41" s="8" t="str">
        <f>"172040"</f>
        <v>172040</v>
      </c>
      <c r="E41" s="8" t="str">
        <f t="shared" si="3"/>
        <v>164000</v>
      </c>
      <c r="F41" s="8" t="str">
        <f>"KBC - Créance locat°-Fin."</f>
        <v>KBC - Créance locat°-Fin.</v>
      </c>
      <c r="G41" s="8" t="str">
        <f t="shared" si="0"/>
        <v/>
      </c>
      <c r="H41" s="9">
        <v>0</v>
      </c>
      <c r="I41" s="9">
        <v>0</v>
      </c>
      <c r="J41" s="9">
        <v>0</v>
      </c>
      <c r="K41" s="9">
        <v>0</v>
      </c>
      <c r="L41" s="9">
        <v>0</v>
      </c>
      <c r="M41" s="9">
        <v>0</v>
      </c>
      <c r="N41" s="9">
        <v>0</v>
      </c>
      <c r="O41" s="9">
        <v>0</v>
      </c>
      <c r="P41" s="9">
        <v>0</v>
      </c>
      <c r="Q41" s="9">
        <v>0</v>
      </c>
      <c r="R41" s="9">
        <v>0</v>
      </c>
      <c r="S41" s="9">
        <v>0</v>
      </c>
      <c r="T41" s="9">
        <v>0</v>
      </c>
      <c r="U41" s="9">
        <v>0</v>
      </c>
      <c r="V41" s="9">
        <v>0</v>
      </c>
      <c r="W41" s="9">
        <v>0</v>
      </c>
      <c r="X41" s="9">
        <v>0</v>
      </c>
      <c r="Y41" s="9">
        <v>0</v>
      </c>
      <c r="Z41" s="9">
        <v>0</v>
      </c>
      <c r="AA41" s="9">
        <v>0</v>
      </c>
      <c r="AB41" s="9">
        <v>0</v>
      </c>
      <c r="AC41" s="9">
        <v>0</v>
      </c>
      <c r="AD41" s="9">
        <v>0</v>
      </c>
      <c r="AE41" s="9">
        <v>0</v>
      </c>
      <c r="AF41" s="9">
        <v>0</v>
      </c>
      <c r="AG41" s="9">
        <v>0</v>
      </c>
      <c r="AH41" s="9">
        <v>0</v>
      </c>
      <c r="AI41" s="9">
        <v>0</v>
      </c>
      <c r="AJ41" s="9">
        <v>0</v>
      </c>
      <c r="AK41" s="9">
        <v>0</v>
      </c>
      <c r="AL41" s="9">
        <v>0</v>
      </c>
      <c r="AM41" s="9">
        <v>0</v>
      </c>
      <c r="AN41" s="9">
        <v>0</v>
      </c>
      <c r="AO41" s="9">
        <v>0</v>
      </c>
      <c r="AP41" s="9">
        <v>0</v>
      </c>
      <c r="AQ41" s="9">
        <v>0</v>
      </c>
      <c r="AR41" s="9">
        <v>0</v>
      </c>
      <c r="AS41" s="9">
        <v>0</v>
      </c>
      <c r="AT41" s="9">
        <v>0</v>
      </c>
      <c r="AU41" s="9">
        <v>0</v>
      </c>
      <c r="AV41" s="9">
        <v>0</v>
      </c>
      <c r="AW41" s="9">
        <v>0</v>
      </c>
      <c r="AX41" s="9">
        <v>0</v>
      </c>
      <c r="AY41" s="9">
        <v>0</v>
      </c>
      <c r="AZ41" s="9">
        <v>0</v>
      </c>
      <c r="BA41" s="9">
        <v>0</v>
      </c>
      <c r="BB41" s="9">
        <v>0</v>
      </c>
      <c r="BC41" s="9">
        <v>0</v>
      </c>
      <c r="BD41" s="9">
        <v>0</v>
      </c>
      <c r="BE41" s="9">
        <v>0</v>
      </c>
      <c r="BF41" s="9">
        <v>0</v>
      </c>
      <c r="BG41" s="9">
        <v>0</v>
      </c>
      <c r="BH41" s="9">
        <v>0</v>
      </c>
      <c r="BI41" s="9">
        <v>0</v>
      </c>
      <c r="BJ41" s="9">
        <v>0</v>
      </c>
      <c r="BK41" s="9">
        <v>0</v>
      </c>
      <c r="BL41" s="9">
        <v>0</v>
      </c>
      <c r="BM41" s="9">
        <v>0</v>
      </c>
      <c r="BN41" s="9">
        <v>0</v>
      </c>
      <c r="BO41" s="9">
        <v>0</v>
      </c>
      <c r="BP41" s="9">
        <v>0</v>
      </c>
      <c r="BQ41" s="9">
        <v>0</v>
      </c>
      <c r="BR41" s="9">
        <v>0</v>
      </c>
      <c r="BS41" s="9">
        <v>0</v>
      </c>
      <c r="BT41" s="9">
        <v>0</v>
      </c>
      <c r="BU41" s="9">
        <v>0</v>
      </c>
      <c r="BV41" s="9">
        <v>0</v>
      </c>
      <c r="BW41" s="9">
        <v>0</v>
      </c>
      <c r="BX41" s="9">
        <v>0</v>
      </c>
      <c r="BY41" s="9">
        <v>0</v>
      </c>
      <c r="BZ41" s="9">
        <v>0</v>
      </c>
      <c r="CA41" s="9">
        <v>0</v>
      </c>
      <c r="CB41" s="9">
        <v>0</v>
      </c>
      <c r="CC41" s="9">
        <v>0</v>
      </c>
      <c r="CD41" s="9">
        <v>0</v>
      </c>
      <c r="CE41" s="9">
        <v>0</v>
      </c>
      <c r="CF41" s="9">
        <v>0</v>
      </c>
      <c r="CG41" s="9">
        <v>0</v>
      </c>
      <c r="CH41" s="9">
        <v>0</v>
      </c>
      <c r="CI41" s="9">
        <v>0</v>
      </c>
      <c r="CJ41" s="9">
        <v>0</v>
      </c>
      <c r="CK41" s="9">
        <v>0</v>
      </c>
      <c r="CL41" s="9">
        <v>0</v>
      </c>
      <c r="CM41" s="9">
        <v>0</v>
      </c>
      <c r="CN41" s="9">
        <v>0</v>
      </c>
      <c r="CP41" s="10">
        <f t="shared" si="1"/>
        <v>0</v>
      </c>
      <c r="CQ41" s="20" t="str">
        <f>IFERROR(VLOOKUP($D41,'[2]Mappage de compte'!$B:$G,1,FALSE),"")</f>
        <v>172040</v>
      </c>
      <c r="CR41" s="21" t="str">
        <f>IFERROR(VLOOKUP($D41,'[2]Mappage de compte'!$B:$G,2,FALSE),"")</f>
        <v>KBC - Créance locat°-Fin.</v>
      </c>
      <c r="CS41" s="22" t="str">
        <f>IFERROR(VLOOKUP($D41,'[2]Mappage de compte'!$B:$G,3,FALSE),"")</f>
        <v>164001</v>
      </c>
      <c r="CT41" s="22" t="str">
        <f>IFERROR(VLOOKUP($D41,'[2]Mappage de compte'!$B:$G,4,FALSE),"")</f>
        <v xml:space="preserve">EMPRUNT BELGIQUE      </v>
      </c>
      <c r="CU41" s="23" t="str">
        <f>IFERROR(VLOOKUP($D41,'[2]Mappage de compte'!$B:$G,5,FALSE),"")</f>
        <v>Passifs courants ou non courants portant intérêts ou non</v>
      </c>
      <c r="CV41" s="23" t="str">
        <f>IFERROR(VLOOKUP($D41,'[2]Mappage de compte'!$B:$G,6,FALSE),"")</f>
        <v>Passifs courants ou non courants</v>
      </c>
    </row>
    <row r="42" spans="1:100" x14ac:dyDescent="0.25">
      <c r="A42" s="8" t="s">
        <v>9</v>
      </c>
      <c r="C42" s="8" t="str">
        <f>"""ORPEA BE"",""010010"",""15"",""1"",""172050"""</f>
        <v>"ORPEA BE","010010","15","1","172050"</v>
      </c>
      <c r="D42" s="8" t="str">
        <f>"172050"</f>
        <v>172050</v>
      </c>
      <c r="E42" s="8" t="str">
        <f t="shared" si="3"/>
        <v>164000</v>
      </c>
      <c r="F42" s="8" t="str">
        <f>"AXA - Créance locat°-Fin."</f>
        <v>AXA - Créance locat°-Fin.</v>
      </c>
      <c r="G42" s="8" t="str">
        <f t="shared" si="0"/>
        <v/>
      </c>
      <c r="H42" s="9">
        <v>0</v>
      </c>
      <c r="I42" s="9">
        <v>0</v>
      </c>
      <c r="J42" s="9">
        <v>0</v>
      </c>
      <c r="K42" s="9">
        <v>0</v>
      </c>
      <c r="L42" s="9">
        <v>0</v>
      </c>
      <c r="M42" s="9">
        <v>0</v>
      </c>
      <c r="N42" s="9">
        <v>0</v>
      </c>
      <c r="O42" s="9">
        <v>0</v>
      </c>
      <c r="P42" s="9">
        <v>0</v>
      </c>
      <c r="Q42" s="9">
        <v>0</v>
      </c>
      <c r="R42" s="9">
        <v>0</v>
      </c>
      <c r="S42" s="9">
        <v>0</v>
      </c>
      <c r="T42" s="9">
        <v>0</v>
      </c>
      <c r="U42" s="9">
        <v>0</v>
      </c>
      <c r="V42" s="9">
        <v>0</v>
      </c>
      <c r="W42" s="9">
        <v>0</v>
      </c>
      <c r="X42" s="9">
        <v>0</v>
      </c>
      <c r="Y42" s="9">
        <v>0</v>
      </c>
      <c r="Z42" s="9">
        <v>0</v>
      </c>
      <c r="AA42" s="9">
        <v>0</v>
      </c>
      <c r="AB42" s="9">
        <v>0</v>
      </c>
      <c r="AC42" s="9">
        <v>0</v>
      </c>
      <c r="AD42" s="9">
        <v>0</v>
      </c>
      <c r="AE42" s="9">
        <v>0</v>
      </c>
      <c r="AF42" s="9">
        <v>0</v>
      </c>
      <c r="AG42" s="9">
        <v>0</v>
      </c>
      <c r="AH42" s="9">
        <v>0</v>
      </c>
      <c r="AI42" s="9">
        <v>0</v>
      </c>
      <c r="AJ42" s="9">
        <v>0</v>
      </c>
      <c r="AK42" s="9">
        <v>0</v>
      </c>
      <c r="AL42" s="9">
        <v>0</v>
      </c>
      <c r="AM42" s="9">
        <v>0</v>
      </c>
      <c r="AN42" s="9">
        <v>0</v>
      </c>
      <c r="AO42" s="9">
        <v>0</v>
      </c>
      <c r="AP42" s="9">
        <v>0</v>
      </c>
      <c r="AQ42" s="9">
        <v>0</v>
      </c>
      <c r="AR42" s="9">
        <v>0</v>
      </c>
      <c r="AS42" s="9">
        <v>0</v>
      </c>
      <c r="AT42" s="9">
        <v>0</v>
      </c>
      <c r="AU42" s="9">
        <v>0</v>
      </c>
      <c r="AV42" s="9">
        <v>0</v>
      </c>
      <c r="AW42" s="9">
        <v>0</v>
      </c>
      <c r="AX42" s="9">
        <v>0</v>
      </c>
      <c r="AY42" s="9">
        <v>0</v>
      </c>
      <c r="AZ42" s="9">
        <v>0</v>
      </c>
      <c r="BA42" s="9">
        <v>0</v>
      </c>
      <c r="BB42" s="9">
        <v>0</v>
      </c>
      <c r="BC42" s="9">
        <v>0</v>
      </c>
      <c r="BD42" s="9">
        <v>0</v>
      </c>
      <c r="BE42" s="9">
        <v>0</v>
      </c>
      <c r="BF42" s="9">
        <v>0</v>
      </c>
      <c r="BG42" s="9">
        <v>0</v>
      </c>
      <c r="BH42" s="9">
        <v>0</v>
      </c>
      <c r="BI42" s="9">
        <v>0</v>
      </c>
      <c r="BJ42" s="9">
        <v>0</v>
      </c>
      <c r="BK42" s="9">
        <v>0</v>
      </c>
      <c r="BL42" s="9">
        <v>0</v>
      </c>
      <c r="BM42" s="9">
        <v>0</v>
      </c>
      <c r="BN42" s="9">
        <v>0</v>
      </c>
      <c r="BO42" s="9">
        <v>0</v>
      </c>
      <c r="BP42" s="9">
        <v>0</v>
      </c>
      <c r="BQ42" s="9">
        <v>0</v>
      </c>
      <c r="BR42" s="9">
        <v>0</v>
      </c>
      <c r="BS42" s="9">
        <v>0</v>
      </c>
      <c r="BT42" s="9">
        <v>0</v>
      </c>
      <c r="BU42" s="9">
        <v>0</v>
      </c>
      <c r="BV42" s="9">
        <v>0</v>
      </c>
      <c r="BW42" s="9">
        <v>0</v>
      </c>
      <c r="BX42" s="9">
        <v>0</v>
      </c>
      <c r="BY42" s="9">
        <v>0</v>
      </c>
      <c r="BZ42" s="9">
        <v>0</v>
      </c>
      <c r="CA42" s="9">
        <v>0</v>
      </c>
      <c r="CB42" s="9">
        <v>0</v>
      </c>
      <c r="CC42" s="9">
        <v>0</v>
      </c>
      <c r="CD42" s="9">
        <v>0</v>
      </c>
      <c r="CE42" s="9">
        <v>0</v>
      </c>
      <c r="CF42" s="9">
        <v>0</v>
      </c>
      <c r="CG42" s="9">
        <v>0</v>
      </c>
      <c r="CH42" s="9">
        <v>0</v>
      </c>
      <c r="CI42" s="9">
        <v>0</v>
      </c>
      <c r="CJ42" s="9">
        <v>0</v>
      </c>
      <c r="CK42" s="9">
        <v>0</v>
      </c>
      <c r="CL42" s="9">
        <v>0</v>
      </c>
      <c r="CM42" s="9">
        <v>0</v>
      </c>
      <c r="CN42" s="9">
        <v>0</v>
      </c>
      <c r="CP42" s="10">
        <f t="shared" si="1"/>
        <v>0</v>
      </c>
      <c r="CQ42" s="20" t="str">
        <f>IFERROR(VLOOKUP($D42,'[2]Mappage de compte'!$B:$G,1,FALSE),"")</f>
        <v>172050</v>
      </c>
      <c r="CR42" s="21" t="str">
        <f>IFERROR(VLOOKUP($D42,'[2]Mappage de compte'!$B:$G,2,FALSE),"")</f>
        <v>AXA - Créance locat°-Fin.</v>
      </c>
      <c r="CS42" s="22" t="str">
        <f>IFERROR(VLOOKUP($D42,'[2]Mappage de compte'!$B:$G,3,FALSE),"")</f>
        <v>164001</v>
      </c>
      <c r="CT42" s="22" t="str">
        <f>IFERROR(VLOOKUP($D42,'[2]Mappage de compte'!$B:$G,4,FALSE),"")</f>
        <v xml:space="preserve">EMPRUNT BELGIQUE      </v>
      </c>
      <c r="CU42" s="23" t="str">
        <f>IFERROR(VLOOKUP($D42,'[2]Mappage de compte'!$B:$G,5,FALSE),"")</f>
        <v>Passifs courants ou non courants portant intérêts ou non</v>
      </c>
      <c r="CV42" s="23" t="str">
        <f>IFERROR(VLOOKUP($D42,'[2]Mappage de compte'!$B:$G,6,FALSE),"")</f>
        <v>Passifs courants ou non courants</v>
      </c>
    </row>
    <row r="43" spans="1:100" x14ac:dyDescent="0.25">
      <c r="A43" s="8" t="s">
        <v>9</v>
      </c>
      <c r="C43" s="8" t="str">
        <f>"""ORPEA BE"",""010010"",""15"",""1"",""172060"""</f>
        <v>"ORPEA BE","010010","15","1","172060"</v>
      </c>
      <c r="D43" s="8" t="str">
        <f>"172060"</f>
        <v>172060</v>
      </c>
      <c r="E43" s="8" t="str">
        <f t="shared" si="3"/>
        <v>164000</v>
      </c>
      <c r="F43" s="8" t="str">
        <f>"Vanbreda - Créance locat°-Fin."</f>
        <v>Vanbreda - Créance locat°-Fin.</v>
      </c>
      <c r="G43" s="8" t="str">
        <f t="shared" si="0"/>
        <v/>
      </c>
      <c r="H43" s="9">
        <v>0</v>
      </c>
      <c r="I43" s="9">
        <v>0</v>
      </c>
      <c r="J43" s="9">
        <v>0</v>
      </c>
      <c r="K43" s="9">
        <v>0</v>
      </c>
      <c r="L43" s="9">
        <v>0</v>
      </c>
      <c r="M43" s="9">
        <v>0</v>
      </c>
      <c r="N43" s="9">
        <v>0</v>
      </c>
      <c r="O43" s="9">
        <v>0</v>
      </c>
      <c r="P43" s="9">
        <v>0</v>
      </c>
      <c r="Q43" s="9">
        <v>0</v>
      </c>
      <c r="R43" s="9">
        <v>0</v>
      </c>
      <c r="S43" s="9">
        <v>0</v>
      </c>
      <c r="T43" s="9">
        <v>0</v>
      </c>
      <c r="U43" s="9">
        <v>0</v>
      </c>
      <c r="V43" s="9">
        <v>0</v>
      </c>
      <c r="W43" s="9">
        <v>0</v>
      </c>
      <c r="X43" s="9">
        <v>0</v>
      </c>
      <c r="Y43" s="9">
        <v>0</v>
      </c>
      <c r="Z43" s="9">
        <v>0</v>
      </c>
      <c r="AA43" s="9">
        <v>0</v>
      </c>
      <c r="AB43" s="9">
        <v>0</v>
      </c>
      <c r="AC43" s="9">
        <v>0</v>
      </c>
      <c r="AD43" s="9">
        <v>0</v>
      </c>
      <c r="AE43" s="9">
        <v>0</v>
      </c>
      <c r="AF43" s="9">
        <v>0</v>
      </c>
      <c r="AG43" s="9">
        <v>0</v>
      </c>
      <c r="AH43" s="9">
        <v>0</v>
      </c>
      <c r="AI43" s="9">
        <v>0</v>
      </c>
      <c r="AJ43" s="9">
        <v>0</v>
      </c>
      <c r="AK43" s="9">
        <v>0</v>
      </c>
      <c r="AL43" s="9">
        <v>0</v>
      </c>
      <c r="AM43" s="9">
        <v>0</v>
      </c>
      <c r="AN43" s="9">
        <v>0</v>
      </c>
      <c r="AO43" s="9">
        <v>0</v>
      </c>
      <c r="AP43" s="9">
        <v>0</v>
      </c>
      <c r="AQ43" s="9">
        <v>0</v>
      </c>
      <c r="AR43" s="9">
        <v>0</v>
      </c>
      <c r="AS43" s="9">
        <v>0</v>
      </c>
      <c r="AT43" s="9">
        <v>0</v>
      </c>
      <c r="AU43" s="9">
        <v>0</v>
      </c>
      <c r="AV43" s="9">
        <v>0</v>
      </c>
      <c r="AW43" s="9">
        <v>0</v>
      </c>
      <c r="AX43" s="9">
        <v>0</v>
      </c>
      <c r="AY43" s="9">
        <v>0</v>
      </c>
      <c r="AZ43" s="9">
        <v>0</v>
      </c>
      <c r="BA43" s="9">
        <v>0</v>
      </c>
      <c r="BB43" s="9">
        <v>0</v>
      </c>
      <c r="BC43" s="9">
        <v>0</v>
      </c>
      <c r="BD43" s="9">
        <v>0</v>
      </c>
      <c r="BE43" s="9">
        <v>0</v>
      </c>
      <c r="BF43" s="9">
        <v>0</v>
      </c>
      <c r="BG43" s="9">
        <v>0</v>
      </c>
      <c r="BH43" s="9">
        <v>0</v>
      </c>
      <c r="BI43" s="9">
        <v>0</v>
      </c>
      <c r="BJ43" s="9">
        <v>0</v>
      </c>
      <c r="BK43" s="9">
        <v>0</v>
      </c>
      <c r="BL43" s="9">
        <v>0</v>
      </c>
      <c r="BM43" s="9">
        <v>0</v>
      </c>
      <c r="BN43" s="9">
        <v>0</v>
      </c>
      <c r="BO43" s="9">
        <v>0</v>
      </c>
      <c r="BP43" s="9">
        <v>0</v>
      </c>
      <c r="BQ43" s="9">
        <v>0</v>
      </c>
      <c r="BR43" s="9">
        <v>0</v>
      </c>
      <c r="BS43" s="9">
        <v>0</v>
      </c>
      <c r="BT43" s="9">
        <v>-10138542.23</v>
      </c>
      <c r="BU43" s="9">
        <v>0</v>
      </c>
      <c r="BV43" s="9">
        <v>0</v>
      </c>
      <c r="BW43" s="9">
        <v>0</v>
      </c>
      <c r="BX43" s="9">
        <v>0</v>
      </c>
      <c r="BY43" s="9">
        <v>0</v>
      </c>
      <c r="BZ43" s="9">
        <v>0</v>
      </c>
      <c r="CA43" s="9">
        <v>0</v>
      </c>
      <c r="CB43" s="9">
        <v>0</v>
      </c>
      <c r="CC43" s="9">
        <v>0</v>
      </c>
      <c r="CD43" s="9">
        <v>0</v>
      </c>
      <c r="CE43" s="9">
        <v>0</v>
      </c>
      <c r="CF43" s="9">
        <v>0</v>
      </c>
      <c r="CG43" s="9">
        <v>0</v>
      </c>
      <c r="CH43" s="9">
        <v>0</v>
      </c>
      <c r="CI43" s="9">
        <v>0</v>
      </c>
      <c r="CJ43" s="9">
        <v>0</v>
      </c>
      <c r="CK43" s="9">
        <v>0</v>
      </c>
      <c r="CL43" s="9">
        <v>0</v>
      </c>
      <c r="CM43" s="9">
        <v>0</v>
      </c>
      <c r="CN43" s="9">
        <v>0</v>
      </c>
      <c r="CP43" s="10">
        <f t="shared" si="1"/>
        <v>-10138542.23</v>
      </c>
      <c r="CQ43" s="20" t="str">
        <f>IFERROR(VLOOKUP($D43,'[2]Mappage de compte'!$B:$G,1,FALSE),"")</f>
        <v>172060</v>
      </c>
      <c r="CR43" s="21" t="str">
        <f>IFERROR(VLOOKUP($D43,'[2]Mappage de compte'!$B:$G,2,FALSE),"")</f>
        <v>Vanbreda - Créance locat°-Fin.</v>
      </c>
      <c r="CS43" s="22" t="str">
        <f>IFERROR(VLOOKUP($D43,'[2]Mappage de compte'!$B:$G,3,FALSE),"")</f>
        <v>164001</v>
      </c>
      <c r="CT43" s="22" t="str">
        <f>IFERROR(VLOOKUP($D43,'[2]Mappage de compte'!$B:$G,4,FALSE),"")</f>
        <v xml:space="preserve">EMPRUNT BELGIQUE      </v>
      </c>
      <c r="CU43" s="23" t="str">
        <f>IFERROR(VLOOKUP($D43,'[2]Mappage de compte'!$B:$G,5,FALSE),"")</f>
        <v>Passifs courants ou non courants portant intérêts ou non</v>
      </c>
      <c r="CV43" s="23" t="str">
        <f>IFERROR(VLOOKUP($D43,'[2]Mappage de compte'!$B:$G,6,FALSE),"")</f>
        <v>Passifs courants ou non courants</v>
      </c>
    </row>
    <row r="44" spans="1:100" x14ac:dyDescent="0.25">
      <c r="A44" s="8" t="s">
        <v>9</v>
      </c>
      <c r="C44" s="8" t="str">
        <f>"""ORPEA BE"",""010010"",""15"",""1"",""172070"""</f>
        <v>"ORPEA BE","010010","15","1","172070"</v>
      </c>
      <c r="D44" s="8" t="str">
        <f>"172070"</f>
        <v>172070</v>
      </c>
      <c r="E44" s="8" t="str">
        <f t="shared" si="3"/>
        <v>164000</v>
      </c>
      <c r="F44" s="8" t="str">
        <f>"XXX - Créance locat°-Fin."</f>
        <v>XXX - Créance locat°-Fin.</v>
      </c>
      <c r="G44" s="8" t="str">
        <f t="shared" si="0"/>
        <v/>
      </c>
      <c r="H44" s="9">
        <v>0</v>
      </c>
      <c r="I44" s="9">
        <v>0</v>
      </c>
      <c r="J44" s="9">
        <v>0</v>
      </c>
      <c r="K44" s="9">
        <v>0</v>
      </c>
      <c r="L44" s="9">
        <v>0</v>
      </c>
      <c r="M44" s="9">
        <v>0</v>
      </c>
      <c r="N44" s="9">
        <v>0</v>
      </c>
      <c r="O44" s="9">
        <v>0</v>
      </c>
      <c r="P44" s="9">
        <v>0</v>
      </c>
      <c r="Q44" s="9">
        <v>0</v>
      </c>
      <c r="R44" s="9">
        <v>0</v>
      </c>
      <c r="S44" s="9">
        <v>0</v>
      </c>
      <c r="T44" s="9">
        <v>0</v>
      </c>
      <c r="U44" s="9">
        <v>0</v>
      </c>
      <c r="V44" s="9">
        <v>0</v>
      </c>
      <c r="W44" s="9">
        <v>0</v>
      </c>
      <c r="X44" s="9">
        <v>0</v>
      </c>
      <c r="Y44" s="9">
        <v>0</v>
      </c>
      <c r="Z44" s="9">
        <v>0</v>
      </c>
      <c r="AA44" s="9">
        <v>0</v>
      </c>
      <c r="AB44" s="9">
        <v>0</v>
      </c>
      <c r="AC44" s="9">
        <v>0</v>
      </c>
      <c r="AD44" s="9">
        <v>0</v>
      </c>
      <c r="AE44" s="9">
        <v>0</v>
      </c>
      <c r="AF44" s="9">
        <v>0</v>
      </c>
      <c r="AG44" s="9">
        <v>0</v>
      </c>
      <c r="AH44" s="9">
        <v>0</v>
      </c>
      <c r="AI44" s="9">
        <v>0</v>
      </c>
      <c r="AJ44" s="9">
        <v>0</v>
      </c>
      <c r="AK44" s="9">
        <v>0</v>
      </c>
      <c r="AL44" s="9">
        <v>0</v>
      </c>
      <c r="AM44" s="9">
        <v>0</v>
      </c>
      <c r="AN44" s="9">
        <v>0</v>
      </c>
      <c r="AO44" s="9">
        <v>0</v>
      </c>
      <c r="AP44" s="9">
        <v>0</v>
      </c>
      <c r="AQ44" s="9">
        <v>0</v>
      </c>
      <c r="AR44" s="9">
        <v>0</v>
      </c>
      <c r="AS44" s="9">
        <v>0</v>
      </c>
      <c r="AT44" s="9">
        <v>0</v>
      </c>
      <c r="AU44" s="9">
        <v>0</v>
      </c>
      <c r="AV44" s="9">
        <v>0</v>
      </c>
      <c r="AW44" s="9">
        <v>0</v>
      </c>
      <c r="AX44" s="9">
        <v>0</v>
      </c>
      <c r="AY44" s="9">
        <v>0</v>
      </c>
      <c r="AZ44" s="9">
        <v>0</v>
      </c>
      <c r="BA44" s="9">
        <v>0</v>
      </c>
      <c r="BB44" s="9">
        <v>0</v>
      </c>
      <c r="BC44" s="9">
        <v>0</v>
      </c>
      <c r="BD44" s="9">
        <v>0</v>
      </c>
      <c r="BE44" s="9">
        <v>0</v>
      </c>
      <c r="BF44" s="9">
        <v>0</v>
      </c>
      <c r="BG44" s="9">
        <v>0</v>
      </c>
      <c r="BH44" s="9">
        <v>0</v>
      </c>
      <c r="BI44" s="9">
        <v>0</v>
      </c>
      <c r="BJ44" s="9">
        <v>0</v>
      </c>
      <c r="BK44" s="9">
        <v>0</v>
      </c>
      <c r="BL44" s="9">
        <v>0</v>
      </c>
      <c r="BM44" s="9">
        <v>0</v>
      </c>
      <c r="BN44" s="9">
        <v>0</v>
      </c>
      <c r="BO44" s="9">
        <v>0</v>
      </c>
      <c r="BP44" s="9">
        <v>0</v>
      </c>
      <c r="BQ44" s="9">
        <v>0</v>
      </c>
      <c r="BR44" s="9">
        <v>0</v>
      </c>
      <c r="BS44" s="9">
        <v>0</v>
      </c>
      <c r="BT44" s="9">
        <v>0</v>
      </c>
      <c r="BU44" s="9">
        <v>0</v>
      </c>
      <c r="BV44" s="9">
        <v>0</v>
      </c>
      <c r="BW44" s="9">
        <v>0</v>
      </c>
      <c r="BX44" s="9">
        <v>0</v>
      </c>
      <c r="BY44" s="9">
        <v>0</v>
      </c>
      <c r="BZ44" s="9">
        <v>0</v>
      </c>
      <c r="CA44" s="9">
        <v>0</v>
      </c>
      <c r="CB44" s="9">
        <v>0</v>
      </c>
      <c r="CC44" s="9">
        <v>0</v>
      </c>
      <c r="CD44" s="9">
        <v>0</v>
      </c>
      <c r="CE44" s="9">
        <v>0</v>
      </c>
      <c r="CF44" s="9">
        <v>0</v>
      </c>
      <c r="CG44" s="9">
        <v>0</v>
      </c>
      <c r="CH44" s="9">
        <v>0</v>
      </c>
      <c r="CI44" s="9">
        <v>0</v>
      </c>
      <c r="CJ44" s="9">
        <v>0</v>
      </c>
      <c r="CK44" s="9">
        <v>0</v>
      </c>
      <c r="CL44" s="9">
        <v>0</v>
      </c>
      <c r="CM44" s="9">
        <v>0</v>
      </c>
      <c r="CN44" s="9">
        <v>0</v>
      </c>
      <c r="CP44" s="10">
        <f t="shared" si="1"/>
        <v>0</v>
      </c>
      <c r="CQ44" s="20" t="str">
        <f>IFERROR(VLOOKUP($D44,'[2]Mappage de compte'!$B:$G,1,FALSE),"")</f>
        <v>172070</v>
      </c>
      <c r="CR44" s="21" t="str">
        <f>IFERROR(VLOOKUP($D44,'[2]Mappage de compte'!$B:$G,2,FALSE),"")</f>
        <v>XXX - Créance locat°-Fin.</v>
      </c>
      <c r="CS44" s="22" t="str">
        <f>IFERROR(VLOOKUP($D44,'[2]Mappage de compte'!$B:$G,3,FALSE),"")</f>
        <v>164001</v>
      </c>
      <c r="CT44" s="22" t="str">
        <f>IFERROR(VLOOKUP($D44,'[2]Mappage de compte'!$B:$G,4,FALSE),"")</f>
        <v xml:space="preserve">EMPRUNT BELGIQUE      </v>
      </c>
      <c r="CU44" s="23" t="str">
        <f>IFERROR(VLOOKUP($D44,'[2]Mappage de compte'!$B:$G,5,FALSE),"")</f>
        <v>Passifs courants ou non courants portant intérêts ou non</v>
      </c>
      <c r="CV44" s="23" t="str">
        <f>IFERROR(VLOOKUP($D44,'[2]Mappage de compte'!$B:$G,6,FALSE),"")</f>
        <v>Passifs courants ou non courants</v>
      </c>
    </row>
    <row r="45" spans="1:100" x14ac:dyDescent="0.25">
      <c r="A45" s="8" t="s">
        <v>9</v>
      </c>
      <c r="C45" s="8" t="str">
        <f>"""ORPEA BE"",""010010"",""15"",""1"",""172080"""</f>
        <v>"ORPEA BE","010010","15","1","172080"</v>
      </c>
      <c r="D45" s="8" t="str">
        <f>"172080"</f>
        <v>172080</v>
      </c>
      <c r="E45" s="8" t="str">
        <f t="shared" si="3"/>
        <v>164000</v>
      </c>
      <c r="F45" s="8" t="str">
        <f>"XXX - Créance locat°-Fin."</f>
        <v>XXX - Créance locat°-Fin.</v>
      </c>
      <c r="G45" s="8" t="str">
        <f t="shared" si="0"/>
        <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v>0</v>
      </c>
      <c r="Z45" s="9">
        <v>0</v>
      </c>
      <c r="AA45" s="9">
        <v>0</v>
      </c>
      <c r="AB45" s="9">
        <v>0</v>
      </c>
      <c r="AC45" s="9">
        <v>0</v>
      </c>
      <c r="AD45" s="9">
        <v>0</v>
      </c>
      <c r="AE45" s="9">
        <v>0</v>
      </c>
      <c r="AF45" s="9">
        <v>0</v>
      </c>
      <c r="AG45" s="9">
        <v>0</v>
      </c>
      <c r="AH45" s="9">
        <v>0</v>
      </c>
      <c r="AI45" s="9">
        <v>0</v>
      </c>
      <c r="AJ45" s="9">
        <v>0</v>
      </c>
      <c r="AK45" s="9">
        <v>0</v>
      </c>
      <c r="AL45" s="9">
        <v>0</v>
      </c>
      <c r="AM45" s="9">
        <v>0</v>
      </c>
      <c r="AN45" s="9">
        <v>0</v>
      </c>
      <c r="AO45" s="9">
        <v>0</v>
      </c>
      <c r="AP45" s="9">
        <v>0</v>
      </c>
      <c r="AQ45" s="9">
        <v>0</v>
      </c>
      <c r="AR45" s="9">
        <v>0</v>
      </c>
      <c r="AS45" s="9">
        <v>0</v>
      </c>
      <c r="AT45" s="9">
        <v>0</v>
      </c>
      <c r="AU45" s="9">
        <v>0</v>
      </c>
      <c r="AV45" s="9">
        <v>0</v>
      </c>
      <c r="AW45" s="9">
        <v>0</v>
      </c>
      <c r="AX45" s="9">
        <v>0</v>
      </c>
      <c r="AY45" s="9">
        <v>0</v>
      </c>
      <c r="AZ45" s="9">
        <v>0</v>
      </c>
      <c r="BA45" s="9">
        <v>0</v>
      </c>
      <c r="BB45" s="9">
        <v>0</v>
      </c>
      <c r="BC45" s="9">
        <v>0</v>
      </c>
      <c r="BD45" s="9">
        <v>0</v>
      </c>
      <c r="BE45" s="9">
        <v>0</v>
      </c>
      <c r="BF45" s="9">
        <v>0</v>
      </c>
      <c r="BG45" s="9">
        <v>0</v>
      </c>
      <c r="BH45" s="9">
        <v>0</v>
      </c>
      <c r="BI45" s="9">
        <v>0</v>
      </c>
      <c r="BJ45" s="9">
        <v>0</v>
      </c>
      <c r="BK45" s="9">
        <v>0</v>
      </c>
      <c r="BL45" s="9">
        <v>0</v>
      </c>
      <c r="BM45" s="9">
        <v>0</v>
      </c>
      <c r="BN45" s="9">
        <v>0</v>
      </c>
      <c r="BO45" s="9">
        <v>0</v>
      </c>
      <c r="BP45" s="9">
        <v>0</v>
      </c>
      <c r="BQ45" s="9">
        <v>0</v>
      </c>
      <c r="BR45" s="9">
        <v>0</v>
      </c>
      <c r="BS45" s="9">
        <v>0</v>
      </c>
      <c r="BT45" s="9">
        <v>0</v>
      </c>
      <c r="BU45" s="9">
        <v>0</v>
      </c>
      <c r="BV45" s="9">
        <v>0</v>
      </c>
      <c r="BW45" s="9">
        <v>0</v>
      </c>
      <c r="BX45" s="9">
        <v>0</v>
      </c>
      <c r="BY45" s="9">
        <v>0</v>
      </c>
      <c r="BZ45" s="9">
        <v>0</v>
      </c>
      <c r="CA45" s="9">
        <v>0</v>
      </c>
      <c r="CB45" s="9">
        <v>0</v>
      </c>
      <c r="CC45" s="9">
        <v>0</v>
      </c>
      <c r="CD45" s="9">
        <v>0</v>
      </c>
      <c r="CE45" s="9">
        <v>0</v>
      </c>
      <c r="CF45" s="9">
        <v>0</v>
      </c>
      <c r="CG45" s="9">
        <v>0</v>
      </c>
      <c r="CH45" s="9">
        <v>0</v>
      </c>
      <c r="CI45" s="9">
        <v>0</v>
      </c>
      <c r="CJ45" s="9">
        <v>0</v>
      </c>
      <c r="CK45" s="9">
        <v>0</v>
      </c>
      <c r="CL45" s="9">
        <v>0</v>
      </c>
      <c r="CM45" s="9">
        <v>0</v>
      </c>
      <c r="CN45" s="9">
        <v>0</v>
      </c>
      <c r="CP45" s="10">
        <f t="shared" si="1"/>
        <v>0</v>
      </c>
      <c r="CQ45" s="20" t="str">
        <f>IFERROR(VLOOKUP($D45,'[2]Mappage de compte'!$B:$G,1,FALSE),"")</f>
        <v>172080</v>
      </c>
      <c r="CR45" s="21" t="str">
        <f>IFERROR(VLOOKUP($D45,'[2]Mappage de compte'!$B:$G,2,FALSE),"")</f>
        <v>XXX - Créance locat°-Fin.</v>
      </c>
      <c r="CS45" s="22" t="str">
        <f>IFERROR(VLOOKUP($D45,'[2]Mappage de compte'!$B:$G,3,FALSE),"")</f>
        <v>164001</v>
      </c>
      <c r="CT45" s="22" t="str">
        <f>IFERROR(VLOOKUP($D45,'[2]Mappage de compte'!$B:$G,4,FALSE),"")</f>
        <v xml:space="preserve">EMPRUNT BELGIQUE      </v>
      </c>
      <c r="CU45" s="23" t="str">
        <f>IFERROR(VLOOKUP($D45,'[2]Mappage de compte'!$B:$G,5,FALSE),"")</f>
        <v>Passifs courants ou non courants portant intérêts ou non</v>
      </c>
      <c r="CV45" s="23" t="str">
        <f>IFERROR(VLOOKUP($D45,'[2]Mappage de compte'!$B:$G,6,FALSE),"")</f>
        <v>Passifs courants ou non courants</v>
      </c>
    </row>
    <row r="46" spans="1:100" x14ac:dyDescent="0.25">
      <c r="A46" s="8" t="s">
        <v>9</v>
      </c>
      <c r="C46" s="8" t="str">
        <f>"""ORPEA BE"",""010010"",""15"",""1"",""172090"""</f>
        <v>"ORPEA BE","010010","15","1","172090"</v>
      </c>
      <c r="D46" s="8" t="str">
        <f>"172090"</f>
        <v>172090</v>
      </c>
      <c r="E46" s="8" t="str">
        <f t="shared" si="3"/>
        <v>164000</v>
      </c>
      <c r="F46" s="8" t="str">
        <f>"XXX - Créance locat°-Fin."</f>
        <v>XXX - Créance locat°-Fin.</v>
      </c>
      <c r="G46" s="8" t="str">
        <f t="shared" si="0"/>
        <v/>
      </c>
      <c r="H46" s="9">
        <v>0</v>
      </c>
      <c r="I46" s="9">
        <v>0</v>
      </c>
      <c r="J46" s="9">
        <v>0</v>
      </c>
      <c r="K46" s="9">
        <v>0</v>
      </c>
      <c r="L46" s="9">
        <v>0</v>
      </c>
      <c r="M46" s="9">
        <v>0</v>
      </c>
      <c r="N46" s="9">
        <v>0</v>
      </c>
      <c r="O46" s="9">
        <v>0</v>
      </c>
      <c r="P46" s="9">
        <v>0</v>
      </c>
      <c r="Q46" s="9">
        <v>0</v>
      </c>
      <c r="R46" s="9">
        <v>0</v>
      </c>
      <c r="S46" s="9">
        <v>0</v>
      </c>
      <c r="T46" s="9">
        <v>0</v>
      </c>
      <c r="U46" s="9">
        <v>0</v>
      </c>
      <c r="V46" s="9">
        <v>0</v>
      </c>
      <c r="W46" s="9">
        <v>0</v>
      </c>
      <c r="X46" s="9">
        <v>0</v>
      </c>
      <c r="Y46" s="9">
        <v>0</v>
      </c>
      <c r="Z46" s="9">
        <v>0</v>
      </c>
      <c r="AA46" s="9">
        <v>0</v>
      </c>
      <c r="AB46" s="9">
        <v>0</v>
      </c>
      <c r="AC46" s="9">
        <v>0</v>
      </c>
      <c r="AD46" s="9">
        <v>0</v>
      </c>
      <c r="AE46" s="9">
        <v>0</v>
      </c>
      <c r="AF46" s="9">
        <v>0</v>
      </c>
      <c r="AG46" s="9">
        <v>0</v>
      </c>
      <c r="AH46" s="9">
        <v>0</v>
      </c>
      <c r="AI46" s="9">
        <v>0</v>
      </c>
      <c r="AJ46" s="9">
        <v>0</v>
      </c>
      <c r="AK46" s="9">
        <v>0</v>
      </c>
      <c r="AL46" s="9">
        <v>0</v>
      </c>
      <c r="AM46" s="9">
        <v>0</v>
      </c>
      <c r="AN46" s="9">
        <v>0</v>
      </c>
      <c r="AO46" s="9">
        <v>0</v>
      </c>
      <c r="AP46" s="9">
        <v>0</v>
      </c>
      <c r="AQ46" s="9">
        <v>0</v>
      </c>
      <c r="AR46" s="9">
        <v>0</v>
      </c>
      <c r="AS46" s="9">
        <v>0</v>
      </c>
      <c r="AT46" s="9">
        <v>0</v>
      </c>
      <c r="AU46" s="9">
        <v>0</v>
      </c>
      <c r="AV46" s="9">
        <v>0</v>
      </c>
      <c r="AW46" s="9">
        <v>0</v>
      </c>
      <c r="AX46" s="9">
        <v>0</v>
      </c>
      <c r="AY46" s="9">
        <v>0</v>
      </c>
      <c r="AZ46" s="9">
        <v>0</v>
      </c>
      <c r="BA46" s="9">
        <v>0</v>
      </c>
      <c r="BB46" s="9">
        <v>0</v>
      </c>
      <c r="BC46" s="9">
        <v>0</v>
      </c>
      <c r="BD46" s="9">
        <v>0</v>
      </c>
      <c r="BE46" s="9">
        <v>0</v>
      </c>
      <c r="BF46" s="9">
        <v>0</v>
      </c>
      <c r="BG46" s="9">
        <v>0</v>
      </c>
      <c r="BH46" s="9">
        <v>0</v>
      </c>
      <c r="BI46" s="9">
        <v>0</v>
      </c>
      <c r="BJ46" s="9">
        <v>0</v>
      </c>
      <c r="BK46" s="9">
        <v>0</v>
      </c>
      <c r="BL46" s="9">
        <v>0</v>
      </c>
      <c r="BM46" s="9">
        <v>0</v>
      </c>
      <c r="BN46" s="9">
        <v>0</v>
      </c>
      <c r="BO46" s="9">
        <v>0</v>
      </c>
      <c r="BP46" s="9">
        <v>0</v>
      </c>
      <c r="BQ46" s="9">
        <v>0</v>
      </c>
      <c r="BR46" s="9">
        <v>0</v>
      </c>
      <c r="BS46" s="9">
        <v>0</v>
      </c>
      <c r="BT46" s="9">
        <v>0</v>
      </c>
      <c r="BU46" s="9">
        <v>0</v>
      </c>
      <c r="BV46" s="9">
        <v>0</v>
      </c>
      <c r="BW46" s="9">
        <v>0</v>
      </c>
      <c r="BX46" s="9">
        <v>0</v>
      </c>
      <c r="BY46" s="9">
        <v>0</v>
      </c>
      <c r="BZ46" s="9">
        <v>0</v>
      </c>
      <c r="CA46" s="9">
        <v>0</v>
      </c>
      <c r="CB46" s="9">
        <v>0</v>
      </c>
      <c r="CC46" s="9">
        <v>0</v>
      </c>
      <c r="CD46" s="9">
        <v>0</v>
      </c>
      <c r="CE46" s="9">
        <v>0</v>
      </c>
      <c r="CF46" s="9">
        <v>0</v>
      </c>
      <c r="CG46" s="9">
        <v>0</v>
      </c>
      <c r="CH46" s="9">
        <v>0</v>
      </c>
      <c r="CI46" s="9">
        <v>0</v>
      </c>
      <c r="CJ46" s="9">
        <v>0</v>
      </c>
      <c r="CK46" s="9">
        <v>0</v>
      </c>
      <c r="CL46" s="9">
        <v>0</v>
      </c>
      <c r="CM46" s="9">
        <v>0</v>
      </c>
      <c r="CN46" s="9">
        <v>0</v>
      </c>
      <c r="CP46" s="10">
        <f t="shared" si="1"/>
        <v>0</v>
      </c>
      <c r="CQ46" s="20" t="str">
        <f>IFERROR(VLOOKUP($D46,'[2]Mappage de compte'!$B:$G,1,FALSE),"")</f>
        <v>172090</v>
      </c>
      <c r="CR46" s="21" t="str">
        <f>IFERROR(VLOOKUP($D46,'[2]Mappage de compte'!$B:$G,2,FALSE),"")</f>
        <v>XXX - Créance locat°-Fin.</v>
      </c>
      <c r="CS46" s="22" t="str">
        <f>IFERROR(VLOOKUP($D46,'[2]Mappage de compte'!$B:$G,3,FALSE),"")</f>
        <v>164001</v>
      </c>
      <c r="CT46" s="22" t="str">
        <f>IFERROR(VLOOKUP($D46,'[2]Mappage de compte'!$B:$G,4,FALSE),"")</f>
        <v xml:space="preserve">EMPRUNT BELGIQUE      </v>
      </c>
      <c r="CU46" s="23" t="str">
        <f>IFERROR(VLOOKUP($D46,'[2]Mappage de compte'!$B:$G,5,FALSE),"")</f>
        <v>Passifs courants ou non courants portant intérêts ou non</v>
      </c>
      <c r="CV46" s="23" t="str">
        <f>IFERROR(VLOOKUP($D46,'[2]Mappage de compte'!$B:$G,6,FALSE),"")</f>
        <v>Passifs courants ou non courants</v>
      </c>
    </row>
    <row r="47" spans="1:100" x14ac:dyDescent="0.25">
      <c r="A47" s="8" t="s">
        <v>9</v>
      </c>
      <c r="C47" s="8" t="str">
        <f>"""ORPEA BE"",""010010"",""15"",""1"",""172100"""</f>
        <v>"ORPEA BE","010010","15","1","172100"</v>
      </c>
      <c r="D47" s="8" t="str">
        <f>"172100"</f>
        <v>172100</v>
      </c>
      <c r="E47" s="8" t="str">
        <f>"168100"</f>
        <v>168100</v>
      </c>
      <c r="F47" s="8" t="str">
        <f>"XXX - Créance locat°-Fin."</f>
        <v>XXX - Créance locat°-Fin.</v>
      </c>
      <c r="G47" s="8" t="str">
        <f t="shared" si="0"/>
        <v/>
      </c>
      <c r="H47" s="9">
        <v>0</v>
      </c>
      <c r="I47" s="9">
        <v>0</v>
      </c>
      <c r="J47" s="9">
        <v>0</v>
      </c>
      <c r="K47" s="9">
        <v>0</v>
      </c>
      <c r="L47" s="9">
        <v>0</v>
      </c>
      <c r="M47" s="9">
        <v>0</v>
      </c>
      <c r="N47" s="9">
        <v>0</v>
      </c>
      <c r="O47" s="9">
        <v>0</v>
      </c>
      <c r="P47" s="9">
        <v>0</v>
      </c>
      <c r="Q47" s="9">
        <v>0</v>
      </c>
      <c r="R47" s="9">
        <v>0</v>
      </c>
      <c r="S47" s="9">
        <v>0</v>
      </c>
      <c r="T47" s="9">
        <v>0</v>
      </c>
      <c r="U47" s="9">
        <v>0</v>
      </c>
      <c r="V47" s="9">
        <v>0</v>
      </c>
      <c r="W47" s="9">
        <v>0</v>
      </c>
      <c r="X47" s="9">
        <v>0</v>
      </c>
      <c r="Y47" s="9">
        <v>0</v>
      </c>
      <c r="Z47" s="9">
        <v>0</v>
      </c>
      <c r="AA47" s="9">
        <v>0</v>
      </c>
      <c r="AB47" s="9">
        <v>0</v>
      </c>
      <c r="AC47" s="9">
        <v>0</v>
      </c>
      <c r="AD47" s="9">
        <v>0</v>
      </c>
      <c r="AE47" s="9">
        <v>0</v>
      </c>
      <c r="AF47" s="9">
        <v>0</v>
      </c>
      <c r="AG47" s="9">
        <v>0</v>
      </c>
      <c r="AH47" s="9">
        <v>0</v>
      </c>
      <c r="AI47" s="9">
        <v>0</v>
      </c>
      <c r="AJ47" s="9">
        <v>0</v>
      </c>
      <c r="AK47" s="9">
        <v>0</v>
      </c>
      <c r="AL47" s="9">
        <v>0</v>
      </c>
      <c r="AM47" s="9">
        <v>0</v>
      </c>
      <c r="AN47" s="9">
        <v>0</v>
      </c>
      <c r="AO47" s="9">
        <v>0</v>
      </c>
      <c r="AP47" s="9">
        <v>0</v>
      </c>
      <c r="AQ47" s="9">
        <v>0</v>
      </c>
      <c r="AR47" s="9">
        <v>0</v>
      </c>
      <c r="AS47" s="9">
        <v>0</v>
      </c>
      <c r="AT47" s="9">
        <v>0</v>
      </c>
      <c r="AU47" s="9">
        <v>0</v>
      </c>
      <c r="AV47" s="9">
        <v>0</v>
      </c>
      <c r="AW47" s="9">
        <v>0</v>
      </c>
      <c r="AX47" s="9">
        <v>0</v>
      </c>
      <c r="AY47" s="9">
        <v>0</v>
      </c>
      <c r="AZ47" s="9">
        <v>0</v>
      </c>
      <c r="BA47" s="9">
        <v>0</v>
      </c>
      <c r="BB47" s="9">
        <v>0</v>
      </c>
      <c r="BC47" s="9">
        <v>0</v>
      </c>
      <c r="BD47" s="9">
        <v>0</v>
      </c>
      <c r="BE47" s="9">
        <v>0</v>
      </c>
      <c r="BF47" s="9">
        <v>0</v>
      </c>
      <c r="BG47" s="9">
        <v>0</v>
      </c>
      <c r="BH47" s="9">
        <v>0</v>
      </c>
      <c r="BI47" s="9">
        <v>0</v>
      </c>
      <c r="BJ47" s="9">
        <v>0</v>
      </c>
      <c r="BK47" s="9">
        <v>0</v>
      </c>
      <c r="BL47" s="9">
        <v>0</v>
      </c>
      <c r="BM47" s="9">
        <v>0</v>
      </c>
      <c r="BN47" s="9">
        <v>0</v>
      </c>
      <c r="BO47" s="9">
        <v>0</v>
      </c>
      <c r="BP47" s="9">
        <v>0</v>
      </c>
      <c r="BQ47" s="9">
        <v>0</v>
      </c>
      <c r="BR47" s="9">
        <v>0</v>
      </c>
      <c r="BS47" s="9">
        <v>0</v>
      </c>
      <c r="BT47" s="9">
        <v>0</v>
      </c>
      <c r="BU47" s="9">
        <v>0</v>
      </c>
      <c r="BV47" s="9">
        <v>0</v>
      </c>
      <c r="BW47" s="9">
        <v>0</v>
      </c>
      <c r="BX47" s="9">
        <v>0</v>
      </c>
      <c r="BY47" s="9">
        <v>0</v>
      </c>
      <c r="BZ47" s="9">
        <v>0</v>
      </c>
      <c r="CA47" s="9">
        <v>0</v>
      </c>
      <c r="CB47" s="9">
        <v>0</v>
      </c>
      <c r="CC47" s="9">
        <v>0</v>
      </c>
      <c r="CD47" s="9">
        <v>0</v>
      </c>
      <c r="CE47" s="9">
        <v>0</v>
      </c>
      <c r="CF47" s="9">
        <v>0</v>
      </c>
      <c r="CG47" s="9">
        <v>0</v>
      </c>
      <c r="CH47" s="9">
        <v>0</v>
      </c>
      <c r="CI47" s="9">
        <v>0</v>
      </c>
      <c r="CJ47" s="9">
        <v>0</v>
      </c>
      <c r="CK47" s="9">
        <v>0</v>
      </c>
      <c r="CL47" s="9">
        <v>0</v>
      </c>
      <c r="CM47" s="9">
        <v>0</v>
      </c>
      <c r="CN47" s="9">
        <v>0</v>
      </c>
      <c r="CP47" s="10">
        <f t="shared" si="1"/>
        <v>0</v>
      </c>
      <c r="CQ47" s="20" t="str">
        <f>IFERROR(VLOOKUP($D47,'[2]Mappage de compte'!$B:$G,1,FALSE),"")</f>
        <v/>
      </c>
      <c r="CR47" s="21" t="str">
        <f>IFERROR(VLOOKUP($D47,'[2]Mappage de compte'!$B:$G,2,FALSE),"")</f>
        <v/>
      </c>
      <c r="CS47" s="22" t="str">
        <f>IFERROR(VLOOKUP($D47,'[2]Mappage de compte'!$B:$G,3,FALSE),"")</f>
        <v/>
      </c>
      <c r="CT47" s="22" t="str">
        <f>IFERROR(VLOOKUP($D47,'[2]Mappage de compte'!$B:$G,4,FALSE),"")</f>
        <v/>
      </c>
      <c r="CU47" s="23" t="str">
        <f>IFERROR(VLOOKUP($D47,'[2]Mappage de compte'!$B:$G,5,FALSE),"")</f>
        <v/>
      </c>
      <c r="CV47" s="23" t="str">
        <f>IFERROR(VLOOKUP($D47,'[2]Mappage de compte'!$B:$G,6,FALSE),"")</f>
        <v/>
      </c>
    </row>
    <row r="48" spans="1:100" x14ac:dyDescent="0.25">
      <c r="A48" s="8" t="s">
        <v>9</v>
      </c>
      <c r="C48" s="8" t="str">
        <f>"""ORPEA BE"",""010010"",""15"",""1"",""173000"""</f>
        <v>"ORPEA BE","010010","15","1","173000"</v>
      </c>
      <c r="D48" s="8" t="str">
        <f>"173000"</f>
        <v>173000</v>
      </c>
      <c r="E48" s="8" t="str">
        <f t="shared" ref="E48:E71" si="4">"164000"</f>
        <v>164000</v>
      </c>
      <c r="F48" s="8" t="str">
        <f>"Fortis - Emprunt"</f>
        <v>Fortis - Emprunt</v>
      </c>
      <c r="G48" s="8" t="str">
        <f t="shared" si="0"/>
        <v/>
      </c>
      <c r="H48" s="9">
        <v>-5625000</v>
      </c>
      <c r="I48" s="9">
        <v>-42517.16</v>
      </c>
      <c r="J48" s="9">
        <v>-132504.89000000001</v>
      </c>
      <c r="K48" s="9">
        <v>-167155.07999999999</v>
      </c>
      <c r="L48" s="9">
        <v>-2925000</v>
      </c>
      <c r="M48" s="9">
        <v>0</v>
      </c>
      <c r="N48" s="9">
        <v>-54018.1</v>
      </c>
      <c r="O48" s="9">
        <v>0</v>
      </c>
      <c r="P48" s="9">
        <v>-139793.35999999999</v>
      </c>
      <c r="Q48" s="9">
        <v>0</v>
      </c>
      <c r="R48" s="9">
        <v>0</v>
      </c>
      <c r="S48" s="9">
        <v>0</v>
      </c>
      <c r="T48" s="9">
        <v>0</v>
      </c>
      <c r="U48" s="9">
        <v>0</v>
      </c>
      <c r="V48" s="9">
        <v>-161364</v>
      </c>
      <c r="W48" s="9">
        <v>0</v>
      </c>
      <c r="X48" s="9">
        <v>-120574.84</v>
      </c>
      <c r="Y48" s="9">
        <v>0</v>
      </c>
      <c r="Z48" s="9">
        <v>-93057.209999999992</v>
      </c>
      <c r="AA48" s="9">
        <v>-47404.89</v>
      </c>
      <c r="AB48" s="9">
        <v>0</v>
      </c>
      <c r="AC48" s="9">
        <v>0</v>
      </c>
      <c r="AD48" s="9">
        <v>0</v>
      </c>
      <c r="AE48" s="9">
        <v>-679521.14</v>
      </c>
      <c r="AF48" s="9">
        <v>-165821.61000000002</v>
      </c>
      <c r="AG48" s="9">
        <v>0</v>
      </c>
      <c r="AH48" s="9">
        <v>-67277.11</v>
      </c>
      <c r="AI48" s="9">
        <v>-155747.38</v>
      </c>
      <c r="AJ48" s="9">
        <v>-40894.44</v>
      </c>
      <c r="AK48" s="9">
        <v>-75726.600000000006</v>
      </c>
      <c r="AL48" s="9">
        <v>-412840.25999999995</v>
      </c>
      <c r="AM48" s="9">
        <v>-109331.57</v>
      </c>
      <c r="AN48" s="9">
        <v>-129049.39</v>
      </c>
      <c r="AO48" s="9">
        <v>-73049.13</v>
      </c>
      <c r="AP48" s="9">
        <v>-108760.59</v>
      </c>
      <c r="AQ48" s="9">
        <v>-2828976.63</v>
      </c>
      <c r="AR48" s="9">
        <v>0</v>
      </c>
      <c r="AS48" s="9">
        <v>-108607.19</v>
      </c>
      <c r="AT48" s="9">
        <v>0</v>
      </c>
      <c r="AU48" s="9">
        <v>0</v>
      </c>
      <c r="AV48" s="9">
        <v>-40160.03</v>
      </c>
      <c r="AW48" s="9">
        <v>0</v>
      </c>
      <c r="AX48" s="9">
        <v>0</v>
      </c>
      <c r="AY48" s="9">
        <v>0</v>
      </c>
      <c r="AZ48" s="9">
        <v>-15319.880000000001</v>
      </c>
      <c r="BA48" s="9">
        <v>0</v>
      </c>
      <c r="BB48" s="9">
        <v>0</v>
      </c>
      <c r="BC48" s="9">
        <v>0</v>
      </c>
      <c r="BD48" s="9">
        <v>0</v>
      </c>
      <c r="BE48" s="9">
        <v>0</v>
      </c>
      <c r="BF48" s="9">
        <v>0</v>
      </c>
      <c r="BG48" s="9">
        <v>0</v>
      </c>
      <c r="BH48" s="9">
        <v>0</v>
      </c>
      <c r="BI48" s="9">
        <v>0</v>
      </c>
      <c r="BJ48" s="9">
        <v>0</v>
      </c>
      <c r="BK48" s="9">
        <v>0</v>
      </c>
      <c r="BL48" s="9">
        <v>-2415540.7600000002</v>
      </c>
      <c r="BM48" s="9">
        <v>0</v>
      </c>
      <c r="BN48" s="9">
        <v>0</v>
      </c>
      <c r="BO48" s="9">
        <v>0</v>
      </c>
      <c r="BP48" s="9">
        <v>-74778.64</v>
      </c>
      <c r="BQ48" s="9">
        <v>0</v>
      </c>
      <c r="BR48" s="9">
        <v>0</v>
      </c>
      <c r="BS48" s="9">
        <v>0</v>
      </c>
      <c r="BT48" s="9">
        <v>0</v>
      </c>
      <c r="BU48" s="9">
        <v>-46566.2</v>
      </c>
      <c r="BV48" s="9">
        <v>-13550000</v>
      </c>
      <c r="BW48" s="9">
        <v>0</v>
      </c>
      <c r="BX48" s="9">
        <v>0</v>
      </c>
      <c r="BY48" s="9">
        <v>0</v>
      </c>
      <c r="BZ48" s="9">
        <v>0</v>
      </c>
      <c r="CA48" s="9">
        <v>0</v>
      </c>
      <c r="CB48" s="9">
        <v>0</v>
      </c>
      <c r="CC48" s="9">
        <v>0</v>
      </c>
      <c r="CD48" s="9">
        <v>0</v>
      </c>
      <c r="CE48" s="9">
        <v>0</v>
      </c>
      <c r="CF48" s="9">
        <v>0</v>
      </c>
      <c r="CG48" s="9">
        <v>0</v>
      </c>
      <c r="CH48" s="9">
        <v>0</v>
      </c>
      <c r="CI48" s="9">
        <v>0</v>
      </c>
      <c r="CJ48" s="9">
        <v>0</v>
      </c>
      <c r="CK48" s="9">
        <v>0</v>
      </c>
      <c r="CL48" s="9">
        <v>0</v>
      </c>
      <c r="CM48" s="9">
        <v>0</v>
      </c>
      <c r="CN48" s="9">
        <v>0</v>
      </c>
      <c r="CP48" s="10">
        <f t="shared" si="1"/>
        <v>-30606358.079999998</v>
      </c>
      <c r="CQ48" s="20" t="str">
        <f>IFERROR(VLOOKUP($D48,'[2]Mappage de compte'!$B:$G,1,FALSE),"")</f>
        <v>173000</v>
      </c>
      <c r="CR48" s="21" t="str">
        <f>IFERROR(VLOOKUP($D48,'[2]Mappage de compte'!$B:$G,2,FALSE),"")</f>
        <v>FORTIS - EMPRUNT</v>
      </c>
      <c r="CS48" s="22" t="str">
        <f>IFERROR(VLOOKUP($D48,'[2]Mappage de compte'!$B:$G,3,FALSE),"")</f>
        <v>164001</v>
      </c>
      <c r="CT48" s="22" t="str">
        <f>IFERROR(VLOOKUP($D48,'[2]Mappage de compte'!$B:$G,4,FALSE),"")</f>
        <v xml:space="preserve">EMPRUNT BELGIQUE      </v>
      </c>
      <c r="CU48" s="23" t="str">
        <f>IFERROR(VLOOKUP($D48,'[2]Mappage de compte'!$B:$G,5,FALSE),"")</f>
        <v>Passifs courants ou non courants portant intérêts ou non</v>
      </c>
      <c r="CV48" s="23" t="str">
        <f>IFERROR(VLOOKUP($D48,'[2]Mappage de compte'!$B:$G,6,FALSE),"")</f>
        <v>Passifs courants ou non courants</v>
      </c>
    </row>
    <row r="49" spans="1:100" x14ac:dyDescent="0.25">
      <c r="A49" s="8" t="s">
        <v>9</v>
      </c>
      <c r="C49" s="8" t="str">
        <f>"""ORPEA BE"",""010010"",""15"",""1"",""173010"""</f>
        <v>"ORPEA BE","010010","15","1","173010"</v>
      </c>
      <c r="D49" s="8" t="str">
        <f>"173010"</f>
        <v>173010</v>
      </c>
      <c r="E49" s="8" t="str">
        <f t="shared" si="4"/>
        <v>164000</v>
      </c>
      <c r="F49" s="8" t="str">
        <f>"Dexia - Emprunt"</f>
        <v>Dexia - Emprunt</v>
      </c>
      <c r="G49" s="8" t="str">
        <f t="shared" si="0"/>
        <v/>
      </c>
      <c r="H49" s="9">
        <v>0</v>
      </c>
      <c r="I49" s="9">
        <v>0</v>
      </c>
      <c r="J49" s="9">
        <v>0</v>
      </c>
      <c r="K49" s="9">
        <v>0</v>
      </c>
      <c r="L49" s="9">
        <v>-116919.5</v>
      </c>
      <c r="M49" s="9">
        <v>-66388.210000000006</v>
      </c>
      <c r="N49" s="9">
        <v>0</v>
      </c>
      <c r="O49" s="9">
        <v>-99869.819999999992</v>
      </c>
      <c r="P49" s="9">
        <v>0</v>
      </c>
      <c r="Q49" s="9">
        <v>-215875.18</v>
      </c>
      <c r="R49" s="9">
        <v>-130715.76</v>
      </c>
      <c r="S49" s="9">
        <v>-111677.43000000001</v>
      </c>
      <c r="T49" s="9">
        <v>-113713.69</v>
      </c>
      <c r="U49" s="9">
        <v>-129448.12000000001</v>
      </c>
      <c r="V49" s="9">
        <v>0</v>
      </c>
      <c r="W49" s="9">
        <v>0</v>
      </c>
      <c r="X49" s="9">
        <v>0</v>
      </c>
      <c r="Y49" s="9">
        <v>0</v>
      </c>
      <c r="Z49" s="9">
        <v>0</v>
      </c>
      <c r="AA49" s="9">
        <v>0</v>
      </c>
      <c r="AB49" s="9">
        <v>-140155.9</v>
      </c>
      <c r="AC49" s="9">
        <v>0</v>
      </c>
      <c r="AD49" s="9">
        <v>0</v>
      </c>
      <c r="AE49" s="9">
        <v>-327378</v>
      </c>
      <c r="AF49" s="9">
        <v>0</v>
      </c>
      <c r="AG49" s="9">
        <v>-359448.47000000003</v>
      </c>
      <c r="AH49" s="9">
        <v>0</v>
      </c>
      <c r="AI49" s="9">
        <v>0</v>
      </c>
      <c r="AJ49" s="9">
        <v>0</v>
      </c>
      <c r="AK49" s="9">
        <v>0</v>
      </c>
      <c r="AL49" s="9">
        <v>0</v>
      </c>
      <c r="AM49" s="9">
        <v>0</v>
      </c>
      <c r="AN49" s="9">
        <v>0</v>
      </c>
      <c r="AO49" s="9">
        <v>0</v>
      </c>
      <c r="AP49" s="9">
        <v>0</v>
      </c>
      <c r="AQ49" s="9">
        <v>0</v>
      </c>
      <c r="AR49" s="9">
        <v>-68016.19</v>
      </c>
      <c r="AS49" s="9">
        <v>0</v>
      </c>
      <c r="AT49" s="9">
        <v>0</v>
      </c>
      <c r="AU49" s="9">
        <v>-654564.20000000007</v>
      </c>
      <c r="AV49" s="9">
        <v>0</v>
      </c>
      <c r="AW49" s="9">
        <v>0</v>
      </c>
      <c r="AX49" s="9">
        <v>0</v>
      </c>
      <c r="AY49" s="9">
        <v>0</v>
      </c>
      <c r="AZ49" s="9">
        <v>0</v>
      </c>
      <c r="BA49" s="9">
        <v>0</v>
      </c>
      <c r="BB49" s="9">
        <v>0</v>
      </c>
      <c r="BC49" s="9">
        <v>0</v>
      </c>
      <c r="BD49" s="9">
        <v>0</v>
      </c>
      <c r="BE49" s="9">
        <v>0</v>
      </c>
      <c r="BF49" s="9">
        <v>0</v>
      </c>
      <c r="BG49" s="9">
        <v>0</v>
      </c>
      <c r="BH49" s="9">
        <v>0</v>
      </c>
      <c r="BI49" s="9">
        <v>0</v>
      </c>
      <c r="BJ49" s="9">
        <v>0</v>
      </c>
      <c r="BK49" s="9">
        <v>0</v>
      </c>
      <c r="BL49" s="9">
        <v>0</v>
      </c>
      <c r="BM49" s="9">
        <v>-2000000</v>
      </c>
      <c r="BN49" s="9">
        <v>0</v>
      </c>
      <c r="BO49" s="9">
        <v>0</v>
      </c>
      <c r="BP49" s="9">
        <v>0</v>
      </c>
      <c r="BQ49" s="9">
        <v>0</v>
      </c>
      <c r="BR49" s="9">
        <v>0</v>
      </c>
      <c r="BS49" s="9">
        <v>0</v>
      </c>
      <c r="BT49" s="9">
        <v>0</v>
      </c>
      <c r="BU49" s="9">
        <v>0</v>
      </c>
      <c r="BV49" s="9">
        <v>0</v>
      </c>
      <c r="BW49" s="9">
        <v>0</v>
      </c>
      <c r="BX49" s="9">
        <v>0</v>
      </c>
      <c r="BY49" s="9">
        <v>0</v>
      </c>
      <c r="BZ49" s="9">
        <v>0</v>
      </c>
      <c r="CA49" s="9">
        <v>0</v>
      </c>
      <c r="CB49" s="9">
        <v>0</v>
      </c>
      <c r="CC49" s="9">
        <v>0</v>
      </c>
      <c r="CD49" s="9">
        <v>0</v>
      </c>
      <c r="CE49" s="9">
        <v>0</v>
      </c>
      <c r="CF49" s="9">
        <v>0</v>
      </c>
      <c r="CG49" s="9">
        <v>0</v>
      </c>
      <c r="CH49" s="9">
        <v>0</v>
      </c>
      <c r="CI49" s="9">
        <v>0</v>
      </c>
      <c r="CJ49" s="9">
        <v>0</v>
      </c>
      <c r="CK49" s="9">
        <v>0</v>
      </c>
      <c r="CL49" s="9">
        <v>0</v>
      </c>
      <c r="CM49" s="9">
        <v>0</v>
      </c>
      <c r="CN49" s="9">
        <v>0</v>
      </c>
      <c r="CP49" s="10">
        <f t="shared" si="1"/>
        <v>-4534170.4700000007</v>
      </c>
      <c r="CQ49" s="20" t="str">
        <f>IFERROR(VLOOKUP($D49,'[2]Mappage de compte'!$B:$G,1,FALSE),"")</f>
        <v>173010</v>
      </c>
      <c r="CR49" s="21" t="str">
        <f>IFERROR(VLOOKUP($D49,'[2]Mappage de compte'!$B:$G,2,FALSE),"")</f>
        <v>Dexia - Emprunt</v>
      </c>
      <c r="CS49" s="22" t="str">
        <f>IFERROR(VLOOKUP($D49,'[2]Mappage de compte'!$B:$G,3,FALSE),"")</f>
        <v>164001</v>
      </c>
      <c r="CT49" s="22" t="str">
        <f>IFERROR(VLOOKUP($D49,'[2]Mappage de compte'!$B:$G,4,FALSE),"")</f>
        <v xml:space="preserve">EMPRUNT BELGIQUE      </v>
      </c>
      <c r="CU49" s="23" t="str">
        <f>IFERROR(VLOOKUP($D49,'[2]Mappage de compte'!$B:$G,5,FALSE),"")</f>
        <v>Passifs courants ou non courants portant intérêts ou non</v>
      </c>
      <c r="CV49" s="23" t="str">
        <f>IFERROR(VLOOKUP($D49,'[2]Mappage de compte'!$B:$G,6,FALSE),"")</f>
        <v>Passifs courants ou non courants</v>
      </c>
    </row>
    <row r="50" spans="1:100" x14ac:dyDescent="0.25">
      <c r="A50" s="8" t="s">
        <v>9</v>
      </c>
      <c r="C50" s="8" t="str">
        <f>"""ORPEA BE"",""010010"",""15"",""1"",""173020"""</f>
        <v>"ORPEA BE","010010","15","1","173020"</v>
      </c>
      <c r="D50" s="8" t="str">
        <f>"173020"</f>
        <v>173020</v>
      </c>
      <c r="E50" s="8" t="str">
        <f t="shared" si="4"/>
        <v>164000</v>
      </c>
      <c r="F50" s="8" t="str">
        <f>"ING - Emprunt"</f>
        <v>ING - Emprunt</v>
      </c>
      <c r="G50" s="8" t="str">
        <f t="shared" si="0"/>
        <v/>
      </c>
      <c r="H50" s="9">
        <v>-2120000</v>
      </c>
      <c r="I50" s="9">
        <v>0</v>
      </c>
      <c r="J50" s="9">
        <v>0</v>
      </c>
      <c r="K50" s="9">
        <v>0</v>
      </c>
      <c r="L50" s="9">
        <v>0</v>
      </c>
      <c r="M50" s="9">
        <v>0</v>
      </c>
      <c r="N50" s="9">
        <v>0</v>
      </c>
      <c r="O50" s="9">
        <v>0</v>
      </c>
      <c r="P50" s="9">
        <v>0</v>
      </c>
      <c r="Q50" s="9">
        <v>0</v>
      </c>
      <c r="R50" s="9">
        <v>0</v>
      </c>
      <c r="S50" s="9">
        <v>0</v>
      </c>
      <c r="T50" s="9">
        <v>-108453.40000000001</v>
      </c>
      <c r="U50" s="9">
        <v>0</v>
      </c>
      <c r="V50" s="9">
        <v>0</v>
      </c>
      <c r="W50" s="9">
        <v>0</v>
      </c>
      <c r="X50" s="9">
        <v>0</v>
      </c>
      <c r="Y50" s="9">
        <v>0</v>
      </c>
      <c r="Z50" s="9">
        <v>0</v>
      </c>
      <c r="AA50" s="9">
        <v>0</v>
      </c>
      <c r="AB50" s="9">
        <v>0</v>
      </c>
      <c r="AC50" s="9">
        <v>0</v>
      </c>
      <c r="AD50" s="9">
        <v>0</v>
      </c>
      <c r="AE50" s="9">
        <v>0</v>
      </c>
      <c r="AF50" s="9">
        <v>-344326.40000000002</v>
      </c>
      <c r="AG50" s="9">
        <v>-534294.61</v>
      </c>
      <c r="AH50" s="9">
        <v>-240710.64</v>
      </c>
      <c r="AI50" s="9">
        <v>-158942.9</v>
      </c>
      <c r="AJ50" s="9">
        <v>0</v>
      </c>
      <c r="AK50" s="9">
        <v>0</v>
      </c>
      <c r="AL50" s="9">
        <v>-366640.26</v>
      </c>
      <c r="AM50" s="9">
        <v>-471166.54000000004</v>
      </c>
      <c r="AN50" s="9">
        <v>-126286.34</v>
      </c>
      <c r="AO50" s="9">
        <v>0</v>
      </c>
      <c r="AP50" s="9">
        <v>0</v>
      </c>
      <c r="AQ50" s="9">
        <v>0</v>
      </c>
      <c r="AR50" s="9">
        <v>0</v>
      </c>
      <c r="AS50" s="9">
        <v>-533562.61</v>
      </c>
      <c r="AT50" s="9">
        <v>0</v>
      </c>
      <c r="AU50" s="9">
        <v>0</v>
      </c>
      <c r="AV50" s="9">
        <v>0</v>
      </c>
      <c r="AW50" s="9">
        <v>0</v>
      </c>
      <c r="AX50" s="9">
        <v>0</v>
      </c>
      <c r="AY50" s="9">
        <v>0</v>
      </c>
      <c r="AZ50" s="9">
        <v>0</v>
      </c>
      <c r="BA50" s="9">
        <v>0</v>
      </c>
      <c r="BB50" s="9">
        <v>0</v>
      </c>
      <c r="BC50" s="9">
        <v>0</v>
      </c>
      <c r="BD50" s="9">
        <v>0</v>
      </c>
      <c r="BE50" s="9">
        <v>0</v>
      </c>
      <c r="BF50" s="9">
        <v>0</v>
      </c>
      <c r="BG50" s="9">
        <v>0</v>
      </c>
      <c r="BH50" s="9">
        <v>0</v>
      </c>
      <c r="BI50" s="9">
        <v>0</v>
      </c>
      <c r="BJ50" s="9">
        <v>0</v>
      </c>
      <c r="BK50" s="9">
        <v>0</v>
      </c>
      <c r="BL50" s="9">
        <v>0</v>
      </c>
      <c r="BM50" s="9">
        <v>0</v>
      </c>
      <c r="BN50" s="9">
        <v>0</v>
      </c>
      <c r="BO50" s="9">
        <v>0</v>
      </c>
      <c r="BP50" s="9">
        <v>0</v>
      </c>
      <c r="BQ50" s="9">
        <v>0</v>
      </c>
      <c r="BR50" s="9">
        <v>0</v>
      </c>
      <c r="BS50" s="9">
        <v>0</v>
      </c>
      <c r="BT50" s="9">
        <v>0</v>
      </c>
      <c r="BU50" s="9">
        <v>0</v>
      </c>
      <c r="BV50" s="9">
        <v>0</v>
      </c>
      <c r="BW50" s="9">
        <v>0</v>
      </c>
      <c r="BX50" s="9">
        <v>0</v>
      </c>
      <c r="BY50" s="9">
        <v>0</v>
      </c>
      <c r="BZ50" s="9">
        <v>0</v>
      </c>
      <c r="CA50" s="9">
        <v>0</v>
      </c>
      <c r="CB50" s="9">
        <v>0</v>
      </c>
      <c r="CC50" s="9">
        <v>0</v>
      </c>
      <c r="CD50" s="9">
        <v>0</v>
      </c>
      <c r="CE50" s="9">
        <v>0</v>
      </c>
      <c r="CF50" s="9">
        <v>0</v>
      </c>
      <c r="CG50" s="9">
        <v>0</v>
      </c>
      <c r="CH50" s="9">
        <v>0</v>
      </c>
      <c r="CI50" s="9">
        <v>0</v>
      </c>
      <c r="CJ50" s="9">
        <v>0</v>
      </c>
      <c r="CK50" s="9">
        <v>0</v>
      </c>
      <c r="CL50" s="9">
        <v>0</v>
      </c>
      <c r="CM50" s="9">
        <v>0</v>
      </c>
      <c r="CN50" s="9">
        <v>0</v>
      </c>
      <c r="CP50" s="10">
        <f t="shared" si="1"/>
        <v>-5004383.7</v>
      </c>
      <c r="CQ50" s="20" t="str">
        <f>IFERROR(VLOOKUP($D50,'[2]Mappage de compte'!$B:$G,1,FALSE),"")</f>
        <v>173020</v>
      </c>
      <c r="CR50" s="21" t="str">
        <f>IFERROR(VLOOKUP($D50,'[2]Mappage de compte'!$B:$G,2,FALSE),"")</f>
        <v>ING - Emprunt</v>
      </c>
      <c r="CS50" s="22" t="str">
        <f>IFERROR(VLOOKUP($D50,'[2]Mappage de compte'!$B:$G,3,FALSE),"")</f>
        <v>164001</v>
      </c>
      <c r="CT50" s="22" t="str">
        <f>IFERROR(VLOOKUP($D50,'[2]Mappage de compte'!$B:$G,4,FALSE),"")</f>
        <v xml:space="preserve">EMPRUNT BELGIQUE      </v>
      </c>
      <c r="CU50" s="23" t="str">
        <f>IFERROR(VLOOKUP($D50,'[2]Mappage de compte'!$B:$G,5,FALSE),"")</f>
        <v>Passifs courants ou non courants portant intérêts ou non</v>
      </c>
      <c r="CV50" s="23" t="str">
        <f>IFERROR(VLOOKUP($D50,'[2]Mappage de compte'!$B:$G,6,FALSE),"")</f>
        <v>Passifs courants ou non courants</v>
      </c>
    </row>
    <row r="51" spans="1:100" x14ac:dyDescent="0.25">
      <c r="A51" s="8" t="s">
        <v>9</v>
      </c>
      <c r="C51" s="8" t="str">
        <f>"""ORPEA BE"",""010010"",""15"",""1"",""173030"""</f>
        <v>"ORPEA BE","010010","15","1","173030"</v>
      </c>
      <c r="D51" s="8" t="str">
        <f>"173030"</f>
        <v>173030</v>
      </c>
      <c r="E51" s="8" t="str">
        <f t="shared" si="4"/>
        <v>164000</v>
      </c>
      <c r="F51" s="8" t="str">
        <f>"CBC - Emprunt"</f>
        <v>CBC - Emprunt</v>
      </c>
      <c r="G51" s="8" t="str">
        <f t="shared" si="0"/>
        <v/>
      </c>
      <c r="H51" s="9">
        <v>0</v>
      </c>
      <c r="I51" s="9">
        <v>0</v>
      </c>
      <c r="J51" s="9">
        <v>0</v>
      </c>
      <c r="K51" s="9">
        <v>0</v>
      </c>
      <c r="L51" s="9">
        <v>0</v>
      </c>
      <c r="M51" s="9">
        <v>0</v>
      </c>
      <c r="N51" s="9">
        <v>-80429.36</v>
      </c>
      <c r="O51" s="9">
        <v>0</v>
      </c>
      <c r="P51" s="9">
        <v>0</v>
      </c>
      <c r="Q51" s="9">
        <v>0</v>
      </c>
      <c r="R51" s="9">
        <v>0</v>
      </c>
      <c r="S51" s="9">
        <v>0</v>
      </c>
      <c r="T51" s="9">
        <v>0</v>
      </c>
      <c r="U51" s="9">
        <v>0</v>
      </c>
      <c r="V51" s="9">
        <v>0</v>
      </c>
      <c r="W51" s="9">
        <v>0</v>
      </c>
      <c r="X51" s="9">
        <v>0</v>
      </c>
      <c r="Y51" s="9">
        <v>0</v>
      </c>
      <c r="Z51" s="9">
        <v>0</v>
      </c>
      <c r="AA51" s="9">
        <v>0</v>
      </c>
      <c r="AB51" s="9">
        <v>0</v>
      </c>
      <c r="AC51" s="9">
        <v>0</v>
      </c>
      <c r="AD51" s="9">
        <v>0</v>
      </c>
      <c r="AE51" s="9">
        <v>0</v>
      </c>
      <c r="AF51" s="9">
        <v>0</v>
      </c>
      <c r="AG51" s="9">
        <v>0</v>
      </c>
      <c r="AH51" s="9">
        <v>0</v>
      </c>
      <c r="AI51" s="9">
        <v>0</v>
      </c>
      <c r="AJ51" s="9">
        <v>0</v>
      </c>
      <c r="AK51" s="9">
        <v>0</v>
      </c>
      <c r="AL51" s="9">
        <v>0</v>
      </c>
      <c r="AM51" s="9">
        <v>0</v>
      </c>
      <c r="AN51" s="9">
        <v>0</v>
      </c>
      <c r="AO51" s="9">
        <v>0</v>
      </c>
      <c r="AP51" s="9">
        <v>0</v>
      </c>
      <c r="AQ51" s="9">
        <v>0</v>
      </c>
      <c r="AR51" s="9">
        <v>0</v>
      </c>
      <c r="AS51" s="9">
        <v>0</v>
      </c>
      <c r="AT51" s="9">
        <v>0</v>
      </c>
      <c r="AU51" s="9">
        <v>-53858.87</v>
      </c>
      <c r="AV51" s="9">
        <v>0</v>
      </c>
      <c r="AW51" s="9">
        <v>0</v>
      </c>
      <c r="AX51" s="9">
        <v>0</v>
      </c>
      <c r="AY51" s="9">
        <v>0</v>
      </c>
      <c r="AZ51" s="9">
        <v>0</v>
      </c>
      <c r="BA51" s="9">
        <v>0</v>
      </c>
      <c r="BB51" s="9">
        <v>0</v>
      </c>
      <c r="BC51" s="9">
        <v>-800000.00000000012</v>
      </c>
      <c r="BD51" s="9">
        <v>0</v>
      </c>
      <c r="BE51" s="9">
        <v>0</v>
      </c>
      <c r="BF51" s="9">
        <v>0</v>
      </c>
      <c r="BG51" s="9">
        <v>0</v>
      </c>
      <c r="BH51" s="9">
        <v>0</v>
      </c>
      <c r="BI51" s="9">
        <v>0</v>
      </c>
      <c r="BJ51" s="9">
        <v>0</v>
      </c>
      <c r="BK51" s="9">
        <v>0</v>
      </c>
      <c r="BL51" s="9">
        <v>0</v>
      </c>
      <c r="BM51" s="9">
        <v>0</v>
      </c>
      <c r="BN51" s="9">
        <v>0</v>
      </c>
      <c r="BO51" s="9">
        <v>0</v>
      </c>
      <c r="BP51" s="9">
        <v>-471915.26</v>
      </c>
      <c r="BQ51" s="9">
        <v>0</v>
      </c>
      <c r="BR51" s="9">
        <v>0</v>
      </c>
      <c r="BS51" s="9">
        <v>0</v>
      </c>
      <c r="BT51" s="9">
        <v>0</v>
      </c>
      <c r="BU51" s="9">
        <v>0</v>
      </c>
      <c r="BV51" s="9">
        <v>0</v>
      </c>
      <c r="BW51" s="9">
        <v>0</v>
      </c>
      <c r="BX51" s="9">
        <v>0</v>
      </c>
      <c r="BY51" s="9">
        <v>0</v>
      </c>
      <c r="BZ51" s="9">
        <v>0</v>
      </c>
      <c r="CA51" s="9">
        <v>0</v>
      </c>
      <c r="CB51" s="9">
        <v>0</v>
      </c>
      <c r="CC51" s="9">
        <v>0</v>
      </c>
      <c r="CD51" s="9">
        <v>0</v>
      </c>
      <c r="CE51" s="9">
        <v>0</v>
      </c>
      <c r="CF51" s="9">
        <v>0</v>
      </c>
      <c r="CG51" s="9">
        <v>0</v>
      </c>
      <c r="CH51" s="9">
        <v>0</v>
      </c>
      <c r="CI51" s="9">
        <v>0</v>
      </c>
      <c r="CJ51" s="9">
        <v>0</v>
      </c>
      <c r="CK51" s="9">
        <v>0</v>
      </c>
      <c r="CL51" s="9">
        <v>0</v>
      </c>
      <c r="CM51" s="9">
        <v>0</v>
      </c>
      <c r="CN51" s="9">
        <v>0</v>
      </c>
      <c r="CP51" s="10">
        <f t="shared" si="1"/>
        <v>-1406203.4900000002</v>
      </c>
      <c r="CQ51" s="20" t="str">
        <f>IFERROR(VLOOKUP($D51,'[2]Mappage de compte'!$B:$G,1,FALSE),"")</f>
        <v>173030</v>
      </c>
      <c r="CR51" s="21" t="str">
        <f>IFERROR(VLOOKUP($D51,'[2]Mappage de compte'!$B:$G,2,FALSE),"")</f>
        <v>CBC - EMPRUNT</v>
      </c>
      <c r="CS51" s="22" t="str">
        <f>IFERROR(VLOOKUP($D51,'[2]Mappage de compte'!$B:$G,3,FALSE),"")</f>
        <v>164001</v>
      </c>
      <c r="CT51" s="22" t="str">
        <f>IFERROR(VLOOKUP($D51,'[2]Mappage de compte'!$B:$G,4,FALSE),"")</f>
        <v xml:space="preserve">EMPRUNT BELGIQUE      </v>
      </c>
      <c r="CU51" s="23" t="str">
        <f>IFERROR(VLOOKUP($D51,'[2]Mappage de compte'!$B:$G,5,FALSE),"")</f>
        <v>Passifs courants ou non courants portant intérêts ou non</v>
      </c>
      <c r="CV51" s="23" t="str">
        <f>IFERROR(VLOOKUP($D51,'[2]Mappage de compte'!$B:$G,6,FALSE),"")</f>
        <v>Passifs courants ou non courants</v>
      </c>
    </row>
    <row r="52" spans="1:100" x14ac:dyDescent="0.25">
      <c r="A52" s="8" t="s">
        <v>9</v>
      </c>
      <c r="C52" s="8" t="str">
        <f>"""ORPEA BE"",""010010"",""15"",""1"",""173040"""</f>
        <v>"ORPEA BE","010010","15","1","173040"</v>
      </c>
      <c r="D52" s="8" t="str">
        <f>"173040"</f>
        <v>173040</v>
      </c>
      <c r="E52" s="8" t="str">
        <f t="shared" si="4"/>
        <v>164000</v>
      </c>
      <c r="F52" s="8" t="str">
        <f>"KBC  Emprunt"</f>
        <v>KBC  Emprunt</v>
      </c>
      <c r="G52" s="8" t="str">
        <f t="shared" si="0"/>
        <v/>
      </c>
      <c r="H52" s="9">
        <v>0</v>
      </c>
      <c r="I52" s="9">
        <v>0</v>
      </c>
      <c r="J52" s="9">
        <v>0</v>
      </c>
      <c r="K52" s="9">
        <v>0</v>
      </c>
      <c r="L52" s="9">
        <v>0</v>
      </c>
      <c r="M52" s="9">
        <v>0</v>
      </c>
      <c r="N52" s="9">
        <v>0</v>
      </c>
      <c r="O52" s="9">
        <v>0</v>
      </c>
      <c r="P52" s="9">
        <v>-23000</v>
      </c>
      <c r="Q52" s="9">
        <v>0</v>
      </c>
      <c r="R52" s="9">
        <v>0</v>
      </c>
      <c r="S52" s="9">
        <v>0</v>
      </c>
      <c r="T52" s="9">
        <v>0</v>
      </c>
      <c r="U52" s="9">
        <v>0</v>
      </c>
      <c r="V52" s="9">
        <v>0</v>
      </c>
      <c r="W52" s="9">
        <v>0</v>
      </c>
      <c r="X52" s="9">
        <v>0</v>
      </c>
      <c r="Y52" s="9">
        <v>0</v>
      </c>
      <c r="Z52" s="9">
        <v>0</v>
      </c>
      <c r="AA52" s="9">
        <v>0</v>
      </c>
      <c r="AB52" s="9">
        <v>0</v>
      </c>
      <c r="AC52" s="9">
        <v>0</v>
      </c>
      <c r="AD52" s="9">
        <v>0</v>
      </c>
      <c r="AE52" s="9">
        <v>0</v>
      </c>
      <c r="AF52" s="9">
        <v>0</v>
      </c>
      <c r="AG52" s="9">
        <v>0</v>
      </c>
      <c r="AH52" s="9">
        <v>0</v>
      </c>
      <c r="AI52" s="9">
        <v>0</v>
      </c>
      <c r="AJ52" s="9">
        <v>0</v>
      </c>
      <c r="AK52" s="9">
        <v>0</v>
      </c>
      <c r="AL52" s="9">
        <v>0</v>
      </c>
      <c r="AM52" s="9">
        <v>0</v>
      </c>
      <c r="AN52" s="9">
        <v>0</v>
      </c>
      <c r="AO52" s="9">
        <v>0</v>
      </c>
      <c r="AP52" s="9">
        <v>0</v>
      </c>
      <c r="AQ52" s="9">
        <v>0</v>
      </c>
      <c r="AR52" s="9">
        <v>0</v>
      </c>
      <c r="AS52" s="9">
        <v>0</v>
      </c>
      <c r="AT52" s="9">
        <v>0</v>
      </c>
      <c r="AU52" s="9">
        <v>0</v>
      </c>
      <c r="AV52" s="9">
        <v>-133468.04999999999</v>
      </c>
      <c r="AW52" s="9">
        <v>0</v>
      </c>
      <c r="AX52" s="9">
        <v>0</v>
      </c>
      <c r="AY52" s="9">
        <v>0</v>
      </c>
      <c r="AZ52" s="9">
        <v>0</v>
      </c>
      <c r="BA52" s="9">
        <v>0</v>
      </c>
      <c r="BB52" s="9">
        <v>0</v>
      </c>
      <c r="BC52" s="9">
        <v>-5450743.71</v>
      </c>
      <c r="BD52" s="9">
        <v>0</v>
      </c>
      <c r="BE52" s="9">
        <v>0</v>
      </c>
      <c r="BF52" s="9">
        <v>0</v>
      </c>
      <c r="BG52" s="9">
        <v>0</v>
      </c>
      <c r="BH52" s="9">
        <v>0</v>
      </c>
      <c r="BI52" s="9">
        <v>0</v>
      </c>
      <c r="BJ52" s="9">
        <v>0</v>
      </c>
      <c r="BK52" s="9">
        <v>0</v>
      </c>
      <c r="BL52" s="9">
        <v>0</v>
      </c>
      <c r="BM52" s="9">
        <v>0</v>
      </c>
      <c r="BN52" s="9">
        <v>0</v>
      </c>
      <c r="BO52" s="9">
        <v>0</v>
      </c>
      <c r="BP52" s="9">
        <v>0</v>
      </c>
      <c r="BQ52" s="9">
        <v>0</v>
      </c>
      <c r="BR52" s="9">
        <v>0</v>
      </c>
      <c r="BS52" s="9">
        <v>0</v>
      </c>
      <c r="BT52" s="9">
        <v>0</v>
      </c>
      <c r="BU52" s="9">
        <v>-221959.30000000002</v>
      </c>
      <c r="BV52" s="9">
        <v>0</v>
      </c>
      <c r="BW52" s="9">
        <v>0</v>
      </c>
      <c r="BX52" s="9">
        <v>0</v>
      </c>
      <c r="BY52" s="9">
        <v>0</v>
      </c>
      <c r="BZ52" s="9">
        <v>0</v>
      </c>
      <c r="CA52" s="9">
        <v>0</v>
      </c>
      <c r="CB52" s="9">
        <v>0</v>
      </c>
      <c r="CC52" s="9">
        <v>-3183608.2499999995</v>
      </c>
      <c r="CD52" s="9">
        <v>0</v>
      </c>
      <c r="CE52" s="9">
        <v>0</v>
      </c>
      <c r="CF52" s="9">
        <v>0</v>
      </c>
      <c r="CG52" s="9">
        <v>0</v>
      </c>
      <c r="CH52" s="9">
        <v>0</v>
      </c>
      <c r="CI52" s="9">
        <v>0</v>
      </c>
      <c r="CJ52" s="9">
        <v>0</v>
      </c>
      <c r="CK52" s="9">
        <v>0</v>
      </c>
      <c r="CL52" s="9">
        <v>0</v>
      </c>
      <c r="CM52" s="9">
        <v>0</v>
      </c>
      <c r="CN52" s="9">
        <v>0</v>
      </c>
      <c r="CP52" s="10">
        <f t="shared" si="1"/>
        <v>-9012779.3099999987</v>
      </c>
      <c r="CQ52" s="20" t="str">
        <f>IFERROR(VLOOKUP($D52,'[2]Mappage de compte'!$B:$G,1,FALSE),"")</f>
        <v>173040</v>
      </c>
      <c r="CR52" s="21" t="str">
        <f>IFERROR(VLOOKUP($D52,'[2]Mappage de compte'!$B:$G,2,FALSE),"")</f>
        <v>KBC  EMPRUNT</v>
      </c>
      <c r="CS52" s="22" t="str">
        <f>IFERROR(VLOOKUP($D52,'[2]Mappage de compte'!$B:$G,3,FALSE),"")</f>
        <v>164001</v>
      </c>
      <c r="CT52" s="22" t="str">
        <f>IFERROR(VLOOKUP($D52,'[2]Mappage de compte'!$B:$G,4,FALSE),"")</f>
        <v xml:space="preserve">EMPRUNT BELGIQUE      </v>
      </c>
      <c r="CU52" s="23" t="str">
        <f>IFERROR(VLOOKUP($D52,'[2]Mappage de compte'!$B:$G,5,FALSE),"")</f>
        <v>Passifs courants ou non courants portant intérêts ou non</v>
      </c>
      <c r="CV52" s="23" t="str">
        <f>IFERROR(VLOOKUP($D52,'[2]Mappage de compte'!$B:$G,6,FALSE),"")</f>
        <v>Passifs courants ou non courants</v>
      </c>
    </row>
    <row r="53" spans="1:100" x14ac:dyDescent="0.25">
      <c r="A53" s="8" t="s">
        <v>9</v>
      </c>
      <c r="C53" s="8" t="str">
        <f>"""ORPEA BE"",""010010"",""15"",""1"",""173050"""</f>
        <v>"ORPEA BE","010010","15","1","173050"</v>
      </c>
      <c r="D53" s="8" t="str">
        <f>"173050"</f>
        <v>173050</v>
      </c>
      <c r="E53" s="8" t="str">
        <f t="shared" si="4"/>
        <v>164000</v>
      </c>
      <c r="F53" s="8" t="str">
        <f>"AXA - Emprunt"</f>
        <v>AXA - Emprunt</v>
      </c>
      <c r="G53" s="8" t="str">
        <f t="shared" si="0"/>
        <v/>
      </c>
      <c r="H53" s="9">
        <v>0</v>
      </c>
      <c r="I53" s="9">
        <v>0</v>
      </c>
      <c r="J53" s="9">
        <v>0</v>
      </c>
      <c r="K53" s="9">
        <v>0</v>
      </c>
      <c r="L53" s="9">
        <v>0</v>
      </c>
      <c r="M53" s="9">
        <v>0</v>
      </c>
      <c r="N53" s="9">
        <v>0</v>
      </c>
      <c r="O53" s="9">
        <v>0</v>
      </c>
      <c r="P53" s="9">
        <v>0</v>
      </c>
      <c r="Q53" s="9">
        <v>0</v>
      </c>
      <c r="R53" s="9">
        <v>0</v>
      </c>
      <c r="S53" s="9">
        <v>0</v>
      </c>
      <c r="T53" s="9">
        <v>0</v>
      </c>
      <c r="U53" s="9">
        <v>0</v>
      </c>
      <c r="V53" s="9">
        <v>0</v>
      </c>
      <c r="W53" s="9">
        <v>0</v>
      </c>
      <c r="X53" s="9">
        <v>0</v>
      </c>
      <c r="Y53" s="9">
        <v>0</v>
      </c>
      <c r="Z53" s="9">
        <v>0</v>
      </c>
      <c r="AA53" s="9">
        <v>0</v>
      </c>
      <c r="AB53" s="9">
        <v>0</v>
      </c>
      <c r="AC53" s="9">
        <v>0</v>
      </c>
      <c r="AD53" s="9">
        <v>0</v>
      </c>
      <c r="AE53" s="9">
        <v>0</v>
      </c>
      <c r="AF53" s="9">
        <v>0</v>
      </c>
      <c r="AG53" s="9">
        <v>0</v>
      </c>
      <c r="AH53" s="9">
        <v>0</v>
      </c>
      <c r="AI53" s="9">
        <v>0</v>
      </c>
      <c r="AJ53" s="9">
        <v>0</v>
      </c>
      <c r="AK53" s="9">
        <v>0</v>
      </c>
      <c r="AL53" s="9">
        <v>0</v>
      </c>
      <c r="AM53" s="9">
        <v>0</v>
      </c>
      <c r="AN53" s="9">
        <v>0</v>
      </c>
      <c r="AO53" s="9">
        <v>0</v>
      </c>
      <c r="AP53" s="9">
        <v>-106003.23000000001</v>
      </c>
      <c r="AQ53" s="9">
        <v>0</v>
      </c>
      <c r="AR53" s="9">
        <v>0</v>
      </c>
      <c r="AS53" s="9">
        <v>0</v>
      </c>
      <c r="AT53" s="9">
        <v>0</v>
      </c>
      <c r="AU53" s="9">
        <v>0</v>
      </c>
      <c r="AV53" s="9">
        <v>0</v>
      </c>
      <c r="AW53" s="9">
        <v>0</v>
      </c>
      <c r="AX53" s="9">
        <v>0</v>
      </c>
      <c r="AY53" s="9">
        <v>0</v>
      </c>
      <c r="AZ53" s="9">
        <v>0</v>
      </c>
      <c r="BA53" s="9">
        <v>0</v>
      </c>
      <c r="BB53" s="9">
        <v>0</v>
      </c>
      <c r="BC53" s="9">
        <v>-6157827.8199999994</v>
      </c>
      <c r="BD53" s="9">
        <v>0</v>
      </c>
      <c r="BE53" s="9">
        <v>0</v>
      </c>
      <c r="BF53" s="9">
        <v>0</v>
      </c>
      <c r="BG53" s="9">
        <v>0</v>
      </c>
      <c r="BH53" s="9">
        <v>0</v>
      </c>
      <c r="BI53" s="9">
        <v>0</v>
      </c>
      <c r="BJ53" s="9">
        <v>0</v>
      </c>
      <c r="BK53" s="9">
        <v>0</v>
      </c>
      <c r="BL53" s="9">
        <v>0</v>
      </c>
      <c r="BM53" s="9">
        <v>0</v>
      </c>
      <c r="BN53" s="9">
        <v>0</v>
      </c>
      <c r="BO53" s="9">
        <v>0</v>
      </c>
      <c r="BP53" s="9">
        <v>0</v>
      </c>
      <c r="BQ53" s="9">
        <v>0</v>
      </c>
      <c r="BR53" s="9">
        <v>0</v>
      </c>
      <c r="BS53" s="9">
        <v>0</v>
      </c>
      <c r="BT53" s="9">
        <v>0</v>
      </c>
      <c r="BU53" s="9">
        <v>0</v>
      </c>
      <c r="BV53" s="9">
        <v>0</v>
      </c>
      <c r="BW53" s="9">
        <v>0</v>
      </c>
      <c r="BX53" s="9">
        <v>0</v>
      </c>
      <c r="BY53" s="9">
        <v>0</v>
      </c>
      <c r="BZ53" s="9">
        <v>0</v>
      </c>
      <c r="CA53" s="9">
        <v>0</v>
      </c>
      <c r="CB53" s="9">
        <v>0</v>
      </c>
      <c r="CC53" s="9">
        <v>0</v>
      </c>
      <c r="CD53" s="9">
        <v>0</v>
      </c>
      <c r="CE53" s="9">
        <v>0</v>
      </c>
      <c r="CF53" s="9">
        <v>0</v>
      </c>
      <c r="CG53" s="9">
        <v>0</v>
      </c>
      <c r="CH53" s="9">
        <v>0</v>
      </c>
      <c r="CI53" s="9">
        <v>0</v>
      </c>
      <c r="CJ53" s="9">
        <v>0</v>
      </c>
      <c r="CK53" s="9">
        <v>0</v>
      </c>
      <c r="CL53" s="9">
        <v>0</v>
      </c>
      <c r="CM53" s="9">
        <v>0</v>
      </c>
      <c r="CN53" s="9">
        <v>0</v>
      </c>
      <c r="CP53" s="10">
        <f t="shared" si="1"/>
        <v>-6263831.0499999998</v>
      </c>
      <c r="CQ53" s="20" t="str">
        <f>IFERROR(VLOOKUP($D53,'[2]Mappage de compte'!$B:$G,1,FALSE),"")</f>
        <v>173050</v>
      </c>
      <c r="CR53" s="21" t="str">
        <f>IFERROR(VLOOKUP($D53,'[2]Mappage de compte'!$B:$G,2,FALSE),"")</f>
        <v>AXA - EMPRUNT</v>
      </c>
      <c r="CS53" s="22" t="str">
        <f>IFERROR(VLOOKUP($D53,'[2]Mappage de compte'!$B:$G,3,FALSE),"")</f>
        <v>164001</v>
      </c>
      <c r="CT53" s="22" t="str">
        <f>IFERROR(VLOOKUP($D53,'[2]Mappage de compte'!$B:$G,4,FALSE),"")</f>
        <v xml:space="preserve">EMPRUNT BELGIQUE      </v>
      </c>
      <c r="CU53" s="23" t="str">
        <f>IFERROR(VLOOKUP($D53,'[2]Mappage de compte'!$B:$G,5,FALSE),"")</f>
        <v>Passifs courants ou non courants portant intérêts ou non</v>
      </c>
      <c r="CV53" s="23" t="str">
        <f>IFERROR(VLOOKUP($D53,'[2]Mappage de compte'!$B:$G,6,FALSE),"")</f>
        <v>Passifs courants ou non courants</v>
      </c>
    </row>
    <row r="54" spans="1:100" x14ac:dyDescent="0.25">
      <c r="A54" s="8" t="s">
        <v>9</v>
      </c>
      <c r="C54" s="8" t="str">
        <f>"""ORPEA BE"",""010010"",""15"",""1"",""173060"""</f>
        <v>"ORPEA BE","010010","15","1","173060"</v>
      </c>
      <c r="D54" s="8" t="str">
        <f>"173060"</f>
        <v>173060</v>
      </c>
      <c r="E54" s="8" t="str">
        <f t="shared" si="4"/>
        <v>164000</v>
      </c>
      <c r="F54" s="8" t="str">
        <f>"Crédit Agricole - Emprunt"</f>
        <v>Crédit Agricole - Emprunt</v>
      </c>
      <c r="G54" s="8" t="str">
        <f t="shared" si="0"/>
        <v/>
      </c>
      <c r="H54" s="9">
        <v>0</v>
      </c>
      <c r="I54" s="9">
        <v>0</v>
      </c>
      <c r="J54" s="9">
        <v>0</v>
      </c>
      <c r="K54" s="9">
        <v>0</v>
      </c>
      <c r="L54" s="9">
        <v>0</v>
      </c>
      <c r="M54" s="9">
        <v>0</v>
      </c>
      <c r="N54" s="9">
        <v>0</v>
      </c>
      <c r="O54" s="9">
        <v>0</v>
      </c>
      <c r="P54" s="9">
        <v>0</v>
      </c>
      <c r="Q54" s="9">
        <v>0</v>
      </c>
      <c r="R54" s="9">
        <v>0</v>
      </c>
      <c r="S54" s="9">
        <v>0</v>
      </c>
      <c r="T54" s="9">
        <v>0</v>
      </c>
      <c r="U54" s="9">
        <v>0</v>
      </c>
      <c r="V54" s="9">
        <v>0</v>
      </c>
      <c r="W54" s="9">
        <v>0</v>
      </c>
      <c r="X54" s="9">
        <v>0</v>
      </c>
      <c r="Y54" s="9">
        <v>0</v>
      </c>
      <c r="Z54" s="9">
        <v>0</v>
      </c>
      <c r="AA54" s="9">
        <v>0</v>
      </c>
      <c r="AB54" s="9">
        <v>0</v>
      </c>
      <c r="AC54" s="9">
        <v>0</v>
      </c>
      <c r="AD54" s="9">
        <v>0</v>
      </c>
      <c r="AE54" s="9">
        <v>0</v>
      </c>
      <c r="AF54" s="9">
        <v>0</v>
      </c>
      <c r="AG54" s="9">
        <v>0</v>
      </c>
      <c r="AH54" s="9">
        <v>0</v>
      </c>
      <c r="AI54" s="9">
        <v>0</v>
      </c>
      <c r="AJ54" s="9">
        <v>0</v>
      </c>
      <c r="AK54" s="9">
        <v>0</v>
      </c>
      <c r="AL54" s="9">
        <v>0</v>
      </c>
      <c r="AM54" s="9">
        <v>0</v>
      </c>
      <c r="AN54" s="9">
        <v>0</v>
      </c>
      <c r="AO54" s="9">
        <v>0</v>
      </c>
      <c r="AP54" s="9">
        <v>0</v>
      </c>
      <c r="AQ54" s="9">
        <v>0</v>
      </c>
      <c r="AR54" s="9">
        <v>0</v>
      </c>
      <c r="AS54" s="9">
        <v>0</v>
      </c>
      <c r="AT54" s="9">
        <v>0</v>
      </c>
      <c r="AU54" s="9">
        <v>0</v>
      </c>
      <c r="AV54" s="9">
        <v>0</v>
      </c>
      <c r="AW54" s="9">
        <v>0</v>
      </c>
      <c r="AX54" s="9">
        <v>0</v>
      </c>
      <c r="AY54" s="9">
        <v>0</v>
      </c>
      <c r="AZ54" s="9">
        <v>0</v>
      </c>
      <c r="BA54" s="9">
        <v>0</v>
      </c>
      <c r="BB54" s="9">
        <v>0</v>
      </c>
      <c r="BC54" s="9">
        <v>0</v>
      </c>
      <c r="BD54" s="9">
        <v>0</v>
      </c>
      <c r="BE54" s="9">
        <v>0</v>
      </c>
      <c r="BF54" s="9">
        <v>0</v>
      </c>
      <c r="BG54" s="9">
        <v>0</v>
      </c>
      <c r="BH54" s="9">
        <v>0</v>
      </c>
      <c r="BI54" s="9">
        <v>0</v>
      </c>
      <c r="BJ54" s="9">
        <v>0</v>
      </c>
      <c r="BK54" s="9">
        <v>0</v>
      </c>
      <c r="BL54" s="9">
        <v>0</v>
      </c>
      <c r="BM54" s="9">
        <v>0</v>
      </c>
      <c r="BN54" s="9">
        <v>0</v>
      </c>
      <c r="BO54" s="9">
        <v>0</v>
      </c>
      <c r="BP54" s="9">
        <v>0</v>
      </c>
      <c r="BQ54" s="9">
        <v>0</v>
      </c>
      <c r="BR54" s="9">
        <v>0</v>
      </c>
      <c r="BS54" s="9">
        <v>0</v>
      </c>
      <c r="BT54" s="9">
        <v>0</v>
      </c>
      <c r="BU54" s="9">
        <v>0</v>
      </c>
      <c r="BV54" s="9">
        <v>0</v>
      </c>
      <c r="BW54" s="9">
        <v>0</v>
      </c>
      <c r="BX54" s="9">
        <v>0</v>
      </c>
      <c r="BY54" s="9">
        <v>0</v>
      </c>
      <c r="BZ54" s="9">
        <v>0</v>
      </c>
      <c r="CA54" s="9">
        <v>0</v>
      </c>
      <c r="CB54" s="9">
        <v>0</v>
      </c>
      <c r="CC54" s="9">
        <v>0</v>
      </c>
      <c r="CD54" s="9">
        <v>0</v>
      </c>
      <c r="CE54" s="9">
        <v>0</v>
      </c>
      <c r="CF54" s="9">
        <v>0</v>
      </c>
      <c r="CG54" s="9">
        <v>0</v>
      </c>
      <c r="CH54" s="9">
        <v>0</v>
      </c>
      <c r="CI54" s="9">
        <v>0</v>
      </c>
      <c r="CJ54" s="9">
        <v>0</v>
      </c>
      <c r="CK54" s="9">
        <v>0</v>
      </c>
      <c r="CL54" s="9">
        <v>0</v>
      </c>
      <c r="CM54" s="9">
        <v>0</v>
      </c>
      <c r="CN54" s="9">
        <v>0</v>
      </c>
      <c r="CP54" s="10">
        <f t="shared" si="1"/>
        <v>0</v>
      </c>
      <c r="CQ54" s="20" t="str">
        <f>IFERROR(VLOOKUP($D54,'[2]Mappage de compte'!$B:$G,1,FALSE),"")</f>
        <v>173060</v>
      </c>
      <c r="CR54" s="21" t="str">
        <f>IFERROR(VLOOKUP($D54,'[2]Mappage de compte'!$B:$G,2,FALSE),"")</f>
        <v>Crédit Agricole - Emprunt</v>
      </c>
      <c r="CS54" s="22" t="str">
        <f>IFERROR(VLOOKUP($D54,'[2]Mappage de compte'!$B:$G,3,FALSE),"")</f>
        <v>164001</v>
      </c>
      <c r="CT54" s="22" t="str">
        <f>IFERROR(VLOOKUP($D54,'[2]Mappage de compte'!$B:$G,4,FALSE),"")</f>
        <v xml:space="preserve">EMPRUNT BELGIQUE      </v>
      </c>
      <c r="CU54" s="23" t="str">
        <f>IFERROR(VLOOKUP($D54,'[2]Mappage de compte'!$B:$G,5,FALSE),"")</f>
        <v>Passifs courants ou non courants portant intérêts ou non</v>
      </c>
      <c r="CV54" s="23" t="str">
        <f>IFERROR(VLOOKUP($D54,'[2]Mappage de compte'!$B:$G,6,FALSE),"")</f>
        <v>Passifs courants ou non courants</v>
      </c>
    </row>
    <row r="55" spans="1:100" x14ac:dyDescent="0.25">
      <c r="A55" s="8" t="s">
        <v>9</v>
      </c>
      <c r="C55" s="8" t="str">
        <f>"""ORPEA BE"",""010010"",""15"",""1"",""173070"""</f>
        <v>"ORPEA BE","010010","15","1","173070"</v>
      </c>
      <c r="D55" s="8" t="str">
        <f>"173070"</f>
        <v>173070</v>
      </c>
      <c r="E55" s="8" t="str">
        <f t="shared" si="4"/>
        <v>164000</v>
      </c>
      <c r="F55" s="8" t="str">
        <f>"XXX - Emprunt"</f>
        <v>XXX - Emprunt</v>
      </c>
      <c r="G55" s="8" t="str">
        <f t="shared" si="0"/>
        <v/>
      </c>
      <c r="H55" s="9">
        <v>0</v>
      </c>
      <c r="I55" s="9">
        <v>0</v>
      </c>
      <c r="J55" s="9">
        <v>0</v>
      </c>
      <c r="K55" s="9">
        <v>0</v>
      </c>
      <c r="L55" s="9">
        <v>0</v>
      </c>
      <c r="M55" s="9">
        <v>0</v>
      </c>
      <c r="N55" s="9">
        <v>0</v>
      </c>
      <c r="O55" s="9">
        <v>0</v>
      </c>
      <c r="P55" s="9">
        <v>0</v>
      </c>
      <c r="Q55" s="9">
        <v>0</v>
      </c>
      <c r="R55" s="9">
        <v>0</v>
      </c>
      <c r="S55" s="9">
        <v>0</v>
      </c>
      <c r="T55" s="9">
        <v>0</v>
      </c>
      <c r="U55" s="9">
        <v>0</v>
      </c>
      <c r="V55" s="9">
        <v>0</v>
      </c>
      <c r="W55" s="9">
        <v>0</v>
      </c>
      <c r="X55" s="9">
        <v>0</v>
      </c>
      <c r="Y55" s="9">
        <v>0</v>
      </c>
      <c r="Z55" s="9">
        <v>0</v>
      </c>
      <c r="AA55" s="9">
        <v>0</v>
      </c>
      <c r="AB55" s="9">
        <v>0</v>
      </c>
      <c r="AC55" s="9">
        <v>-4664210.96</v>
      </c>
      <c r="AD55" s="9">
        <v>0</v>
      </c>
      <c r="AE55" s="9">
        <v>0</v>
      </c>
      <c r="AF55" s="9">
        <v>0</v>
      </c>
      <c r="AG55" s="9">
        <v>0</v>
      </c>
      <c r="AH55" s="9">
        <v>0</v>
      </c>
      <c r="AI55" s="9">
        <v>0</v>
      </c>
      <c r="AJ55" s="9">
        <v>0</v>
      </c>
      <c r="AK55" s="9">
        <v>0</v>
      </c>
      <c r="AL55" s="9">
        <v>0</v>
      </c>
      <c r="AM55" s="9">
        <v>0</v>
      </c>
      <c r="AN55" s="9">
        <v>0</v>
      </c>
      <c r="AO55" s="9">
        <v>0</v>
      </c>
      <c r="AP55" s="9">
        <v>0</v>
      </c>
      <c r="AQ55" s="9">
        <v>0</v>
      </c>
      <c r="AR55" s="9">
        <v>0</v>
      </c>
      <c r="AS55" s="9">
        <v>0</v>
      </c>
      <c r="AT55" s="9">
        <v>0</v>
      </c>
      <c r="AU55" s="9">
        <v>0</v>
      </c>
      <c r="AV55" s="9">
        <v>0</v>
      </c>
      <c r="AW55" s="9">
        <v>0</v>
      </c>
      <c r="AX55" s="9">
        <v>0</v>
      </c>
      <c r="AY55" s="9">
        <v>0</v>
      </c>
      <c r="AZ55" s="9">
        <v>0</v>
      </c>
      <c r="BA55" s="9">
        <v>0</v>
      </c>
      <c r="BB55" s="9">
        <v>0</v>
      </c>
      <c r="BC55" s="9">
        <v>0</v>
      </c>
      <c r="BD55" s="9">
        <v>0</v>
      </c>
      <c r="BE55" s="9">
        <v>0</v>
      </c>
      <c r="BF55" s="9">
        <v>0</v>
      </c>
      <c r="BG55" s="9">
        <v>0</v>
      </c>
      <c r="BH55" s="9">
        <v>0</v>
      </c>
      <c r="BI55" s="9">
        <v>0</v>
      </c>
      <c r="BJ55" s="9">
        <v>0</v>
      </c>
      <c r="BK55" s="9">
        <v>0</v>
      </c>
      <c r="BL55" s="9">
        <v>0</v>
      </c>
      <c r="BM55" s="9">
        <v>0</v>
      </c>
      <c r="BN55" s="9">
        <v>0</v>
      </c>
      <c r="BO55" s="9">
        <v>0</v>
      </c>
      <c r="BP55" s="9">
        <v>0</v>
      </c>
      <c r="BQ55" s="9">
        <v>0</v>
      </c>
      <c r="BR55" s="9">
        <v>0</v>
      </c>
      <c r="BS55" s="9">
        <v>0</v>
      </c>
      <c r="BT55" s="9">
        <v>0</v>
      </c>
      <c r="BU55" s="9">
        <v>0</v>
      </c>
      <c r="BV55" s="9">
        <v>0</v>
      </c>
      <c r="BW55" s="9">
        <v>0</v>
      </c>
      <c r="BX55" s="9">
        <v>0</v>
      </c>
      <c r="BY55" s="9">
        <v>0</v>
      </c>
      <c r="BZ55" s="9">
        <v>0</v>
      </c>
      <c r="CA55" s="9">
        <v>0</v>
      </c>
      <c r="CB55" s="9">
        <v>0</v>
      </c>
      <c r="CC55" s="9">
        <v>0</v>
      </c>
      <c r="CD55" s="9">
        <v>-10650956</v>
      </c>
      <c r="CE55" s="9">
        <v>0</v>
      </c>
      <c r="CF55" s="9">
        <v>0</v>
      </c>
      <c r="CG55" s="9">
        <v>0</v>
      </c>
      <c r="CH55" s="9">
        <v>0</v>
      </c>
      <c r="CI55" s="9">
        <v>0</v>
      </c>
      <c r="CJ55" s="9">
        <v>0</v>
      </c>
      <c r="CK55" s="9">
        <v>0</v>
      </c>
      <c r="CL55" s="9">
        <v>0</v>
      </c>
      <c r="CM55" s="9">
        <v>0</v>
      </c>
      <c r="CN55" s="9">
        <v>0</v>
      </c>
      <c r="CP55" s="10">
        <f t="shared" si="1"/>
        <v>-15315166.960000001</v>
      </c>
      <c r="CQ55" s="20" t="str">
        <f>IFERROR(VLOOKUP($D55,'[2]Mappage de compte'!$B:$G,1,FALSE),"")</f>
        <v>173070</v>
      </c>
      <c r="CR55" s="21" t="str">
        <f>IFERROR(VLOOKUP($D55,'[2]Mappage de compte'!$B:$G,2,FALSE),"")</f>
        <v>XXX - Emprunt</v>
      </c>
      <c r="CS55" s="22" t="str">
        <f>IFERROR(VLOOKUP($D55,'[2]Mappage de compte'!$B:$G,3,FALSE),"")</f>
        <v>164001</v>
      </c>
      <c r="CT55" s="22" t="str">
        <f>IFERROR(VLOOKUP($D55,'[2]Mappage de compte'!$B:$G,4,FALSE),"")</f>
        <v xml:space="preserve">EMPRUNT BELGIQUE      </v>
      </c>
      <c r="CU55" s="23" t="str">
        <f>IFERROR(VLOOKUP($D55,'[2]Mappage de compte'!$B:$G,5,FALSE),"")</f>
        <v>Passifs courants ou non courants portant intérêts ou non</v>
      </c>
      <c r="CV55" s="23" t="str">
        <f>IFERROR(VLOOKUP($D55,'[2]Mappage de compte'!$B:$G,6,FALSE),"")</f>
        <v>Passifs courants ou non courants</v>
      </c>
    </row>
    <row r="56" spans="1:100" x14ac:dyDescent="0.25">
      <c r="A56" s="8" t="s">
        <v>9</v>
      </c>
      <c r="C56" s="8" t="str">
        <f>"""ORPEA BE"",""010010"",""15"",""1"",""173080"""</f>
        <v>"ORPEA BE","010010","15","1","173080"</v>
      </c>
      <c r="D56" s="8" t="str">
        <f>"173080"</f>
        <v>173080</v>
      </c>
      <c r="E56" s="8" t="str">
        <f t="shared" si="4"/>
        <v>164000</v>
      </c>
      <c r="F56" s="8" t="str">
        <f>"XXX - Emprunt"</f>
        <v>XXX - Emprunt</v>
      </c>
      <c r="G56" s="8" t="str">
        <f t="shared" si="0"/>
        <v/>
      </c>
      <c r="H56" s="9">
        <v>0</v>
      </c>
      <c r="I56" s="9">
        <v>0</v>
      </c>
      <c r="J56" s="9">
        <v>0</v>
      </c>
      <c r="K56" s="9">
        <v>0</v>
      </c>
      <c r="L56" s="9">
        <v>0</v>
      </c>
      <c r="M56" s="9">
        <v>0</v>
      </c>
      <c r="N56" s="9">
        <v>0</v>
      </c>
      <c r="O56" s="9">
        <v>0</v>
      </c>
      <c r="P56" s="9">
        <v>0</v>
      </c>
      <c r="Q56" s="9">
        <v>0</v>
      </c>
      <c r="R56" s="9">
        <v>0</v>
      </c>
      <c r="S56" s="9">
        <v>0</v>
      </c>
      <c r="T56" s="9">
        <v>0</v>
      </c>
      <c r="U56" s="9">
        <v>0</v>
      </c>
      <c r="V56" s="9">
        <v>0</v>
      </c>
      <c r="W56" s="9">
        <v>0</v>
      </c>
      <c r="X56" s="9">
        <v>0</v>
      </c>
      <c r="Y56" s="9">
        <v>0</v>
      </c>
      <c r="Z56" s="9">
        <v>0</v>
      </c>
      <c r="AA56" s="9">
        <v>0</v>
      </c>
      <c r="AB56" s="9">
        <v>0</v>
      </c>
      <c r="AC56" s="9">
        <v>0</v>
      </c>
      <c r="AD56" s="9">
        <v>0</v>
      </c>
      <c r="AE56" s="9">
        <v>0</v>
      </c>
      <c r="AF56" s="9">
        <v>0</v>
      </c>
      <c r="AG56" s="9">
        <v>0</v>
      </c>
      <c r="AH56" s="9">
        <v>0</v>
      </c>
      <c r="AI56" s="9">
        <v>0</v>
      </c>
      <c r="AJ56" s="9">
        <v>0</v>
      </c>
      <c r="AK56" s="9">
        <v>0</v>
      </c>
      <c r="AL56" s="9">
        <v>0</v>
      </c>
      <c r="AM56" s="9">
        <v>0</v>
      </c>
      <c r="AN56" s="9">
        <v>0</v>
      </c>
      <c r="AO56" s="9">
        <v>0</v>
      </c>
      <c r="AP56" s="9">
        <v>0</v>
      </c>
      <c r="AQ56" s="9">
        <v>0</v>
      </c>
      <c r="AR56" s="9">
        <v>0</v>
      </c>
      <c r="AS56" s="9">
        <v>0</v>
      </c>
      <c r="AT56" s="9">
        <v>0</v>
      </c>
      <c r="AU56" s="9">
        <v>0</v>
      </c>
      <c r="AV56" s="9">
        <v>0</v>
      </c>
      <c r="AW56" s="9">
        <v>0</v>
      </c>
      <c r="AX56" s="9">
        <v>0</v>
      </c>
      <c r="AY56" s="9">
        <v>0</v>
      </c>
      <c r="AZ56" s="9">
        <v>0</v>
      </c>
      <c r="BA56" s="9">
        <v>0</v>
      </c>
      <c r="BB56" s="9">
        <v>0</v>
      </c>
      <c r="BC56" s="9">
        <v>0</v>
      </c>
      <c r="BD56" s="9">
        <v>0</v>
      </c>
      <c r="BE56" s="9">
        <v>0</v>
      </c>
      <c r="BF56" s="9">
        <v>0</v>
      </c>
      <c r="BG56" s="9">
        <v>0</v>
      </c>
      <c r="BH56" s="9">
        <v>0</v>
      </c>
      <c r="BI56" s="9">
        <v>0</v>
      </c>
      <c r="BJ56" s="9">
        <v>0</v>
      </c>
      <c r="BK56" s="9">
        <v>0</v>
      </c>
      <c r="BL56" s="9">
        <v>0</v>
      </c>
      <c r="BM56" s="9">
        <v>0</v>
      </c>
      <c r="BN56" s="9">
        <v>0</v>
      </c>
      <c r="BO56" s="9">
        <v>0</v>
      </c>
      <c r="BP56" s="9">
        <v>0</v>
      </c>
      <c r="BQ56" s="9">
        <v>0</v>
      </c>
      <c r="BR56" s="9">
        <v>0</v>
      </c>
      <c r="BS56" s="9">
        <v>0</v>
      </c>
      <c r="BT56" s="9">
        <v>0</v>
      </c>
      <c r="BU56" s="9">
        <v>0</v>
      </c>
      <c r="BV56" s="9">
        <v>0</v>
      </c>
      <c r="BW56" s="9">
        <v>0</v>
      </c>
      <c r="BX56" s="9">
        <v>0</v>
      </c>
      <c r="BY56" s="9">
        <v>0</v>
      </c>
      <c r="BZ56" s="9">
        <v>0</v>
      </c>
      <c r="CA56" s="9">
        <v>0</v>
      </c>
      <c r="CB56" s="9">
        <v>0</v>
      </c>
      <c r="CC56" s="9">
        <v>0</v>
      </c>
      <c r="CD56" s="9">
        <v>0</v>
      </c>
      <c r="CE56" s="9">
        <v>0</v>
      </c>
      <c r="CF56" s="9">
        <v>0</v>
      </c>
      <c r="CG56" s="9">
        <v>0</v>
      </c>
      <c r="CH56" s="9">
        <v>0</v>
      </c>
      <c r="CI56" s="9">
        <v>0</v>
      </c>
      <c r="CJ56" s="9">
        <v>0</v>
      </c>
      <c r="CK56" s="9">
        <v>0</v>
      </c>
      <c r="CL56" s="9">
        <v>0</v>
      </c>
      <c r="CM56" s="9">
        <v>0</v>
      </c>
      <c r="CN56" s="9">
        <v>0</v>
      </c>
      <c r="CP56" s="10">
        <f t="shared" si="1"/>
        <v>0</v>
      </c>
      <c r="CQ56" s="20" t="str">
        <f>IFERROR(VLOOKUP($D56,'[2]Mappage de compte'!$B:$G,1,FALSE),"")</f>
        <v>173080</v>
      </c>
      <c r="CR56" s="21" t="str">
        <f>IFERROR(VLOOKUP($D56,'[2]Mappage de compte'!$B:$G,2,FALSE),"")</f>
        <v>XXX - Emprunt</v>
      </c>
      <c r="CS56" s="22" t="str">
        <f>IFERROR(VLOOKUP($D56,'[2]Mappage de compte'!$B:$G,3,FALSE),"")</f>
        <v>164001</v>
      </c>
      <c r="CT56" s="22" t="str">
        <f>IFERROR(VLOOKUP($D56,'[2]Mappage de compte'!$B:$G,4,FALSE),"")</f>
        <v xml:space="preserve">EMPRUNT BELGIQUE      </v>
      </c>
      <c r="CU56" s="23" t="str">
        <f>IFERROR(VLOOKUP($D56,'[2]Mappage de compte'!$B:$G,5,FALSE),"")</f>
        <v>Passifs courants ou non courants portant intérêts ou non</v>
      </c>
      <c r="CV56" s="23" t="str">
        <f>IFERROR(VLOOKUP($D56,'[2]Mappage de compte'!$B:$G,6,FALSE),"")</f>
        <v>Passifs courants ou non courants</v>
      </c>
    </row>
    <row r="57" spans="1:100" x14ac:dyDescent="0.25">
      <c r="A57" s="8" t="s">
        <v>9</v>
      </c>
      <c r="C57" s="8" t="str">
        <f>"""ORPEA BE"",""010010"",""15"",""1"",""173090"""</f>
        <v>"ORPEA BE","010010","15","1","173090"</v>
      </c>
      <c r="D57" s="8" t="str">
        <f>"173090"</f>
        <v>173090</v>
      </c>
      <c r="E57" s="8" t="str">
        <f t="shared" si="4"/>
        <v>164000</v>
      </c>
      <c r="F57" s="8" t="str">
        <f>"XXX - Emprunt"</f>
        <v>XXX - Emprunt</v>
      </c>
      <c r="G57" s="8" t="str">
        <f t="shared" si="0"/>
        <v/>
      </c>
      <c r="H57" s="9">
        <v>0</v>
      </c>
      <c r="I57" s="9">
        <v>0</v>
      </c>
      <c r="J57" s="9">
        <v>0</v>
      </c>
      <c r="K57" s="9">
        <v>0</v>
      </c>
      <c r="L57" s="9">
        <v>0</v>
      </c>
      <c r="M57" s="9">
        <v>0</v>
      </c>
      <c r="N57" s="9">
        <v>0</v>
      </c>
      <c r="O57" s="9">
        <v>0</v>
      </c>
      <c r="P57" s="9">
        <v>0</v>
      </c>
      <c r="Q57" s="9">
        <v>0</v>
      </c>
      <c r="R57" s="9">
        <v>0</v>
      </c>
      <c r="S57" s="9">
        <v>0</v>
      </c>
      <c r="T57" s="9">
        <v>0</v>
      </c>
      <c r="U57" s="9">
        <v>0</v>
      </c>
      <c r="V57" s="9">
        <v>0</v>
      </c>
      <c r="W57" s="9">
        <v>0</v>
      </c>
      <c r="X57" s="9">
        <v>0</v>
      </c>
      <c r="Y57" s="9">
        <v>0</v>
      </c>
      <c r="Z57" s="9">
        <v>0</v>
      </c>
      <c r="AA57" s="9">
        <v>0</v>
      </c>
      <c r="AB57" s="9">
        <v>0</v>
      </c>
      <c r="AC57" s="9">
        <v>0</v>
      </c>
      <c r="AD57" s="9">
        <v>0</v>
      </c>
      <c r="AE57" s="9">
        <v>0</v>
      </c>
      <c r="AF57" s="9">
        <v>0</v>
      </c>
      <c r="AG57" s="9">
        <v>0</v>
      </c>
      <c r="AH57" s="9">
        <v>0</v>
      </c>
      <c r="AI57" s="9">
        <v>0</v>
      </c>
      <c r="AJ57" s="9">
        <v>0</v>
      </c>
      <c r="AK57" s="9">
        <v>0</v>
      </c>
      <c r="AL57" s="9">
        <v>0</v>
      </c>
      <c r="AM57" s="9">
        <v>0</v>
      </c>
      <c r="AN57" s="9">
        <v>0</v>
      </c>
      <c r="AO57" s="9">
        <v>0</v>
      </c>
      <c r="AP57" s="9">
        <v>0</v>
      </c>
      <c r="AQ57" s="9">
        <v>0</v>
      </c>
      <c r="AR57" s="9">
        <v>0</v>
      </c>
      <c r="AS57" s="9">
        <v>0</v>
      </c>
      <c r="AT57" s="9">
        <v>0</v>
      </c>
      <c r="AU57" s="9">
        <v>0</v>
      </c>
      <c r="AV57" s="9">
        <v>0</v>
      </c>
      <c r="AW57" s="9">
        <v>0</v>
      </c>
      <c r="AX57" s="9">
        <v>0</v>
      </c>
      <c r="AY57" s="9">
        <v>0</v>
      </c>
      <c r="AZ57" s="9">
        <v>0</v>
      </c>
      <c r="BA57" s="9">
        <v>0</v>
      </c>
      <c r="BB57" s="9">
        <v>0</v>
      </c>
      <c r="BC57" s="9">
        <v>0</v>
      </c>
      <c r="BD57" s="9">
        <v>0</v>
      </c>
      <c r="BE57" s="9">
        <v>0</v>
      </c>
      <c r="BF57" s="9">
        <v>0</v>
      </c>
      <c r="BG57" s="9">
        <v>0</v>
      </c>
      <c r="BH57" s="9">
        <v>0</v>
      </c>
      <c r="BI57" s="9">
        <v>0</v>
      </c>
      <c r="BJ57" s="9">
        <v>0</v>
      </c>
      <c r="BK57" s="9">
        <v>0</v>
      </c>
      <c r="BL57" s="9">
        <v>0</v>
      </c>
      <c r="BM57" s="9">
        <v>0</v>
      </c>
      <c r="BN57" s="9">
        <v>0</v>
      </c>
      <c r="BO57" s="9">
        <v>0</v>
      </c>
      <c r="BP57" s="9">
        <v>0</v>
      </c>
      <c r="BQ57" s="9">
        <v>0</v>
      </c>
      <c r="BR57" s="9">
        <v>0</v>
      </c>
      <c r="BS57" s="9">
        <v>0</v>
      </c>
      <c r="BT57" s="9">
        <v>0</v>
      </c>
      <c r="BU57" s="9">
        <v>0</v>
      </c>
      <c r="BV57" s="9">
        <v>0</v>
      </c>
      <c r="BW57" s="9">
        <v>0</v>
      </c>
      <c r="BX57" s="9">
        <v>0</v>
      </c>
      <c r="BY57" s="9">
        <v>0</v>
      </c>
      <c r="BZ57" s="9">
        <v>0</v>
      </c>
      <c r="CA57" s="9">
        <v>0</v>
      </c>
      <c r="CB57" s="9">
        <v>0</v>
      </c>
      <c r="CC57" s="9">
        <v>0</v>
      </c>
      <c r="CD57" s="9">
        <v>0</v>
      </c>
      <c r="CE57" s="9">
        <v>0</v>
      </c>
      <c r="CF57" s="9">
        <v>0</v>
      </c>
      <c r="CG57" s="9">
        <v>0</v>
      </c>
      <c r="CH57" s="9">
        <v>0</v>
      </c>
      <c r="CI57" s="9">
        <v>0</v>
      </c>
      <c r="CJ57" s="9">
        <v>0</v>
      </c>
      <c r="CK57" s="9">
        <v>0</v>
      </c>
      <c r="CL57" s="9">
        <v>0</v>
      </c>
      <c r="CM57" s="9">
        <v>0</v>
      </c>
      <c r="CN57" s="9">
        <v>0</v>
      </c>
      <c r="CP57" s="10">
        <f t="shared" si="1"/>
        <v>0</v>
      </c>
      <c r="CQ57" s="20" t="str">
        <f>IFERROR(VLOOKUP($D57,'[2]Mappage de compte'!$B:$G,1,FALSE),"")</f>
        <v>173090</v>
      </c>
      <c r="CR57" s="21" t="str">
        <f>IFERROR(VLOOKUP($D57,'[2]Mappage de compte'!$B:$G,2,FALSE),"")</f>
        <v>XXX - Emprunt</v>
      </c>
      <c r="CS57" s="22" t="str">
        <f>IFERROR(VLOOKUP($D57,'[2]Mappage de compte'!$B:$G,3,FALSE),"")</f>
        <v>164001</v>
      </c>
      <c r="CT57" s="22" t="str">
        <f>IFERROR(VLOOKUP($D57,'[2]Mappage de compte'!$B:$G,4,FALSE),"")</f>
        <v xml:space="preserve">EMPRUNT BELGIQUE      </v>
      </c>
      <c r="CU57" s="23" t="str">
        <f>IFERROR(VLOOKUP($D57,'[2]Mappage de compte'!$B:$G,5,FALSE),"")</f>
        <v>Passifs courants ou non courants portant intérêts ou non</v>
      </c>
      <c r="CV57" s="23" t="str">
        <f>IFERROR(VLOOKUP($D57,'[2]Mappage de compte'!$B:$G,6,FALSE),"")</f>
        <v>Passifs courants ou non courants</v>
      </c>
    </row>
    <row r="58" spans="1:100" x14ac:dyDescent="0.25">
      <c r="A58" s="8" t="s">
        <v>9</v>
      </c>
      <c r="C58" s="8" t="str">
        <f>"""ORPEA BE"",""010010"",""15"",""1"",""173100"""</f>
        <v>"ORPEA BE","010010","15","1","173100"</v>
      </c>
      <c r="D58" s="8" t="str">
        <f>"173100"</f>
        <v>173100</v>
      </c>
      <c r="E58" s="8" t="str">
        <f t="shared" si="4"/>
        <v>164000</v>
      </c>
      <c r="F58" s="8" t="str">
        <f>"XXX - Crédit d'investissement"</f>
        <v>XXX - Crédit d'investissement</v>
      </c>
      <c r="G58" s="8" t="str">
        <f t="shared" si="0"/>
        <v/>
      </c>
      <c r="H58" s="9">
        <v>0</v>
      </c>
      <c r="I58" s="9">
        <v>0</v>
      </c>
      <c r="J58" s="9">
        <v>0</v>
      </c>
      <c r="K58" s="9">
        <v>0</v>
      </c>
      <c r="L58" s="9">
        <v>0</v>
      </c>
      <c r="M58" s="9">
        <v>0</v>
      </c>
      <c r="N58" s="9">
        <v>0</v>
      </c>
      <c r="O58" s="9">
        <v>0</v>
      </c>
      <c r="P58" s="9">
        <v>0</v>
      </c>
      <c r="Q58" s="9">
        <v>0</v>
      </c>
      <c r="R58" s="9">
        <v>0</v>
      </c>
      <c r="S58" s="9">
        <v>0</v>
      </c>
      <c r="T58" s="9">
        <v>0</v>
      </c>
      <c r="U58" s="9">
        <v>0</v>
      </c>
      <c r="V58" s="9">
        <v>0</v>
      </c>
      <c r="W58" s="9">
        <v>0</v>
      </c>
      <c r="X58" s="9">
        <v>0</v>
      </c>
      <c r="Y58" s="9">
        <v>0</v>
      </c>
      <c r="Z58" s="9">
        <v>0</v>
      </c>
      <c r="AA58" s="9">
        <v>0</v>
      </c>
      <c r="AB58" s="9">
        <v>0</v>
      </c>
      <c r="AC58" s="9">
        <v>0</v>
      </c>
      <c r="AD58" s="9">
        <v>0</v>
      </c>
      <c r="AE58" s="9">
        <v>0</v>
      </c>
      <c r="AF58" s="9">
        <v>0</v>
      </c>
      <c r="AG58" s="9">
        <v>0</v>
      </c>
      <c r="AH58" s="9">
        <v>0</v>
      </c>
      <c r="AI58" s="9">
        <v>0</v>
      </c>
      <c r="AJ58" s="9">
        <v>0</v>
      </c>
      <c r="AK58" s="9">
        <v>0</v>
      </c>
      <c r="AL58" s="9">
        <v>0</v>
      </c>
      <c r="AM58" s="9">
        <v>0</v>
      </c>
      <c r="AN58" s="9">
        <v>0</v>
      </c>
      <c r="AO58" s="9">
        <v>0</v>
      </c>
      <c r="AP58" s="9">
        <v>0</v>
      </c>
      <c r="AQ58" s="9">
        <v>0</v>
      </c>
      <c r="AR58" s="9">
        <v>0</v>
      </c>
      <c r="AS58" s="9">
        <v>0</v>
      </c>
      <c r="AT58" s="9">
        <v>0</v>
      </c>
      <c r="AU58" s="9">
        <v>0</v>
      </c>
      <c r="AV58" s="9">
        <v>0</v>
      </c>
      <c r="AW58" s="9">
        <v>0</v>
      </c>
      <c r="AX58" s="9">
        <v>0</v>
      </c>
      <c r="AY58" s="9">
        <v>0</v>
      </c>
      <c r="AZ58" s="9">
        <v>0</v>
      </c>
      <c r="BA58" s="9">
        <v>0</v>
      </c>
      <c r="BB58" s="9">
        <v>0</v>
      </c>
      <c r="BC58" s="9">
        <v>0</v>
      </c>
      <c r="BD58" s="9">
        <v>0</v>
      </c>
      <c r="BE58" s="9">
        <v>0</v>
      </c>
      <c r="BF58" s="9">
        <v>0</v>
      </c>
      <c r="BG58" s="9">
        <v>0</v>
      </c>
      <c r="BH58" s="9">
        <v>0</v>
      </c>
      <c r="BI58" s="9">
        <v>0</v>
      </c>
      <c r="BJ58" s="9">
        <v>0</v>
      </c>
      <c r="BK58" s="9">
        <v>0</v>
      </c>
      <c r="BL58" s="9">
        <v>0</v>
      </c>
      <c r="BM58" s="9">
        <v>0</v>
      </c>
      <c r="BN58" s="9">
        <v>0</v>
      </c>
      <c r="BO58" s="9">
        <v>0</v>
      </c>
      <c r="BP58" s="9">
        <v>0</v>
      </c>
      <c r="BQ58" s="9">
        <v>0</v>
      </c>
      <c r="BR58" s="9">
        <v>-71660.98</v>
      </c>
      <c r="BS58" s="9">
        <v>0</v>
      </c>
      <c r="BT58" s="9">
        <v>0</v>
      </c>
      <c r="BU58" s="9">
        <v>0</v>
      </c>
      <c r="BV58" s="9">
        <v>0</v>
      </c>
      <c r="BW58" s="9">
        <v>0</v>
      </c>
      <c r="BX58" s="9">
        <v>0</v>
      </c>
      <c r="BY58" s="9">
        <v>0</v>
      </c>
      <c r="BZ58" s="9">
        <v>0</v>
      </c>
      <c r="CA58" s="9">
        <v>0</v>
      </c>
      <c r="CB58" s="9">
        <v>0</v>
      </c>
      <c r="CC58" s="9">
        <v>0</v>
      </c>
      <c r="CD58" s="9">
        <v>0</v>
      </c>
      <c r="CE58" s="9">
        <v>0</v>
      </c>
      <c r="CF58" s="9">
        <v>0</v>
      </c>
      <c r="CG58" s="9">
        <v>0</v>
      </c>
      <c r="CH58" s="9">
        <v>0</v>
      </c>
      <c r="CI58" s="9">
        <v>0</v>
      </c>
      <c r="CJ58" s="9">
        <v>0</v>
      </c>
      <c r="CK58" s="9">
        <v>0</v>
      </c>
      <c r="CL58" s="9">
        <v>0</v>
      </c>
      <c r="CM58" s="9">
        <v>0</v>
      </c>
      <c r="CN58" s="9">
        <v>0</v>
      </c>
      <c r="CP58" s="10">
        <f t="shared" si="1"/>
        <v>-71660.98</v>
      </c>
      <c r="CQ58" s="20" t="str">
        <f>IFERROR(VLOOKUP($D58,'[2]Mappage de compte'!$B:$G,1,FALSE),"")</f>
        <v>173100</v>
      </c>
      <c r="CR58" s="21" t="str">
        <f>IFERROR(VLOOKUP($D58,'[2]Mappage de compte'!$B:$G,2,FALSE),"")</f>
        <v>XXX - Crédit d'investissement</v>
      </c>
      <c r="CS58" s="22" t="str">
        <f>IFERROR(VLOOKUP($D58,'[2]Mappage de compte'!$B:$G,3,FALSE),"")</f>
        <v>164001</v>
      </c>
      <c r="CT58" s="22" t="str">
        <f>IFERROR(VLOOKUP($D58,'[2]Mappage de compte'!$B:$G,4,FALSE),"")</f>
        <v xml:space="preserve">EMPRUNT BELGIQUE      </v>
      </c>
      <c r="CU58" s="23" t="str">
        <f>IFERROR(VLOOKUP($D58,'[2]Mappage de compte'!$B:$G,5,FALSE),"")</f>
        <v>Passifs courants ou non courants portant intérêts ou non</v>
      </c>
      <c r="CV58" s="23" t="str">
        <f>IFERROR(VLOOKUP($D58,'[2]Mappage de compte'!$B:$G,6,FALSE),"")</f>
        <v>Passifs courants ou non courants</v>
      </c>
    </row>
    <row r="59" spans="1:100" x14ac:dyDescent="0.25">
      <c r="A59" s="8" t="s">
        <v>9</v>
      </c>
      <c r="C59" s="8" t="str">
        <f>"""ORPEA BE"",""010010"",""15"",""1"",""173101"""</f>
        <v>"ORPEA BE","010010","15","1","173101"</v>
      </c>
      <c r="D59" s="8" t="str">
        <f>"173101"</f>
        <v>173101</v>
      </c>
      <c r="E59" s="8" t="str">
        <f t="shared" si="4"/>
        <v>164000</v>
      </c>
      <c r="F59" s="8" t="str">
        <f>"XXX - Crédit d'investissement"</f>
        <v>XXX - Crédit d'investissement</v>
      </c>
      <c r="G59" s="8" t="str">
        <f t="shared" si="0"/>
        <v/>
      </c>
      <c r="H59" s="9">
        <v>0</v>
      </c>
      <c r="I59" s="9">
        <v>0</v>
      </c>
      <c r="J59" s="9">
        <v>0</v>
      </c>
      <c r="K59" s="9">
        <v>0</v>
      </c>
      <c r="L59" s="9">
        <v>0</v>
      </c>
      <c r="M59" s="9">
        <v>0</v>
      </c>
      <c r="N59" s="9">
        <v>0</v>
      </c>
      <c r="O59" s="9">
        <v>0</v>
      </c>
      <c r="P59" s="9">
        <v>0</v>
      </c>
      <c r="Q59" s="9">
        <v>0</v>
      </c>
      <c r="R59" s="9">
        <v>0</v>
      </c>
      <c r="S59" s="9">
        <v>0</v>
      </c>
      <c r="T59" s="9">
        <v>0</v>
      </c>
      <c r="U59" s="9">
        <v>0</v>
      </c>
      <c r="V59" s="9">
        <v>0</v>
      </c>
      <c r="W59" s="9">
        <v>0</v>
      </c>
      <c r="X59" s="9">
        <v>0</v>
      </c>
      <c r="Y59" s="9">
        <v>0</v>
      </c>
      <c r="Z59" s="9">
        <v>0</v>
      </c>
      <c r="AA59" s="9">
        <v>0</v>
      </c>
      <c r="AB59" s="9">
        <v>0</v>
      </c>
      <c r="AC59" s="9">
        <v>0</v>
      </c>
      <c r="AD59" s="9">
        <v>0</v>
      </c>
      <c r="AE59" s="9">
        <v>0</v>
      </c>
      <c r="AF59" s="9">
        <v>0</v>
      </c>
      <c r="AG59" s="9">
        <v>0</v>
      </c>
      <c r="AH59" s="9">
        <v>0</v>
      </c>
      <c r="AI59" s="9">
        <v>0</v>
      </c>
      <c r="AJ59" s="9">
        <v>0</v>
      </c>
      <c r="AK59" s="9">
        <v>0</v>
      </c>
      <c r="AL59" s="9">
        <v>0</v>
      </c>
      <c r="AM59" s="9">
        <v>0</v>
      </c>
      <c r="AN59" s="9">
        <v>0</v>
      </c>
      <c r="AO59" s="9">
        <v>0</v>
      </c>
      <c r="AP59" s="9">
        <v>0</v>
      </c>
      <c r="AQ59" s="9">
        <v>0</v>
      </c>
      <c r="AR59" s="9">
        <v>0</v>
      </c>
      <c r="AS59" s="9">
        <v>0</v>
      </c>
      <c r="AT59" s="9">
        <v>0</v>
      </c>
      <c r="AU59" s="9">
        <v>0</v>
      </c>
      <c r="AV59" s="9">
        <v>0</v>
      </c>
      <c r="AW59" s="9">
        <v>0</v>
      </c>
      <c r="AX59" s="9">
        <v>0</v>
      </c>
      <c r="AY59" s="9">
        <v>0</v>
      </c>
      <c r="AZ59" s="9">
        <v>0</v>
      </c>
      <c r="BA59" s="9">
        <v>0</v>
      </c>
      <c r="BB59" s="9">
        <v>0</v>
      </c>
      <c r="BC59" s="9">
        <v>0</v>
      </c>
      <c r="BD59" s="9">
        <v>0</v>
      </c>
      <c r="BE59" s="9">
        <v>0</v>
      </c>
      <c r="BF59" s="9">
        <v>0</v>
      </c>
      <c r="BG59" s="9">
        <v>0</v>
      </c>
      <c r="BH59" s="9">
        <v>0</v>
      </c>
      <c r="BI59" s="9">
        <v>0</v>
      </c>
      <c r="BJ59" s="9">
        <v>0</v>
      </c>
      <c r="BK59" s="9">
        <v>0</v>
      </c>
      <c r="BL59" s="9">
        <v>0</v>
      </c>
      <c r="BM59" s="9">
        <v>0</v>
      </c>
      <c r="BN59" s="9">
        <v>0</v>
      </c>
      <c r="BO59" s="9">
        <v>0</v>
      </c>
      <c r="BP59" s="9">
        <v>0</v>
      </c>
      <c r="BQ59" s="9">
        <v>0</v>
      </c>
      <c r="BR59" s="9">
        <v>0</v>
      </c>
      <c r="BS59" s="9">
        <v>0</v>
      </c>
      <c r="BT59" s="9">
        <v>0</v>
      </c>
      <c r="BU59" s="9">
        <v>0</v>
      </c>
      <c r="BV59" s="9">
        <v>0</v>
      </c>
      <c r="BW59" s="9">
        <v>0</v>
      </c>
      <c r="BX59" s="9">
        <v>0</v>
      </c>
      <c r="BY59" s="9">
        <v>0</v>
      </c>
      <c r="BZ59" s="9">
        <v>0</v>
      </c>
      <c r="CA59" s="9">
        <v>0</v>
      </c>
      <c r="CB59" s="9">
        <v>0</v>
      </c>
      <c r="CC59" s="9">
        <v>0</v>
      </c>
      <c r="CD59" s="9">
        <v>0</v>
      </c>
      <c r="CE59" s="9">
        <v>0</v>
      </c>
      <c r="CF59" s="9">
        <v>0</v>
      </c>
      <c r="CG59" s="9">
        <v>0</v>
      </c>
      <c r="CH59" s="9">
        <v>0</v>
      </c>
      <c r="CI59" s="9">
        <v>0</v>
      </c>
      <c r="CJ59" s="9">
        <v>0</v>
      </c>
      <c r="CK59" s="9">
        <v>0</v>
      </c>
      <c r="CL59" s="9">
        <v>0</v>
      </c>
      <c r="CM59" s="9">
        <v>0</v>
      </c>
      <c r="CN59" s="9">
        <v>0</v>
      </c>
      <c r="CP59" s="10">
        <f t="shared" si="1"/>
        <v>0</v>
      </c>
      <c r="CQ59" s="20" t="str">
        <f>IFERROR(VLOOKUP($D59,'[2]Mappage de compte'!$B:$G,1,FALSE),"")</f>
        <v>173101</v>
      </c>
      <c r="CR59" s="21" t="str">
        <f>IFERROR(VLOOKUP($D59,'[2]Mappage de compte'!$B:$G,2,FALSE),"")</f>
        <v>XXX - Crédit d'investissement</v>
      </c>
      <c r="CS59" s="22" t="str">
        <f>IFERROR(VLOOKUP($D59,'[2]Mappage de compte'!$B:$G,3,FALSE),"")</f>
        <v>164001</v>
      </c>
      <c r="CT59" s="22" t="str">
        <f>IFERROR(VLOOKUP($D59,'[2]Mappage de compte'!$B:$G,4,FALSE),"")</f>
        <v xml:space="preserve">EMPRUNT BELGIQUE      </v>
      </c>
      <c r="CU59" s="23" t="str">
        <f>IFERROR(VLOOKUP($D59,'[2]Mappage de compte'!$B:$G,5,FALSE),"")</f>
        <v>Passifs courants ou non courants portant intérêts ou non</v>
      </c>
      <c r="CV59" s="23" t="str">
        <f>IFERROR(VLOOKUP($D59,'[2]Mappage de compte'!$B:$G,6,FALSE),"")</f>
        <v>Passifs courants ou non courants</v>
      </c>
    </row>
    <row r="60" spans="1:100" x14ac:dyDescent="0.25">
      <c r="A60" s="8" t="s">
        <v>9</v>
      </c>
      <c r="C60" s="8" t="str">
        <f>"""ORPEA BE"",""010010"",""15"",""1"",""173102"""</f>
        <v>"ORPEA BE","010010","15","1","173102"</v>
      </c>
      <c r="D60" s="8" t="str">
        <f>"173102"</f>
        <v>173102</v>
      </c>
      <c r="E60" s="8" t="str">
        <f t="shared" si="4"/>
        <v>164000</v>
      </c>
      <c r="F60" s="8" t="str">
        <f t="shared" ref="F60:F72" si="5">"XXX - Crédit d'investissement"</f>
        <v>XXX - Crédit d'investissement</v>
      </c>
      <c r="G60" s="8" t="str">
        <f t="shared" si="0"/>
        <v/>
      </c>
      <c r="H60" s="9">
        <v>-2157692.2200000002</v>
      </c>
      <c r="I60" s="9">
        <v>0</v>
      </c>
      <c r="J60" s="9">
        <v>0</v>
      </c>
      <c r="K60" s="9">
        <v>0</v>
      </c>
      <c r="L60" s="9">
        <v>0</v>
      </c>
      <c r="M60" s="9">
        <v>0</v>
      </c>
      <c r="N60" s="9">
        <v>0</v>
      </c>
      <c r="O60" s="9">
        <v>0</v>
      </c>
      <c r="P60" s="9">
        <v>0</v>
      </c>
      <c r="Q60" s="9">
        <v>0</v>
      </c>
      <c r="R60" s="9">
        <v>0</v>
      </c>
      <c r="S60" s="9">
        <v>0</v>
      </c>
      <c r="T60" s="9">
        <v>0</v>
      </c>
      <c r="U60" s="9">
        <v>0</v>
      </c>
      <c r="V60" s="9">
        <v>0</v>
      </c>
      <c r="W60" s="9">
        <v>0</v>
      </c>
      <c r="X60" s="9">
        <v>0</v>
      </c>
      <c r="Y60" s="9">
        <v>0</v>
      </c>
      <c r="Z60" s="9">
        <v>0</v>
      </c>
      <c r="AA60" s="9">
        <v>0</v>
      </c>
      <c r="AB60" s="9">
        <v>0</v>
      </c>
      <c r="AC60" s="9">
        <v>0</v>
      </c>
      <c r="AD60" s="9">
        <v>0</v>
      </c>
      <c r="AE60" s="9">
        <v>0</v>
      </c>
      <c r="AF60" s="9">
        <v>0</v>
      </c>
      <c r="AG60" s="9">
        <v>0</v>
      </c>
      <c r="AH60" s="9">
        <v>0</v>
      </c>
      <c r="AI60" s="9">
        <v>0</v>
      </c>
      <c r="AJ60" s="9">
        <v>0</v>
      </c>
      <c r="AK60" s="9">
        <v>0</v>
      </c>
      <c r="AL60" s="9">
        <v>0</v>
      </c>
      <c r="AM60" s="9">
        <v>0</v>
      </c>
      <c r="AN60" s="9">
        <v>0</v>
      </c>
      <c r="AO60" s="9">
        <v>0</v>
      </c>
      <c r="AP60" s="9">
        <v>0</v>
      </c>
      <c r="AQ60" s="9">
        <v>0</v>
      </c>
      <c r="AR60" s="9">
        <v>0</v>
      </c>
      <c r="AS60" s="9">
        <v>0</v>
      </c>
      <c r="AT60" s="9">
        <v>0</v>
      </c>
      <c r="AU60" s="9">
        <v>0</v>
      </c>
      <c r="AV60" s="9">
        <v>0</v>
      </c>
      <c r="AW60" s="9">
        <v>0</v>
      </c>
      <c r="AX60" s="9">
        <v>0</v>
      </c>
      <c r="AY60" s="9">
        <v>0</v>
      </c>
      <c r="AZ60" s="9">
        <v>0</v>
      </c>
      <c r="BA60" s="9">
        <v>0</v>
      </c>
      <c r="BB60" s="9">
        <v>0</v>
      </c>
      <c r="BC60" s="9">
        <v>0</v>
      </c>
      <c r="BD60" s="9">
        <v>0</v>
      </c>
      <c r="BE60" s="9">
        <v>0</v>
      </c>
      <c r="BF60" s="9">
        <v>0</v>
      </c>
      <c r="BG60" s="9">
        <v>0</v>
      </c>
      <c r="BH60" s="9">
        <v>0</v>
      </c>
      <c r="BI60" s="9">
        <v>0</v>
      </c>
      <c r="BJ60" s="9">
        <v>0</v>
      </c>
      <c r="BK60" s="9">
        <v>0</v>
      </c>
      <c r="BL60" s="9">
        <v>0</v>
      </c>
      <c r="BM60" s="9">
        <v>0</v>
      </c>
      <c r="BN60" s="9">
        <v>0</v>
      </c>
      <c r="BO60" s="9">
        <v>0</v>
      </c>
      <c r="BP60" s="9">
        <v>0</v>
      </c>
      <c r="BQ60" s="9">
        <v>0</v>
      </c>
      <c r="BR60" s="9">
        <v>0</v>
      </c>
      <c r="BS60" s="9">
        <v>0</v>
      </c>
      <c r="BT60" s="9">
        <v>0</v>
      </c>
      <c r="BU60" s="9">
        <v>0</v>
      </c>
      <c r="BV60" s="9">
        <v>0</v>
      </c>
      <c r="BW60" s="9">
        <v>0</v>
      </c>
      <c r="BX60" s="9">
        <v>0</v>
      </c>
      <c r="BY60" s="9">
        <v>0</v>
      </c>
      <c r="BZ60" s="9">
        <v>0</v>
      </c>
      <c r="CA60" s="9">
        <v>0</v>
      </c>
      <c r="CB60" s="9">
        <v>0</v>
      </c>
      <c r="CC60" s="9">
        <v>0</v>
      </c>
      <c r="CD60" s="9">
        <v>0</v>
      </c>
      <c r="CE60" s="9">
        <v>0</v>
      </c>
      <c r="CF60" s="9">
        <v>0</v>
      </c>
      <c r="CG60" s="9">
        <v>0</v>
      </c>
      <c r="CH60" s="9">
        <v>0</v>
      </c>
      <c r="CI60" s="9">
        <v>0</v>
      </c>
      <c r="CJ60" s="9">
        <v>0</v>
      </c>
      <c r="CK60" s="9">
        <v>0</v>
      </c>
      <c r="CL60" s="9">
        <v>0</v>
      </c>
      <c r="CM60" s="9">
        <v>0</v>
      </c>
      <c r="CN60" s="9">
        <v>0</v>
      </c>
      <c r="CP60" s="10">
        <f t="shared" si="1"/>
        <v>-2157692.2200000002</v>
      </c>
      <c r="CQ60" s="20" t="str">
        <f>IFERROR(VLOOKUP($D60,'[2]Mappage de compte'!$B:$G,1,FALSE),"")</f>
        <v>173102</v>
      </c>
      <c r="CR60" s="21" t="str">
        <f>IFERROR(VLOOKUP($D60,'[2]Mappage de compte'!$B:$G,2,FALSE),"")</f>
        <v>XXX - Crédit d'investissement</v>
      </c>
      <c r="CS60" s="22" t="str">
        <f>IFERROR(VLOOKUP($D60,'[2]Mappage de compte'!$B:$G,3,FALSE),"")</f>
        <v>164001</v>
      </c>
      <c r="CT60" s="22" t="str">
        <f>IFERROR(VLOOKUP($D60,'[2]Mappage de compte'!$B:$G,4,FALSE),"")</f>
        <v xml:space="preserve">EMPRUNT BELGIQUE      </v>
      </c>
      <c r="CU60" s="23" t="str">
        <f>IFERROR(VLOOKUP($D60,'[2]Mappage de compte'!$B:$G,5,FALSE),"")</f>
        <v>Passifs courants ou non courants portant intérêts ou non</v>
      </c>
      <c r="CV60" s="23" t="str">
        <f>IFERROR(VLOOKUP($D60,'[2]Mappage de compte'!$B:$G,6,FALSE),"")</f>
        <v>Passifs courants ou non courants</v>
      </c>
    </row>
    <row r="61" spans="1:100" x14ac:dyDescent="0.25">
      <c r="A61" s="8" t="s">
        <v>9</v>
      </c>
      <c r="C61" s="8" t="str">
        <f>"""ORPEA BE"",""010010"",""15"",""1"",""173103"""</f>
        <v>"ORPEA BE","010010","15","1","173103"</v>
      </c>
      <c r="D61" s="8" t="str">
        <f>"173103"</f>
        <v>173103</v>
      </c>
      <c r="E61" s="8" t="str">
        <f t="shared" si="4"/>
        <v>164000</v>
      </c>
      <c r="F61" s="8" t="str">
        <f t="shared" si="5"/>
        <v>XXX - Crédit d'investissement</v>
      </c>
      <c r="G61" s="8" t="str">
        <f t="shared" si="0"/>
        <v/>
      </c>
      <c r="H61" s="9">
        <v>-3837519.26</v>
      </c>
      <c r="I61" s="9">
        <v>0</v>
      </c>
      <c r="J61" s="9">
        <v>0</v>
      </c>
      <c r="K61" s="9">
        <v>0</v>
      </c>
      <c r="L61" s="9">
        <v>0</v>
      </c>
      <c r="M61" s="9">
        <v>0</v>
      </c>
      <c r="N61" s="9">
        <v>0</v>
      </c>
      <c r="O61" s="9">
        <v>0</v>
      </c>
      <c r="P61" s="9">
        <v>0</v>
      </c>
      <c r="Q61" s="9">
        <v>0</v>
      </c>
      <c r="R61" s="9">
        <v>0</v>
      </c>
      <c r="S61" s="9">
        <v>0</v>
      </c>
      <c r="T61" s="9">
        <v>0</v>
      </c>
      <c r="U61" s="9">
        <v>0</v>
      </c>
      <c r="V61" s="9">
        <v>0</v>
      </c>
      <c r="W61" s="9">
        <v>0</v>
      </c>
      <c r="X61" s="9">
        <v>0</v>
      </c>
      <c r="Y61" s="9">
        <v>0</v>
      </c>
      <c r="Z61" s="9">
        <v>0</v>
      </c>
      <c r="AA61" s="9">
        <v>0</v>
      </c>
      <c r="AB61" s="9">
        <v>0</v>
      </c>
      <c r="AC61" s="9">
        <v>0</v>
      </c>
      <c r="AD61" s="9">
        <v>0</v>
      </c>
      <c r="AE61" s="9">
        <v>0</v>
      </c>
      <c r="AF61" s="9">
        <v>0</v>
      </c>
      <c r="AG61" s="9">
        <v>0</v>
      </c>
      <c r="AH61" s="9">
        <v>0</v>
      </c>
      <c r="AI61" s="9">
        <v>0</v>
      </c>
      <c r="AJ61" s="9">
        <v>0</v>
      </c>
      <c r="AK61" s="9">
        <v>0</v>
      </c>
      <c r="AL61" s="9">
        <v>0</v>
      </c>
      <c r="AM61" s="9">
        <v>0</v>
      </c>
      <c r="AN61" s="9">
        <v>0</v>
      </c>
      <c r="AO61" s="9">
        <v>0</v>
      </c>
      <c r="AP61" s="9">
        <v>0</v>
      </c>
      <c r="AQ61" s="9">
        <v>0</v>
      </c>
      <c r="AR61" s="9">
        <v>0</v>
      </c>
      <c r="AS61" s="9">
        <v>0</v>
      </c>
      <c r="AT61" s="9">
        <v>0</v>
      </c>
      <c r="AU61" s="9">
        <v>0</v>
      </c>
      <c r="AV61" s="9">
        <v>0</v>
      </c>
      <c r="AW61" s="9">
        <v>0</v>
      </c>
      <c r="AX61" s="9">
        <v>0</v>
      </c>
      <c r="AY61" s="9">
        <v>0</v>
      </c>
      <c r="AZ61" s="9">
        <v>0</v>
      </c>
      <c r="BA61" s="9">
        <v>0</v>
      </c>
      <c r="BB61" s="9">
        <v>0</v>
      </c>
      <c r="BC61" s="9">
        <v>0</v>
      </c>
      <c r="BD61" s="9">
        <v>0</v>
      </c>
      <c r="BE61" s="9">
        <v>0</v>
      </c>
      <c r="BF61" s="9">
        <v>0</v>
      </c>
      <c r="BG61" s="9">
        <v>0</v>
      </c>
      <c r="BH61" s="9">
        <v>0</v>
      </c>
      <c r="BI61" s="9">
        <v>0</v>
      </c>
      <c r="BJ61" s="9">
        <v>0</v>
      </c>
      <c r="BK61" s="9">
        <v>0</v>
      </c>
      <c r="BL61" s="9">
        <v>0</v>
      </c>
      <c r="BM61" s="9">
        <v>0</v>
      </c>
      <c r="BN61" s="9">
        <v>0</v>
      </c>
      <c r="BO61" s="9">
        <v>0</v>
      </c>
      <c r="BP61" s="9">
        <v>0</v>
      </c>
      <c r="BQ61" s="9">
        <v>0</v>
      </c>
      <c r="BR61" s="9">
        <v>0</v>
      </c>
      <c r="BS61" s="9">
        <v>0</v>
      </c>
      <c r="BT61" s="9">
        <v>0</v>
      </c>
      <c r="BU61" s="9">
        <v>0</v>
      </c>
      <c r="BV61" s="9">
        <v>0</v>
      </c>
      <c r="BW61" s="9">
        <v>0</v>
      </c>
      <c r="BX61" s="9">
        <v>0</v>
      </c>
      <c r="BY61" s="9">
        <v>0</v>
      </c>
      <c r="BZ61" s="9">
        <v>0</v>
      </c>
      <c r="CA61" s="9">
        <v>0</v>
      </c>
      <c r="CB61" s="9">
        <v>0</v>
      </c>
      <c r="CC61" s="9">
        <v>0</v>
      </c>
      <c r="CD61" s="9">
        <v>0</v>
      </c>
      <c r="CE61" s="9">
        <v>0</v>
      </c>
      <c r="CF61" s="9">
        <v>0</v>
      </c>
      <c r="CG61" s="9">
        <v>0</v>
      </c>
      <c r="CH61" s="9">
        <v>0</v>
      </c>
      <c r="CI61" s="9">
        <v>0</v>
      </c>
      <c r="CJ61" s="9">
        <v>0</v>
      </c>
      <c r="CK61" s="9">
        <v>0</v>
      </c>
      <c r="CL61" s="9">
        <v>0</v>
      </c>
      <c r="CM61" s="9">
        <v>0</v>
      </c>
      <c r="CN61" s="9">
        <v>0</v>
      </c>
      <c r="CP61" s="10">
        <f t="shared" si="1"/>
        <v>-3837519.26</v>
      </c>
      <c r="CQ61" s="20" t="str">
        <f>IFERROR(VLOOKUP($D61,'[2]Mappage de compte'!$B:$G,1,FALSE),"")</f>
        <v>173103</v>
      </c>
      <c r="CR61" s="21" t="str">
        <f>IFERROR(VLOOKUP($D61,'[2]Mappage de compte'!$B:$G,2,FALSE),"")</f>
        <v>XXX - Crédit d'investissement</v>
      </c>
      <c r="CS61" s="22" t="str">
        <f>IFERROR(VLOOKUP($D61,'[2]Mappage de compte'!$B:$G,3,FALSE),"")</f>
        <v>164001</v>
      </c>
      <c r="CT61" s="22" t="str">
        <f>IFERROR(VLOOKUP($D61,'[2]Mappage de compte'!$B:$G,4,FALSE),"")</f>
        <v xml:space="preserve">EMPRUNT BELGIQUE      </v>
      </c>
      <c r="CU61" s="23" t="str">
        <f>IFERROR(VLOOKUP($D61,'[2]Mappage de compte'!$B:$G,5,FALSE),"")</f>
        <v>Passifs courants ou non courants portant intérêts ou non</v>
      </c>
      <c r="CV61" s="23" t="str">
        <f>IFERROR(VLOOKUP($D61,'[2]Mappage de compte'!$B:$G,6,FALSE),"")</f>
        <v>Passifs courants ou non courants</v>
      </c>
    </row>
    <row r="62" spans="1:100" x14ac:dyDescent="0.25">
      <c r="A62" s="8" t="s">
        <v>9</v>
      </c>
      <c r="C62" s="8" t="str">
        <f>"""ORPEA BE"",""010010"",""15"",""1"",""173104"""</f>
        <v>"ORPEA BE","010010","15","1","173104"</v>
      </c>
      <c r="D62" s="8" t="str">
        <f>"173104"</f>
        <v>173104</v>
      </c>
      <c r="E62" s="8" t="str">
        <f t="shared" si="4"/>
        <v>164000</v>
      </c>
      <c r="F62" s="8" t="str">
        <f t="shared" si="5"/>
        <v>XXX - Crédit d'investissement</v>
      </c>
      <c r="G62" s="8" t="str">
        <f t="shared" si="0"/>
        <v/>
      </c>
      <c r="H62" s="9">
        <v>-3153403.89</v>
      </c>
      <c r="I62" s="9">
        <v>0</v>
      </c>
      <c r="J62" s="9">
        <v>0</v>
      </c>
      <c r="K62" s="9">
        <v>0</v>
      </c>
      <c r="L62" s="9">
        <v>0</v>
      </c>
      <c r="M62" s="9">
        <v>0</v>
      </c>
      <c r="N62" s="9">
        <v>0</v>
      </c>
      <c r="O62" s="9">
        <v>0</v>
      </c>
      <c r="P62" s="9">
        <v>0</v>
      </c>
      <c r="Q62" s="9">
        <v>0</v>
      </c>
      <c r="R62" s="9">
        <v>0</v>
      </c>
      <c r="S62" s="9">
        <v>0</v>
      </c>
      <c r="T62" s="9">
        <v>0</v>
      </c>
      <c r="U62" s="9">
        <v>0</v>
      </c>
      <c r="V62" s="9">
        <v>0</v>
      </c>
      <c r="W62" s="9">
        <v>0</v>
      </c>
      <c r="X62" s="9">
        <v>0</v>
      </c>
      <c r="Y62" s="9">
        <v>0</v>
      </c>
      <c r="Z62" s="9">
        <v>0</v>
      </c>
      <c r="AA62" s="9">
        <v>0</v>
      </c>
      <c r="AB62" s="9">
        <v>0</v>
      </c>
      <c r="AC62" s="9">
        <v>0</v>
      </c>
      <c r="AD62" s="9">
        <v>0</v>
      </c>
      <c r="AE62" s="9">
        <v>0</v>
      </c>
      <c r="AF62" s="9">
        <v>0</v>
      </c>
      <c r="AG62" s="9">
        <v>0</v>
      </c>
      <c r="AH62" s="9">
        <v>0</v>
      </c>
      <c r="AI62" s="9">
        <v>0</v>
      </c>
      <c r="AJ62" s="9">
        <v>0</v>
      </c>
      <c r="AK62" s="9">
        <v>0</v>
      </c>
      <c r="AL62" s="9">
        <v>0</v>
      </c>
      <c r="AM62" s="9">
        <v>0</v>
      </c>
      <c r="AN62" s="9">
        <v>0</v>
      </c>
      <c r="AO62" s="9">
        <v>0</v>
      </c>
      <c r="AP62" s="9">
        <v>0</v>
      </c>
      <c r="AQ62" s="9">
        <v>0</v>
      </c>
      <c r="AR62" s="9">
        <v>0</v>
      </c>
      <c r="AS62" s="9">
        <v>0</v>
      </c>
      <c r="AT62" s="9">
        <v>0</v>
      </c>
      <c r="AU62" s="9">
        <v>0</v>
      </c>
      <c r="AV62" s="9">
        <v>0</v>
      </c>
      <c r="AW62" s="9">
        <v>0</v>
      </c>
      <c r="AX62" s="9">
        <v>0</v>
      </c>
      <c r="AY62" s="9">
        <v>0</v>
      </c>
      <c r="AZ62" s="9">
        <v>0</v>
      </c>
      <c r="BA62" s="9">
        <v>0</v>
      </c>
      <c r="BB62" s="9">
        <v>0</v>
      </c>
      <c r="BC62" s="9">
        <v>0</v>
      </c>
      <c r="BD62" s="9">
        <v>0</v>
      </c>
      <c r="BE62" s="9">
        <v>0</v>
      </c>
      <c r="BF62" s="9">
        <v>0</v>
      </c>
      <c r="BG62" s="9">
        <v>0</v>
      </c>
      <c r="BH62" s="9">
        <v>0</v>
      </c>
      <c r="BI62" s="9">
        <v>0</v>
      </c>
      <c r="BJ62" s="9">
        <v>0</v>
      </c>
      <c r="BK62" s="9">
        <v>0</v>
      </c>
      <c r="BL62" s="9">
        <v>0</v>
      </c>
      <c r="BM62" s="9">
        <v>0</v>
      </c>
      <c r="BN62" s="9">
        <v>0</v>
      </c>
      <c r="BO62" s="9">
        <v>0</v>
      </c>
      <c r="BP62" s="9">
        <v>0</v>
      </c>
      <c r="BQ62" s="9">
        <v>0</v>
      </c>
      <c r="BR62" s="9">
        <v>0</v>
      </c>
      <c r="BS62" s="9">
        <v>0</v>
      </c>
      <c r="BT62" s="9">
        <v>0</v>
      </c>
      <c r="BU62" s="9">
        <v>0</v>
      </c>
      <c r="BV62" s="9">
        <v>0</v>
      </c>
      <c r="BW62" s="9">
        <v>0</v>
      </c>
      <c r="BX62" s="9">
        <v>0</v>
      </c>
      <c r="BY62" s="9">
        <v>0</v>
      </c>
      <c r="BZ62" s="9">
        <v>0</v>
      </c>
      <c r="CA62" s="9">
        <v>0</v>
      </c>
      <c r="CB62" s="9">
        <v>0</v>
      </c>
      <c r="CC62" s="9">
        <v>0</v>
      </c>
      <c r="CD62" s="9">
        <v>0</v>
      </c>
      <c r="CE62" s="9">
        <v>0</v>
      </c>
      <c r="CF62" s="9">
        <v>0</v>
      </c>
      <c r="CG62" s="9">
        <v>0</v>
      </c>
      <c r="CH62" s="9">
        <v>0</v>
      </c>
      <c r="CI62" s="9">
        <v>0</v>
      </c>
      <c r="CJ62" s="9">
        <v>0</v>
      </c>
      <c r="CK62" s="9">
        <v>0</v>
      </c>
      <c r="CL62" s="9">
        <v>0</v>
      </c>
      <c r="CM62" s="9">
        <v>0</v>
      </c>
      <c r="CN62" s="9">
        <v>0</v>
      </c>
      <c r="CP62" s="10">
        <f t="shared" si="1"/>
        <v>-3153403.89</v>
      </c>
      <c r="CQ62" s="20" t="str">
        <f>IFERROR(VLOOKUP($D62,'[2]Mappage de compte'!$B:$G,1,FALSE),"")</f>
        <v>173104</v>
      </c>
      <c r="CR62" s="21" t="str">
        <f>IFERROR(VLOOKUP($D62,'[2]Mappage de compte'!$B:$G,2,FALSE),"")</f>
        <v>XXX - Crédit d'investissement</v>
      </c>
      <c r="CS62" s="22" t="str">
        <f>IFERROR(VLOOKUP($D62,'[2]Mappage de compte'!$B:$G,3,FALSE),"")</f>
        <v>164001</v>
      </c>
      <c r="CT62" s="22" t="str">
        <f>IFERROR(VLOOKUP($D62,'[2]Mappage de compte'!$B:$G,4,FALSE),"")</f>
        <v xml:space="preserve">EMPRUNT BELGIQUE      </v>
      </c>
      <c r="CU62" s="23" t="str">
        <f>IFERROR(VLOOKUP($D62,'[2]Mappage de compte'!$B:$G,5,FALSE),"")</f>
        <v>Passifs courants ou non courants portant intérêts ou non</v>
      </c>
      <c r="CV62" s="23" t="str">
        <f>IFERROR(VLOOKUP($D62,'[2]Mappage de compte'!$B:$G,6,FALSE),"")</f>
        <v>Passifs courants ou non courants</v>
      </c>
    </row>
    <row r="63" spans="1:100" x14ac:dyDescent="0.25">
      <c r="A63" s="8" t="s">
        <v>9</v>
      </c>
      <c r="C63" s="8" t="str">
        <f>"""ORPEA BE"",""010010"",""15"",""1"",""173105"""</f>
        <v>"ORPEA BE","010010","15","1","173105"</v>
      </c>
      <c r="D63" s="8" t="str">
        <f>"173105"</f>
        <v>173105</v>
      </c>
      <c r="E63" s="8" t="str">
        <f t="shared" si="4"/>
        <v>164000</v>
      </c>
      <c r="F63" s="8" t="str">
        <f t="shared" si="5"/>
        <v>XXX - Crédit d'investissement</v>
      </c>
      <c r="G63" s="8" t="str">
        <f t="shared" si="0"/>
        <v/>
      </c>
      <c r="H63" s="9">
        <v>-26100</v>
      </c>
      <c r="I63" s="9">
        <v>0</v>
      </c>
      <c r="J63" s="9">
        <v>0</v>
      </c>
      <c r="K63" s="9">
        <v>0</v>
      </c>
      <c r="L63" s="9">
        <v>0</v>
      </c>
      <c r="M63" s="9">
        <v>0</v>
      </c>
      <c r="N63" s="9">
        <v>0</v>
      </c>
      <c r="O63" s="9">
        <v>0</v>
      </c>
      <c r="P63" s="9">
        <v>0</v>
      </c>
      <c r="Q63" s="9">
        <v>0</v>
      </c>
      <c r="R63" s="9">
        <v>0</v>
      </c>
      <c r="S63" s="9">
        <v>0</v>
      </c>
      <c r="T63" s="9">
        <v>0</v>
      </c>
      <c r="U63" s="9">
        <v>0</v>
      </c>
      <c r="V63" s="9">
        <v>0</v>
      </c>
      <c r="W63" s="9">
        <v>0</v>
      </c>
      <c r="X63" s="9">
        <v>0</v>
      </c>
      <c r="Y63" s="9">
        <v>0</v>
      </c>
      <c r="Z63" s="9">
        <v>0</v>
      </c>
      <c r="AA63" s="9">
        <v>0</v>
      </c>
      <c r="AB63" s="9">
        <v>0</v>
      </c>
      <c r="AC63" s="9">
        <v>0</v>
      </c>
      <c r="AD63" s="9">
        <v>0</v>
      </c>
      <c r="AE63" s="9">
        <v>0</v>
      </c>
      <c r="AF63" s="9">
        <v>0</v>
      </c>
      <c r="AG63" s="9">
        <v>0</v>
      </c>
      <c r="AH63" s="9">
        <v>0</v>
      </c>
      <c r="AI63" s="9">
        <v>0</v>
      </c>
      <c r="AJ63" s="9">
        <v>0</v>
      </c>
      <c r="AK63" s="9">
        <v>0</v>
      </c>
      <c r="AL63" s="9">
        <v>0</v>
      </c>
      <c r="AM63" s="9">
        <v>0</v>
      </c>
      <c r="AN63" s="9">
        <v>0</v>
      </c>
      <c r="AO63" s="9">
        <v>0</v>
      </c>
      <c r="AP63" s="9">
        <v>0</v>
      </c>
      <c r="AQ63" s="9">
        <v>0</v>
      </c>
      <c r="AR63" s="9">
        <v>0</v>
      </c>
      <c r="AS63" s="9">
        <v>0</v>
      </c>
      <c r="AT63" s="9">
        <v>0</v>
      </c>
      <c r="AU63" s="9">
        <v>0</v>
      </c>
      <c r="AV63" s="9">
        <v>0</v>
      </c>
      <c r="AW63" s="9">
        <v>0</v>
      </c>
      <c r="AX63" s="9">
        <v>0</v>
      </c>
      <c r="AY63" s="9">
        <v>0</v>
      </c>
      <c r="AZ63" s="9">
        <v>0</v>
      </c>
      <c r="BA63" s="9">
        <v>0</v>
      </c>
      <c r="BB63" s="9">
        <v>0</v>
      </c>
      <c r="BC63" s="9">
        <v>0</v>
      </c>
      <c r="BD63" s="9">
        <v>0</v>
      </c>
      <c r="BE63" s="9">
        <v>0</v>
      </c>
      <c r="BF63" s="9">
        <v>0</v>
      </c>
      <c r="BG63" s="9">
        <v>0</v>
      </c>
      <c r="BH63" s="9">
        <v>0</v>
      </c>
      <c r="BI63" s="9">
        <v>0</v>
      </c>
      <c r="BJ63" s="9">
        <v>0</v>
      </c>
      <c r="BK63" s="9">
        <v>0</v>
      </c>
      <c r="BL63" s="9">
        <v>0</v>
      </c>
      <c r="BM63" s="9">
        <v>0</v>
      </c>
      <c r="BN63" s="9">
        <v>0</v>
      </c>
      <c r="BO63" s="9">
        <v>0</v>
      </c>
      <c r="BP63" s="9">
        <v>0</v>
      </c>
      <c r="BQ63" s="9">
        <v>0</v>
      </c>
      <c r="BR63" s="9">
        <v>0</v>
      </c>
      <c r="BS63" s="9">
        <v>0</v>
      </c>
      <c r="BT63" s="9">
        <v>0</v>
      </c>
      <c r="BU63" s="9">
        <v>0</v>
      </c>
      <c r="BV63" s="9">
        <v>0</v>
      </c>
      <c r="BW63" s="9">
        <v>0</v>
      </c>
      <c r="BX63" s="9">
        <v>0</v>
      </c>
      <c r="BY63" s="9">
        <v>0</v>
      </c>
      <c r="BZ63" s="9">
        <v>0</v>
      </c>
      <c r="CA63" s="9">
        <v>0</v>
      </c>
      <c r="CB63" s="9">
        <v>0</v>
      </c>
      <c r="CC63" s="9">
        <v>0</v>
      </c>
      <c r="CD63" s="9">
        <v>0</v>
      </c>
      <c r="CE63" s="9">
        <v>0</v>
      </c>
      <c r="CF63" s="9">
        <v>0</v>
      </c>
      <c r="CG63" s="9">
        <v>0</v>
      </c>
      <c r="CH63" s="9">
        <v>0</v>
      </c>
      <c r="CI63" s="9">
        <v>0</v>
      </c>
      <c r="CJ63" s="9">
        <v>0</v>
      </c>
      <c r="CK63" s="9">
        <v>0</v>
      </c>
      <c r="CL63" s="9">
        <v>0</v>
      </c>
      <c r="CM63" s="9">
        <v>0</v>
      </c>
      <c r="CN63" s="9">
        <v>0</v>
      </c>
      <c r="CP63" s="10">
        <f t="shared" si="1"/>
        <v>-26100</v>
      </c>
      <c r="CQ63" s="20" t="str">
        <f>IFERROR(VLOOKUP($D63,'[2]Mappage de compte'!$B:$G,1,FALSE),"")</f>
        <v>173105</v>
      </c>
      <c r="CR63" s="21" t="str">
        <f>IFERROR(VLOOKUP($D63,'[2]Mappage de compte'!$B:$G,2,FALSE),"")</f>
        <v>XXX - Crédit d'investissement</v>
      </c>
      <c r="CS63" s="22" t="str">
        <f>IFERROR(VLOOKUP($D63,'[2]Mappage de compte'!$B:$G,3,FALSE),"")</f>
        <v>164001</v>
      </c>
      <c r="CT63" s="22" t="str">
        <f>IFERROR(VLOOKUP($D63,'[2]Mappage de compte'!$B:$G,4,FALSE),"")</f>
        <v xml:space="preserve">EMPRUNT BELGIQUE      </v>
      </c>
      <c r="CU63" s="23" t="str">
        <f>IFERROR(VLOOKUP($D63,'[2]Mappage de compte'!$B:$G,5,FALSE),"")</f>
        <v>Passifs courants ou non courants portant intérêts ou non</v>
      </c>
      <c r="CV63" s="23" t="str">
        <f>IFERROR(VLOOKUP($D63,'[2]Mappage de compte'!$B:$G,6,FALSE),"")</f>
        <v>Passifs courants ou non courants</v>
      </c>
    </row>
    <row r="64" spans="1:100" x14ac:dyDescent="0.25">
      <c r="A64" s="8" t="s">
        <v>9</v>
      </c>
      <c r="C64" s="8" t="str">
        <f>"""ORPEA BE"",""010010"",""15"",""1"",""173106"""</f>
        <v>"ORPEA BE","010010","15","1","173106"</v>
      </c>
      <c r="D64" s="8" t="str">
        <f>"173106"</f>
        <v>173106</v>
      </c>
      <c r="E64" s="8" t="str">
        <f t="shared" si="4"/>
        <v>164000</v>
      </c>
      <c r="F64" s="8" t="str">
        <f t="shared" si="5"/>
        <v>XXX - Crédit d'investissement</v>
      </c>
      <c r="G64" s="8" t="str">
        <f t="shared" si="0"/>
        <v/>
      </c>
      <c r="H64" s="9">
        <v>-77400</v>
      </c>
      <c r="I64" s="9">
        <v>0</v>
      </c>
      <c r="J64" s="9">
        <v>0</v>
      </c>
      <c r="K64" s="9">
        <v>0</v>
      </c>
      <c r="L64" s="9">
        <v>0</v>
      </c>
      <c r="M64" s="9">
        <v>0</v>
      </c>
      <c r="N64" s="9">
        <v>0</v>
      </c>
      <c r="O64" s="9">
        <v>0</v>
      </c>
      <c r="P64" s="9">
        <v>0</v>
      </c>
      <c r="Q64" s="9">
        <v>0</v>
      </c>
      <c r="R64" s="9">
        <v>0</v>
      </c>
      <c r="S64" s="9">
        <v>0</v>
      </c>
      <c r="T64" s="9">
        <v>0</v>
      </c>
      <c r="U64" s="9">
        <v>0</v>
      </c>
      <c r="V64" s="9">
        <v>0</v>
      </c>
      <c r="W64" s="9">
        <v>0</v>
      </c>
      <c r="X64" s="9">
        <v>0</v>
      </c>
      <c r="Y64" s="9">
        <v>0</v>
      </c>
      <c r="Z64" s="9">
        <v>0</v>
      </c>
      <c r="AA64" s="9">
        <v>0</v>
      </c>
      <c r="AB64" s="9">
        <v>0</v>
      </c>
      <c r="AC64" s="9">
        <v>0</v>
      </c>
      <c r="AD64" s="9">
        <v>0</v>
      </c>
      <c r="AE64" s="9">
        <v>0</v>
      </c>
      <c r="AF64" s="9">
        <v>0</v>
      </c>
      <c r="AG64" s="9">
        <v>0</v>
      </c>
      <c r="AH64" s="9">
        <v>0</v>
      </c>
      <c r="AI64" s="9">
        <v>0</v>
      </c>
      <c r="AJ64" s="9">
        <v>0</v>
      </c>
      <c r="AK64" s="9">
        <v>0</v>
      </c>
      <c r="AL64" s="9">
        <v>0</v>
      </c>
      <c r="AM64" s="9">
        <v>0</v>
      </c>
      <c r="AN64" s="9">
        <v>0</v>
      </c>
      <c r="AO64" s="9">
        <v>0</v>
      </c>
      <c r="AP64" s="9">
        <v>0</v>
      </c>
      <c r="AQ64" s="9">
        <v>0</v>
      </c>
      <c r="AR64" s="9">
        <v>0</v>
      </c>
      <c r="AS64" s="9">
        <v>0</v>
      </c>
      <c r="AT64" s="9">
        <v>0</v>
      </c>
      <c r="AU64" s="9">
        <v>0</v>
      </c>
      <c r="AV64" s="9">
        <v>0</v>
      </c>
      <c r="AW64" s="9">
        <v>0</v>
      </c>
      <c r="AX64" s="9">
        <v>0</v>
      </c>
      <c r="AY64" s="9">
        <v>0</v>
      </c>
      <c r="AZ64" s="9">
        <v>0</v>
      </c>
      <c r="BA64" s="9">
        <v>0</v>
      </c>
      <c r="BB64" s="9">
        <v>0</v>
      </c>
      <c r="BC64" s="9">
        <v>0</v>
      </c>
      <c r="BD64" s="9">
        <v>0</v>
      </c>
      <c r="BE64" s="9">
        <v>0</v>
      </c>
      <c r="BF64" s="9">
        <v>0</v>
      </c>
      <c r="BG64" s="9">
        <v>0</v>
      </c>
      <c r="BH64" s="9">
        <v>0</v>
      </c>
      <c r="BI64" s="9">
        <v>0</v>
      </c>
      <c r="BJ64" s="9">
        <v>0</v>
      </c>
      <c r="BK64" s="9">
        <v>0</v>
      </c>
      <c r="BL64" s="9">
        <v>0</v>
      </c>
      <c r="BM64" s="9">
        <v>0</v>
      </c>
      <c r="BN64" s="9">
        <v>0</v>
      </c>
      <c r="BO64" s="9">
        <v>0</v>
      </c>
      <c r="BP64" s="9">
        <v>0</v>
      </c>
      <c r="BQ64" s="9">
        <v>0</v>
      </c>
      <c r="BR64" s="9">
        <v>0</v>
      </c>
      <c r="BS64" s="9">
        <v>0</v>
      </c>
      <c r="BT64" s="9">
        <v>0</v>
      </c>
      <c r="BU64" s="9">
        <v>0</v>
      </c>
      <c r="BV64" s="9">
        <v>0</v>
      </c>
      <c r="BW64" s="9">
        <v>0</v>
      </c>
      <c r="BX64" s="9">
        <v>0</v>
      </c>
      <c r="BY64" s="9">
        <v>0</v>
      </c>
      <c r="BZ64" s="9">
        <v>0</v>
      </c>
      <c r="CA64" s="9">
        <v>0</v>
      </c>
      <c r="CB64" s="9">
        <v>0</v>
      </c>
      <c r="CC64" s="9">
        <v>0</v>
      </c>
      <c r="CD64" s="9">
        <v>0</v>
      </c>
      <c r="CE64" s="9">
        <v>0</v>
      </c>
      <c r="CF64" s="9">
        <v>0</v>
      </c>
      <c r="CG64" s="9">
        <v>0</v>
      </c>
      <c r="CH64" s="9">
        <v>0</v>
      </c>
      <c r="CI64" s="9">
        <v>0</v>
      </c>
      <c r="CJ64" s="9">
        <v>0</v>
      </c>
      <c r="CK64" s="9">
        <v>0</v>
      </c>
      <c r="CL64" s="9">
        <v>0</v>
      </c>
      <c r="CM64" s="9">
        <v>0</v>
      </c>
      <c r="CN64" s="9">
        <v>0</v>
      </c>
      <c r="CP64" s="10">
        <f t="shared" si="1"/>
        <v>-77400</v>
      </c>
      <c r="CQ64" s="20" t="str">
        <f>IFERROR(VLOOKUP($D64,'[2]Mappage de compte'!$B:$G,1,FALSE),"")</f>
        <v>173106</v>
      </c>
      <c r="CR64" s="21" t="str">
        <f>IFERROR(VLOOKUP($D64,'[2]Mappage de compte'!$B:$G,2,FALSE),"")</f>
        <v>XXX - Crédit d'investissement</v>
      </c>
      <c r="CS64" s="22" t="str">
        <f>IFERROR(VLOOKUP($D64,'[2]Mappage de compte'!$B:$G,3,FALSE),"")</f>
        <v>164001</v>
      </c>
      <c r="CT64" s="22" t="str">
        <f>IFERROR(VLOOKUP($D64,'[2]Mappage de compte'!$B:$G,4,FALSE),"")</f>
        <v xml:space="preserve">EMPRUNT BELGIQUE      </v>
      </c>
      <c r="CU64" s="23" t="str">
        <f>IFERROR(VLOOKUP($D64,'[2]Mappage de compte'!$B:$G,5,FALSE),"")</f>
        <v>Passifs courants ou non courants portant intérêts ou non</v>
      </c>
      <c r="CV64" s="23" t="str">
        <f>IFERROR(VLOOKUP($D64,'[2]Mappage de compte'!$B:$G,6,FALSE),"")</f>
        <v>Passifs courants ou non courants</v>
      </c>
    </row>
    <row r="65" spans="1:100" x14ac:dyDescent="0.25">
      <c r="A65" s="8" t="s">
        <v>9</v>
      </c>
      <c r="C65" s="8" t="str">
        <f>"""ORPEA BE"",""010010"",""15"",""1"",""173107"""</f>
        <v>"ORPEA BE","010010","15","1","173107"</v>
      </c>
      <c r="D65" s="8" t="str">
        <f>"173107"</f>
        <v>173107</v>
      </c>
      <c r="E65" s="8" t="str">
        <f t="shared" si="4"/>
        <v>164000</v>
      </c>
      <c r="F65" s="8" t="str">
        <f t="shared" si="5"/>
        <v>XXX - Crédit d'investissement</v>
      </c>
      <c r="G65" s="8" t="str">
        <f t="shared" si="0"/>
        <v/>
      </c>
      <c r="H65" s="9">
        <v>-1715692.28</v>
      </c>
      <c r="I65" s="9">
        <v>0</v>
      </c>
      <c r="J65" s="9">
        <v>0</v>
      </c>
      <c r="K65" s="9">
        <v>0</v>
      </c>
      <c r="L65" s="9">
        <v>0</v>
      </c>
      <c r="M65" s="9">
        <v>0</v>
      </c>
      <c r="N65" s="9">
        <v>0</v>
      </c>
      <c r="O65" s="9">
        <v>0</v>
      </c>
      <c r="P65" s="9">
        <v>0</v>
      </c>
      <c r="Q65" s="9">
        <v>0</v>
      </c>
      <c r="R65" s="9">
        <v>0</v>
      </c>
      <c r="S65" s="9">
        <v>0</v>
      </c>
      <c r="T65" s="9">
        <v>0</v>
      </c>
      <c r="U65" s="9">
        <v>0</v>
      </c>
      <c r="V65" s="9">
        <v>0</v>
      </c>
      <c r="W65" s="9">
        <v>0</v>
      </c>
      <c r="X65" s="9">
        <v>0</v>
      </c>
      <c r="Y65" s="9">
        <v>0</v>
      </c>
      <c r="Z65" s="9">
        <v>0</v>
      </c>
      <c r="AA65" s="9">
        <v>0</v>
      </c>
      <c r="AB65" s="9">
        <v>0</v>
      </c>
      <c r="AC65" s="9">
        <v>0</v>
      </c>
      <c r="AD65" s="9">
        <v>0</v>
      </c>
      <c r="AE65" s="9">
        <v>0</v>
      </c>
      <c r="AF65" s="9">
        <v>0</v>
      </c>
      <c r="AG65" s="9">
        <v>0</v>
      </c>
      <c r="AH65" s="9">
        <v>0</v>
      </c>
      <c r="AI65" s="9">
        <v>0</v>
      </c>
      <c r="AJ65" s="9">
        <v>0</v>
      </c>
      <c r="AK65" s="9">
        <v>0</v>
      </c>
      <c r="AL65" s="9">
        <v>0</v>
      </c>
      <c r="AM65" s="9">
        <v>0</v>
      </c>
      <c r="AN65" s="9">
        <v>0</v>
      </c>
      <c r="AO65" s="9">
        <v>0</v>
      </c>
      <c r="AP65" s="9">
        <v>0</v>
      </c>
      <c r="AQ65" s="9">
        <v>0</v>
      </c>
      <c r="AR65" s="9">
        <v>0</v>
      </c>
      <c r="AS65" s="9">
        <v>0</v>
      </c>
      <c r="AT65" s="9">
        <v>0</v>
      </c>
      <c r="AU65" s="9">
        <v>0</v>
      </c>
      <c r="AV65" s="9">
        <v>0</v>
      </c>
      <c r="AW65" s="9">
        <v>0</v>
      </c>
      <c r="AX65" s="9">
        <v>0</v>
      </c>
      <c r="AY65" s="9">
        <v>0</v>
      </c>
      <c r="AZ65" s="9">
        <v>0</v>
      </c>
      <c r="BA65" s="9">
        <v>0</v>
      </c>
      <c r="BB65" s="9">
        <v>0</v>
      </c>
      <c r="BC65" s="9">
        <v>0</v>
      </c>
      <c r="BD65" s="9">
        <v>0</v>
      </c>
      <c r="BE65" s="9">
        <v>0</v>
      </c>
      <c r="BF65" s="9">
        <v>0</v>
      </c>
      <c r="BG65" s="9">
        <v>0</v>
      </c>
      <c r="BH65" s="9">
        <v>0</v>
      </c>
      <c r="BI65" s="9">
        <v>0</v>
      </c>
      <c r="BJ65" s="9">
        <v>0</v>
      </c>
      <c r="BK65" s="9">
        <v>0</v>
      </c>
      <c r="BL65" s="9">
        <v>0</v>
      </c>
      <c r="BM65" s="9">
        <v>0</v>
      </c>
      <c r="BN65" s="9">
        <v>0</v>
      </c>
      <c r="BO65" s="9">
        <v>0</v>
      </c>
      <c r="BP65" s="9">
        <v>0</v>
      </c>
      <c r="BQ65" s="9">
        <v>0</v>
      </c>
      <c r="BR65" s="9">
        <v>0</v>
      </c>
      <c r="BS65" s="9">
        <v>0</v>
      </c>
      <c r="BT65" s="9">
        <v>0</v>
      </c>
      <c r="BU65" s="9">
        <v>0</v>
      </c>
      <c r="BV65" s="9">
        <v>0</v>
      </c>
      <c r="BW65" s="9">
        <v>0</v>
      </c>
      <c r="BX65" s="9">
        <v>0</v>
      </c>
      <c r="BY65" s="9">
        <v>0</v>
      </c>
      <c r="BZ65" s="9">
        <v>0</v>
      </c>
      <c r="CA65" s="9">
        <v>0</v>
      </c>
      <c r="CB65" s="9">
        <v>0</v>
      </c>
      <c r="CC65" s="9">
        <v>0</v>
      </c>
      <c r="CD65" s="9">
        <v>0</v>
      </c>
      <c r="CE65" s="9">
        <v>0</v>
      </c>
      <c r="CF65" s="9">
        <v>0</v>
      </c>
      <c r="CG65" s="9">
        <v>0</v>
      </c>
      <c r="CH65" s="9">
        <v>0</v>
      </c>
      <c r="CI65" s="9">
        <v>0</v>
      </c>
      <c r="CJ65" s="9">
        <v>0</v>
      </c>
      <c r="CK65" s="9">
        <v>0</v>
      </c>
      <c r="CL65" s="9">
        <v>0</v>
      </c>
      <c r="CM65" s="9">
        <v>0</v>
      </c>
      <c r="CN65" s="9">
        <v>0</v>
      </c>
      <c r="CP65" s="10">
        <f t="shared" si="1"/>
        <v>-1715692.28</v>
      </c>
      <c r="CQ65" s="20" t="str">
        <f>IFERROR(VLOOKUP($D65,'[2]Mappage de compte'!$B:$G,1,FALSE),"")</f>
        <v>173107</v>
      </c>
      <c r="CR65" s="21" t="str">
        <f>IFERROR(VLOOKUP($D65,'[2]Mappage de compte'!$B:$G,2,FALSE),"")</f>
        <v>XXX - Crédit d'investissement</v>
      </c>
      <c r="CS65" s="22" t="str">
        <f>IFERROR(VLOOKUP($D65,'[2]Mappage de compte'!$B:$G,3,FALSE),"")</f>
        <v>164001</v>
      </c>
      <c r="CT65" s="22" t="str">
        <f>IFERROR(VLOOKUP($D65,'[2]Mappage de compte'!$B:$G,4,FALSE),"")</f>
        <v xml:space="preserve">EMPRUNT BELGIQUE      </v>
      </c>
      <c r="CU65" s="23" t="str">
        <f>IFERROR(VLOOKUP($D65,'[2]Mappage de compte'!$B:$G,5,FALSE),"")</f>
        <v>Passifs courants ou non courants portant intérêts ou non</v>
      </c>
      <c r="CV65" s="23" t="str">
        <f>IFERROR(VLOOKUP($D65,'[2]Mappage de compte'!$B:$G,6,FALSE),"")</f>
        <v>Passifs courants ou non courants</v>
      </c>
    </row>
    <row r="66" spans="1:100" x14ac:dyDescent="0.25">
      <c r="A66" s="8" t="s">
        <v>9</v>
      </c>
      <c r="C66" s="8" t="str">
        <f>"""ORPEA BE"",""010010"",""15"",""1"",""173108"""</f>
        <v>"ORPEA BE","010010","15","1","173108"</v>
      </c>
      <c r="D66" s="8" t="str">
        <f>"173108"</f>
        <v>173108</v>
      </c>
      <c r="E66" s="8" t="str">
        <f t="shared" si="4"/>
        <v>164000</v>
      </c>
      <c r="F66" s="8" t="str">
        <f t="shared" si="5"/>
        <v>XXX - Crédit d'investissement</v>
      </c>
      <c r="G66" s="8" t="str">
        <f t="shared" si="0"/>
        <v/>
      </c>
      <c r="H66" s="9">
        <v>-3217903.86</v>
      </c>
      <c r="I66" s="9">
        <v>0</v>
      </c>
      <c r="J66" s="9">
        <v>0</v>
      </c>
      <c r="K66" s="9">
        <v>0</v>
      </c>
      <c r="L66" s="9">
        <v>0</v>
      </c>
      <c r="M66" s="9">
        <v>0</v>
      </c>
      <c r="N66" s="9">
        <v>0</v>
      </c>
      <c r="O66" s="9">
        <v>0</v>
      </c>
      <c r="P66" s="9">
        <v>0</v>
      </c>
      <c r="Q66" s="9">
        <v>0</v>
      </c>
      <c r="R66" s="9">
        <v>0</v>
      </c>
      <c r="S66" s="9">
        <v>0</v>
      </c>
      <c r="T66" s="9">
        <v>0</v>
      </c>
      <c r="U66" s="9">
        <v>0</v>
      </c>
      <c r="V66" s="9">
        <v>0</v>
      </c>
      <c r="W66" s="9">
        <v>0</v>
      </c>
      <c r="X66" s="9">
        <v>0</v>
      </c>
      <c r="Y66" s="9">
        <v>0</v>
      </c>
      <c r="Z66" s="9">
        <v>0</v>
      </c>
      <c r="AA66" s="9">
        <v>0</v>
      </c>
      <c r="AB66" s="9">
        <v>0</v>
      </c>
      <c r="AC66" s="9">
        <v>0</v>
      </c>
      <c r="AD66" s="9">
        <v>0</v>
      </c>
      <c r="AE66" s="9">
        <v>0</v>
      </c>
      <c r="AF66" s="9">
        <v>0</v>
      </c>
      <c r="AG66" s="9">
        <v>0</v>
      </c>
      <c r="AH66" s="9">
        <v>0</v>
      </c>
      <c r="AI66" s="9">
        <v>0</v>
      </c>
      <c r="AJ66" s="9">
        <v>0</v>
      </c>
      <c r="AK66" s="9">
        <v>0</v>
      </c>
      <c r="AL66" s="9">
        <v>0</v>
      </c>
      <c r="AM66" s="9">
        <v>0</v>
      </c>
      <c r="AN66" s="9">
        <v>0</v>
      </c>
      <c r="AO66" s="9">
        <v>0</v>
      </c>
      <c r="AP66" s="9">
        <v>0</v>
      </c>
      <c r="AQ66" s="9">
        <v>0</v>
      </c>
      <c r="AR66" s="9">
        <v>0</v>
      </c>
      <c r="AS66" s="9">
        <v>0</v>
      </c>
      <c r="AT66" s="9">
        <v>0</v>
      </c>
      <c r="AU66" s="9">
        <v>0</v>
      </c>
      <c r="AV66" s="9">
        <v>0</v>
      </c>
      <c r="AW66" s="9">
        <v>0</v>
      </c>
      <c r="AX66" s="9">
        <v>0</v>
      </c>
      <c r="AY66" s="9">
        <v>0</v>
      </c>
      <c r="AZ66" s="9">
        <v>0</v>
      </c>
      <c r="BA66" s="9">
        <v>0</v>
      </c>
      <c r="BB66" s="9">
        <v>0</v>
      </c>
      <c r="BC66" s="9">
        <v>0</v>
      </c>
      <c r="BD66" s="9">
        <v>0</v>
      </c>
      <c r="BE66" s="9">
        <v>0</v>
      </c>
      <c r="BF66" s="9">
        <v>0</v>
      </c>
      <c r="BG66" s="9">
        <v>0</v>
      </c>
      <c r="BH66" s="9">
        <v>0</v>
      </c>
      <c r="BI66" s="9">
        <v>0</v>
      </c>
      <c r="BJ66" s="9">
        <v>0</v>
      </c>
      <c r="BK66" s="9">
        <v>0</v>
      </c>
      <c r="BL66" s="9">
        <v>0</v>
      </c>
      <c r="BM66" s="9">
        <v>0</v>
      </c>
      <c r="BN66" s="9">
        <v>0</v>
      </c>
      <c r="BO66" s="9">
        <v>0</v>
      </c>
      <c r="BP66" s="9">
        <v>0</v>
      </c>
      <c r="BQ66" s="9">
        <v>0</v>
      </c>
      <c r="BR66" s="9">
        <v>0</v>
      </c>
      <c r="BS66" s="9">
        <v>0</v>
      </c>
      <c r="BT66" s="9">
        <v>0</v>
      </c>
      <c r="BU66" s="9">
        <v>0</v>
      </c>
      <c r="BV66" s="9">
        <v>0</v>
      </c>
      <c r="BW66" s="9">
        <v>0</v>
      </c>
      <c r="BX66" s="9">
        <v>0</v>
      </c>
      <c r="BY66" s="9">
        <v>0</v>
      </c>
      <c r="BZ66" s="9">
        <v>0</v>
      </c>
      <c r="CA66" s="9">
        <v>0</v>
      </c>
      <c r="CB66" s="9">
        <v>0</v>
      </c>
      <c r="CC66" s="9">
        <v>0</v>
      </c>
      <c r="CD66" s="9">
        <v>0</v>
      </c>
      <c r="CE66" s="9">
        <v>0</v>
      </c>
      <c r="CF66" s="9">
        <v>0</v>
      </c>
      <c r="CG66" s="9">
        <v>0</v>
      </c>
      <c r="CH66" s="9">
        <v>0</v>
      </c>
      <c r="CI66" s="9">
        <v>0</v>
      </c>
      <c r="CJ66" s="9">
        <v>0</v>
      </c>
      <c r="CK66" s="9">
        <v>0</v>
      </c>
      <c r="CL66" s="9">
        <v>0</v>
      </c>
      <c r="CM66" s="9">
        <v>0</v>
      </c>
      <c r="CN66" s="9">
        <v>0</v>
      </c>
      <c r="CP66" s="10">
        <f t="shared" si="1"/>
        <v>-3217903.86</v>
      </c>
      <c r="CQ66" s="20" t="str">
        <f>IFERROR(VLOOKUP($D66,'[2]Mappage de compte'!$B:$G,1,FALSE),"")</f>
        <v>173108</v>
      </c>
      <c r="CR66" s="21" t="str">
        <f>IFERROR(VLOOKUP($D66,'[2]Mappage de compte'!$B:$G,2,FALSE),"")</f>
        <v>XXX - Crédit d'investissement</v>
      </c>
      <c r="CS66" s="22" t="str">
        <f>IFERROR(VLOOKUP($D66,'[2]Mappage de compte'!$B:$G,3,FALSE),"")</f>
        <v>164001</v>
      </c>
      <c r="CT66" s="22" t="str">
        <f>IFERROR(VLOOKUP($D66,'[2]Mappage de compte'!$B:$G,4,FALSE),"")</f>
        <v xml:space="preserve">EMPRUNT BELGIQUE      </v>
      </c>
      <c r="CU66" s="23" t="str">
        <f>IFERROR(VLOOKUP($D66,'[2]Mappage de compte'!$B:$G,5,FALSE),"")</f>
        <v>Passifs courants ou non courants portant intérêts ou non</v>
      </c>
      <c r="CV66" s="23" t="str">
        <f>IFERROR(VLOOKUP($D66,'[2]Mappage de compte'!$B:$G,6,FALSE),"")</f>
        <v>Passifs courants ou non courants</v>
      </c>
    </row>
    <row r="67" spans="1:100" x14ac:dyDescent="0.25">
      <c r="A67" s="8" t="s">
        <v>9</v>
      </c>
      <c r="C67" s="8" t="str">
        <f>"""ORPEA BE"",""010010"",""15"",""1"",""173109"""</f>
        <v>"ORPEA BE","010010","15","1","173109"</v>
      </c>
      <c r="D67" s="8" t="str">
        <f>"173109"</f>
        <v>173109</v>
      </c>
      <c r="E67" s="8" t="str">
        <f t="shared" si="4"/>
        <v>164000</v>
      </c>
      <c r="F67" s="8" t="str">
        <f t="shared" si="5"/>
        <v>XXX - Crédit d'investissement</v>
      </c>
      <c r="G67" s="8" t="str">
        <f t="shared" si="0"/>
        <v/>
      </c>
      <c r="H67" s="9">
        <v>-73417.62999999999</v>
      </c>
      <c r="I67" s="9">
        <v>0</v>
      </c>
      <c r="J67" s="9">
        <v>0</v>
      </c>
      <c r="K67" s="9">
        <v>0</v>
      </c>
      <c r="L67" s="9">
        <v>0</v>
      </c>
      <c r="M67" s="9">
        <v>0</v>
      </c>
      <c r="N67" s="9">
        <v>0</v>
      </c>
      <c r="O67" s="9">
        <v>0</v>
      </c>
      <c r="P67" s="9">
        <v>0</v>
      </c>
      <c r="Q67" s="9">
        <v>0</v>
      </c>
      <c r="R67" s="9">
        <v>0</v>
      </c>
      <c r="S67" s="9">
        <v>0</v>
      </c>
      <c r="T67" s="9">
        <v>0</v>
      </c>
      <c r="U67" s="9">
        <v>0</v>
      </c>
      <c r="V67" s="9">
        <v>0</v>
      </c>
      <c r="W67" s="9">
        <v>0</v>
      </c>
      <c r="X67" s="9">
        <v>0</v>
      </c>
      <c r="Y67" s="9">
        <v>0</v>
      </c>
      <c r="Z67" s="9">
        <v>0</v>
      </c>
      <c r="AA67" s="9">
        <v>0</v>
      </c>
      <c r="AB67" s="9">
        <v>0</v>
      </c>
      <c r="AC67" s="9">
        <v>0</v>
      </c>
      <c r="AD67" s="9">
        <v>0</v>
      </c>
      <c r="AE67" s="9">
        <v>0</v>
      </c>
      <c r="AF67" s="9">
        <v>0</v>
      </c>
      <c r="AG67" s="9">
        <v>0</v>
      </c>
      <c r="AH67" s="9">
        <v>0</v>
      </c>
      <c r="AI67" s="9">
        <v>0</v>
      </c>
      <c r="AJ67" s="9">
        <v>0</v>
      </c>
      <c r="AK67" s="9">
        <v>0</v>
      </c>
      <c r="AL67" s="9">
        <v>0</v>
      </c>
      <c r="AM67" s="9">
        <v>0</v>
      </c>
      <c r="AN67" s="9">
        <v>0</v>
      </c>
      <c r="AO67" s="9">
        <v>0</v>
      </c>
      <c r="AP67" s="9">
        <v>0</v>
      </c>
      <c r="AQ67" s="9">
        <v>0</v>
      </c>
      <c r="AR67" s="9">
        <v>0</v>
      </c>
      <c r="AS67" s="9">
        <v>0</v>
      </c>
      <c r="AT67" s="9">
        <v>0</v>
      </c>
      <c r="AU67" s="9">
        <v>0</v>
      </c>
      <c r="AV67" s="9">
        <v>0</v>
      </c>
      <c r="AW67" s="9">
        <v>0</v>
      </c>
      <c r="AX67" s="9">
        <v>0</v>
      </c>
      <c r="AY67" s="9">
        <v>0</v>
      </c>
      <c r="AZ67" s="9">
        <v>0</v>
      </c>
      <c r="BA67" s="9">
        <v>0</v>
      </c>
      <c r="BB67" s="9">
        <v>0</v>
      </c>
      <c r="BC67" s="9">
        <v>0</v>
      </c>
      <c r="BD67" s="9">
        <v>0</v>
      </c>
      <c r="BE67" s="9">
        <v>0</v>
      </c>
      <c r="BF67" s="9">
        <v>0</v>
      </c>
      <c r="BG67" s="9">
        <v>0</v>
      </c>
      <c r="BH67" s="9">
        <v>0</v>
      </c>
      <c r="BI67" s="9">
        <v>0</v>
      </c>
      <c r="BJ67" s="9">
        <v>0</v>
      </c>
      <c r="BK67" s="9">
        <v>0</v>
      </c>
      <c r="BL67" s="9">
        <v>0</v>
      </c>
      <c r="BM67" s="9">
        <v>0</v>
      </c>
      <c r="BN67" s="9">
        <v>0</v>
      </c>
      <c r="BO67" s="9">
        <v>0</v>
      </c>
      <c r="BP67" s="9">
        <v>0</v>
      </c>
      <c r="BQ67" s="9">
        <v>0</v>
      </c>
      <c r="BR67" s="9">
        <v>0</v>
      </c>
      <c r="BS67" s="9">
        <v>0</v>
      </c>
      <c r="BT67" s="9">
        <v>0</v>
      </c>
      <c r="BU67" s="9">
        <v>0</v>
      </c>
      <c r="BV67" s="9">
        <v>0</v>
      </c>
      <c r="BW67" s="9">
        <v>0</v>
      </c>
      <c r="BX67" s="9">
        <v>0</v>
      </c>
      <c r="BY67" s="9">
        <v>0</v>
      </c>
      <c r="BZ67" s="9">
        <v>0</v>
      </c>
      <c r="CA67" s="9">
        <v>0</v>
      </c>
      <c r="CB67" s="9">
        <v>0</v>
      </c>
      <c r="CC67" s="9">
        <v>0</v>
      </c>
      <c r="CD67" s="9">
        <v>0</v>
      </c>
      <c r="CE67" s="9">
        <v>0</v>
      </c>
      <c r="CF67" s="9">
        <v>0</v>
      </c>
      <c r="CG67" s="9">
        <v>0</v>
      </c>
      <c r="CH67" s="9">
        <v>0</v>
      </c>
      <c r="CI67" s="9">
        <v>0</v>
      </c>
      <c r="CJ67" s="9">
        <v>0</v>
      </c>
      <c r="CK67" s="9">
        <v>0</v>
      </c>
      <c r="CL67" s="9">
        <v>0</v>
      </c>
      <c r="CM67" s="9">
        <v>0</v>
      </c>
      <c r="CN67" s="9">
        <v>0</v>
      </c>
      <c r="CP67" s="10">
        <f t="shared" si="1"/>
        <v>-73417.62999999999</v>
      </c>
      <c r="CQ67" s="20" t="str">
        <f>IFERROR(VLOOKUP($D67,'[2]Mappage de compte'!$B:$G,1,FALSE),"")</f>
        <v>173109</v>
      </c>
      <c r="CR67" s="21" t="str">
        <f>IFERROR(VLOOKUP($D67,'[2]Mappage de compte'!$B:$G,2,FALSE),"")</f>
        <v>XXX - Crédit d'investissement</v>
      </c>
      <c r="CS67" s="22" t="str">
        <f>IFERROR(VLOOKUP($D67,'[2]Mappage de compte'!$B:$G,3,FALSE),"")</f>
        <v>164001</v>
      </c>
      <c r="CT67" s="22" t="str">
        <f>IFERROR(VLOOKUP($D67,'[2]Mappage de compte'!$B:$G,4,FALSE),"")</f>
        <v xml:space="preserve">EMPRUNT BELGIQUE      </v>
      </c>
      <c r="CU67" s="23" t="str">
        <f>IFERROR(VLOOKUP($D67,'[2]Mappage de compte'!$B:$G,5,FALSE),"")</f>
        <v>Passifs courants ou non courants portant intérêts ou non</v>
      </c>
      <c r="CV67" s="23" t="str">
        <f>IFERROR(VLOOKUP($D67,'[2]Mappage de compte'!$B:$G,6,FALSE),"")</f>
        <v>Passifs courants ou non courants</v>
      </c>
    </row>
    <row r="68" spans="1:100" x14ac:dyDescent="0.25">
      <c r="A68" s="8" t="s">
        <v>9</v>
      </c>
      <c r="C68" s="8" t="str">
        <f>"""ORPEA BE"",""010010"",""15"",""1"",""173110"""</f>
        <v>"ORPEA BE","010010","15","1","173110"</v>
      </c>
      <c r="D68" s="8" t="str">
        <f>"173110"</f>
        <v>173110</v>
      </c>
      <c r="E68" s="8" t="str">
        <f t="shared" si="4"/>
        <v>164000</v>
      </c>
      <c r="F68" s="8" t="str">
        <f t="shared" si="5"/>
        <v>XXX - Crédit d'investissement</v>
      </c>
      <c r="G68" s="8" t="str">
        <f t="shared" si="0"/>
        <v/>
      </c>
      <c r="H68" s="9">
        <v>-56533.57</v>
      </c>
      <c r="I68" s="9">
        <v>0</v>
      </c>
      <c r="J68" s="9">
        <v>0</v>
      </c>
      <c r="K68" s="9">
        <v>0</v>
      </c>
      <c r="L68" s="9">
        <v>0</v>
      </c>
      <c r="M68" s="9">
        <v>0</v>
      </c>
      <c r="N68" s="9">
        <v>0</v>
      </c>
      <c r="O68" s="9">
        <v>0</v>
      </c>
      <c r="P68" s="9">
        <v>0</v>
      </c>
      <c r="Q68" s="9">
        <v>0</v>
      </c>
      <c r="R68" s="9">
        <v>0</v>
      </c>
      <c r="S68" s="9">
        <v>0</v>
      </c>
      <c r="T68" s="9">
        <v>0</v>
      </c>
      <c r="U68" s="9">
        <v>0</v>
      </c>
      <c r="V68" s="9">
        <v>0</v>
      </c>
      <c r="W68" s="9">
        <v>0</v>
      </c>
      <c r="X68" s="9">
        <v>0</v>
      </c>
      <c r="Y68" s="9">
        <v>0</v>
      </c>
      <c r="Z68" s="9">
        <v>0</v>
      </c>
      <c r="AA68" s="9">
        <v>0</v>
      </c>
      <c r="AB68" s="9">
        <v>0</v>
      </c>
      <c r="AC68" s="9">
        <v>0</v>
      </c>
      <c r="AD68" s="9">
        <v>0</v>
      </c>
      <c r="AE68" s="9">
        <v>0</v>
      </c>
      <c r="AF68" s="9">
        <v>0</v>
      </c>
      <c r="AG68" s="9">
        <v>0</v>
      </c>
      <c r="AH68" s="9">
        <v>0</v>
      </c>
      <c r="AI68" s="9">
        <v>0</v>
      </c>
      <c r="AJ68" s="9">
        <v>0</v>
      </c>
      <c r="AK68" s="9">
        <v>0</v>
      </c>
      <c r="AL68" s="9">
        <v>0</v>
      </c>
      <c r="AM68" s="9">
        <v>0</v>
      </c>
      <c r="AN68" s="9">
        <v>0</v>
      </c>
      <c r="AO68" s="9">
        <v>0</v>
      </c>
      <c r="AP68" s="9">
        <v>0</v>
      </c>
      <c r="AQ68" s="9">
        <v>0</v>
      </c>
      <c r="AR68" s="9">
        <v>0</v>
      </c>
      <c r="AS68" s="9">
        <v>0</v>
      </c>
      <c r="AT68" s="9">
        <v>0</v>
      </c>
      <c r="AU68" s="9">
        <v>0</v>
      </c>
      <c r="AV68" s="9">
        <v>0</v>
      </c>
      <c r="AW68" s="9">
        <v>0</v>
      </c>
      <c r="AX68" s="9">
        <v>0</v>
      </c>
      <c r="AY68" s="9">
        <v>0</v>
      </c>
      <c r="AZ68" s="9">
        <v>0</v>
      </c>
      <c r="BA68" s="9">
        <v>0</v>
      </c>
      <c r="BB68" s="9">
        <v>0</v>
      </c>
      <c r="BC68" s="9">
        <v>0</v>
      </c>
      <c r="BD68" s="9">
        <v>0</v>
      </c>
      <c r="BE68" s="9">
        <v>0</v>
      </c>
      <c r="BF68" s="9">
        <v>0</v>
      </c>
      <c r="BG68" s="9">
        <v>0</v>
      </c>
      <c r="BH68" s="9">
        <v>0</v>
      </c>
      <c r="BI68" s="9">
        <v>0</v>
      </c>
      <c r="BJ68" s="9">
        <v>0</v>
      </c>
      <c r="BK68" s="9">
        <v>0</v>
      </c>
      <c r="BL68" s="9">
        <v>0</v>
      </c>
      <c r="BM68" s="9">
        <v>0</v>
      </c>
      <c r="BN68" s="9">
        <v>0</v>
      </c>
      <c r="BO68" s="9">
        <v>0</v>
      </c>
      <c r="BP68" s="9">
        <v>0</v>
      </c>
      <c r="BQ68" s="9">
        <v>0</v>
      </c>
      <c r="BR68" s="9">
        <v>0</v>
      </c>
      <c r="BS68" s="9">
        <v>0</v>
      </c>
      <c r="BT68" s="9">
        <v>0</v>
      </c>
      <c r="BU68" s="9">
        <v>0</v>
      </c>
      <c r="BV68" s="9">
        <v>0</v>
      </c>
      <c r="BW68" s="9">
        <v>0</v>
      </c>
      <c r="BX68" s="9">
        <v>0</v>
      </c>
      <c r="BY68" s="9">
        <v>0</v>
      </c>
      <c r="BZ68" s="9">
        <v>0</v>
      </c>
      <c r="CA68" s="9">
        <v>0</v>
      </c>
      <c r="CB68" s="9">
        <v>0</v>
      </c>
      <c r="CC68" s="9">
        <v>0</v>
      </c>
      <c r="CD68" s="9">
        <v>0</v>
      </c>
      <c r="CE68" s="9">
        <v>0</v>
      </c>
      <c r="CF68" s="9">
        <v>0</v>
      </c>
      <c r="CG68" s="9">
        <v>0</v>
      </c>
      <c r="CH68" s="9">
        <v>0</v>
      </c>
      <c r="CI68" s="9">
        <v>0</v>
      </c>
      <c r="CJ68" s="9">
        <v>0</v>
      </c>
      <c r="CK68" s="9">
        <v>0</v>
      </c>
      <c r="CL68" s="9">
        <v>0</v>
      </c>
      <c r="CM68" s="9">
        <v>0</v>
      </c>
      <c r="CN68" s="9">
        <v>0</v>
      </c>
      <c r="CP68" s="10">
        <f t="shared" si="1"/>
        <v>-56533.57</v>
      </c>
      <c r="CQ68" s="20" t="str">
        <f>IFERROR(VLOOKUP($D68,'[2]Mappage de compte'!$B:$G,1,FALSE),"")</f>
        <v>173110</v>
      </c>
      <c r="CR68" s="21" t="str">
        <f>IFERROR(VLOOKUP($D68,'[2]Mappage de compte'!$B:$G,2,FALSE),"")</f>
        <v>XXX - Crédit d'investissement</v>
      </c>
      <c r="CS68" s="22" t="str">
        <f>IFERROR(VLOOKUP($D68,'[2]Mappage de compte'!$B:$G,3,FALSE),"")</f>
        <v>164001</v>
      </c>
      <c r="CT68" s="22" t="str">
        <f>IFERROR(VLOOKUP($D68,'[2]Mappage de compte'!$B:$G,4,FALSE),"")</f>
        <v xml:space="preserve">EMPRUNT BELGIQUE      </v>
      </c>
      <c r="CU68" s="23" t="str">
        <f>IFERROR(VLOOKUP($D68,'[2]Mappage de compte'!$B:$G,5,FALSE),"")</f>
        <v>Passifs courants ou non courants portant intérêts ou non</v>
      </c>
      <c r="CV68" s="23" t="str">
        <f>IFERROR(VLOOKUP($D68,'[2]Mappage de compte'!$B:$G,6,FALSE),"")</f>
        <v>Passifs courants ou non courants</v>
      </c>
    </row>
    <row r="69" spans="1:100" x14ac:dyDescent="0.25">
      <c r="A69" s="8" t="s">
        <v>9</v>
      </c>
      <c r="C69" s="8" t="str">
        <f>"""ORPEA BE"",""010010"",""15"",""1"",""173120"""</f>
        <v>"ORPEA BE","010010","15","1","173120"</v>
      </c>
      <c r="D69" s="8" t="str">
        <f>"173120"</f>
        <v>173120</v>
      </c>
      <c r="E69" s="8" t="str">
        <f t="shared" si="4"/>
        <v>164000</v>
      </c>
      <c r="F69" s="8" t="str">
        <f t="shared" si="5"/>
        <v>XXX - Crédit d'investissement</v>
      </c>
      <c r="G69" s="8" t="str">
        <f t="shared" si="0"/>
        <v/>
      </c>
      <c r="H69" s="9">
        <v>-1946906.9200000002</v>
      </c>
      <c r="I69" s="9">
        <v>0</v>
      </c>
      <c r="J69" s="9">
        <v>0</v>
      </c>
      <c r="K69" s="9">
        <v>0</v>
      </c>
      <c r="L69" s="9">
        <v>0</v>
      </c>
      <c r="M69" s="9">
        <v>0</v>
      </c>
      <c r="N69" s="9">
        <v>0</v>
      </c>
      <c r="O69" s="9">
        <v>0</v>
      </c>
      <c r="P69" s="9">
        <v>0</v>
      </c>
      <c r="Q69" s="9">
        <v>0</v>
      </c>
      <c r="R69" s="9">
        <v>0</v>
      </c>
      <c r="S69" s="9">
        <v>0</v>
      </c>
      <c r="T69" s="9">
        <v>0</v>
      </c>
      <c r="U69" s="9">
        <v>0</v>
      </c>
      <c r="V69" s="9">
        <v>0</v>
      </c>
      <c r="W69" s="9">
        <v>0</v>
      </c>
      <c r="X69" s="9">
        <v>0</v>
      </c>
      <c r="Y69" s="9">
        <v>0</v>
      </c>
      <c r="Z69" s="9">
        <v>0</v>
      </c>
      <c r="AA69" s="9">
        <v>0</v>
      </c>
      <c r="AB69" s="9">
        <v>0</v>
      </c>
      <c r="AC69" s="9">
        <v>0</v>
      </c>
      <c r="AD69" s="9">
        <v>0</v>
      </c>
      <c r="AE69" s="9">
        <v>0</v>
      </c>
      <c r="AF69" s="9">
        <v>0</v>
      </c>
      <c r="AG69" s="9">
        <v>0</v>
      </c>
      <c r="AH69" s="9">
        <v>0</v>
      </c>
      <c r="AI69" s="9">
        <v>0</v>
      </c>
      <c r="AJ69" s="9">
        <v>0</v>
      </c>
      <c r="AK69" s="9">
        <v>0</v>
      </c>
      <c r="AL69" s="9">
        <v>0</v>
      </c>
      <c r="AM69" s="9">
        <v>0</v>
      </c>
      <c r="AN69" s="9">
        <v>0</v>
      </c>
      <c r="AO69" s="9">
        <v>0</v>
      </c>
      <c r="AP69" s="9">
        <v>0</v>
      </c>
      <c r="AQ69" s="9">
        <v>0</v>
      </c>
      <c r="AR69" s="9">
        <v>0</v>
      </c>
      <c r="AS69" s="9">
        <v>0</v>
      </c>
      <c r="AT69" s="9">
        <v>0</v>
      </c>
      <c r="AU69" s="9">
        <v>0</v>
      </c>
      <c r="AV69" s="9">
        <v>0</v>
      </c>
      <c r="AW69" s="9">
        <v>0</v>
      </c>
      <c r="AX69" s="9">
        <v>0</v>
      </c>
      <c r="AY69" s="9">
        <v>0</v>
      </c>
      <c r="AZ69" s="9">
        <v>0</v>
      </c>
      <c r="BA69" s="9">
        <v>0</v>
      </c>
      <c r="BB69" s="9">
        <v>0</v>
      </c>
      <c r="BC69" s="9">
        <v>0</v>
      </c>
      <c r="BD69" s="9">
        <v>0</v>
      </c>
      <c r="BE69" s="9">
        <v>0</v>
      </c>
      <c r="BF69" s="9">
        <v>0</v>
      </c>
      <c r="BG69" s="9">
        <v>0</v>
      </c>
      <c r="BH69" s="9">
        <v>0</v>
      </c>
      <c r="BI69" s="9">
        <v>0</v>
      </c>
      <c r="BJ69" s="9">
        <v>0</v>
      </c>
      <c r="BK69" s="9">
        <v>0</v>
      </c>
      <c r="BL69" s="9">
        <v>0</v>
      </c>
      <c r="BM69" s="9">
        <v>0</v>
      </c>
      <c r="BN69" s="9">
        <v>0</v>
      </c>
      <c r="BO69" s="9">
        <v>0</v>
      </c>
      <c r="BP69" s="9">
        <v>0</v>
      </c>
      <c r="BQ69" s="9">
        <v>0</v>
      </c>
      <c r="BR69" s="9">
        <v>0</v>
      </c>
      <c r="BS69" s="9">
        <v>0</v>
      </c>
      <c r="BT69" s="9">
        <v>0</v>
      </c>
      <c r="BU69" s="9">
        <v>0</v>
      </c>
      <c r="BV69" s="9">
        <v>0</v>
      </c>
      <c r="BW69" s="9">
        <v>0</v>
      </c>
      <c r="BX69" s="9">
        <v>0</v>
      </c>
      <c r="BY69" s="9">
        <v>0</v>
      </c>
      <c r="BZ69" s="9">
        <v>0</v>
      </c>
      <c r="CA69" s="9">
        <v>0</v>
      </c>
      <c r="CB69" s="9">
        <v>0</v>
      </c>
      <c r="CC69" s="9">
        <v>0</v>
      </c>
      <c r="CD69" s="9">
        <v>0</v>
      </c>
      <c r="CE69" s="9">
        <v>0</v>
      </c>
      <c r="CF69" s="9">
        <v>0</v>
      </c>
      <c r="CG69" s="9">
        <v>0</v>
      </c>
      <c r="CH69" s="9">
        <v>0</v>
      </c>
      <c r="CI69" s="9">
        <v>0</v>
      </c>
      <c r="CJ69" s="9">
        <v>0</v>
      </c>
      <c r="CK69" s="9">
        <v>0</v>
      </c>
      <c r="CL69" s="9">
        <v>0</v>
      </c>
      <c r="CM69" s="9">
        <v>0</v>
      </c>
      <c r="CN69" s="9">
        <v>0</v>
      </c>
      <c r="CP69" s="10">
        <f t="shared" si="1"/>
        <v>-1946906.9200000002</v>
      </c>
      <c r="CQ69" s="20" t="str">
        <f>IFERROR(VLOOKUP($D69,'[2]Mappage de compte'!$B:$G,1,FALSE),"")</f>
        <v>173120</v>
      </c>
      <c r="CR69" s="21" t="str">
        <f>IFERROR(VLOOKUP($D69,'[2]Mappage de compte'!$B:$G,2,FALSE),"")</f>
        <v>XXX - Crédit d'investissement</v>
      </c>
      <c r="CS69" s="22" t="str">
        <f>IFERROR(VLOOKUP($D69,'[2]Mappage de compte'!$B:$G,3,FALSE),"")</f>
        <v>164001</v>
      </c>
      <c r="CT69" s="22" t="str">
        <f>IFERROR(VLOOKUP($D69,'[2]Mappage de compte'!$B:$G,4,FALSE),"")</f>
        <v xml:space="preserve">EMPRUNT BELGIQUE      </v>
      </c>
      <c r="CU69" s="23" t="str">
        <f>IFERROR(VLOOKUP($D69,'[2]Mappage de compte'!$B:$G,5,FALSE),"")</f>
        <v>Passifs courants ou non courants portant intérêts ou non</v>
      </c>
      <c r="CV69" s="23" t="str">
        <f>IFERROR(VLOOKUP($D69,'[2]Mappage de compte'!$B:$G,6,FALSE),"")</f>
        <v>Passifs courants ou non courants</v>
      </c>
    </row>
    <row r="70" spans="1:100" x14ac:dyDescent="0.25">
      <c r="A70" s="8" t="s">
        <v>9</v>
      </c>
      <c r="C70" s="8" t="str">
        <f>"""ORPEA BE"",""010010"",""15"",""1"",""173130"""</f>
        <v>"ORPEA BE","010010","15","1","173130"</v>
      </c>
      <c r="D70" s="8" t="str">
        <f>"173130"</f>
        <v>173130</v>
      </c>
      <c r="E70" s="8" t="str">
        <f t="shared" si="4"/>
        <v>164000</v>
      </c>
      <c r="F70" s="8" t="str">
        <f t="shared" si="5"/>
        <v>XXX - Crédit d'investissement</v>
      </c>
      <c r="G70" s="8" t="str">
        <f t="shared" si="0"/>
        <v/>
      </c>
      <c r="H70" s="9">
        <v>-141458.45000000001</v>
      </c>
      <c r="I70" s="9">
        <v>0</v>
      </c>
      <c r="J70" s="9">
        <v>0</v>
      </c>
      <c r="K70" s="9">
        <v>0</v>
      </c>
      <c r="L70" s="9">
        <v>0</v>
      </c>
      <c r="M70" s="9">
        <v>0</v>
      </c>
      <c r="N70" s="9">
        <v>0</v>
      </c>
      <c r="O70" s="9">
        <v>0</v>
      </c>
      <c r="P70" s="9">
        <v>0</v>
      </c>
      <c r="Q70" s="9">
        <v>0</v>
      </c>
      <c r="R70" s="9">
        <v>0</v>
      </c>
      <c r="S70" s="9">
        <v>0</v>
      </c>
      <c r="T70" s="9">
        <v>0</v>
      </c>
      <c r="U70" s="9">
        <v>0</v>
      </c>
      <c r="V70" s="9">
        <v>0</v>
      </c>
      <c r="W70" s="9">
        <v>0</v>
      </c>
      <c r="X70" s="9">
        <v>0</v>
      </c>
      <c r="Y70" s="9">
        <v>0</v>
      </c>
      <c r="Z70" s="9">
        <v>0</v>
      </c>
      <c r="AA70" s="9">
        <v>0</v>
      </c>
      <c r="AB70" s="9">
        <v>0</v>
      </c>
      <c r="AC70" s="9">
        <v>0</v>
      </c>
      <c r="AD70" s="9">
        <v>0</v>
      </c>
      <c r="AE70" s="9">
        <v>0</v>
      </c>
      <c r="AF70" s="9">
        <v>0</v>
      </c>
      <c r="AG70" s="9">
        <v>0</v>
      </c>
      <c r="AH70" s="9">
        <v>0</v>
      </c>
      <c r="AI70" s="9">
        <v>0</v>
      </c>
      <c r="AJ70" s="9">
        <v>0</v>
      </c>
      <c r="AK70" s="9">
        <v>0</v>
      </c>
      <c r="AL70" s="9">
        <v>0</v>
      </c>
      <c r="AM70" s="9">
        <v>0</v>
      </c>
      <c r="AN70" s="9">
        <v>0</v>
      </c>
      <c r="AO70" s="9">
        <v>0</v>
      </c>
      <c r="AP70" s="9">
        <v>0</v>
      </c>
      <c r="AQ70" s="9">
        <v>0</v>
      </c>
      <c r="AR70" s="9">
        <v>0</v>
      </c>
      <c r="AS70" s="9">
        <v>0</v>
      </c>
      <c r="AT70" s="9">
        <v>0</v>
      </c>
      <c r="AU70" s="9">
        <v>0</v>
      </c>
      <c r="AV70" s="9">
        <v>0</v>
      </c>
      <c r="AW70" s="9">
        <v>0</v>
      </c>
      <c r="AX70" s="9">
        <v>0</v>
      </c>
      <c r="AY70" s="9">
        <v>0</v>
      </c>
      <c r="AZ70" s="9">
        <v>0</v>
      </c>
      <c r="BA70" s="9">
        <v>0</v>
      </c>
      <c r="BB70" s="9">
        <v>0</v>
      </c>
      <c r="BC70" s="9">
        <v>0</v>
      </c>
      <c r="BD70" s="9">
        <v>0</v>
      </c>
      <c r="BE70" s="9">
        <v>0</v>
      </c>
      <c r="BF70" s="9">
        <v>0</v>
      </c>
      <c r="BG70" s="9">
        <v>0</v>
      </c>
      <c r="BH70" s="9">
        <v>0</v>
      </c>
      <c r="BI70" s="9">
        <v>0</v>
      </c>
      <c r="BJ70" s="9">
        <v>0</v>
      </c>
      <c r="BK70" s="9">
        <v>0</v>
      </c>
      <c r="BL70" s="9">
        <v>0</v>
      </c>
      <c r="BM70" s="9">
        <v>0</v>
      </c>
      <c r="BN70" s="9">
        <v>0</v>
      </c>
      <c r="BO70" s="9">
        <v>0</v>
      </c>
      <c r="BP70" s="9">
        <v>0</v>
      </c>
      <c r="BQ70" s="9">
        <v>0</v>
      </c>
      <c r="BR70" s="9">
        <v>0</v>
      </c>
      <c r="BS70" s="9">
        <v>0</v>
      </c>
      <c r="BT70" s="9">
        <v>0</v>
      </c>
      <c r="BU70" s="9">
        <v>0</v>
      </c>
      <c r="BV70" s="9">
        <v>0</v>
      </c>
      <c r="BW70" s="9">
        <v>0</v>
      </c>
      <c r="BX70" s="9">
        <v>0</v>
      </c>
      <c r="BY70" s="9">
        <v>0</v>
      </c>
      <c r="BZ70" s="9">
        <v>0</v>
      </c>
      <c r="CA70" s="9">
        <v>0</v>
      </c>
      <c r="CB70" s="9">
        <v>0</v>
      </c>
      <c r="CC70" s="9">
        <v>0</v>
      </c>
      <c r="CD70" s="9">
        <v>0</v>
      </c>
      <c r="CE70" s="9">
        <v>0</v>
      </c>
      <c r="CF70" s="9">
        <v>0</v>
      </c>
      <c r="CG70" s="9">
        <v>0</v>
      </c>
      <c r="CH70" s="9">
        <v>0</v>
      </c>
      <c r="CI70" s="9">
        <v>0</v>
      </c>
      <c r="CJ70" s="9">
        <v>0</v>
      </c>
      <c r="CK70" s="9">
        <v>0</v>
      </c>
      <c r="CL70" s="9">
        <v>0</v>
      </c>
      <c r="CM70" s="9">
        <v>0</v>
      </c>
      <c r="CN70" s="9">
        <v>0</v>
      </c>
      <c r="CP70" s="10">
        <f t="shared" si="1"/>
        <v>-141458.45000000001</v>
      </c>
      <c r="CQ70" s="20" t="str">
        <f>IFERROR(VLOOKUP($D70,'[2]Mappage de compte'!$B:$G,1,FALSE),"")</f>
        <v>173130</v>
      </c>
      <c r="CR70" s="21" t="str">
        <f>IFERROR(VLOOKUP($D70,'[2]Mappage de compte'!$B:$G,2,FALSE),"")</f>
        <v>XXX - Crédit d'investissement</v>
      </c>
      <c r="CS70" s="22" t="str">
        <f>IFERROR(VLOOKUP($D70,'[2]Mappage de compte'!$B:$G,3,FALSE),"")</f>
        <v>164001</v>
      </c>
      <c r="CT70" s="22" t="str">
        <f>IFERROR(VLOOKUP($D70,'[2]Mappage de compte'!$B:$G,4,FALSE),"")</f>
        <v xml:space="preserve">EMPRUNT BELGIQUE      </v>
      </c>
      <c r="CU70" s="23" t="str">
        <f>IFERROR(VLOOKUP($D70,'[2]Mappage de compte'!$B:$G,5,FALSE),"")</f>
        <v>Passifs courants ou non courants portant intérêts ou non</v>
      </c>
      <c r="CV70" s="23" t="str">
        <f>IFERROR(VLOOKUP($D70,'[2]Mappage de compte'!$B:$G,6,FALSE),"")</f>
        <v>Passifs courants ou non courants</v>
      </c>
    </row>
    <row r="71" spans="1:100" x14ac:dyDescent="0.25">
      <c r="A71" s="8" t="s">
        <v>9</v>
      </c>
      <c r="C71" s="8" t="str">
        <f>"""ORPEA BE"",""010010"",""15"",""1"",""173140"""</f>
        <v>"ORPEA BE","010010","15","1","173140"</v>
      </c>
      <c r="D71" s="8" t="str">
        <f>"173140"</f>
        <v>173140</v>
      </c>
      <c r="E71" s="8" t="str">
        <f t="shared" si="4"/>
        <v>164000</v>
      </c>
      <c r="F71" s="8" t="str">
        <f t="shared" si="5"/>
        <v>XXX - Crédit d'investissement</v>
      </c>
      <c r="G71" s="8" t="str">
        <f t="shared" ref="G71:G75" si="6">IF(OR(LEFT($D71,1)="6",LEFT($D71,1)="7"),PeriodStart,"")</f>
        <v/>
      </c>
      <c r="H71" s="9">
        <v>-71660.98</v>
      </c>
      <c r="I71" s="9">
        <v>0</v>
      </c>
      <c r="J71" s="9">
        <v>0</v>
      </c>
      <c r="K71" s="9">
        <v>0</v>
      </c>
      <c r="L71" s="9">
        <v>0</v>
      </c>
      <c r="M71" s="9">
        <v>0</v>
      </c>
      <c r="N71" s="9">
        <v>0</v>
      </c>
      <c r="O71" s="9">
        <v>0</v>
      </c>
      <c r="P71" s="9">
        <v>0</v>
      </c>
      <c r="Q71" s="9">
        <v>0</v>
      </c>
      <c r="R71" s="9">
        <v>0</v>
      </c>
      <c r="S71" s="9">
        <v>0</v>
      </c>
      <c r="T71" s="9">
        <v>0</v>
      </c>
      <c r="U71" s="9">
        <v>0</v>
      </c>
      <c r="V71" s="9">
        <v>0</v>
      </c>
      <c r="W71" s="9">
        <v>0</v>
      </c>
      <c r="X71" s="9">
        <v>0</v>
      </c>
      <c r="Y71" s="9">
        <v>0</v>
      </c>
      <c r="Z71" s="9">
        <v>0</v>
      </c>
      <c r="AA71" s="9">
        <v>0</v>
      </c>
      <c r="AB71" s="9">
        <v>0</v>
      </c>
      <c r="AC71" s="9">
        <v>0</v>
      </c>
      <c r="AD71" s="9">
        <v>0</v>
      </c>
      <c r="AE71" s="9">
        <v>0</v>
      </c>
      <c r="AF71" s="9">
        <v>0</v>
      </c>
      <c r="AG71" s="9">
        <v>0</v>
      </c>
      <c r="AH71" s="9">
        <v>0</v>
      </c>
      <c r="AI71" s="9">
        <v>0</v>
      </c>
      <c r="AJ71" s="9">
        <v>0</v>
      </c>
      <c r="AK71" s="9">
        <v>0</v>
      </c>
      <c r="AL71" s="9">
        <v>0</v>
      </c>
      <c r="AM71" s="9">
        <v>0</v>
      </c>
      <c r="AN71" s="9">
        <v>0</v>
      </c>
      <c r="AO71" s="9">
        <v>0</v>
      </c>
      <c r="AP71" s="9">
        <v>0</v>
      </c>
      <c r="AQ71" s="9">
        <v>0</v>
      </c>
      <c r="AR71" s="9">
        <v>0</v>
      </c>
      <c r="AS71" s="9">
        <v>0</v>
      </c>
      <c r="AT71" s="9">
        <v>0</v>
      </c>
      <c r="AU71" s="9">
        <v>0</v>
      </c>
      <c r="AV71" s="9">
        <v>0</v>
      </c>
      <c r="AW71" s="9">
        <v>0</v>
      </c>
      <c r="AX71" s="9">
        <v>0</v>
      </c>
      <c r="AY71" s="9">
        <v>0</v>
      </c>
      <c r="AZ71" s="9">
        <v>0</v>
      </c>
      <c r="BA71" s="9">
        <v>0</v>
      </c>
      <c r="BB71" s="9">
        <v>0</v>
      </c>
      <c r="BC71" s="9">
        <v>0</v>
      </c>
      <c r="BD71" s="9">
        <v>0</v>
      </c>
      <c r="BE71" s="9">
        <v>0</v>
      </c>
      <c r="BF71" s="9">
        <v>0</v>
      </c>
      <c r="BG71" s="9">
        <v>0</v>
      </c>
      <c r="BH71" s="9">
        <v>0</v>
      </c>
      <c r="BI71" s="9">
        <v>0</v>
      </c>
      <c r="BJ71" s="9">
        <v>0</v>
      </c>
      <c r="BK71" s="9">
        <v>0</v>
      </c>
      <c r="BL71" s="9">
        <v>0</v>
      </c>
      <c r="BM71" s="9">
        <v>0</v>
      </c>
      <c r="BN71" s="9">
        <v>0</v>
      </c>
      <c r="BO71" s="9">
        <v>0</v>
      </c>
      <c r="BP71" s="9">
        <v>0</v>
      </c>
      <c r="BQ71" s="9">
        <v>0</v>
      </c>
      <c r="BR71" s="9">
        <v>0</v>
      </c>
      <c r="BS71" s="9">
        <v>0</v>
      </c>
      <c r="BT71" s="9">
        <v>0</v>
      </c>
      <c r="BU71" s="9">
        <v>0</v>
      </c>
      <c r="BV71" s="9">
        <v>0</v>
      </c>
      <c r="BW71" s="9">
        <v>0</v>
      </c>
      <c r="BX71" s="9">
        <v>0</v>
      </c>
      <c r="BY71" s="9">
        <v>0</v>
      </c>
      <c r="BZ71" s="9">
        <v>0</v>
      </c>
      <c r="CA71" s="9">
        <v>0</v>
      </c>
      <c r="CB71" s="9">
        <v>0</v>
      </c>
      <c r="CC71" s="9">
        <v>0</v>
      </c>
      <c r="CD71" s="9">
        <v>0</v>
      </c>
      <c r="CE71" s="9">
        <v>0</v>
      </c>
      <c r="CF71" s="9">
        <v>0</v>
      </c>
      <c r="CG71" s="9">
        <v>0</v>
      </c>
      <c r="CH71" s="9">
        <v>0</v>
      </c>
      <c r="CI71" s="9">
        <v>0</v>
      </c>
      <c r="CJ71" s="9">
        <v>0</v>
      </c>
      <c r="CK71" s="9">
        <v>0</v>
      </c>
      <c r="CL71" s="9">
        <v>0</v>
      </c>
      <c r="CM71" s="9">
        <v>0</v>
      </c>
      <c r="CN71" s="9">
        <v>0</v>
      </c>
      <c r="CP71" s="10">
        <f t="shared" si="1"/>
        <v>-71660.98</v>
      </c>
      <c r="CQ71" s="20" t="str">
        <f>IFERROR(VLOOKUP($D71,'[2]Mappage de compte'!$B:$G,1,FALSE),"")</f>
        <v>173140</v>
      </c>
      <c r="CR71" s="21" t="str">
        <f>IFERROR(VLOOKUP($D71,'[2]Mappage de compte'!$B:$G,2,FALSE),"")</f>
        <v>XXX - Crédit d'investissement</v>
      </c>
      <c r="CS71" s="22" t="str">
        <f>IFERROR(VLOOKUP($D71,'[2]Mappage de compte'!$B:$G,3,FALSE),"")</f>
        <v>164001</v>
      </c>
      <c r="CT71" s="22" t="str">
        <f>IFERROR(VLOOKUP($D71,'[2]Mappage de compte'!$B:$G,4,FALSE),"")</f>
        <v xml:space="preserve">EMPRUNT BELGIQUE      </v>
      </c>
      <c r="CU71" s="23" t="str">
        <f>IFERROR(VLOOKUP($D71,'[2]Mappage de compte'!$B:$G,5,FALSE),"")</f>
        <v>Passifs courants ou non courants portant intérêts ou non</v>
      </c>
      <c r="CV71" s="23" t="str">
        <f>IFERROR(VLOOKUP($D71,'[2]Mappage de compte'!$B:$G,6,FALSE),"")</f>
        <v>Passifs courants ou non courants</v>
      </c>
    </row>
    <row r="72" spans="1:100" x14ac:dyDescent="0.25">
      <c r="A72" s="8" t="s">
        <v>9</v>
      </c>
      <c r="C72" s="8" t="str">
        <f>"""ORPEA BE"",""010010"",""15"",""1"",""173150"""</f>
        <v>"ORPEA BE","010010","15","1","173150"</v>
      </c>
      <c r="D72" s="8" t="str">
        <f>"173150"</f>
        <v>173150</v>
      </c>
      <c r="E72" s="8" t="str">
        <f>"168100"</f>
        <v>168100</v>
      </c>
      <c r="F72" s="8" t="str">
        <f t="shared" si="5"/>
        <v>XXX - Crédit d'investissement</v>
      </c>
      <c r="G72" s="8" t="str">
        <f t="shared" si="6"/>
        <v/>
      </c>
      <c r="H72" s="9">
        <v>0</v>
      </c>
      <c r="I72" s="9">
        <v>0</v>
      </c>
      <c r="J72" s="9">
        <v>0</v>
      </c>
      <c r="K72" s="9">
        <v>0</v>
      </c>
      <c r="L72" s="9">
        <v>0</v>
      </c>
      <c r="M72" s="9">
        <v>0</v>
      </c>
      <c r="N72" s="9">
        <v>0</v>
      </c>
      <c r="O72" s="9">
        <v>0</v>
      </c>
      <c r="P72" s="9">
        <v>0</v>
      </c>
      <c r="Q72" s="9">
        <v>0</v>
      </c>
      <c r="R72" s="9">
        <v>0</v>
      </c>
      <c r="S72" s="9">
        <v>0</v>
      </c>
      <c r="T72" s="9">
        <v>0</v>
      </c>
      <c r="U72" s="9">
        <v>0</v>
      </c>
      <c r="V72" s="9">
        <v>0</v>
      </c>
      <c r="W72" s="9">
        <v>0</v>
      </c>
      <c r="X72" s="9">
        <v>0</v>
      </c>
      <c r="Y72" s="9">
        <v>0</v>
      </c>
      <c r="Z72" s="9">
        <v>0</v>
      </c>
      <c r="AA72" s="9">
        <v>0</v>
      </c>
      <c r="AB72" s="9">
        <v>0</v>
      </c>
      <c r="AC72" s="9">
        <v>0</v>
      </c>
      <c r="AD72" s="9">
        <v>0</v>
      </c>
      <c r="AE72" s="9">
        <v>0</v>
      </c>
      <c r="AF72" s="9">
        <v>0</v>
      </c>
      <c r="AG72" s="9">
        <v>0</v>
      </c>
      <c r="AH72" s="9">
        <v>0</v>
      </c>
      <c r="AI72" s="9">
        <v>0</v>
      </c>
      <c r="AJ72" s="9">
        <v>0</v>
      </c>
      <c r="AK72" s="9">
        <v>0</v>
      </c>
      <c r="AL72" s="9">
        <v>0</v>
      </c>
      <c r="AM72" s="9">
        <v>0</v>
      </c>
      <c r="AN72" s="9">
        <v>0</v>
      </c>
      <c r="AO72" s="9">
        <v>0</v>
      </c>
      <c r="AP72" s="9">
        <v>0</v>
      </c>
      <c r="AQ72" s="9">
        <v>0</v>
      </c>
      <c r="AR72" s="9">
        <v>0</v>
      </c>
      <c r="AS72" s="9">
        <v>0</v>
      </c>
      <c r="AT72" s="9">
        <v>0</v>
      </c>
      <c r="AU72" s="9">
        <v>0</v>
      </c>
      <c r="AV72" s="9">
        <v>0</v>
      </c>
      <c r="AW72" s="9">
        <v>0</v>
      </c>
      <c r="AX72" s="9">
        <v>0</v>
      </c>
      <c r="AY72" s="9">
        <v>0</v>
      </c>
      <c r="AZ72" s="9">
        <v>0</v>
      </c>
      <c r="BA72" s="9">
        <v>0</v>
      </c>
      <c r="BB72" s="9">
        <v>0</v>
      </c>
      <c r="BC72" s="9">
        <v>0</v>
      </c>
      <c r="BD72" s="9">
        <v>0</v>
      </c>
      <c r="BE72" s="9">
        <v>0</v>
      </c>
      <c r="BF72" s="9">
        <v>0</v>
      </c>
      <c r="BG72" s="9">
        <v>0</v>
      </c>
      <c r="BH72" s="9">
        <v>0</v>
      </c>
      <c r="BI72" s="9">
        <v>0</v>
      </c>
      <c r="BJ72" s="9">
        <v>0</v>
      </c>
      <c r="BK72" s="9">
        <v>0</v>
      </c>
      <c r="BL72" s="9">
        <v>0</v>
      </c>
      <c r="BM72" s="9">
        <v>0</v>
      </c>
      <c r="BN72" s="9">
        <v>0</v>
      </c>
      <c r="BO72" s="9">
        <v>0</v>
      </c>
      <c r="BP72" s="9">
        <v>0</v>
      </c>
      <c r="BQ72" s="9">
        <v>0</v>
      </c>
      <c r="BR72" s="9">
        <v>0</v>
      </c>
      <c r="BS72" s="9">
        <v>0</v>
      </c>
      <c r="BT72" s="9">
        <v>0</v>
      </c>
      <c r="BU72" s="9">
        <v>0</v>
      </c>
      <c r="BV72" s="9">
        <v>0</v>
      </c>
      <c r="BW72" s="9">
        <v>0</v>
      </c>
      <c r="BX72" s="9">
        <v>0</v>
      </c>
      <c r="BY72" s="9">
        <v>0</v>
      </c>
      <c r="BZ72" s="9">
        <v>0</v>
      </c>
      <c r="CA72" s="9">
        <v>0</v>
      </c>
      <c r="CB72" s="9">
        <v>0</v>
      </c>
      <c r="CC72" s="9">
        <v>0</v>
      </c>
      <c r="CD72" s="9">
        <v>0</v>
      </c>
      <c r="CE72" s="9">
        <v>0</v>
      </c>
      <c r="CF72" s="9">
        <v>0</v>
      </c>
      <c r="CG72" s="9">
        <v>0</v>
      </c>
      <c r="CH72" s="9">
        <v>0</v>
      </c>
      <c r="CI72" s="9">
        <v>0</v>
      </c>
      <c r="CJ72" s="9">
        <v>0</v>
      </c>
      <c r="CK72" s="9">
        <v>0</v>
      </c>
      <c r="CL72" s="9">
        <v>0</v>
      </c>
      <c r="CM72" s="9">
        <v>0</v>
      </c>
      <c r="CN72" s="9">
        <v>0</v>
      </c>
      <c r="CP72" s="10">
        <f t="shared" ref="CP72:CP75" si="7">SUMIF(H$2:CO$2,"Oui",H72:CO72)</f>
        <v>0</v>
      </c>
      <c r="CQ72" s="20" t="str">
        <f>IFERROR(VLOOKUP($D72,'[2]Mappage de compte'!$B:$G,1,FALSE),"")</f>
        <v/>
      </c>
      <c r="CR72" s="21" t="str">
        <f>IFERROR(VLOOKUP($D72,'[2]Mappage de compte'!$B:$G,2,FALSE),"")</f>
        <v/>
      </c>
      <c r="CS72" s="22" t="str">
        <f>IFERROR(VLOOKUP($D72,'[2]Mappage de compte'!$B:$G,3,FALSE),"")</f>
        <v/>
      </c>
      <c r="CT72" s="22" t="str">
        <f>IFERROR(VLOOKUP($D72,'[2]Mappage de compte'!$B:$G,4,FALSE),"")</f>
        <v/>
      </c>
      <c r="CU72" s="23" t="str">
        <f>IFERROR(VLOOKUP($D72,'[2]Mappage de compte'!$B:$G,5,FALSE),"")</f>
        <v/>
      </c>
      <c r="CV72" s="23" t="str">
        <f>IFERROR(VLOOKUP($D72,'[2]Mappage de compte'!$B:$G,6,FALSE),"")</f>
        <v/>
      </c>
    </row>
    <row r="73" spans="1:100" x14ac:dyDescent="0.25">
      <c r="A73" s="8" t="s">
        <v>9</v>
      </c>
      <c r="C73" s="8" t="str">
        <f>"""ORPEA BE"",""010010"",""15"",""1"",""178000"""</f>
        <v>"ORPEA BE","010010","15","1","178000"</v>
      </c>
      <c r="D73" s="8" t="str">
        <f>"178000"</f>
        <v>178000</v>
      </c>
      <c r="E73" s="8" t="str">
        <f t="shared" ref="E73:E75" si="8">"467820"</f>
        <v>467820</v>
      </c>
      <c r="F73" s="8" t="str">
        <f>"Caution reçue en numéraire"</f>
        <v>Caution reçue en numéraire</v>
      </c>
      <c r="G73" s="8" t="str">
        <f t="shared" si="6"/>
        <v/>
      </c>
      <c r="H73" s="9">
        <v>0</v>
      </c>
      <c r="I73" s="9">
        <v>-1240</v>
      </c>
      <c r="J73" s="9">
        <v>-50</v>
      </c>
      <c r="K73" s="9">
        <v>0</v>
      </c>
      <c r="L73" s="9">
        <v>0</v>
      </c>
      <c r="M73" s="9">
        <v>0</v>
      </c>
      <c r="N73" s="9">
        <v>0</v>
      </c>
      <c r="O73" s="9">
        <v>0</v>
      </c>
      <c r="P73" s="9">
        <v>0</v>
      </c>
      <c r="Q73" s="9">
        <v>-60</v>
      </c>
      <c r="R73" s="9">
        <v>0</v>
      </c>
      <c r="S73" s="9">
        <v>0</v>
      </c>
      <c r="T73" s="9">
        <v>0</v>
      </c>
      <c r="U73" s="9">
        <v>0</v>
      </c>
      <c r="V73" s="9">
        <v>0</v>
      </c>
      <c r="W73" s="9">
        <v>0</v>
      </c>
      <c r="X73" s="9">
        <v>0</v>
      </c>
      <c r="Y73" s="9">
        <v>0</v>
      </c>
      <c r="Z73" s="9">
        <v>0</v>
      </c>
      <c r="AA73" s="9">
        <v>0</v>
      </c>
      <c r="AB73" s="9">
        <v>0</v>
      </c>
      <c r="AC73" s="9">
        <v>0</v>
      </c>
      <c r="AD73" s="9">
        <v>0</v>
      </c>
      <c r="AE73" s="9">
        <v>0</v>
      </c>
      <c r="AF73" s="9">
        <v>0</v>
      </c>
      <c r="AG73" s="9">
        <v>0</v>
      </c>
      <c r="AH73" s="9">
        <v>0</v>
      </c>
      <c r="AI73" s="9">
        <v>0</v>
      </c>
      <c r="AJ73" s="9">
        <v>0</v>
      </c>
      <c r="AK73" s="9">
        <v>0</v>
      </c>
      <c r="AL73" s="9">
        <v>0</v>
      </c>
      <c r="AM73" s="9">
        <v>0</v>
      </c>
      <c r="AN73" s="9">
        <v>0</v>
      </c>
      <c r="AO73" s="9">
        <v>0</v>
      </c>
      <c r="AP73" s="9">
        <v>0</v>
      </c>
      <c r="AQ73" s="9">
        <v>0</v>
      </c>
      <c r="AR73" s="9">
        <v>0</v>
      </c>
      <c r="AS73" s="9">
        <v>0</v>
      </c>
      <c r="AT73" s="9">
        <v>0</v>
      </c>
      <c r="AU73" s="9">
        <v>0</v>
      </c>
      <c r="AV73" s="9">
        <v>0</v>
      </c>
      <c r="AW73" s="9">
        <v>0</v>
      </c>
      <c r="AX73" s="9">
        <v>0</v>
      </c>
      <c r="AY73" s="9">
        <v>0</v>
      </c>
      <c r="AZ73" s="9">
        <v>0</v>
      </c>
      <c r="BA73" s="9">
        <v>0</v>
      </c>
      <c r="BB73" s="9">
        <v>0</v>
      </c>
      <c r="BC73" s="9">
        <v>0</v>
      </c>
      <c r="BD73" s="9">
        <v>0</v>
      </c>
      <c r="BE73" s="9">
        <v>0</v>
      </c>
      <c r="BF73" s="9">
        <v>0</v>
      </c>
      <c r="BG73" s="9">
        <v>0</v>
      </c>
      <c r="BH73" s="9">
        <v>0</v>
      </c>
      <c r="BI73" s="9">
        <v>0</v>
      </c>
      <c r="BJ73" s="9">
        <v>0</v>
      </c>
      <c r="BK73" s="9">
        <v>0</v>
      </c>
      <c r="BL73" s="9">
        <v>0</v>
      </c>
      <c r="BM73" s="9">
        <v>0</v>
      </c>
      <c r="BN73" s="9">
        <v>0</v>
      </c>
      <c r="BO73" s="9">
        <v>0</v>
      </c>
      <c r="BP73" s="9">
        <v>0</v>
      </c>
      <c r="BQ73" s="9">
        <v>0</v>
      </c>
      <c r="BR73" s="9">
        <v>0</v>
      </c>
      <c r="BS73" s="9">
        <v>0</v>
      </c>
      <c r="BT73" s="9">
        <v>0</v>
      </c>
      <c r="BU73" s="9">
        <v>0</v>
      </c>
      <c r="BV73" s="9">
        <v>0</v>
      </c>
      <c r="BW73" s="9">
        <v>0</v>
      </c>
      <c r="BX73" s="9">
        <v>0</v>
      </c>
      <c r="BY73" s="9">
        <v>0</v>
      </c>
      <c r="BZ73" s="9">
        <v>0</v>
      </c>
      <c r="CA73" s="9">
        <v>0</v>
      </c>
      <c r="CB73" s="9">
        <v>0</v>
      </c>
      <c r="CC73" s="9">
        <v>0</v>
      </c>
      <c r="CD73" s="9">
        <v>0</v>
      </c>
      <c r="CE73" s="9">
        <v>0</v>
      </c>
      <c r="CF73" s="9">
        <v>0</v>
      </c>
      <c r="CG73" s="9">
        <v>0</v>
      </c>
      <c r="CH73" s="9">
        <v>0</v>
      </c>
      <c r="CI73" s="9">
        <v>0</v>
      </c>
      <c r="CJ73" s="9">
        <v>0</v>
      </c>
      <c r="CK73" s="9">
        <v>0</v>
      </c>
      <c r="CL73" s="9">
        <v>0</v>
      </c>
      <c r="CM73" s="9">
        <v>0</v>
      </c>
      <c r="CN73" s="9">
        <v>0</v>
      </c>
      <c r="CP73" s="10">
        <f t="shared" si="7"/>
        <v>-1350</v>
      </c>
      <c r="CQ73" s="20" t="str">
        <f>IFERROR(VLOOKUP($D73,'[2]Mappage de compte'!$B:$G,1,FALSE),"")</f>
        <v>178000</v>
      </c>
      <c r="CR73" s="21" t="str">
        <f>IFERROR(VLOOKUP($D73,'[2]Mappage de compte'!$B:$G,2,FALSE),"")</f>
        <v>Caution reçue en numéraire</v>
      </c>
      <c r="CS73" s="22" t="str">
        <f>IFERROR(VLOOKUP($D73,'[2]Mappage de compte'!$B:$G,3,FALSE),"")</f>
        <v>165000</v>
      </c>
      <c r="CT73" s="22" t="str">
        <f>IFERROR(VLOOKUP($D73,'[2]Mappage de compte'!$B:$G,4,FALSE),"")</f>
        <v>DEPOTS ET CAUTIONNEMENTS RECUS - AUTRES</v>
      </c>
      <c r="CU73" s="23" t="str">
        <f>IFERROR(VLOOKUP($D73,'[2]Mappage de compte'!$B:$G,5,FALSE),"")</f>
        <v>Passifs courants ou non courants portant intérêts ou non</v>
      </c>
      <c r="CV73" s="23" t="str">
        <f>IFERROR(VLOOKUP($D73,'[2]Mappage de compte'!$B:$G,6,FALSE),"")</f>
        <v>Passifs courants ou non courants</v>
      </c>
    </row>
    <row r="74" spans="1:100" x14ac:dyDescent="0.25">
      <c r="A74" s="8" t="s">
        <v>9</v>
      </c>
      <c r="C74" s="8" t="str">
        <f>"""ORPEA BE"",""010010"",""15"",""1"",""178001"""</f>
        <v>"ORPEA BE","010010","15","1","178001"</v>
      </c>
      <c r="D74" s="8" t="str">
        <f>"178001"</f>
        <v>178001</v>
      </c>
      <c r="E74" s="8" t="str">
        <f t="shared" si="8"/>
        <v>467820</v>
      </c>
      <c r="F74" s="8" t="str">
        <f>"Cautions XXX"</f>
        <v>Cautions XXX</v>
      </c>
      <c r="G74" s="8" t="str">
        <f t="shared" si="6"/>
        <v/>
      </c>
      <c r="H74" s="9">
        <v>0</v>
      </c>
      <c r="I74" s="9">
        <v>0</v>
      </c>
      <c r="J74" s="9">
        <v>0</v>
      </c>
      <c r="K74" s="9">
        <v>0</v>
      </c>
      <c r="L74" s="9">
        <v>0</v>
      </c>
      <c r="M74" s="9">
        <v>0</v>
      </c>
      <c r="N74" s="9">
        <v>0</v>
      </c>
      <c r="O74" s="9">
        <v>0</v>
      </c>
      <c r="P74" s="9">
        <v>0</v>
      </c>
      <c r="Q74" s="9">
        <v>0</v>
      </c>
      <c r="R74" s="9">
        <v>0</v>
      </c>
      <c r="S74" s="9">
        <v>0</v>
      </c>
      <c r="T74" s="9">
        <v>0</v>
      </c>
      <c r="U74" s="9">
        <v>0</v>
      </c>
      <c r="V74" s="9">
        <v>0</v>
      </c>
      <c r="W74" s="9">
        <v>0</v>
      </c>
      <c r="X74" s="9">
        <v>0</v>
      </c>
      <c r="Y74" s="9">
        <v>0</v>
      </c>
      <c r="Z74" s="9">
        <v>0</v>
      </c>
      <c r="AA74" s="9">
        <v>0</v>
      </c>
      <c r="AB74" s="9">
        <v>0</v>
      </c>
      <c r="AC74" s="9">
        <v>0</v>
      </c>
      <c r="AD74" s="9">
        <v>0</v>
      </c>
      <c r="AE74" s="9">
        <v>0</v>
      </c>
      <c r="AF74" s="9">
        <v>0</v>
      </c>
      <c r="AG74" s="9">
        <v>0</v>
      </c>
      <c r="AH74" s="9">
        <v>0</v>
      </c>
      <c r="AI74" s="9">
        <v>0</v>
      </c>
      <c r="AJ74" s="9">
        <v>0</v>
      </c>
      <c r="AK74" s="9">
        <v>0</v>
      </c>
      <c r="AL74" s="9">
        <v>0</v>
      </c>
      <c r="AM74" s="9">
        <v>0</v>
      </c>
      <c r="AN74" s="9">
        <v>0</v>
      </c>
      <c r="AO74" s="9">
        <v>0</v>
      </c>
      <c r="AP74" s="9">
        <v>0</v>
      </c>
      <c r="AQ74" s="9">
        <v>0</v>
      </c>
      <c r="AR74" s="9">
        <v>0</v>
      </c>
      <c r="AS74" s="9">
        <v>0</v>
      </c>
      <c r="AT74" s="9">
        <v>0</v>
      </c>
      <c r="AU74" s="9">
        <v>0</v>
      </c>
      <c r="AV74" s="9">
        <v>0</v>
      </c>
      <c r="AW74" s="9">
        <v>0</v>
      </c>
      <c r="AX74" s="9">
        <v>0</v>
      </c>
      <c r="AY74" s="9">
        <v>0</v>
      </c>
      <c r="AZ74" s="9">
        <v>0</v>
      </c>
      <c r="BA74" s="9">
        <v>0</v>
      </c>
      <c r="BB74" s="9">
        <v>0</v>
      </c>
      <c r="BC74" s="9">
        <v>0</v>
      </c>
      <c r="BD74" s="9">
        <v>0</v>
      </c>
      <c r="BE74" s="9">
        <v>0</v>
      </c>
      <c r="BF74" s="9">
        <v>0</v>
      </c>
      <c r="BG74" s="9">
        <v>0</v>
      </c>
      <c r="BH74" s="9">
        <v>0</v>
      </c>
      <c r="BI74" s="9">
        <v>0</v>
      </c>
      <c r="BJ74" s="9">
        <v>0</v>
      </c>
      <c r="BK74" s="9">
        <v>0</v>
      </c>
      <c r="BL74" s="9">
        <v>0</v>
      </c>
      <c r="BM74" s="9">
        <v>0</v>
      </c>
      <c r="BN74" s="9">
        <v>0</v>
      </c>
      <c r="BO74" s="9">
        <v>0</v>
      </c>
      <c r="BP74" s="9">
        <v>0</v>
      </c>
      <c r="BQ74" s="9">
        <v>0</v>
      </c>
      <c r="BR74" s="9">
        <v>0</v>
      </c>
      <c r="BS74" s="9">
        <v>0</v>
      </c>
      <c r="BT74" s="9">
        <v>0</v>
      </c>
      <c r="BU74" s="9">
        <v>0</v>
      </c>
      <c r="BV74" s="9">
        <v>0</v>
      </c>
      <c r="BW74" s="9">
        <v>0</v>
      </c>
      <c r="BX74" s="9">
        <v>0</v>
      </c>
      <c r="BY74" s="9">
        <v>0</v>
      </c>
      <c r="BZ74" s="9">
        <v>0</v>
      </c>
      <c r="CA74" s="9">
        <v>0</v>
      </c>
      <c r="CB74" s="9">
        <v>0</v>
      </c>
      <c r="CC74" s="9">
        <v>0</v>
      </c>
      <c r="CD74" s="9">
        <v>0</v>
      </c>
      <c r="CE74" s="9">
        <v>0</v>
      </c>
      <c r="CF74" s="9">
        <v>0</v>
      </c>
      <c r="CG74" s="9">
        <v>0</v>
      </c>
      <c r="CH74" s="9">
        <v>0</v>
      </c>
      <c r="CI74" s="9">
        <v>0</v>
      </c>
      <c r="CJ74" s="9">
        <v>0</v>
      </c>
      <c r="CK74" s="9">
        <v>0</v>
      </c>
      <c r="CL74" s="9">
        <v>0</v>
      </c>
      <c r="CM74" s="9">
        <v>0</v>
      </c>
      <c r="CN74" s="9">
        <v>0</v>
      </c>
      <c r="CP74" s="10">
        <f t="shared" si="7"/>
        <v>0</v>
      </c>
      <c r="CQ74" s="20" t="str">
        <f>IFERROR(VLOOKUP($D74,'[2]Mappage de compte'!$B:$G,1,FALSE),"")</f>
        <v>178001</v>
      </c>
      <c r="CR74" s="21" t="str">
        <f>IFERROR(VLOOKUP($D74,'[2]Mappage de compte'!$B:$G,2,FALSE),"")</f>
        <v>CAUTIONS XXX</v>
      </c>
      <c r="CS74" s="22" t="str">
        <f>IFERROR(VLOOKUP($D74,'[2]Mappage de compte'!$B:$G,3,FALSE),"")</f>
        <v>165000</v>
      </c>
      <c r="CT74" s="22" t="str">
        <f>IFERROR(VLOOKUP($D74,'[2]Mappage de compte'!$B:$G,4,FALSE),"")</f>
        <v>DEPOTS ET CAUTIONNEMENTS RECUS - AUTRES</v>
      </c>
      <c r="CU74" s="23" t="str">
        <f>IFERROR(VLOOKUP($D74,'[2]Mappage de compte'!$B:$G,5,FALSE),"")</f>
        <v>Passifs courants ou non courants portant intérêts ou non</v>
      </c>
      <c r="CV74" s="23" t="str">
        <f>IFERROR(VLOOKUP($D74,'[2]Mappage de compte'!$B:$G,6,FALSE),"")</f>
        <v>Passifs courants ou non courants</v>
      </c>
    </row>
    <row r="75" spans="1:100" x14ac:dyDescent="0.25">
      <c r="A75" s="8" t="s">
        <v>9</v>
      </c>
      <c r="C75" s="8" t="str">
        <f>"""ORPEA BE"",""010010"",""15"",""1"",""178002"""</f>
        <v>"ORPEA BE","010010","15","1","178002"</v>
      </c>
      <c r="D75" s="8" t="str">
        <f>"178002"</f>
        <v>178002</v>
      </c>
      <c r="E75" s="8" t="str">
        <f t="shared" si="8"/>
        <v>467820</v>
      </c>
      <c r="F75" s="8" t="str">
        <f>"Cautions YYY"</f>
        <v>Cautions YYY</v>
      </c>
      <c r="G75" s="8" t="str">
        <f t="shared" si="6"/>
        <v/>
      </c>
      <c r="H75" s="9">
        <v>-2890002</v>
      </c>
      <c r="I75" s="9">
        <v>0</v>
      </c>
      <c r="J75" s="9">
        <v>0</v>
      </c>
      <c r="K75" s="9">
        <v>0</v>
      </c>
      <c r="L75" s="9">
        <v>0</v>
      </c>
      <c r="M75" s="9">
        <v>0</v>
      </c>
      <c r="N75" s="9">
        <v>0</v>
      </c>
      <c r="O75" s="9">
        <v>0</v>
      </c>
      <c r="P75" s="9">
        <v>0</v>
      </c>
      <c r="Q75" s="9">
        <v>0</v>
      </c>
      <c r="R75" s="9">
        <v>0</v>
      </c>
      <c r="S75" s="9">
        <v>0</v>
      </c>
      <c r="T75" s="9">
        <v>0</v>
      </c>
      <c r="U75" s="9">
        <v>0</v>
      </c>
      <c r="V75" s="9">
        <v>0</v>
      </c>
      <c r="W75" s="9">
        <v>0</v>
      </c>
      <c r="X75" s="9">
        <v>0</v>
      </c>
      <c r="Y75" s="9">
        <v>0</v>
      </c>
      <c r="Z75" s="9">
        <v>0</v>
      </c>
      <c r="AA75" s="9">
        <v>0</v>
      </c>
      <c r="AB75" s="9">
        <v>0</v>
      </c>
      <c r="AC75" s="9">
        <v>0</v>
      </c>
      <c r="AD75" s="9">
        <v>0</v>
      </c>
      <c r="AE75" s="9">
        <v>0</v>
      </c>
      <c r="AF75" s="9">
        <v>0</v>
      </c>
      <c r="AG75" s="9">
        <v>0</v>
      </c>
      <c r="AH75" s="9">
        <v>0</v>
      </c>
      <c r="AI75" s="9">
        <v>0</v>
      </c>
      <c r="AJ75" s="9">
        <v>0</v>
      </c>
      <c r="AK75" s="9">
        <v>0</v>
      </c>
      <c r="AL75" s="9">
        <v>0</v>
      </c>
      <c r="AM75" s="9">
        <v>0</v>
      </c>
      <c r="AN75" s="9">
        <v>0</v>
      </c>
      <c r="AO75" s="9">
        <v>0</v>
      </c>
      <c r="AP75" s="9">
        <v>0</v>
      </c>
      <c r="AQ75" s="9">
        <v>0</v>
      </c>
      <c r="AR75" s="9">
        <v>0</v>
      </c>
      <c r="AS75" s="9">
        <v>0</v>
      </c>
      <c r="AT75" s="9">
        <v>0</v>
      </c>
      <c r="AU75" s="9">
        <v>0</v>
      </c>
      <c r="AV75" s="9">
        <v>0</v>
      </c>
      <c r="AW75" s="9">
        <v>0</v>
      </c>
      <c r="AX75" s="9">
        <v>0</v>
      </c>
      <c r="AY75" s="9">
        <v>0</v>
      </c>
      <c r="AZ75" s="9">
        <v>0</v>
      </c>
      <c r="BA75" s="9">
        <v>0</v>
      </c>
      <c r="BB75" s="9">
        <v>0</v>
      </c>
      <c r="BC75" s="9">
        <v>0</v>
      </c>
      <c r="BD75" s="9">
        <v>0</v>
      </c>
      <c r="BE75" s="9">
        <v>0</v>
      </c>
      <c r="BF75" s="9">
        <v>0</v>
      </c>
      <c r="BG75" s="9">
        <v>0</v>
      </c>
      <c r="BH75" s="9">
        <v>0</v>
      </c>
      <c r="BI75" s="9">
        <v>0</v>
      </c>
      <c r="BJ75" s="9">
        <v>0</v>
      </c>
      <c r="BK75" s="9">
        <v>0</v>
      </c>
      <c r="BL75" s="9">
        <v>0</v>
      </c>
      <c r="BM75" s="9">
        <v>0</v>
      </c>
      <c r="BN75" s="9">
        <v>0</v>
      </c>
      <c r="BO75" s="9">
        <v>0</v>
      </c>
      <c r="BP75" s="9">
        <v>0</v>
      </c>
      <c r="BQ75" s="9">
        <v>0</v>
      </c>
      <c r="BR75" s="9">
        <v>0</v>
      </c>
      <c r="BS75" s="9">
        <v>0</v>
      </c>
      <c r="BT75" s="9">
        <v>0</v>
      </c>
      <c r="BU75" s="9">
        <v>0</v>
      </c>
      <c r="BV75" s="9">
        <v>0</v>
      </c>
      <c r="BW75" s="9">
        <v>0</v>
      </c>
      <c r="BX75" s="9">
        <v>0</v>
      </c>
      <c r="BY75" s="9">
        <v>0</v>
      </c>
      <c r="BZ75" s="9">
        <v>0</v>
      </c>
      <c r="CA75" s="9">
        <v>0</v>
      </c>
      <c r="CB75" s="9">
        <v>0</v>
      </c>
      <c r="CC75" s="9">
        <v>0</v>
      </c>
      <c r="CD75" s="9">
        <v>0</v>
      </c>
      <c r="CE75" s="9">
        <v>0</v>
      </c>
      <c r="CF75" s="9">
        <v>0</v>
      </c>
      <c r="CG75" s="9">
        <v>0</v>
      </c>
      <c r="CH75" s="9">
        <v>0</v>
      </c>
      <c r="CI75" s="9">
        <v>0</v>
      </c>
      <c r="CJ75" s="9">
        <v>0</v>
      </c>
      <c r="CK75" s="9">
        <v>0</v>
      </c>
      <c r="CL75" s="9">
        <v>0</v>
      </c>
      <c r="CM75" s="9">
        <v>0</v>
      </c>
      <c r="CN75" s="9">
        <v>0</v>
      </c>
      <c r="CP75" s="10">
        <f t="shared" si="7"/>
        <v>-2890002</v>
      </c>
      <c r="CQ75" s="20" t="str">
        <f>IFERROR(VLOOKUP($D75,'[2]Mappage de compte'!$B:$G,1,FALSE),"")</f>
        <v>178002</v>
      </c>
      <c r="CR75" s="21" t="str">
        <f>IFERROR(VLOOKUP($D75,'[2]Mappage de compte'!$B:$G,2,FALSE),"")</f>
        <v>CAUTIONS YYY</v>
      </c>
      <c r="CS75" s="22" t="str">
        <f>IFERROR(VLOOKUP($D75,'[2]Mappage de compte'!$B:$G,3,FALSE),"")</f>
        <v>165000</v>
      </c>
      <c r="CT75" s="22" t="str">
        <f>IFERROR(VLOOKUP($D75,'[2]Mappage de compte'!$B:$G,4,FALSE),"")</f>
        <v>DEPOTS ET CAUTIONNEMENTS RECUS - AUTRES</v>
      </c>
      <c r="CU75" s="23" t="str">
        <f>IFERROR(VLOOKUP($D75,'[2]Mappage de compte'!$B:$G,5,FALSE),"")</f>
        <v>Passifs courants ou non courants portant intérêts ou non</v>
      </c>
      <c r="CV75" s="23" t="str">
        <f>IFERROR(VLOOKUP($D75,'[2]Mappage de compte'!$B:$G,6,FALSE),"")</f>
        <v>Passifs courants ou non courants</v>
      </c>
    </row>
    <row r="76" spans="1:100" hidden="1" x14ac:dyDescent="0.25">
      <c r="A76" s="8" t="s">
        <v>7</v>
      </c>
      <c r="CP76" s="15"/>
    </row>
    <row r="77" spans="1:100" x14ac:dyDescent="0.25">
      <c r="D77" s="28" t="s">
        <v>5</v>
      </c>
      <c r="E77" s="28"/>
      <c r="F77" s="28"/>
      <c r="G77" s="14"/>
      <c r="H77" s="11">
        <f t="shared" ref="H77:AM77" si="9">SUM(H7:H76)</f>
        <v>-242888525.63999993</v>
      </c>
      <c r="I77" s="11">
        <f t="shared" si="9"/>
        <v>-477670.86</v>
      </c>
      <c r="J77" s="11">
        <f t="shared" si="9"/>
        <v>-712501.50999999989</v>
      </c>
      <c r="K77" s="11">
        <f t="shared" si="9"/>
        <v>-425784.05</v>
      </c>
      <c r="L77" s="11">
        <f t="shared" si="9"/>
        <v>-3087301.98</v>
      </c>
      <c r="M77" s="11">
        <f t="shared" si="9"/>
        <v>473688.46</v>
      </c>
      <c r="N77" s="11">
        <f t="shared" si="9"/>
        <v>-743125.89999999991</v>
      </c>
      <c r="O77" s="11">
        <f t="shared" si="9"/>
        <v>-3158369.56</v>
      </c>
      <c r="P77" s="11">
        <f t="shared" si="9"/>
        <v>-7618514.5099999998</v>
      </c>
      <c r="Q77" s="11">
        <f t="shared" si="9"/>
        <v>-4409682.16</v>
      </c>
      <c r="R77" s="11">
        <f t="shared" si="9"/>
        <v>644236.48</v>
      </c>
      <c r="S77" s="11">
        <f t="shared" si="9"/>
        <v>1681882.8000000003</v>
      </c>
      <c r="T77" s="11">
        <f t="shared" si="9"/>
        <v>-3347322.05</v>
      </c>
      <c r="U77" s="11">
        <f t="shared" si="9"/>
        <v>-2986041.16</v>
      </c>
      <c r="V77" s="11">
        <f t="shared" si="9"/>
        <v>1693095.9100000001</v>
      </c>
      <c r="W77" s="11">
        <f t="shared" si="9"/>
        <v>-108162.58999999985</v>
      </c>
      <c r="X77" s="11">
        <f t="shared" si="9"/>
        <v>1742771.37</v>
      </c>
      <c r="Y77" s="11">
        <f t="shared" si="9"/>
        <v>-160629.73999999993</v>
      </c>
      <c r="Z77" s="11">
        <f t="shared" si="9"/>
        <v>-250327.56</v>
      </c>
      <c r="AA77" s="11">
        <f t="shared" si="9"/>
        <v>1095317.8700000001</v>
      </c>
      <c r="AB77" s="11">
        <f t="shared" si="9"/>
        <v>854161.14</v>
      </c>
      <c r="AC77" s="11">
        <f t="shared" si="9"/>
        <v>-4091708.9299999997</v>
      </c>
      <c r="AD77" s="11">
        <f t="shared" si="9"/>
        <v>310.05</v>
      </c>
      <c r="AE77" s="11">
        <f t="shared" si="9"/>
        <v>-16111939.08</v>
      </c>
      <c r="AF77" s="11">
        <f t="shared" si="9"/>
        <v>-974160.92</v>
      </c>
      <c r="AG77" s="11">
        <f t="shared" si="9"/>
        <v>997108.73999999941</v>
      </c>
      <c r="AH77" s="11">
        <f t="shared" si="9"/>
        <v>-374249.12</v>
      </c>
      <c r="AI77" s="11">
        <f t="shared" si="9"/>
        <v>-557225.39</v>
      </c>
      <c r="AJ77" s="11">
        <f t="shared" si="9"/>
        <v>-176718.5</v>
      </c>
      <c r="AK77" s="11">
        <f t="shared" si="9"/>
        <v>-193147.51</v>
      </c>
      <c r="AL77" s="11">
        <f t="shared" si="9"/>
        <v>-672577.23</v>
      </c>
      <c r="AM77" s="11">
        <f t="shared" si="9"/>
        <v>-762596.17</v>
      </c>
      <c r="AN77" s="11">
        <f t="shared" ref="AN77:BS77" si="10">SUM(AN7:AN76)</f>
        <v>-4938168.1599999992</v>
      </c>
      <c r="AO77" s="11">
        <f t="shared" si="10"/>
        <v>-274238.14</v>
      </c>
      <c r="AP77" s="11">
        <f t="shared" si="10"/>
        <v>-634373.77</v>
      </c>
      <c r="AQ77" s="11">
        <f t="shared" si="10"/>
        <v>-4693102.87</v>
      </c>
      <c r="AR77" s="11">
        <f t="shared" si="10"/>
        <v>-632599.9299999997</v>
      </c>
      <c r="AS77" s="11">
        <f t="shared" si="10"/>
        <v>1029137.3400000002</v>
      </c>
      <c r="AT77" s="11">
        <f t="shared" si="10"/>
        <v>226681.92999999993</v>
      </c>
      <c r="AU77" s="11">
        <f t="shared" si="10"/>
        <v>-15082.320000000072</v>
      </c>
      <c r="AV77" s="11">
        <f t="shared" si="10"/>
        <v>-113163.26999999999</v>
      </c>
      <c r="AW77" s="11">
        <f t="shared" si="10"/>
        <v>-9880.2099999999991</v>
      </c>
      <c r="AX77" s="11">
        <f t="shared" si="10"/>
        <v>-9343.76</v>
      </c>
      <c r="AY77" s="11">
        <f t="shared" si="10"/>
        <v>348291.26</v>
      </c>
      <c r="AZ77" s="11">
        <f t="shared" si="10"/>
        <v>-41754.790000000008</v>
      </c>
      <c r="BA77" s="11">
        <f t="shared" si="10"/>
        <v>0</v>
      </c>
      <c r="BB77" s="11">
        <f t="shared" si="10"/>
        <v>-236620.06999999998</v>
      </c>
      <c r="BC77" s="11">
        <f t="shared" si="10"/>
        <v>-11760713.869999999</v>
      </c>
      <c r="BD77" s="11">
        <f t="shared" si="10"/>
        <v>-1219179.72</v>
      </c>
      <c r="BE77" s="11">
        <f t="shared" si="10"/>
        <v>-3647121.5300000003</v>
      </c>
      <c r="BF77" s="11">
        <f t="shared" si="10"/>
        <v>-20899.159999999996</v>
      </c>
      <c r="BG77" s="11">
        <f t="shared" si="10"/>
        <v>8299.75</v>
      </c>
      <c r="BH77" s="11">
        <f t="shared" si="10"/>
        <v>-62500</v>
      </c>
      <c r="BI77" s="11">
        <f t="shared" si="10"/>
        <v>-62000</v>
      </c>
      <c r="BJ77" s="11">
        <f t="shared" si="10"/>
        <v>-17319435.169999998</v>
      </c>
      <c r="BK77" s="11">
        <f t="shared" si="10"/>
        <v>-16650539.35</v>
      </c>
      <c r="BL77" s="11">
        <f t="shared" si="10"/>
        <v>-5577836.6300000008</v>
      </c>
      <c r="BM77" s="11">
        <f t="shared" si="10"/>
        <v>-6690912.71</v>
      </c>
      <c r="BN77" s="11">
        <f t="shared" si="10"/>
        <v>-750</v>
      </c>
      <c r="BO77" s="11">
        <f t="shared" si="10"/>
        <v>-5581532.8499999996</v>
      </c>
      <c r="BP77" s="11">
        <f t="shared" si="10"/>
        <v>-5396637.4400000004</v>
      </c>
      <c r="BQ77" s="11">
        <f t="shared" si="10"/>
        <v>-4868553.16</v>
      </c>
      <c r="BR77" s="11">
        <f t="shared" si="10"/>
        <v>-3464826.02</v>
      </c>
      <c r="BS77" s="11">
        <f t="shared" si="10"/>
        <v>-6264816.8799999999</v>
      </c>
      <c r="BT77" s="11">
        <f t="shared" ref="BT77:CN77" si="11">SUM(BT7:BT76)</f>
        <v>-13016534.65</v>
      </c>
      <c r="BU77" s="11">
        <f t="shared" si="11"/>
        <v>-3193986.75</v>
      </c>
      <c r="BV77" s="11">
        <f t="shared" si="11"/>
        <v>-13660746.710000001</v>
      </c>
      <c r="BW77" s="11">
        <f t="shared" si="11"/>
        <v>-128826.91</v>
      </c>
      <c r="BX77" s="11">
        <f t="shared" si="11"/>
        <v>-303002.89</v>
      </c>
      <c r="BY77" s="11">
        <f t="shared" si="11"/>
        <v>-728316.45</v>
      </c>
      <c r="BZ77" s="11">
        <f t="shared" si="11"/>
        <v>-1500000</v>
      </c>
      <c r="CA77" s="11">
        <f t="shared" si="11"/>
        <v>-15253916.899999999</v>
      </c>
      <c r="CB77" s="11">
        <f t="shared" si="11"/>
        <v>-4007339.48</v>
      </c>
      <c r="CC77" s="11">
        <f t="shared" si="11"/>
        <v>-4210220.6399999997</v>
      </c>
      <c r="CD77" s="11">
        <f t="shared" si="11"/>
        <v>-14629128.93</v>
      </c>
      <c r="CE77" s="11">
        <f t="shared" si="11"/>
        <v>-419934.45</v>
      </c>
      <c r="CF77" s="11">
        <f t="shared" si="11"/>
        <v>-324106.69</v>
      </c>
      <c r="CG77" s="11">
        <f t="shared" si="11"/>
        <v>-697890.62</v>
      </c>
      <c r="CH77" s="11">
        <f t="shared" si="11"/>
        <v>-12852.93</v>
      </c>
      <c r="CI77" s="11">
        <f t="shared" si="11"/>
        <v>-2380128.0200000005</v>
      </c>
      <c r="CJ77" s="11">
        <f t="shared" si="11"/>
        <v>-791440.83000000007</v>
      </c>
      <c r="CK77" s="11">
        <f t="shared" si="11"/>
        <v>-1499845.29</v>
      </c>
      <c r="CL77" s="11">
        <f t="shared" si="11"/>
        <v>-2459189.2000000002</v>
      </c>
      <c r="CM77" s="11">
        <f t="shared" si="11"/>
        <v>-744557.23</v>
      </c>
      <c r="CN77" s="11">
        <f t="shared" si="11"/>
        <v>-1498751.03</v>
      </c>
      <c r="CO77" s="12"/>
      <c r="CP77" s="13">
        <f>SUM(CP7:CP76)</f>
        <v>-465140597.4000001</v>
      </c>
      <c r="CQ77" s="24" t="s">
        <v>18</v>
      </c>
      <c r="CR77" s="25"/>
      <c r="CS77" s="26"/>
      <c r="CT77" s="26"/>
      <c r="CU77" s="27"/>
      <c r="CV77" s="27"/>
    </row>
  </sheetData>
  <mergeCells count="4">
    <mergeCell ref="D77:F77"/>
    <mergeCell ref="CQ4:CR4"/>
    <mergeCell ref="CS4:CT4"/>
    <mergeCell ref="CU4:CV4"/>
  </mergeCells>
  <conditionalFormatting sqref="I5:CN5">
    <cfRule type="expression" dxfId="1" priority="1">
      <formula>I2="Oui"</formula>
    </cfRule>
  </conditionalFormatting>
  <conditionalFormatting sqref="H5 CO5">
    <cfRule type="expression" dxfId="0" priority="2">
      <formula>H2="Oui"</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2:D822"/>
  <sheetViews>
    <sheetView tabSelected="1" topLeftCell="A26" workbookViewId="0">
      <selection activeCell="B13008" sqref="B1:D1048576"/>
    </sheetView>
  </sheetViews>
  <sheetFormatPr baseColWidth="10" defaultRowHeight="15" x14ac:dyDescent="0.25"/>
  <cols>
    <col min="2" max="2" width="7" bestFit="1" customWidth="1"/>
    <col min="3" max="3" width="19.85546875" bestFit="1" customWidth="1"/>
    <col min="4" max="4" width="51.5703125" bestFit="1" customWidth="1"/>
  </cols>
  <sheetData>
    <row r="2" spans="2:4" x14ac:dyDescent="0.25">
      <c r="B2" s="8" t="str">
        <f>"101300"</f>
        <v>101300</v>
      </c>
      <c r="C2" t="s">
        <v>4</v>
      </c>
      <c r="D2" s="9">
        <v>-81500000</v>
      </c>
    </row>
    <row r="3" spans="2:4" x14ac:dyDescent="0.25">
      <c r="B3" s="8" t="str">
        <f t="shared" ref="B3:B4" si="0">"106880"</f>
        <v>106880</v>
      </c>
      <c r="C3" t="s">
        <v>4</v>
      </c>
      <c r="D3" s="9">
        <v>-9467772.1600000001</v>
      </c>
    </row>
    <row r="4" spans="2:4" x14ac:dyDescent="0.25">
      <c r="B4" s="8" t="str">
        <f t="shared" si="0"/>
        <v>106880</v>
      </c>
      <c r="C4" t="s">
        <v>4</v>
      </c>
      <c r="D4" s="9">
        <v>-8150000</v>
      </c>
    </row>
    <row r="5" spans="2:4" x14ac:dyDescent="0.25">
      <c r="B5" s="8" t="str">
        <f>"119000"</f>
        <v>119000</v>
      </c>
      <c r="C5" t="s">
        <v>4</v>
      </c>
      <c r="D5" s="9">
        <v>-41660062.420000002</v>
      </c>
    </row>
    <row r="6" spans="2:4" x14ac:dyDescent="0.25">
      <c r="B6" s="8" t="str">
        <f>"161000"</f>
        <v>161000</v>
      </c>
      <c r="C6" t="s">
        <v>4</v>
      </c>
      <c r="D6" s="9">
        <v>-55000000</v>
      </c>
    </row>
    <row r="7" spans="2:4" x14ac:dyDescent="0.25">
      <c r="B7" s="8" t="str">
        <f>"161000"</f>
        <v>161000</v>
      </c>
      <c r="C7" t="s">
        <v>4</v>
      </c>
      <c r="D7" s="9">
        <v>-20000000</v>
      </c>
    </row>
    <row r="8" spans="2:4" x14ac:dyDescent="0.25">
      <c r="B8" s="8" t="str">
        <f t="shared" ref="B8:B21" si="1">"164000"</f>
        <v>164000</v>
      </c>
      <c r="C8" t="s">
        <v>4</v>
      </c>
      <c r="D8" s="9">
        <v>-5625000</v>
      </c>
    </row>
    <row r="9" spans="2:4" x14ac:dyDescent="0.25">
      <c r="B9" s="8" t="str">
        <f t="shared" si="1"/>
        <v>164000</v>
      </c>
      <c r="C9" t="s">
        <v>4</v>
      </c>
      <c r="D9" s="9">
        <v>-2120000</v>
      </c>
    </row>
    <row r="10" spans="2:4" x14ac:dyDescent="0.25">
      <c r="B10" s="8" t="str">
        <f t="shared" si="1"/>
        <v>164000</v>
      </c>
      <c r="C10" t="s">
        <v>4</v>
      </c>
      <c r="D10" s="9">
        <v>-2157692.2200000002</v>
      </c>
    </row>
    <row r="11" spans="2:4" x14ac:dyDescent="0.25">
      <c r="B11" s="8" t="str">
        <f t="shared" si="1"/>
        <v>164000</v>
      </c>
      <c r="C11" t="s">
        <v>4</v>
      </c>
      <c r="D11" s="9">
        <v>-3837519.26</v>
      </c>
    </row>
    <row r="12" spans="2:4" x14ac:dyDescent="0.25">
      <c r="B12" s="8" t="str">
        <f t="shared" si="1"/>
        <v>164000</v>
      </c>
      <c r="C12" t="s">
        <v>4</v>
      </c>
      <c r="D12" s="9">
        <v>-3153403.89</v>
      </c>
    </row>
    <row r="13" spans="2:4" x14ac:dyDescent="0.25">
      <c r="B13" s="8" t="str">
        <f t="shared" si="1"/>
        <v>164000</v>
      </c>
      <c r="C13" t="s">
        <v>4</v>
      </c>
      <c r="D13" s="9">
        <v>-26100</v>
      </c>
    </row>
    <row r="14" spans="2:4" x14ac:dyDescent="0.25">
      <c r="B14" s="8" t="str">
        <f t="shared" si="1"/>
        <v>164000</v>
      </c>
      <c r="C14" t="s">
        <v>4</v>
      </c>
      <c r="D14" s="9">
        <v>-77400</v>
      </c>
    </row>
    <row r="15" spans="2:4" x14ac:dyDescent="0.25">
      <c r="B15" s="8" t="str">
        <f t="shared" si="1"/>
        <v>164000</v>
      </c>
      <c r="C15" t="s">
        <v>4</v>
      </c>
      <c r="D15" s="9">
        <v>-1715692.28</v>
      </c>
    </row>
    <row r="16" spans="2:4" x14ac:dyDescent="0.25">
      <c r="B16" s="8" t="str">
        <f t="shared" si="1"/>
        <v>164000</v>
      </c>
      <c r="C16" t="s">
        <v>4</v>
      </c>
      <c r="D16" s="9">
        <v>-3217903.86</v>
      </c>
    </row>
    <row r="17" spans="2:4" x14ac:dyDescent="0.25">
      <c r="B17" s="8" t="str">
        <f t="shared" si="1"/>
        <v>164000</v>
      </c>
      <c r="C17" t="s">
        <v>4</v>
      </c>
      <c r="D17" s="9">
        <v>-73417.62999999999</v>
      </c>
    </row>
    <row r="18" spans="2:4" x14ac:dyDescent="0.25">
      <c r="B18" s="8" t="str">
        <f t="shared" si="1"/>
        <v>164000</v>
      </c>
      <c r="C18" t="s">
        <v>4</v>
      </c>
      <c r="D18" s="9">
        <v>-56533.57</v>
      </c>
    </row>
    <row r="19" spans="2:4" x14ac:dyDescent="0.25">
      <c r="B19" s="8" t="str">
        <f t="shared" si="1"/>
        <v>164000</v>
      </c>
      <c r="C19" t="s">
        <v>4</v>
      </c>
      <c r="D19" s="9">
        <v>-1946906.9200000002</v>
      </c>
    </row>
    <row r="20" spans="2:4" x14ac:dyDescent="0.25">
      <c r="B20" s="8" t="str">
        <f t="shared" si="1"/>
        <v>164000</v>
      </c>
      <c r="C20" t="s">
        <v>4</v>
      </c>
      <c r="D20" s="9">
        <v>-141458.45000000001</v>
      </c>
    </row>
    <row r="21" spans="2:4" x14ac:dyDescent="0.25">
      <c r="B21" s="8" t="str">
        <f t="shared" si="1"/>
        <v>164000</v>
      </c>
      <c r="C21" t="s">
        <v>4</v>
      </c>
      <c r="D21" s="9">
        <v>-71660.98</v>
      </c>
    </row>
    <row r="22" spans="2:4" x14ac:dyDescent="0.25">
      <c r="B22" s="8" t="str">
        <f>"101300"</f>
        <v>101300</v>
      </c>
      <c r="C22" t="s">
        <v>19</v>
      </c>
      <c r="D22" s="9">
        <v>-265000</v>
      </c>
    </row>
    <row r="23" spans="2:4" x14ac:dyDescent="0.25">
      <c r="B23" s="8" t="str">
        <f>"109000"</f>
        <v>109000</v>
      </c>
      <c r="C23" t="s">
        <v>19</v>
      </c>
      <c r="D23" s="9">
        <v>-38.67</v>
      </c>
    </row>
    <row r="24" spans="2:4" x14ac:dyDescent="0.25">
      <c r="B24" s="8" t="str">
        <f t="shared" ref="B24:B25" si="2">"106880"</f>
        <v>106880</v>
      </c>
      <c r="C24" t="s">
        <v>19</v>
      </c>
      <c r="D24" s="9">
        <v>-26500</v>
      </c>
    </row>
    <row r="25" spans="2:4" x14ac:dyDescent="0.25">
      <c r="B25" s="8" t="str">
        <f t="shared" si="2"/>
        <v>106880</v>
      </c>
      <c r="C25" t="s">
        <v>19</v>
      </c>
      <c r="D25" s="9">
        <v>-782.33</v>
      </c>
    </row>
    <row r="26" spans="2:4" x14ac:dyDescent="0.25">
      <c r="B26" s="8" t="str">
        <f>"119000"</f>
        <v>119000</v>
      </c>
      <c r="C26" t="s">
        <v>19</v>
      </c>
      <c r="D26" s="9">
        <v>-141592.69999999998</v>
      </c>
    </row>
    <row r="27" spans="2:4" x14ac:dyDescent="0.25">
      <c r="B27" s="8" t="str">
        <f t="shared" ref="B27" si="3">"164000"</f>
        <v>164000</v>
      </c>
      <c r="C27" t="s">
        <v>19</v>
      </c>
      <c r="D27" s="9">
        <v>-42517.16</v>
      </c>
    </row>
    <row r="28" spans="2:4" x14ac:dyDescent="0.25">
      <c r="B28" s="8" t="str">
        <f t="shared" ref="B28" si="4">"467820"</f>
        <v>467820</v>
      </c>
      <c r="C28" t="s">
        <v>19</v>
      </c>
      <c r="D28" s="9">
        <v>-1240</v>
      </c>
    </row>
    <row r="29" spans="2:4" x14ac:dyDescent="0.25">
      <c r="B29" s="8" t="str">
        <f>"101300"</f>
        <v>101300</v>
      </c>
      <c r="C29" t="s">
        <v>20</v>
      </c>
      <c r="D29" s="9">
        <v>-90000</v>
      </c>
    </row>
    <row r="30" spans="2:4" x14ac:dyDescent="0.25">
      <c r="B30" s="8" t="str">
        <f t="shared" ref="B30" si="5">"106880"</f>
        <v>106880</v>
      </c>
      <c r="C30" t="s">
        <v>20</v>
      </c>
      <c r="D30" s="9">
        <v>-9000</v>
      </c>
    </row>
    <row r="31" spans="2:4" x14ac:dyDescent="0.25">
      <c r="B31" s="8" t="str">
        <f>"119000"</f>
        <v>119000</v>
      </c>
      <c r="C31" t="s">
        <v>20</v>
      </c>
      <c r="D31" s="9">
        <v>-418028.67</v>
      </c>
    </row>
    <row r="32" spans="2:4" x14ac:dyDescent="0.25">
      <c r="B32" s="8" t="str">
        <f>"151800"</f>
        <v>151800</v>
      </c>
      <c r="C32" t="s">
        <v>20</v>
      </c>
      <c r="D32" s="9">
        <v>-59500</v>
      </c>
    </row>
    <row r="33" spans="2:4" x14ac:dyDescent="0.25">
      <c r="B33" s="8" t="str">
        <f>"151800"</f>
        <v>151800</v>
      </c>
      <c r="C33" t="s">
        <v>20</v>
      </c>
      <c r="D33" s="9">
        <v>-3417.9500000000003</v>
      </c>
    </row>
    <row r="34" spans="2:4" x14ac:dyDescent="0.25">
      <c r="B34" s="8" t="str">
        <f t="shared" ref="B34" si="6">"164000"</f>
        <v>164000</v>
      </c>
      <c r="C34" t="s">
        <v>20</v>
      </c>
      <c r="D34" s="9">
        <v>-132504.89000000001</v>
      </c>
    </row>
    <row r="35" spans="2:4" x14ac:dyDescent="0.25">
      <c r="B35" s="8" t="str">
        <f t="shared" ref="B35" si="7">"467820"</f>
        <v>467820</v>
      </c>
      <c r="C35" t="s">
        <v>20</v>
      </c>
      <c r="D35" s="9">
        <v>-50</v>
      </c>
    </row>
    <row r="36" spans="2:4" x14ac:dyDescent="0.25">
      <c r="B36" s="8" t="str">
        <f>"101300"</f>
        <v>101300</v>
      </c>
      <c r="C36" t="s">
        <v>21</v>
      </c>
      <c r="D36" s="9">
        <v>-136341.44</v>
      </c>
    </row>
    <row r="37" spans="2:4" x14ac:dyDescent="0.25">
      <c r="B37" s="8" t="str">
        <f t="shared" ref="B37:B38" si="8">"106880"</f>
        <v>106880</v>
      </c>
      <c r="C37" t="s">
        <v>21</v>
      </c>
      <c r="D37" s="9">
        <v>-13634.14</v>
      </c>
    </row>
    <row r="38" spans="2:4" x14ac:dyDescent="0.25">
      <c r="B38" s="8" t="str">
        <f t="shared" si="8"/>
        <v>106880</v>
      </c>
      <c r="C38" t="s">
        <v>21</v>
      </c>
      <c r="D38" s="9">
        <v>-37859.5</v>
      </c>
    </row>
    <row r="39" spans="2:4" x14ac:dyDescent="0.25">
      <c r="B39" s="8" t="str">
        <f>"119000"</f>
        <v>119000</v>
      </c>
      <c r="C39" t="s">
        <v>21</v>
      </c>
      <c r="D39" s="9">
        <v>-51299.179999999993</v>
      </c>
    </row>
    <row r="40" spans="2:4" x14ac:dyDescent="0.25">
      <c r="B40" s="8" t="str">
        <f>"151800"</f>
        <v>151800</v>
      </c>
      <c r="C40" t="s">
        <v>21</v>
      </c>
      <c r="D40" s="9">
        <v>-19494.71</v>
      </c>
    </row>
    <row r="41" spans="2:4" x14ac:dyDescent="0.25">
      <c r="B41" s="8" t="str">
        <f t="shared" ref="B41" si="9">"164000"</f>
        <v>164000</v>
      </c>
      <c r="C41" t="s">
        <v>21</v>
      </c>
      <c r="D41" s="9">
        <v>-167155.07999999999</v>
      </c>
    </row>
    <row r="42" spans="2:4" x14ac:dyDescent="0.25">
      <c r="B42" s="8" t="str">
        <f>"101300"</f>
        <v>101300</v>
      </c>
      <c r="C42" t="s">
        <v>22</v>
      </c>
      <c r="D42" s="9">
        <v>-114999.99999999999</v>
      </c>
    </row>
    <row r="43" spans="2:4" x14ac:dyDescent="0.25">
      <c r="B43" s="8" t="str">
        <f t="shared" ref="B43" si="10">"106880"</f>
        <v>106880</v>
      </c>
      <c r="C43" t="s">
        <v>22</v>
      </c>
      <c r="D43" s="9">
        <v>-7436.8099999999995</v>
      </c>
    </row>
    <row r="44" spans="2:4" x14ac:dyDescent="0.25">
      <c r="B44" s="8" t="str">
        <f>"119000"</f>
        <v>119000</v>
      </c>
      <c r="C44" t="s">
        <v>22</v>
      </c>
      <c r="D44" s="9">
        <v>77054.33</v>
      </c>
    </row>
    <row r="45" spans="2:4" x14ac:dyDescent="0.25">
      <c r="B45" s="8" t="str">
        <f t="shared" ref="B45:B46" si="11">"164000"</f>
        <v>164000</v>
      </c>
      <c r="C45" t="s">
        <v>22</v>
      </c>
      <c r="D45" s="9">
        <v>-2925000</v>
      </c>
    </row>
    <row r="46" spans="2:4" x14ac:dyDescent="0.25">
      <c r="B46" s="8" t="str">
        <f t="shared" si="11"/>
        <v>164000</v>
      </c>
      <c r="C46" t="s">
        <v>22</v>
      </c>
      <c r="D46" s="9">
        <v>-116919.5</v>
      </c>
    </row>
    <row r="47" spans="2:4" x14ac:dyDescent="0.25">
      <c r="B47" s="8" t="str">
        <f>"101300"</f>
        <v>101300</v>
      </c>
      <c r="C47" t="s">
        <v>23</v>
      </c>
      <c r="D47" s="9">
        <v>-200000.00000000003</v>
      </c>
    </row>
    <row r="48" spans="2:4" x14ac:dyDescent="0.25">
      <c r="B48" s="8" t="str">
        <f t="shared" ref="B48:B49" si="12">"106880"</f>
        <v>106880</v>
      </c>
      <c r="C48" t="s">
        <v>23</v>
      </c>
      <c r="D48" s="9">
        <v>-9915.74</v>
      </c>
    </row>
    <row r="49" spans="2:4" x14ac:dyDescent="0.25">
      <c r="B49" s="8" t="str">
        <f t="shared" si="12"/>
        <v>106880</v>
      </c>
      <c r="C49" t="s">
        <v>23</v>
      </c>
      <c r="D49" s="9">
        <v>-30814.030000000002</v>
      </c>
    </row>
    <row r="50" spans="2:4" x14ac:dyDescent="0.25">
      <c r="B50" s="8" t="str">
        <f>"119000"</f>
        <v>119000</v>
      </c>
      <c r="C50" t="s">
        <v>23</v>
      </c>
      <c r="D50" s="9">
        <v>787806.44000000006</v>
      </c>
    </row>
    <row r="51" spans="2:4" x14ac:dyDescent="0.25">
      <c r="B51" s="8" t="str">
        <f>"151800"</f>
        <v>151800</v>
      </c>
      <c r="C51" t="s">
        <v>23</v>
      </c>
      <c r="D51" s="9">
        <v>-7000</v>
      </c>
    </row>
    <row r="52" spans="2:4" x14ac:dyDescent="0.25">
      <c r="B52" s="8" t="str">
        <f t="shared" ref="B52" si="13">"164000"</f>
        <v>164000</v>
      </c>
      <c r="C52" t="s">
        <v>23</v>
      </c>
      <c r="D52" s="9">
        <v>-66388.210000000006</v>
      </c>
    </row>
    <row r="53" spans="2:4" x14ac:dyDescent="0.25">
      <c r="B53" s="8" t="str">
        <f>"101300"</f>
        <v>101300</v>
      </c>
      <c r="C53" t="s">
        <v>24</v>
      </c>
      <c r="D53" s="9">
        <v>-99157.41</v>
      </c>
    </row>
    <row r="54" spans="2:4" x14ac:dyDescent="0.25">
      <c r="B54" s="8" t="str">
        <f>"106880"</f>
        <v>106880</v>
      </c>
      <c r="C54" t="s">
        <v>24</v>
      </c>
      <c r="D54" s="9">
        <v>-188697.46000000002</v>
      </c>
    </row>
    <row r="55" spans="2:4" x14ac:dyDescent="0.25">
      <c r="B55" s="8" t="str">
        <f t="shared" ref="B55:B56" si="14">"106880"</f>
        <v>106880</v>
      </c>
      <c r="C55" t="s">
        <v>24</v>
      </c>
      <c r="D55" s="9">
        <v>-9915.74</v>
      </c>
    </row>
    <row r="56" spans="2:4" x14ac:dyDescent="0.25">
      <c r="B56" s="8" t="str">
        <f t="shared" si="14"/>
        <v>106880</v>
      </c>
      <c r="C56" t="s">
        <v>24</v>
      </c>
      <c r="D56" s="9">
        <v>-56250.000000000007</v>
      </c>
    </row>
    <row r="57" spans="2:4" x14ac:dyDescent="0.25">
      <c r="B57" s="8" t="str">
        <f>"119000"</f>
        <v>119000</v>
      </c>
      <c r="C57" t="s">
        <v>24</v>
      </c>
      <c r="D57" s="9">
        <v>-157493.35</v>
      </c>
    </row>
    <row r="58" spans="2:4" x14ac:dyDescent="0.25">
      <c r="B58" s="8" t="str">
        <f>"151800"</f>
        <v>151800</v>
      </c>
      <c r="C58" t="s">
        <v>24</v>
      </c>
      <c r="D58" s="9">
        <v>-97164.479999999996</v>
      </c>
    </row>
    <row r="59" spans="2:4" x14ac:dyDescent="0.25">
      <c r="B59" s="8" t="str">
        <f t="shared" ref="B59:B60" si="15">"164000"</f>
        <v>164000</v>
      </c>
      <c r="C59" t="s">
        <v>24</v>
      </c>
      <c r="D59" s="9">
        <v>-54018.1</v>
      </c>
    </row>
    <row r="60" spans="2:4" x14ac:dyDescent="0.25">
      <c r="B60" s="8" t="str">
        <f t="shared" si="15"/>
        <v>164000</v>
      </c>
      <c r="C60" t="s">
        <v>24</v>
      </c>
      <c r="D60" s="9">
        <v>-80429.36</v>
      </c>
    </row>
    <row r="61" spans="2:4" x14ac:dyDescent="0.25">
      <c r="B61" s="8" t="str">
        <f>"101300"</f>
        <v>101300</v>
      </c>
      <c r="C61" t="s">
        <v>25</v>
      </c>
      <c r="D61" s="9">
        <v>-294900</v>
      </c>
    </row>
    <row r="62" spans="2:4" x14ac:dyDescent="0.25">
      <c r="B62" s="8" t="str">
        <f>"106880"</f>
        <v>106880</v>
      </c>
      <c r="C62" t="s">
        <v>25</v>
      </c>
      <c r="D62" s="9">
        <v>-1328839.95</v>
      </c>
    </row>
    <row r="63" spans="2:4" x14ac:dyDescent="0.25">
      <c r="B63" s="8" t="str">
        <f t="shared" ref="B63:B64" si="16">"106880"</f>
        <v>106880</v>
      </c>
      <c r="C63" t="s">
        <v>25</v>
      </c>
      <c r="D63" s="9">
        <v>-383.1</v>
      </c>
    </row>
    <row r="64" spans="2:4" x14ac:dyDescent="0.25">
      <c r="B64" s="8" t="str">
        <f t="shared" si="16"/>
        <v>106880</v>
      </c>
      <c r="C64" t="s">
        <v>25</v>
      </c>
      <c r="D64" s="9">
        <v>-1915755.55</v>
      </c>
    </row>
    <row r="65" spans="2:4" x14ac:dyDescent="0.25">
      <c r="B65" s="8" t="str">
        <f>"119000"</f>
        <v>119000</v>
      </c>
      <c r="C65" t="s">
        <v>25</v>
      </c>
      <c r="D65" s="9">
        <v>1261538.8399999999</v>
      </c>
    </row>
    <row r="66" spans="2:4" x14ac:dyDescent="0.25">
      <c r="B66" s="8" t="str">
        <f>"151800"</f>
        <v>151800</v>
      </c>
      <c r="C66" t="s">
        <v>25</v>
      </c>
      <c r="D66" s="9">
        <v>-102499.99999999999</v>
      </c>
    </row>
    <row r="67" spans="2:4" x14ac:dyDescent="0.25">
      <c r="B67" s="8" t="str">
        <f>"151800"</f>
        <v>151800</v>
      </c>
      <c r="C67" t="s">
        <v>25</v>
      </c>
      <c r="D67" s="9">
        <v>-677659.98</v>
      </c>
    </row>
    <row r="68" spans="2:4" x14ac:dyDescent="0.25">
      <c r="B68" s="8" t="str">
        <f t="shared" ref="B68" si="17">"164000"</f>
        <v>164000</v>
      </c>
      <c r="C68" t="s">
        <v>25</v>
      </c>
      <c r="D68" s="9">
        <v>-99869.819999999992</v>
      </c>
    </row>
    <row r="69" spans="2:4" x14ac:dyDescent="0.25">
      <c r="B69" s="8" t="str">
        <f>"101300"</f>
        <v>101300</v>
      </c>
      <c r="C69" t="s">
        <v>26</v>
      </c>
      <c r="D69" s="9">
        <v>-242500.00000000003</v>
      </c>
    </row>
    <row r="70" spans="2:4" x14ac:dyDescent="0.25">
      <c r="B70" s="8" t="str">
        <f>"106880"</f>
        <v>106880</v>
      </c>
      <c r="C70" t="s">
        <v>26</v>
      </c>
      <c r="D70" s="9">
        <v>-3880800.76</v>
      </c>
    </row>
    <row r="71" spans="2:4" x14ac:dyDescent="0.25">
      <c r="B71" s="8" t="str">
        <f t="shared" ref="B71:B74" si="18">"106880"</f>
        <v>106880</v>
      </c>
      <c r="C71" t="s">
        <v>26</v>
      </c>
      <c r="D71" s="9">
        <v>-24250</v>
      </c>
    </row>
    <row r="72" spans="2:4" x14ac:dyDescent="0.25">
      <c r="B72" s="8" t="str">
        <f t="shared" si="18"/>
        <v>106880</v>
      </c>
      <c r="C72" t="s">
        <v>26</v>
      </c>
      <c r="D72" s="9">
        <v>-21564.83</v>
      </c>
    </row>
    <row r="73" spans="2:4" x14ac:dyDescent="0.25">
      <c r="B73" s="8" t="str">
        <f t="shared" si="18"/>
        <v>106880</v>
      </c>
      <c r="C73" t="s">
        <v>26</v>
      </c>
      <c r="D73" s="9">
        <v>-49606.82</v>
      </c>
    </row>
    <row r="74" spans="2:4" x14ac:dyDescent="0.25">
      <c r="B74" s="8" t="str">
        <f t="shared" si="18"/>
        <v>106880</v>
      </c>
      <c r="C74" t="s">
        <v>26</v>
      </c>
      <c r="D74" s="9">
        <v>-1073474.77</v>
      </c>
    </row>
    <row r="75" spans="2:4" x14ac:dyDescent="0.25">
      <c r="B75" s="8" t="str">
        <f>"119000"</f>
        <v>119000</v>
      </c>
      <c r="C75" t="s">
        <v>26</v>
      </c>
      <c r="D75" s="9">
        <v>-19253.030000000002</v>
      </c>
    </row>
    <row r="76" spans="2:4" x14ac:dyDescent="0.25">
      <c r="B76" s="8" t="str">
        <f>"151800"</f>
        <v>151800</v>
      </c>
      <c r="C76" t="s">
        <v>26</v>
      </c>
      <c r="D76" s="9">
        <v>-145961.31</v>
      </c>
    </row>
    <row r="77" spans="2:4" x14ac:dyDescent="0.25">
      <c r="B77" s="8" t="str">
        <f>"151800"</f>
        <v>151800</v>
      </c>
      <c r="C77" t="s">
        <v>26</v>
      </c>
      <c r="D77" s="9">
        <v>-1998309.6300000001</v>
      </c>
    </row>
    <row r="78" spans="2:4" x14ac:dyDescent="0.25">
      <c r="B78" s="8" t="str">
        <f t="shared" ref="B78:B79" si="19">"164000"</f>
        <v>164000</v>
      </c>
      <c r="C78" t="s">
        <v>26</v>
      </c>
      <c r="D78" s="9">
        <v>-139793.35999999999</v>
      </c>
    </row>
    <row r="79" spans="2:4" x14ac:dyDescent="0.25">
      <c r="B79" s="8" t="str">
        <f t="shared" si="19"/>
        <v>164000</v>
      </c>
      <c r="C79" t="s">
        <v>26</v>
      </c>
      <c r="D79" s="9">
        <v>-23000</v>
      </c>
    </row>
    <row r="80" spans="2:4" x14ac:dyDescent="0.25">
      <c r="B80" s="8" t="str">
        <f>"101300"</f>
        <v>101300</v>
      </c>
      <c r="C80" t="s">
        <v>27</v>
      </c>
      <c r="D80" s="9">
        <v>-1183427.3399999999</v>
      </c>
    </row>
    <row r="81" spans="2:4" x14ac:dyDescent="0.25">
      <c r="B81" s="8" t="str">
        <f>"106880"</f>
        <v>106880</v>
      </c>
      <c r="C81" t="s">
        <v>27</v>
      </c>
      <c r="D81" s="9">
        <v>-1559744.1800000002</v>
      </c>
    </row>
    <row r="82" spans="2:4" x14ac:dyDescent="0.25">
      <c r="B82" s="8" t="str">
        <f t="shared" ref="B82:B83" si="20">"106880"</f>
        <v>106880</v>
      </c>
      <c r="C82" t="s">
        <v>27</v>
      </c>
      <c r="D82" s="9">
        <v>-88040.819999999992</v>
      </c>
    </row>
    <row r="83" spans="2:4" x14ac:dyDescent="0.25">
      <c r="B83" s="8" t="str">
        <f t="shared" si="20"/>
        <v>106880</v>
      </c>
      <c r="C83" t="s">
        <v>27</v>
      </c>
      <c r="D83" s="9">
        <v>-425325.08</v>
      </c>
    </row>
    <row r="84" spans="2:4" x14ac:dyDescent="0.25">
      <c r="B84" s="8" t="str">
        <f>"119000"</f>
        <v>119000</v>
      </c>
      <c r="C84" t="s">
        <v>27</v>
      </c>
      <c r="D84" s="9">
        <v>-198158.98</v>
      </c>
    </row>
    <row r="85" spans="2:4" x14ac:dyDescent="0.25">
      <c r="B85" s="8" t="str">
        <f>"151800"</f>
        <v>151800</v>
      </c>
      <c r="C85" t="s">
        <v>27</v>
      </c>
      <c r="D85" s="9">
        <v>-20500</v>
      </c>
    </row>
    <row r="86" spans="2:4" x14ac:dyDescent="0.25">
      <c r="B86" s="8" t="str">
        <f>"151800"</f>
        <v>151800</v>
      </c>
      <c r="C86" t="s">
        <v>27</v>
      </c>
      <c r="D86" s="9">
        <v>-718550.58</v>
      </c>
    </row>
    <row r="87" spans="2:4" x14ac:dyDescent="0.25">
      <c r="B87" s="8" t="str">
        <f t="shared" ref="B87" si="21">"164000"</f>
        <v>164000</v>
      </c>
      <c r="C87" t="s">
        <v>27</v>
      </c>
      <c r="D87" s="9">
        <v>-215875.18</v>
      </c>
    </row>
    <row r="88" spans="2:4" x14ac:dyDescent="0.25">
      <c r="B88" s="8" t="str">
        <f t="shared" ref="B88" si="22">"467820"</f>
        <v>467820</v>
      </c>
      <c r="C88" t="s">
        <v>27</v>
      </c>
      <c r="D88" s="9">
        <v>-60</v>
      </c>
    </row>
    <row r="89" spans="2:4" x14ac:dyDescent="0.25">
      <c r="B89" s="8" t="str">
        <f>"101300"</f>
        <v>101300</v>
      </c>
      <c r="C89" t="s">
        <v>28</v>
      </c>
      <c r="D89" s="9">
        <v>-225000.00000000003</v>
      </c>
    </row>
    <row r="90" spans="2:4" x14ac:dyDescent="0.25">
      <c r="B90" s="8" t="str">
        <f t="shared" ref="B90" si="23">"106880"</f>
        <v>106880</v>
      </c>
      <c r="C90" t="s">
        <v>28</v>
      </c>
      <c r="D90" s="9">
        <v>-2950.25</v>
      </c>
    </row>
    <row r="91" spans="2:4" x14ac:dyDescent="0.25">
      <c r="B91" s="8" t="str">
        <f>"119000"</f>
        <v>119000</v>
      </c>
      <c r="C91" t="s">
        <v>28</v>
      </c>
      <c r="D91" s="9">
        <v>1010285.14</v>
      </c>
    </row>
    <row r="92" spans="2:4" x14ac:dyDescent="0.25">
      <c r="B92" s="8" t="str">
        <f>"151800"</f>
        <v>151800</v>
      </c>
      <c r="C92" t="s">
        <v>28</v>
      </c>
      <c r="D92" s="9">
        <v>-7382.65</v>
      </c>
    </row>
    <row r="93" spans="2:4" x14ac:dyDescent="0.25">
      <c r="B93" s="8" t="str">
        <f t="shared" ref="B93" si="24">"164000"</f>
        <v>164000</v>
      </c>
      <c r="C93" t="s">
        <v>28</v>
      </c>
      <c r="D93" s="9">
        <v>-130715.76</v>
      </c>
    </row>
    <row r="94" spans="2:4" x14ac:dyDescent="0.25">
      <c r="B94" s="8" t="str">
        <f>"101300"</f>
        <v>101300</v>
      </c>
      <c r="C94" t="s">
        <v>29</v>
      </c>
      <c r="D94" s="9">
        <v>-62000</v>
      </c>
    </row>
    <row r="95" spans="2:4" x14ac:dyDescent="0.25">
      <c r="B95" s="8" t="str">
        <f>"119000"</f>
        <v>119000</v>
      </c>
      <c r="C95" t="s">
        <v>29</v>
      </c>
      <c r="D95" s="9">
        <v>1865308.61</v>
      </c>
    </row>
    <row r="96" spans="2:4" x14ac:dyDescent="0.25">
      <c r="B96" s="8" t="str">
        <f>"151800"</f>
        <v>151800</v>
      </c>
      <c r="C96" t="s">
        <v>29</v>
      </c>
      <c r="D96" s="9">
        <v>-9748.380000000001</v>
      </c>
    </row>
    <row r="97" spans="2:4" x14ac:dyDescent="0.25">
      <c r="B97" s="8" t="str">
        <f t="shared" ref="B97" si="25">"164000"</f>
        <v>164000</v>
      </c>
      <c r="C97" t="s">
        <v>29</v>
      </c>
      <c r="D97" s="9">
        <v>-111677.43000000001</v>
      </c>
    </row>
    <row r="98" spans="2:4" x14ac:dyDescent="0.25">
      <c r="B98" s="8" t="str">
        <f>"101300"</f>
        <v>101300</v>
      </c>
      <c r="C98" t="s">
        <v>30</v>
      </c>
      <c r="D98" s="9">
        <v>-62000</v>
      </c>
    </row>
    <row r="99" spans="2:4" x14ac:dyDescent="0.25">
      <c r="B99" s="8" t="str">
        <f>"106880"</f>
        <v>106880</v>
      </c>
      <c r="C99" t="s">
        <v>30</v>
      </c>
      <c r="D99" s="9">
        <v>-1379796.5999999999</v>
      </c>
    </row>
    <row r="100" spans="2:4" x14ac:dyDescent="0.25">
      <c r="B100" s="8" t="str">
        <f t="shared" ref="B100:B102" si="26">"106880"</f>
        <v>106880</v>
      </c>
      <c r="C100" t="s">
        <v>30</v>
      </c>
      <c r="D100" s="9">
        <v>-6199.9999999999991</v>
      </c>
    </row>
    <row r="101" spans="2:4" x14ac:dyDescent="0.25">
      <c r="B101" s="8" t="str">
        <f t="shared" si="26"/>
        <v>106880</v>
      </c>
      <c r="C101" t="s">
        <v>30</v>
      </c>
      <c r="D101" s="9">
        <v>-519999.99999999994</v>
      </c>
    </row>
    <row r="102" spans="2:4" x14ac:dyDescent="0.25">
      <c r="B102" s="8" t="str">
        <f t="shared" si="26"/>
        <v>106880</v>
      </c>
      <c r="C102" t="s">
        <v>30</v>
      </c>
      <c r="D102" s="9">
        <v>-1007711.9299999999</v>
      </c>
    </row>
    <row r="103" spans="2:4" x14ac:dyDescent="0.25">
      <c r="B103" s="8" t="str">
        <f>"119000"</f>
        <v>119000</v>
      </c>
      <c r="C103" t="s">
        <v>30</v>
      </c>
      <c r="D103" s="9">
        <v>561041.27</v>
      </c>
    </row>
    <row r="104" spans="2:4" x14ac:dyDescent="0.25">
      <c r="B104" s="8" t="str">
        <f>"151800"</f>
        <v>151800</v>
      </c>
      <c r="C104" t="s">
        <v>30</v>
      </c>
      <c r="D104" s="9">
        <v>-710487.7</v>
      </c>
    </row>
    <row r="105" spans="2:4" x14ac:dyDescent="0.25">
      <c r="B105" s="8" t="str">
        <f t="shared" ref="B105:B106" si="27">"164000"</f>
        <v>164000</v>
      </c>
      <c r="C105" t="s">
        <v>30</v>
      </c>
      <c r="D105" s="9">
        <v>-113713.69</v>
      </c>
    </row>
    <row r="106" spans="2:4" x14ac:dyDescent="0.25">
      <c r="B106" s="8" t="str">
        <f t="shared" si="27"/>
        <v>164000</v>
      </c>
      <c r="C106" t="s">
        <v>30</v>
      </c>
      <c r="D106" s="9">
        <v>-108453.40000000001</v>
      </c>
    </row>
    <row r="107" spans="2:4" x14ac:dyDescent="0.25">
      <c r="B107" s="8" t="str">
        <f>"101300"</f>
        <v>101300</v>
      </c>
      <c r="C107" t="s">
        <v>31</v>
      </c>
      <c r="D107" s="9">
        <v>-150000</v>
      </c>
    </row>
    <row r="108" spans="2:4" x14ac:dyDescent="0.25">
      <c r="B108" s="8" t="str">
        <f>"106880"</f>
        <v>106880</v>
      </c>
      <c r="C108" t="s">
        <v>31</v>
      </c>
      <c r="D108" s="9">
        <v>-1107998.97</v>
      </c>
    </row>
    <row r="109" spans="2:4" x14ac:dyDescent="0.25">
      <c r="B109" s="8" t="str">
        <f t="shared" ref="B109:B110" si="28">"106880"</f>
        <v>106880</v>
      </c>
      <c r="C109" t="s">
        <v>31</v>
      </c>
      <c r="D109" s="9">
        <v>-15000</v>
      </c>
    </row>
    <row r="110" spans="2:4" x14ac:dyDescent="0.25">
      <c r="B110" s="8" t="str">
        <f t="shared" si="28"/>
        <v>106880</v>
      </c>
      <c r="C110" t="s">
        <v>31</v>
      </c>
      <c r="D110" s="9">
        <v>-2564974.06</v>
      </c>
    </row>
    <row r="111" spans="2:4" x14ac:dyDescent="0.25">
      <c r="B111" s="8" t="str">
        <f>"119000"</f>
        <v>119000</v>
      </c>
      <c r="C111" t="s">
        <v>31</v>
      </c>
      <c r="D111" s="9">
        <v>1551912.99</v>
      </c>
    </row>
    <row r="112" spans="2:4" x14ac:dyDescent="0.25">
      <c r="B112" s="8" t="str">
        <f>"151800"</f>
        <v>151800</v>
      </c>
      <c r="C112" t="s">
        <v>31</v>
      </c>
      <c r="D112" s="9">
        <v>-570533</v>
      </c>
    </row>
    <row r="113" spans="2:4" x14ac:dyDescent="0.25">
      <c r="B113" s="8" t="str">
        <f t="shared" ref="B113" si="29">"164000"</f>
        <v>164000</v>
      </c>
      <c r="C113" t="s">
        <v>31</v>
      </c>
      <c r="D113" s="9">
        <v>-129448.12000000001</v>
      </c>
    </row>
    <row r="114" spans="2:4" x14ac:dyDescent="0.25">
      <c r="B114" s="8" t="str">
        <f>"101300"</f>
        <v>101300</v>
      </c>
      <c r="C114" t="s">
        <v>32</v>
      </c>
      <c r="D114" s="9">
        <v>-237500</v>
      </c>
    </row>
    <row r="115" spans="2:4" x14ac:dyDescent="0.25">
      <c r="B115" s="8" t="str">
        <f>"119000"</f>
        <v>119000</v>
      </c>
      <c r="C115" t="s">
        <v>32</v>
      </c>
      <c r="D115" s="9">
        <v>2091959.9100000001</v>
      </c>
    </row>
    <row r="116" spans="2:4" x14ac:dyDescent="0.25">
      <c r="B116" s="8" t="str">
        <f t="shared" ref="B116" si="30">"164000"</f>
        <v>164000</v>
      </c>
      <c r="C116" t="s">
        <v>32</v>
      </c>
      <c r="D116" s="9">
        <v>-161364</v>
      </c>
    </row>
    <row r="117" spans="2:4" x14ac:dyDescent="0.25">
      <c r="B117" s="8" t="str">
        <f>"101300"</f>
        <v>101300</v>
      </c>
      <c r="C117" t="s">
        <v>33</v>
      </c>
      <c r="D117" s="9">
        <v>-919999.99999999988</v>
      </c>
    </row>
    <row r="118" spans="2:4" x14ac:dyDescent="0.25">
      <c r="B118" s="8" t="str">
        <f>"119000"</f>
        <v>119000</v>
      </c>
      <c r="C118" t="s">
        <v>33</v>
      </c>
      <c r="D118" s="9">
        <v>841837.41</v>
      </c>
    </row>
    <row r="119" spans="2:4" x14ac:dyDescent="0.25">
      <c r="B119" s="8" t="str">
        <f>"151100"</f>
        <v>151100</v>
      </c>
      <c r="C119" t="s">
        <v>33</v>
      </c>
      <c r="D119" s="9">
        <v>-30000</v>
      </c>
    </row>
    <row r="120" spans="2:4" x14ac:dyDescent="0.25">
      <c r="B120" s="8" t="str">
        <f>"467000"</f>
        <v>467000</v>
      </c>
      <c r="C120" t="s">
        <v>34</v>
      </c>
      <c r="D120" s="9">
        <v>-32190.71</v>
      </c>
    </row>
    <row r="121" spans="2:4" x14ac:dyDescent="0.25">
      <c r="B121" s="8" t="str">
        <f>"119000"</f>
        <v>119000</v>
      </c>
      <c r="C121" t="s">
        <v>34</v>
      </c>
      <c r="D121" s="9">
        <v>1895536.9200000002</v>
      </c>
    </row>
    <row r="122" spans="2:4" x14ac:dyDescent="0.25">
      <c r="B122" s="8" t="str">
        <f t="shared" ref="B122" si="31">"164000"</f>
        <v>164000</v>
      </c>
      <c r="C122" t="s">
        <v>34</v>
      </c>
      <c r="D122" s="9">
        <v>-120574.84</v>
      </c>
    </row>
    <row r="123" spans="2:4" x14ac:dyDescent="0.25">
      <c r="B123" s="8" t="str">
        <f>"101300"</f>
        <v>101300</v>
      </c>
      <c r="C123" t="s">
        <v>35</v>
      </c>
      <c r="D123" s="9">
        <v>-461999.99999999994</v>
      </c>
    </row>
    <row r="124" spans="2:4" x14ac:dyDescent="0.25">
      <c r="B124" s="8" t="str">
        <f t="shared" ref="B124:B125" si="32">"106880"</f>
        <v>106880</v>
      </c>
      <c r="C124" t="s">
        <v>35</v>
      </c>
      <c r="D124" s="9">
        <v>-7025.35</v>
      </c>
    </row>
    <row r="125" spans="2:4" x14ac:dyDescent="0.25">
      <c r="B125" s="8" t="str">
        <f t="shared" si="32"/>
        <v>106880</v>
      </c>
      <c r="C125" t="s">
        <v>35</v>
      </c>
      <c r="D125" s="9">
        <v>-197576.48</v>
      </c>
    </row>
    <row r="126" spans="2:4" x14ac:dyDescent="0.25">
      <c r="B126" s="8" t="str">
        <f>"119000"</f>
        <v>119000</v>
      </c>
      <c r="C126" t="s">
        <v>35</v>
      </c>
      <c r="D126" s="9">
        <v>607708.56000000006</v>
      </c>
    </row>
    <row r="127" spans="2:4" x14ac:dyDescent="0.25">
      <c r="B127" s="8" t="str">
        <f>"151800"</f>
        <v>151800</v>
      </c>
      <c r="C127" t="s">
        <v>35</v>
      </c>
      <c r="D127" s="9">
        <v>-101736.47000000002</v>
      </c>
    </row>
    <row r="128" spans="2:4" x14ac:dyDescent="0.25">
      <c r="B128" s="8" t="str">
        <f>"101300"</f>
        <v>101300</v>
      </c>
      <c r="C128" t="s">
        <v>36</v>
      </c>
      <c r="D128" s="9">
        <v>-18592.009999999998</v>
      </c>
    </row>
    <row r="129" spans="2:4" x14ac:dyDescent="0.25">
      <c r="B129" s="8" t="str">
        <f t="shared" ref="B129" si="33">"106880"</f>
        <v>106880</v>
      </c>
      <c r="C129" t="s">
        <v>36</v>
      </c>
      <c r="D129" s="9">
        <v>-6199.9999999999991</v>
      </c>
    </row>
    <row r="130" spans="2:4" x14ac:dyDescent="0.25">
      <c r="B130" s="8" t="str">
        <f>"119000"</f>
        <v>119000</v>
      </c>
      <c r="C130" t="s">
        <v>36</v>
      </c>
      <c r="D130" s="9">
        <v>-131478.25</v>
      </c>
    </row>
    <row r="131" spans="2:4" x14ac:dyDescent="0.25">
      <c r="B131" s="8" t="str">
        <f>"151800"</f>
        <v>151800</v>
      </c>
      <c r="C131" t="s">
        <v>36</v>
      </c>
      <c r="D131" s="9">
        <v>-1000.09</v>
      </c>
    </row>
    <row r="132" spans="2:4" x14ac:dyDescent="0.25">
      <c r="B132" s="8" t="str">
        <f t="shared" ref="B132" si="34">"164000"</f>
        <v>164000</v>
      </c>
      <c r="C132" t="s">
        <v>36</v>
      </c>
      <c r="D132" s="9">
        <v>-93057.209999999992</v>
      </c>
    </row>
    <row r="133" spans="2:4" x14ac:dyDescent="0.25">
      <c r="B133" s="8" t="str">
        <f>"467000"</f>
        <v>467000</v>
      </c>
      <c r="C133" t="s">
        <v>37</v>
      </c>
      <c r="D133" s="9">
        <v>-32190.71</v>
      </c>
    </row>
    <row r="134" spans="2:4" x14ac:dyDescent="0.25">
      <c r="B134" s="8" t="str">
        <f t="shared" ref="B134" si="35">"106880"</f>
        <v>106880</v>
      </c>
      <c r="C134" t="s">
        <v>37</v>
      </c>
      <c r="D134" s="9">
        <v>-18750</v>
      </c>
    </row>
    <row r="135" spans="2:4" x14ac:dyDescent="0.25">
      <c r="B135" s="8" t="str">
        <f>"119000"</f>
        <v>119000</v>
      </c>
      <c r="C135" t="s">
        <v>37</v>
      </c>
      <c r="D135" s="9">
        <v>1193663.47</v>
      </c>
    </row>
    <row r="136" spans="2:4" x14ac:dyDescent="0.25">
      <c r="B136" s="8" t="str">
        <f t="shared" ref="B136" si="36">"164000"</f>
        <v>164000</v>
      </c>
      <c r="C136" t="s">
        <v>37</v>
      </c>
      <c r="D136" s="9">
        <v>-47404.89</v>
      </c>
    </row>
    <row r="137" spans="2:4" x14ac:dyDescent="0.25">
      <c r="B137" s="8" t="str">
        <f>"467000"</f>
        <v>467000</v>
      </c>
      <c r="C137" t="s">
        <v>38</v>
      </c>
      <c r="D137" s="9">
        <v>-32190.730000000003</v>
      </c>
    </row>
    <row r="138" spans="2:4" x14ac:dyDescent="0.25">
      <c r="B138" s="8" t="str">
        <f>"119000"</f>
        <v>119000</v>
      </c>
      <c r="C138" t="s">
        <v>38</v>
      </c>
      <c r="D138" s="9">
        <v>1035507.77</v>
      </c>
    </row>
    <row r="139" spans="2:4" x14ac:dyDescent="0.25">
      <c r="B139" s="8" t="str">
        <f>"151100"</f>
        <v>151100</v>
      </c>
      <c r="C139" t="s">
        <v>38</v>
      </c>
      <c r="D139" s="9">
        <v>-9000</v>
      </c>
    </row>
    <row r="140" spans="2:4" x14ac:dyDescent="0.25">
      <c r="B140" s="8" t="str">
        <f t="shared" ref="B140" si="37">"164000"</f>
        <v>164000</v>
      </c>
      <c r="C140" t="s">
        <v>38</v>
      </c>
      <c r="D140" s="9">
        <v>-140155.9</v>
      </c>
    </row>
    <row r="141" spans="2:4" x14ac:dyDescent="0.25">
      <c r="B141" s="8" t="str">
        <f>"101300"</f>
        <v>101300</v>
      </c>
      <c r="C141" t="s">
        <v>39</v>
      </c>
      <c r="D141" s="9">
        <v>-80565.399999999994</v>
      </c>
    </row>
    <row r="142" spans="2:4" x14ac:dyDescent="0.25">
      <c r="B142" s="8" t="str">
        <f t="shared" ref="B142:B144" si="38">"106880"</f>
        <v>106880</v>
      </c>
      <c r="C142" t="s">
        <v>39</v>
      </c>
      <c r="D142" s="9">
        <v>-8056.54</v>
      </c>
    </row>
    <row r="143" spans="2:4" x14ac:dyDescent="0.25">
      <c r="B143" s="8" t="str">
        <f t="shared" si="38"/>
        <v>106880</v>
      </c>
      <c r="C143" t="s">
        <v>39</v>
      </c>
      <c r="D143" s="9">
        <v>-1188.97</v>
      </c>
    </row>
    <row r="144" spans="2:4" x14ac:dyDescent="0.25">
      <c r="B144" s="8" t="str">
        <f t="shared" si="38"/>
        <v>106880</v>
      </c>
      <c r="C144" t="s">
        <v>39</v>
      </c>
      <c r="D144" s="9">
        <v>-140523.87</v>
      </c>
    </row>
    <row r="145" spans="2:4" x14ac:dyDescent="0.25">
      <c r="B145" s="8" t="str">
        <f>"119000"</f>
        <v>119000</v>
      </c>
      <c r="C145" t="s">
        <v>39</v>
      </c>
      <c r="D145" s="9">
        <v>802836.81</v>
      </c>
    </row>
    <row r="146" spans="2:4" x14ac:dyDescent="0.25">
      <c r="B146" s="8" t="str">
        <f t="shared" ref="B146" si="39">"164000"</f>
        <v>164000</v>
      </c>
      <c r="C146" t="s">
        <v>39</v>
      </c>
      <c r="D146" s="9">
        <v>-4664210.96</v>
      </c>
    </row>
    <row r="147" spans="2:4" x14ac:dyDescent="0.25">
      <c r="B147" s="8" t="str">
        <f>"119000"</f>
        <v>119000</v>
      </c>
      <c r="C147" t="s">
        <v>40</v>
      </c>
      <c r="D147" s="9">
        <v>310.05</v>
      </c>
    </row>
    <row r="148" spans="2:4" x14ac:dyDescent="0.25">
      <c r="B148" s="8" t="str">
        <f>"101300"</f>
        <v>101300</v>
      </c>
      <c r="C148" t="s">
        <v>41</v>
      </c>
      <c r="D148" s="9">
        <v>-10000000</v>
      </c>
    </row>
    <row r="149" spans="2:4" x14ac:dyDescent="0.25">
      <c r="B149" s="8" t="str">
        <f t="shared" ref="B149" si="40">"106880"</f>
        <v>106880</v>
      </c>
      <c r="C149" t="s">
        <v>41</v>
      </c>
      <c r="D149" s="9">
        <v>-1000000</v>
      </c>
    </row>
    <row r="150" spans="2:4" x14ac:dyDescent="0.25">
      <c r="B150" s="8" t="str">
        <f>"119000"</f>
        <v>119000</v>
      </c>
      <c r="C150" t="s">
        <v>41</v>
      </c>
      <c r="D150" s="9">
        <v>-4105039.94</v>
      </c>
    </row>
    <row r="151" spans="2:4" x14ac:dyDescent="0.25">
      <c r="B151" s="8" t="str">
        <f t="shared" ref="B151:B152" si="41">"164000"</f>
        <v>164000</v>
      </c>
      <c r="C151" t="s">
        <v>41</v>
      </c>
      <c r="D151" s="9">
        <v>-679521.14</v>
      </c>
    </row>
    <row r="152" spans="2:4" x14ac:dyDescent="0.25">
      <c r="B152" s="8" t="str">
        <f t="shared" si="41"/>
        <v>164000</v>
      </c>
      <c r="C152" t="s">
        <v>41</v>
      </c>
      <c r="D152" s="9">
        <v>-327378</v>
      </c>
    </row>
    <row r="153" spans="2:4" x14ac:dyDescent="0.25">
      <c r="B153" s="8" t="str">
        <f>"101300"</f>
        <v>101300</v>
      </c>
      <c r="C153" t="s">
        <v>42</v>
      </c>
      <c r="D153" s="9">
        <v>-311980.52999999997</v>
      </c>
    </row>
    <row r="154" spans="2:4" x14ac:dyDescent="0.25">
      <c r="B154" s="8" t="str">
        <f t="shared" ref="B154" si="42">"106880"</f>
        <v>106880</v>
      </c>
      <c r="C154" t="s">
        <v>42</v>
      </c>
      <c r="D154" s="9">
        <v>-31198.05</v>
      </c>
    </row>
    <row r="155" spans="2:4" x14ac:dyDescent="0.25">
      <c r="B155" s="8" t="str">
        <f>"119000"</f>
        <v>119000</v>
      </c>
      <c r="C155" t="s">
        <v>42</v>
      </c>
      <c r="D155" s="9">
        <v>-120834.33</v>
      </c>
    </row>
    <row r="156" spans="2:4" x14ac:dyDescent="0.25">
      <c r="B156" s="8" t="str">
        <f t="shared" ref="B156:B157" si="43">"164000"</f>
        <v>164000</v>
      </c>
      <c r="C156" t="s">
        <v>42</v>
      </c>
      <c r="D156" s="9">
        <v>-165821.61000000002</v>
      </c>
    </row>
    <row r="157" spans="2:4" x14ac:dyDescent="0.25">
      <c r="B157" s="8" t="str">
        <f t="shared" si="43"/>
        <v>164000</v>
      </c>
      <c r="C157" t="s">
        <v>42</v>
      </c>
      <c r="D157" s="9">
        <v>-344326.40000000002</v>
      </c>
    </row>
    <row r="158" spans="2:4" x14ac:dyDescent="0.25">
      <c r="B158" s="8" t="str">
        <f>"101300"</f>
        <v>101300</v>
      </c>
      <c r="C158" t="s">
        <v>43</v>
      </c>
      <c r="D158" s="9">
        <v>-6150000</v>
      </c>
    </row>
    <row r="159" spans="2:4" x14ac:dyDescent="0.25">
      <c r="B159" s="8" t="str">
        <f>"119000"</f>
        <v>119000</v>
      </c>
      <c r="C159" t="s">
        <v>43</v>
      </c>
      <c r="D159" s="9">
        <v>8095159.7399999993</v>
      </c>
    </row>
    <row r="160" spans="2:4" x14ac:dyDescent="0.25">
      <c r="B160" s="8" t="str">
        <f>"151800"</f>
        <v>151800</v>
      </c>
      <c r="C160" t="s">
        <v>43</v>
      </c>
      <c r="D160" s="9">
        <v>-11615.68</v>
      </c>
    </row>
    <row r="161" spans="2:4" x14ac:dyDescent="0.25">
      <c r="B161" s="8" t="str">
        <f>"151100"</f>
        <v>151100</v>
      </c>
      <c r="C161" t="s">
        <v>43</v>
      </c>
      <c r="D161" s="9">
        <v>-42692.24</v>
      </c>
    </row>
    <row r="162" spans="2:4" x14ac:dyDescent="0.25">
      <c r="B162" s="8" t="str">
        <f t="shared" ref="B162:B163" si="44">"164000"</f>
        <v>164000</v>
      </c>
      <c r="C162" t="s">
        <v>43</v>
      </c>
      <c r="D162" s="9">
        <v>-359448.47000000003</v>
      </c>
    </row>
    <row r="163" spans="2:4" x14ac:dyDescent="0.25">
      <c r="B163" s="8" t="str">
        <f t="shared" si="44"/>
        <v>164000</v>
      </c>
      <c r="C163" t="s">
        <v>43</v>
      </c>
      <c r="D163" s="9">
        <v>-534294.61</v>
      </c>
    </row>
    <row r="164" spans="2:4" x14ac:dyDescent="0.25">
      <c r="B164" s="8" t="str">
        <f>"101300"</f>
        <v>101300</v>
      </c>
      <c r="C164" t="s">
        <v>44</v>
      </c>
      <c r="D164" s="9">
        <v>-62000</v>
      </c>
    </row>
    <row r="165" spans="2:4" x14ac:dyDescent="0.25">
      <c r="B165" s="8" t="str">
        <f t="shared" ref="B165:B166" si="45">"106880"</f>
        <v>106880</v>
      </c>
      <c r="C165" t="s">
        <v>44</v>
      </c>
      <c r="D165" s="9">
        <v>-6199.9999999999991</v>
      </c>
    </row>
    <row r="166" spans="2:4" x14ac:dyDescent="0.25">
      <c r="B166" s="8" t="str">
        <f t="shared" si="45"/>
        <v>106880</v>
      </c>
      <c r="C166" t="s">
        <v>44</v>
      </c>
      <c r="D166" s="9">
        <v>-6170.7199999999993</v>
      </c>
    </row>
    <row r="167" spans="2:4" x14ac:dyDescent="0.25">
      <c r="B167" s="8" t="str">
        <f>"119000"</f>
        <v>119000</v>
      </c>
      <c r="C167" t="s">
        <v>44</v>
      </c>
      <c r="D167" s="9">
        <v>8109.35</v>
      </c>
    </row>
    <row r="168" spans="2:4" x14ac:dyDescent="0.25">
      <c r="B168" s="8" t="str">
        <f t="shared" ref="B168:B169" si="46">"164000"</f>
        <v>164000</v>
      </c>
      <c r="C168" t="s">
        <v>44</v>
      </c>
      <c r="D168" s="9">
        <v>-67277.11</v>
      </c>
    </row>
    <row r="169" spans="2:4" x14ac:dyDescent="0.25">
      <c r="B169" s="8" t="str">
        <f t="shared" si="46"/>
        <v>164000</v>
      </c>
      <c r="C169" t="s">
        <v>44</v>
      </c>
      <c r="D169" s="9">
        <v>-240710.64</v>
      </c>
    </row>
    <row r="170" spans="2:4" x14ac:dyDescent="0.25">
      <c r="B170" s="8" t="str">
        <f>"101300"</f>
        <v>101300</v>
      </c>
      <c r="C170" t="s">
        <v>45</v>
      </c>
      <c r="D170" s="9">
        <v>-212000</v>
      </c>
    </row>
    <row r="171" spans="2:4" x14ac:dyDescent="0.25">
      <c r="B171" s="8" t="str">
        <f t="shared" ref="B171" si="47">"106880"</f>
        <v>106880</v>
      </c>
      <c r="C171" t="s">
        <v>45</v>
      </c>
      <c r="D171" s="9">
        <v>-12900</v>
      </c>
    </row>
    <row r="172" spans="2:4" x14ac:dyDescent="0.25">
      <c r="B172" s="8" t="str">
        <f>"119000"</f>
        <v>119000</v>
      </c>
      <c r="C172" t="s">
        <v>45</v>
      </c>
      <c r="D172" s="9">
        <v>-9135.11</v>
      </c>
    </row>
    <row r="173" spans="2:4" x14ac:dyDescent="0.25">
      <c r="B173" s="8" t="str">
        <f>"151100"</f>
        <v>151100</v>
      </c>
      <c r="C173" t="s">
        <v>45</v>
      </c>
      <c r="D173" s="9">
        <v>-8500</v>
      </c>
    </row>
    <row r="174" spans="2:4" x14ac:dyDescent="0.25">
      <c r="B174" s="8" t="str">
        <f t="shared" ref="B174:B175" si="48">"164000"</f>
        <v>164000</v>
      </c>
      <c r="C174" t="s">
        <v>45</v>
      </c>
      <c r="D174" s="9">
        <v>-155747.38</v>
      </c>
    </row>
    <row r="175" spans="2:4" x14ac:dyDescent="0.25">
      <c r="B175" s="8" t="str">
        <f t="shared" si="48"/>
        <v>164000</v>
      </c>
      <c r="C175" t="s">
        <v>45</v>
      </c>
      <c r="D175" s="9">
        <v>-158942.9</v>
      </c>
    </row>
    <row r="176" spans="2:4" x14ac:dyDescent="0.25">
      <c r="B176" s="8" t="str">
        <f>"101300"</f>
        <v>101300</v>
      </c>
      <c r="C176" t="s">
        <v>46</v>
      </c>
      <c r="D176" s="9">
        <v>-62000</v>
      </c>
    </row>
    <row r="177" spans="2:4" x14ac:dyDescent="0.25">
      <c r="B177" s="8" t="str">
        <f t="shared" ref="B177:B178" si="49">"106880"</f>
        <v>106880</v>
      </c>
      <c r="C177" t="s">
        <v>46</v>
      </c>
      <c r="D177" s="9">
        <v>-6199.9999999999991</v>
      </c>
    </row>
    <row r="178" spans="2:4" x14ac:dyDescent="0.25">
      <c r="B178" s="8" t="str">
        <f t="shared" si="49"/>
        <v>106880</v>
      </c>
      <c r="C178" t="s">
        <v>46</v>
      </c>
      <c r="D178" s="9">
        <v>-5821.88</v>
      </c>
    </row>
    <row r="179" spans="2:4" x14ac:dyDescent="0.25">
      <c r="B179" s="8" t="str">
        <f>"119000"</f>
        <v>119000</v>
      </c>
      <c r="C179" t="s">
        <v>46</v>
      </c>
      <c r="D179" s="9">
        <v>-61802.179999999993</v>
      </c>
    </row>
    <row r="180" spans="2:4" x14ac:dyDescent="0.25">
      <c r="B180" s="8" t="str">
        <f t="shared" ref="B180" si="50">"164000"</f>
        <v>164000</v>
      </c>
      <c r="C180" t="s">
        <v>46</v>
      </c>
      <c r="D180" s="9">
        <v>-40894.44</v>
      </c>
    </row>
    <row r="181" spans="2:4" x14ac:dyDescent="0.25">
      <c r="B181" s="8" t="str">
        <f>"101300"</f>
        <v>101300</v>
      </c>
      <c r="C181" t="s">
        <v>47</v>
      </c>
      <c r="D181" s="9">
        <v>-61973.38</v>
      </c>
    </row>
    <row r="182" spans="2:4" x14ac:dyDescent="0.25">
      <c r="B182" s="8" t="str">
        <f t="shared" ref="B182" si="51">"106880"</f>
        <v>106880</v>
      </c>
      <c r="C182" t="s">
        <v>47</v>
      </c>
      <c r="D182" s="9">
        <v>-6197.34</v>
      </c>
    </row>
    <row r="183" spans="2:4" x14ac:dyDescent="0.25">
      <c r="B183" s="8" t="str">
        <f>"119000"</f>
        <v>119000</v>
      </c>
      <c r="C183" t="s">
        <v>47</v>
      </c>
      <c r="D183" s="9">
        <v>-49250.189999999995</v>
      </c>
    </row>
    <row r="184" spans="2:4" x14ac:dyDescent="0.25">
      <c r="B184" s="8" t="str">
        <f t="shared" ref="B184" si="52">"164000"</f>
        <v>164000</v>
      </c>
      <c r="C184" t="s">
        <v>47</v>
      </c>
      <c r="D184" s="9">
        <v>-75726.600000000006</v>
      </c>
    </row>
    <row r="185" spans="2:4" x14ac:dyDescent="0.25">
      <c r="B185" s="8" t="str">
        <f>"101300"</f>
        <v>101300</v>
      </c>
      <c r="C185" t="s">
        <v>48</v>
      </c>
      <c r="D185" s="9">
        <v>-62000</v>
      </c>
    </row>
    <row r="186" spans="2:4" x14ac:dyDescent="0.25">
      <c r="B186" s="8" t="str">
        <f t="shared" ref="B186" si="53">"106880"</f>
        <v>106880</v>
      </c>
      <c r="C186" t="s">
        <v>48</v>
      </c>
      <c r="D186" s="9">
        <v>-6199.9999999999991</v>
      </c>
    </row>
    <row r="187" spans="2:4" x14ac:dyDescent="0.25">
      <c r="B187" s="8" t="str">
        <f>"119000"</f>
        <v>119000</v>
      </c>
      <c r="C187" t="s">
        <v>48</v>
      </c>
      <c r="D187" s="9">
        <v>203999.29</v>
      </c>
    </row>
    <row r="188" spans="2:4" x14ac:dyDescent="0.25">
      <c r="B188" s="8" t="str">
        <f>"151800"</f>
        <v>151800</v>
      </c>
      <c r="C188" t="s">
        <v>48</v>
      </c>
      <c r="D188" s="9">
        <v>-28895.999999999996</v>
      </c>
    </row>
    <row r="189" spans="2:4" x14ac:dyDescent="0.25">
      <c r="B189" s="8" t="str">
        <f t="shared" ref="B189:B190" si="54">"164000"</f>
        <v>164000</v>
      </c>
      <c r="C189" t="s">
        <v>48</v>
      </c>
      <c r="D189" s="9">
        <v>-412840.25999999995</v>
      </c>
    </row>
    <row r="190" spans="2:4" x14ac:dyDescent="0.25">
      <c r="B190" s="8" t="str">
        <f t="shared" si="54"/>
        <v>164000</v>
      </c>
      <c r="C190" t="s">
        <v>48</v>
      </c>
      <c r="D190" s="9">
        <v>-366640.26</v>
      </c>
    </row>
    <row r="191" spans="2:4" x14ac:dyDescent="0.25">
      <c r="B191" s="8" t="str">
        <f>"101300"</f>
        <v>101300</v>
      </c>
      <c r="C191" t="s">
        <v>49</v>
      </c>
      <c r="D191" s="9">
        <v>-62000</v>
      </c>
    </row>
    <row r="192" spans="2:4" x14ac:dyDescent="0.25">
      <c r="B192" s="8" t="str">
        <f t="shared" ref="B192" si="55">"106880"</f>
        <v>106880</v>
      </c>
      <c r="C192" t="s">
        <v>49</v>
      </c>
      <c r="D192" s="9">
        <v>-6199.9999999999991</v>
      </c>
    </row>
    <row r="193" spans="2:4" x14ac:dyDescent="0.25">
      <c r="B193" s="8" t="str">
        <f>"119000"</f>
        <v>119000</v>
      </c>
      <c r="C193" t="s">
        <v>49</v>
      </c>
      <c r="D193" s="9">
        <v>-113898.06</v>
      </c>
    </row>
    <row r="194" spans="2:4" x14ac:dyDescent="0.25">
      <c r="B194" s="8" t="str">
        <f t="shared" ref="B194:B195" si="56">"164000"</f>
        <v>164000</v>
      </c>
      <c r="C194" t="s">
        <v>49</v>
      </c>
      <c r="D194" s="9">
        <v>-109331.57</v>
      </c>
    </row>
    <row r="195" spans="2:4" x14ac:dyDescent="0.25">
      <c r="B195" s="8" t="str">
        <f t="shared" si="56"/>
        <v>164000</v>
      </c>
      <c r="C195" t="s">
        <v>49</v>
      </c>
      <c r="D195" s="9">
        <v>-471166.54000000004</v>
      </c>
    </row>
    <row r="196" spans="2:4" x14ac:dyDescent="0.25">
      <c r="B196" s="8" t="str">
        <f>"101300"</f>
        <v>101300</v>
      </c>
      <c r="C196" t="s">
        <v>50</v>
      </c>
      <c r="D196" s="9">
        <v>-62000</v>
      </c>
    </row>
    <row r="197" spans="2:4" x14ac:dyDescent="0.25">
      <c r="B197" s="8" t="str">
        <f t="shared" ref="B197" si="57">"106880"</f>
        <v>106880</v>
      </c>
      <c r="C197" t="s">
        <v>50</v>
      </c>
      <c r="D197" s="9">
        <v>-6199.9999999999991</v>
      </c>
    </row>
    <row r="198" spans="2:4" x14ac:dyDescent="0.25">
      <c r="B198" s="8" t="str">
        <f>"119000"</f>
        <v>119000</v>
      </c>
      <c r="C198" t="s">
        <v>50</v>
      </c>
      <c r="D198" s="9">
        <v>-4614632.43</v>
      </c>
    </row>
    <row r="199" spans="2:4" x14ac:dyDescent="0.25">
      <c r="B199" s="8" t="str">
        <f t="shared" ref="B199:B200" si="58">"164000"</f>
        <v>164000</v>
      </c>
      <c r="C199" t="s">
        <v>50</v>
      </c>
      <c r="D199" s="9">
        <v>-129049.39</v>
      </c>
    </row>
    <row r="200" spans="2:4" x14ac:dyDescent="0.25">
      <c r="B200" s="8" t="str">
        <f t="shared" si="58"/>
        <v>164000</v>
      </c>
      <c r="C200" t="s">
        <v>50</v>
      </c>
      <c r="D200" s="9">
        <v>-126286.34</v>
      </c>
    </row>
    <row r="201" spans="2:4" x14ac:dyDescent="0.25">
      <c r="B201" s="8" t="str">
        <f>"101300"</f>
        <v>101300</v>
      </c>
      <c r="C201" t="s">
        <v>51</v>
      </c>
      <c r="D201" s="9">
        <v>-123946.76</v>
      </c>
    </row>
    <row r="202" spans="2:4" x14ac:dyDescent="0.25">
      <c r="B202" s="8" t="str">
        <f t="shared" ref="B202" si="59">"106880"</f>
        <v>106880</v>
      </c>
      <c r="C202" t="s">
        <v>51</v>
      </c>
      <c r="D202" s="9">
        <v>-12394.68</v>
      </c>
    </row>
    <row r="203" spans="2:4" x14ac:dyDescent="0.25">
      <c r="B203" s="8" t="str">
        <f>"119000"</f>
        <v>119000</v>
      </c>
      <c r="C203" t="s">
        <v>51</v>
      </c>
      <c r="D203" s="9">
        <v>-64847.570000000007</v>
      </c>
    </row>
    <row r="204" spans="2:4" x14ac:dyDescent="0.25">
      <c r="B204" s="8" t="str">
        <f t="shared" ref="B204" si="60">"164000"</f>
        <v>164000</v>
      </c>
      <c r="C204" t="s">
        <v>51</v>
      </c>
      <c r="D204" s="9">
        <v>-73049.13</v>
      </c>
    </row>
    <row r="205" spans="2:4" x14ac:dyDescent="0.25">
      <c r="B205" s="8" t="str">
        <f>"101300"</f>
        <v>101300</v>
      </c>
      <c r="C205" t="s">
        <v>52</v>
      </c>
      <c r="D205" s="9">
        <v>-62000</v>
      </c>
    </row>
    <row r="206" spans="2:4" x14ac:dyDescent="0.25">
      <c r="B206" s="8" t="str">
        <f t="shared" ref="B206:B207" si="61">"106880"</f>
        <v>106880</v>
      </c>
      <c r="C206" t="s">
        <v>52</v>
      </c>
      <c r="D206" s="9">
        <v>-6199.9999999999991</v>
      </c>
    </row>
    <row r="207" spans="2:4" x14ac:dyDescent="0.25">
      <c r="B207" s="8" t="str">
        <f t="shared" si="61"/>
        <v>106880</v>
      </c>
      <c r="C207" t="s">
        <v>52</v>
      </c>
      <c r="D207" s="9">
        <v>-909.2</v>
      </c>
    </row>
    <row r="208" spans="2:4" x14ac:dyDescent="0.25">
      <c r="B208" s="8" t="str">
        <f>"119000"</f>
        <v>119000</v>
      </c>
      <c r="C208" t="s">
        <v>52</v>
      </c>
      <c r="D208" s="9">
        <v>-350500.75</v>
      </c>
    </row>
    <row r="209" spans="2:4" x14ac:dyDescent="0.25">
      <c r="B209" s="8" t="str">
        <f t="shared" ref="B209:B210" si="62">"164000"</f>
        <v>164000</v>
      </c>
      <c r="C209" t="s">
        <v>52</v>
      </c>
      <c r="D209" s="9">
        <v>-108760.59</v>
      </c>
    </row>
    <row r="210" spans="2:4" x14ac:dyDescent="0.25">
      <c r="B210" s="8" t="str">
        <f t="shared" si="62"/>
        <v>164000</v>
      </c>
      <c r="C210" t="s">
        <v>52</v>
      </c>
      <c r="D210" s="9">
        <v>-106003.23000000001</v>
      </c>
    </row>
    <row r="211" spans="2:4" x14ac:dyDescent="0.25">
      <c r="B211" s="8" t="str">
        <f>"101300"</f>
        <v>101300</v>
      </c>
      <c r="C211" t="s">
        <v>53</v>
      </c>
      <c r="D211" s="9">
        <v>-62000</v>
      </c>
    </row>
    <row r="212" spans="2:4" x14ac:dyDescent="0.25">
      <c r="B212" s="8" t="str">
        <f t="shared" ref="B212:B213" si="63">"106880"</f>
        <v>106880</v>
      </c>
      <c r="C212" t="s">
        <v>53</v>
      </c>
      <c r="D212" s="9">
        <v>-6199.9999999999991</v>
      </c>
    </row>
    <row r="213" spans="2:4" x14ac:dyDescent="0.25">
      <c r="B213" s="8" t="str">
        <f t="shared" si="63"/>
        <v>106880</v>
      </c>
      <c r="C213" t="s">
        <v>53</v>
      </c>
      <c r="D213" s="9">
        <v>-1015311.1100000001</v>
      </c>
    </row>
    <row r="214" spans="2:4" x14ac:dyDescent="0.25">
      <c r="B214" s="8" t="str">
        <f>"119000"</f>
        <v>119000</v>
      </c>
      <c r="C214" t="s">
        <v>53</v>
      </c>
      <c r="D214" s="9">
        <v>-257809.12</v>
      </c>
    </row>
    <row r="215" spans="2:4" x14ac:dyDescent="0.25">
      <c r="B215" s="8" t="str">
        <f>"151800"</f>
        <v>151800</v>
      </c>
      <c r="C215" t="s">
        <v>53</v>
      </c>
      <c r="D215" s="9">
        <v>-522806.01</v>
      </c>
    </row>
    <row r="216" spans="2:4" x14ac:dyDescent="0.25">
      <c r="B216" s="8" t="str">
        <f t="shared" ref="B216" si="64">"164000"</f>
        <v>164000</v>
      </c>
      <c r="C216" t="s">
        <v>53</v>
      </c>
      <c r="D216" s="9">
        <v>-2828976.63</v>
      </c>
    </row>
    <row r="217" spans="2:4" x14ac:dyDescent="0.25">
      <c r="B217" s="8" t="str">
        <f>"101300"</f>
        <v>101300</v>
      </c>
      <c r="C217" t="s">
        <v>54</v>
      </c>
      <c r="D217" s="9">
        <v>-3218600</v>
      </c>
    </row>
    <row r="218" spans="2:4" x14ac:dyDescent="0.25">
      <c r="B218" s="8" t="str">
        <f t="shared" ref="B218" si="65">"106880"</f>
        <v>106880</v>
      </c>
      <c r="C218" t="s">
        <v>54</v>
      </c>
      <c r="D218" s="9">
        <v>-1860</v>
      </c>
    </row>
    <row r="219" spans="2:4" x14ac:dyDescent="0.25">
      <c r="B219" s="8" t="str">
        <f>"119000"</f>
        <v>119000</v>
      </c>
      <c r="C219" t="s">
        <v>54</v>
      </c>
      <c r="D219" s="9">
        <v>2667976.2600000002</v>
      </c>
    </row>
    <row r="220" spans="2:4" x14ac:dyDescent="0.25">
      <c r="B220" s="8" t="str">
        <f>"151100"</f>
        <v>151100</v>
      </c>
      <c r="C220" t="s">
        <v>54</v>
      </c>
      <c r="D220" s="9">
        <v>-12100</v>
      </c>
    </row>
    <row r="221" spans="2:4" x14ac:dyDescent="0.25">
      <c r="B221" s="8" t="str">
        <f t="shared" ref="B221" si="66">"164000"</f>
        <v>164000</v>
      </c>
      <c r="C221" t="s">
        <v>54</v>
      </c>
      <c r="D221" s="9">
        <v>-68016.19</v>
      </c>
    </row>
    <row r="222" spans="2:4" x14ac:dyDescent="0.25">
      <c r="B222" s="8" t="str">
        <f>"101300"</f>
        <v>101300</v>
      </c>
      <c r="C222" t="s">
        <v>55</v>
      </c>
      <c r="D222" s="9">
        <v>-700000</v>
      </c>
    </row>
    <row r="223" spans="2:4" x14ac:dyDescent="0.25">
      <c r="B223" s="8" t="str">
        <f>"119000"</f>
        <v>119000</v>
      </c>
      <c r="C223" t="s">
        <v>55</v>
      </c>
      <c r="D223" s="9">
        <v>2371307.14</v>
      </c>
    </row>
    <row r="224" spans="2:4" x14ac:dyDescent="0.25">
      <c r="B224" s="8" t="str">
        <f t="shared" ref="B224:B225" si="67">"164000"</f>
        <v>164000</v>
      </c>
      <c r="C224" t="s">
        <v>55</v>
      </c>
      <c r="D224" s="9">
        <v>-108607.19</v>
      </c>
    </row>
    <row r="225" spans="2:4" x14ac:dyDescent="0.25">
      <c r="B225" s="8" t="str">
        <f t="shared" si="67"/>
        <v>164000</v>
      </c>
      <c r="C225" t="s">
        <v>55</v>
      </c>
      <c r="D225" s="9">
        <v>-533562.61</v>
      </c>
    </row>
    <row r="226" spans="2:4" x14ac:dyDescent="0.25">
      <c r="B226" s="8" t="str">
        <f>"101300"</f>
        <v>101300</v>
      </c>
      <c r="C226" t="s">
        <v>56</v>
      </c>
      <c r="D226" s="9">
        <v>-662500</v>
      </c>
    </row>
    <row r="227" spans="2:4" x14ac:dyDescent="0.25">
      <c r="B227" s="8" t="str">
        <f>"119000"</f>
        <v>119000</v>
      </c>
      <c r="C227" t="s">
        <v>56</v>
      </c>
      <c r="D227" s="9">
        <v>889181.92999999993</v>
      </c>
    </row>
    <row r="228" spans="2:4" x14ac:dyDescent="0.25">
      <c r="B228" s="8" t="str">
        <f>"101300"</f>
        <v>101300</v>
      </c>
      <c r="C228" t="s">
        <v>57</v>
      </c>
      <c r="D228" s="9">
        <v>-61973.38</v>
      </c>
    </row>
    <row r="229" spans="2:4" x14ac:dyDescent="0.25">
      <c r="B229" s="8" t="str">
        <f t="shared" ref="B229:B231" si="68">"106880"</f>
        <v>106880</v>
      </c>
      <c r="C229" t="s">
        <v>57</v>
      </c>
      <c r="D229" s="9">
        <v>-4201.63</v>
      </c>
    </row>
    <row r="230" spans="2:4" x14ac:dyDescent="0.25">
      <c r="B230" s="8" t="str">
        <f t="shared" si="68"/>
        <v>106880</v>
      </c>
      <c r="C230" t="s">
        <v>57</v>
      </c>
      <c r="D230" s="9">
        <v>-12709.3</v>
      </c>
    </row>
    <row r="231" spans="2:4" x14ac:dyDescent="0.25">
      <c r="B231" s="8" t="str">
        <f t="shared" si="68"/>
        <v>106880</v>
      </c>
      <c r="C231" t="s">
        <v>57</v>
      </c>
      <c r="D231" s="9">
        <v>-122916.23999999999</v>
      </c>
    </row>
    <row r="232" spans="2:4" x14ac:dyDescent="0.25">
      <c r="B232" s="8" t="str">
        <f>"119000"</f>
        <v>119000</v>
      </c>
      <c r="C232" t="s">
        <v>57</v>
      </c>
      <c r="D232" s="9">
        <v>895141.29999999993</v>
      </c>
    </row>
    <row r="233" spans="2:4" x14ac:dyDescent="0.25">
      <c r="B233" s="8" t="str">
        <f t="shared" ref="B233:B234" si="69">"164000"</f>
        <v>164000</v>
      </c>
      <c r="C233" t="s">
        <v>57</v>
      </c>
      <c r="D233" s="9">
        <v>-654564.20000000007</v>
      </c>
    </row>
    <row r="234" spans="2:4" x14ac:dyDescent="0.25">
      <c r="B234" s="8" t="str">
        <f t="shared" si="69"/>
        <v>164000</v>
      </c>
      <c r="C234" t="s">
        <v>57</v>
      </c>
      <c r="D234" s="9">
        <v>-53858.87</v>
      </c>
    </row>
    <row r="235" spans="2:4" x14ac:dyDescent="0.25">
      <c r="B235" s="8" t="str">
        <f>"119000"</f>
        <v>119000</v>
      </c>
      <c r="C235" t="s">
        <v>58</v>
      </c>
      <c r="D235" s="9">
        <v>60464.81</v>
      </c>
    </row>
    <row r="236" spans="2:4" x14ac:dyDescent="0.25">
      <c r="B236" s="8" t="str">
        <f t="shared" ref="B236:B237" si="70">"164000"</f>
        <v>164000</v>
      </c>
      <c r="C236" t="s">
        <v>58</v>
      </c>
      <c r="D236" s="9">
        <v>-40160.03</v>
      </c>
    </row>
    <row r="237" spans="2:4" x14ac:dyDescent="0.25">
      <c r="B237" s="8" t="str">
        <f t="shared" si="70"/>
        <v>164000</v>
      </c>
      <c r="C237" t="s">
        <v>58</v>
      </c>
      <c r="D237" s="9">
        <v>-133468.04999999999</v>
      </c>
    </row>
    <row r="238" spans="2:4" x14ac:dyDescent="0.25">
      <c r="B238" s="8" t="str">
        <f>"101300"</f>
        <v>101300</v>
      </c>
      <c r="C238" t="s">
        <v>59</v>
      </c>
      <c r="D238" s="9">
        <v>-20000</v>
      </c>
    </row>
    <row r="239" spans="2:4" x14ac:dyDescent="0.25">
      <c r="B239" s="8" t="str">
        <f>"119000"</f>
        <v>119000</v>
      </c>
      <c r="C239" t="s">
        <v>59</v>
      </c>
      <c r="D239" s="9">
        <v>10119.790000000001</v>
      </c>
    </row>
    <row r="240" spans="2:4" x14ac:dyDescent="0.25">
      <c r="B240" s="8" t="str">
        <f>"101300"</f>
        <v>101300</v>
      </c>
      <c r="C240" t="s">
        <v>60</v>
      </c>
      <c r="D240" s="9">
        <v>-20000</v>
      </c>
    </row>
    <row r="241" spans="2:4" x14ac:dyDescent="0.25">
      <c r="B241" s="8" t="str">
        <f>"119000"</f>
        <v>119000</v>
      </c>
      <c r="C241" t="s">
        <v>60</v>
      </c>
      <c r="D241" s="9">
        <v>10656.24</v>
      </c>
    </row>
    <row r="242" spans="2:4" x14ac:dyDescent="0.25">
      <c r="B242" s="8" t="str">
        <f>"119000"</f>
        <v>119000</v>
      </c>
      <c r="C242" t="s">
        <v>61</v>
      </c>
      <c r="D242" s="9">
        <v>348291.26</v>
      </c>
    </row>
    <row r="243" spans="2:4" x14ac:dyDescent="0.25">
      <c r="B243" s="8" t="str">
        <f>"101300"</f>
        <v>101300</v>
      </c>
      <c r="C243" t="s">
        <v>62</v>
      </c>
      <c r="D243" s="9">
        <v>-18600</v>
      </c>
    </row>
    <row r="244" spans="2:4" x14ac:dyDescent="0.25">
      <c r="B244" s="8" t="str">
        <f t="shared" ref="B244:B245" si="71">"106880"</f>
        <v>106880</v>
      </c>
      <c r="C244" t="s">
        <v>62</v>
      </c>
      <c r="D244" s="9">
        <v>-1860</v>
      </c>
    </row>
    <row r="245" spans="2:4" x14ac:dyDescent="0.25">
      <c r="B245" s="8" t="str">
        <f t="shared" si="71"/>
        <v>106880</v>
      </c>
      <c r="C245" t="s">
        <v>62</v>
      </c>
      <c r="D245" s="9">
        <v>-75000</v>
      </c>
    </row>
    <row r="246" spans="2:4" x14ac:dyDescent="0.25">
      <c r="B246" s="8" t="str">
        <f>"119000"</f>
        <v>119000</v>
      </c>
      <c r="C246" t="s">
        <v>62</v>
      </c>
      <c r="D246" s="9">
        <v>69025.09</v>
      </c>
    </row>
    <row r="247" spans="2:4" x14ac:dyDescent="0.25">
      <c r="B247" s="8" t="str">
        <f t="shared" ref="B247" si="72">"164000"</f>
        <v>164000</v>
      </c>
      <c r="C247" t="s">
        <v>62</v>
      </c>
      <c r="D247" s="9">
        <v>-15319.880000000001</v>
      </c>
    </row>
    <row r="248" spans="2:4" x14ac:dyDescent="0.25">
      <c r="B248" s="8" t="str">
        <f>"101300"</f>
        <v>101300</v>
      </c>
      <c r="C248" t="s">
        <v>63</v>
      </c>
      <c r="D248" s="9">
        <v>-80317.5</v>
      </c>
    </row>
    <row r="249" spans="2:4" x14ac:dyDescent="0.25">
      <c r="B249" s="8" t="str">
        <f>"106880"</f>
        <v>106880</v>
      </c>
      <c r="C249" t="s">
        <v>63</v>
      </c>
      <c r="D249" s="9">
        <v>-28547.550000000003</v>
      </c>
    </row>
    <row r="250" spans="2:4" x14ac:dyDescent="0.25">
      <c r="B250" s="8" t="str">
        <f t="shared" ref="B250:B252" si="73">"106880"</f>
        <v>106880</v>
      </c>
      <c r="C250" t="s">
        <v>63</v>
      </c>
      <c r="D250" s="9">
        <v>-30176.13</v>
      </c>
    </row>
    <row r="251" spans="2:4" x14ac:dyDescent="0.25">
      <c r="B251" s="8" t="str">
        <f t="shared" si="73"/>
        <v>106880</v>
      </c>
      <c r="C251" t="s">
        <v>63</v>
      </c>
      <c r="D251" s="9">
        <v>-5765.8600000000006</v>
      </c>
    </row>
    <row r="252" spans="2:4" x14ac:dyDescent="0.25">
      <c r="B252" s="8" t="str">
        <f t="shared" si="73"/>
        <v>106880</v>
      </c>
      <c r="C252" t="s">
        <v>63</v>
      </c>
      <c r="D252" s="9">
        <v>-105489.87</v>
      </c>
    </row>
    <row r="253" spans="2:4" x14ac:dyDescent="0.25">
      <c r="B253" s="8" t="str">
        <f>"119000"</f>
        <v>119000</v>
      </c>
      <c r="C253" t="s">
        <v>63</v>
      </c>
      <c r="D253" s="9">
        <v>28375.530000000002</v>
      </c>
    </row>
    <row r="254" spans="2:4" x14ac:dyDescent="0.25">
      <c r="B254" s="8" t="str">
        <f>"151800"</f>
        <v>151800</v>
      </c>
      <c r="C254" t="s">
        <v>63</v>
      </c>
      <c r="D254" s="9">
        <v>-14698.689999999999</v>
      </c>
    </row>
    <row r="255" spans="2:4" x14ac:dyDescent="0.25">
      <c r="B255" s="8" t="str">
        <f>"101300"</f>
        <v>101300</v>
      </c>
      <c r="C255" t="s">
        <v>64</v>
      </c>
      <c r="D255" s="9">
        <v>-62000</v>
      </c>
    </row>
    <row r="256" spans="2:4" x14ac:dyDescent="0.25">
      <c r="B256" s="8" t="str">
        <f t="shared" ref="B256" si="74">"106880"</f>
        <v>106880</v>
      </c>
      <c r="C256" t="s">
        <v>64</v>
      </c>
      <c r="D256" s="9">
        <v>-6199.9999999999991</v>
      </c>
    </row>
    <row r="257" spans="2:4" x14ac:dyDescent="0.25">
      <c r="B257" s="8" t="str">
        <f>"119000"</f>
        <v>119000</v>
      </c>
      <c r="C257" t="s">
        <v>64</v>
      </c>
      <c r="D257" s="9">
        <v>716057.66</v>
      </c>
    </row>
    <row r="258" spans="2:4" x14ac:dyDescent="0.25">
      <c r="B258" s="8" t="str">
        <f t="shared" ref="B258:B260" si="75">"164000"</f>
        <v>164000</v>
      </c>
      <c r="C258" t="s">
        <v>64</v>
      </c>
      <c r="D258" s="9">
        <v>-800000.00000000012</v>
      </c>
    </row>
    <row r="259" spans="2:4" x14ac:dyDescent="0.25">
      <c r="B259" s="8" t="str">
        <f t="shared" si="75"/>
        <v>164000</v>
      </c>
      <c r="C259" t="s">
        <v>64</v>
      </c>
      <c r="D259" s="9">
        <v>-5450743.71</v>
      </c>
    </row>
    <row r="260" spans="2:4" x14ac:dyDescent="0.25">
      <c r="B260" s="8" t="str">
        <f t="shared" si="75"/>
        <v>164000</v>
      </c>
      <c r="C260" t="s">
        <v>64</v>
      </c>
      <c r="D260" s="9">
        <v>-6157827.8199999994</v>
      </c>
    </row>
    <row r="261" spans="2:4" x14ac:dyDescent="0.25">
      <c r="B261" s="8" t="str">
        <f>"101300"</f>
        <v>101300</v>
      </c>
      <c r="C261" t="s">
        <v>65</v>
      </c>
      <c r="D261" s="9">
        <v>-1750000</v>
      </c>
    </row>
    <row r="262" spans="2:4" x14ac:dyDescent="0.25">
      <c r="B262" s="8" t="str">
        <f>"119000"</f>
        <v>119000</v>
      </c>
      <c r="C262" t="s">
        <v>65</v>
      </c>
      <c r="D262" s="9">
        <v>530820.28</v>
      </c>
    </row>
    <row r="263" spans="2:4" x14ac:dyDescent="0.25">
      <c r="B263" s="8" t="str">
        <f>"101300"</f>
        <v>101300</v>
      </c>
      <c r="C263" t="s">
        <v>66</v>
      </c>
      <c r="D263" s="9">
        <v>-18600</v>
      </c>
    </row>
    <row r="264" spans="2:4" x14ac:dyDescent="0.25">
      <c r="B264" s="8" t="str">
        <f t="shared" ref="B264" si="76">"106880"</f>
        <v>106880</v>
      </c>
      <c r="C264" t="s">
        <v>66</v>
      </c>
      <c r="D264" s="9">
        <v>-1860</v>
      </c>
    </row>
    <row r="265" spans="2:4" x14ac:dyDescent="0.25">
      <c r="B265" s="8" t="str">
        <f>"119000"</f>
        <v>119000</v>
      </c>
      <c r="C265" t="s">
        <v>66</v>
      </c>
      <c r="D265" s="9">
        <v>-3626661.5300000003</v>
      </c>
    </row>
    <row r="266" spans="2:4" x14ac:dyDescent="0.25">
      <c r="B266" s="8" t="str">
        <f>"101300"</f>
        <v>101300</v>
      </c>
      <c r="C266" t="s">
        <v>67</v>
      </c>
      <c r="D266" s="9">
        <v>-61500</v>
      </c>
    </row>
    <row r="267" spans="2:4" x14ac:dyDescent="0.25">
      <c r="B267" s="8" t="str">
        <f>"119000"</f>
        <v>119000</v>
      </c>
      <c r="C267" t="s">
        <v>67</v>
      </c>
      <c r="D267" s="9">
        <v>40600.840000000004</v>
      </c>
    </row>
    <row r="268" spans="2:4" x14ac:dyDescent="0.25">
      <c r="B268" s="8" t="str">
        <f>"101300"</f>
        <v>101300</v>
      </c>
      <c r="C268" t="s">
        <v>68</v>
      </c>
      <c r="D268" s="9">
        <v>-492000</v>
      </c>
    </row>
    <row r="269" spans="2:4" x14ac:dyDescent="0.25">
      <c r="B269" s="8" t="str">
        <f>"119000"</f>
        <v>119000</v>
      </c>
      <c r="C269" t="s">
        <v>68</v>
      </c>
      <c r="D269" s="9">
        <v>500299.75</v>
      </c>
    </row>
    <row r="270" spans="2:4" x14ac:dyDescent="0.25">
      <c r="B270" s="8" t="str">
        <f>"101300"</f>
        <v>101300</v>
      </c>
      <c r="C270" t="s">
        <v>69</v>
      </c>
      <c r="D270" s="9">
        <v>-62500</v>
      </c>
    </row>
    <row r="271" spans="2:4" x14ac:dyDescent="0.25">
      <c r="B271" s="8" t="str">
        <f>"101300"</f>
        <v>101300</v>
      </c>
      <c r="C271" t="s">
        <v>70</v>
      </c>
      <c r="D271" s="9">
        <v>-62000</v>
      </c>
    </row>
    <row r="272" spans="2:4" x14ac:dyDescent="0.25">
      <c r="B272" s="8" t="str">
        <f>"101300"</f>
        <v>101300</v>
      </c>
      <c r="C272" t="s">
        <v>71</v>
      </c>
      <c r="D272" s="9">
        <v>-815000</v>
      </c>
    </row>
    <row r="273" spans="2:4" x14ac:dyDescent="0.25">
      <c r="B273" s="8" t="str">
        <f>"109000"</f>
        <v>109000</v>
      </c>
      <c r="C273" t="s">
        <v>71</v>
      </c>
      <c r="D273" s="9">
        <v>-11.65</v>
      </c>
    </row>
    <row r="274" spans="2:4" x14ac:dyDescent="0.25">
      <c r="B274" s="8" t="str">
        <f>"106880"</f>
        <v>106880</v>
      </c>
      <c r="C274" t="s">
        <v>71</v>
      </c>
      <c r="D274" s="9">
        <v>-2466802.65</v>
      </c>
    </row>
    <row r="275" spans="2:4" x14ac:dyDescent="0.25">
      <c r="B275" s="8" t="str">
        <f t="shared" ref="B275:B277" si="77">"106880"</f>
        <v>106880</v>
      </c>
      <c r="C275" t="s">
        <v>71</v>
      </c>
      <c r="D275" s="9">
        <v>-10302.09</v>
      </c>
    </row>
    <row r="276" spans="2:4" x14ac:dyDescent="0.25">
      <c r="B276" s="8" t="str">
        <f t="shared" si="77"/>
        <v>106880</v>
      </c>
      <c r="C276" t="s">
        <v>71</v>
      </c>
      <c r="D276" s="9">
        <v>-81500</v>
      </c>
    </row>
    <row r="277" spans="2:4" x14ac:dyDescent="0.25">
      <c r="B277" s="8" t="str">
        <f t="shared" si="77"/>
        <v>106880</v>
      </c>
      <c r="C277" t="s">
        <v>71</v>
      </c>
      <c r="D277" s="9">
        <v>-4388.5600000000004</v>
      </c>
    </row>
    <row r="278" spans="2:4" x14ac:dyDescent="0.25">
      <c r="B278" s="8" t="str">
        <f>"119000"</f>
        <v>119000</v>
      </c>
      <c r="C278" t="s">
        <v>71</v>
      </c>
      <c r="D278" s="9">
        <v>-13293543.32</v>
      </c>
    </row>
    <row r="279" spans="2:4" x14ac:dyDescent="0.25">
      <c r="B279" s="8" t="str">
        <f>"151800"</f>
        <v>151800</v>
      </c>
      <c r="C279" t="s">
        <v>71</v>
      </c>
      <c r="D279" s="9">
        <v>-647886.9</v>
      </c>
    </row>
    <row r="280" spans="2:4" x14ac:dyDescent="0.25">
      <c r="B280" s="8" t="str">
        <f>"101300"</f>
        <v>101300</v>
      </c>
      <c r="C280" t="s">
        <v>72</v>
      </c>
      <c r="D280" s="9">
        <v>-64999.999999999993</v>
      </c>
    </row>
    <row r="281" spans="2:4" x14ac:dyDescent="0.25">
      <c r="B281" s="8" t="str">
        <f>"109000"</f>
        <v>109000</v>
      </c>
      <c r="C281" t="s">
        <v>72</v>
      </c>
      <c r="D281" s="9">
        <v>-25.929999999999996</v>
      </c>
    </row>
    <row r="282" spans="2:4" x14ac:dyDescent="0.25">
      <c r="B282" s="8" t="str">
        <f>"106880"</f>
        <v>106880</v>
      </c>
      <c r="C282" t="s">
        <v>72</v>
      </c>
      <c r="D282" s="9">
        <v>-10922351.780000001</v>
      </c>
    </row>
    <row r="283" spans="2:4" x14ac:dyDescent="0.25">
      <c r="B283" s="8" t="str">
        <f t="shared" ref="B283:B285" si="78">"106880"</f>
        <v>106880</v>
      </c>
      <c r="C283" t="s">
        <v>72</v>
      </c>
      <c r="D283" s="9">
        <v>-3842.35</v>
      </c>
    </row>
    <row r="284" spans="2:4" x14ac:dyDescent="0.25">
      <c r="B284" s="8" t="str">
        <f t="shared" si="78"/>
        <v>106880</v>
      </c>
      <c r="C284" t="s">
        <v>72</v>
      </c>
      <c r="D284" s="9">
        <v>-2120.8000000000002</v>
      </c>
    </row>
    <row r="285" spans="2:4" x14ac:dyDescent="0.25">
      <c r="B285" s="8" t="str">
        <f t="shared" si="78"/>
        <v>106880</v>
      </c>
      <c r="C285" t="s">
        <v>72</v>
      </c>
      <c r="D285" s="9">
        <v>-3077985.85</v>
      </c>
    </row>
    <row r="286" spans="2:4" x14ac:dyDescent="0.25">
      <c r="B286" s="8" t="str">
        <f>"119000"</f>
        <v>119000</v>
      </c>
      <c r="C286" t="s">
        <v>72</v>
      </c>
      <c r="D286" s="9">
        <v>2233889.21</v>
      </c>
    </row>
    <row r="287" spans="2:4" x14ac:dyDescent="0.25">
      <c r="B287" s="8" t="str">
        <f>"151800"</f>
        <v>151800</v>
      </c>
      <c r="C287" t="s">
        <v>72</v>
      </c>
      <c r="D287" s="9">
        <v>-5613.86</v>
      </c>
    </row>
    <row r="288" spans="2:4" x14ac:dyDescent="0.25">
      <c r="B288" s="8" t="str">
        <f>"151800"</f>
        <v>151800</v>
      </c>
      <c r="C288" t="s">
        <v>72</v>
      </c>
      <c r="D288" s="9">
        <v>-4807487.99</v>
      </c>
    </row>
    <row r="289" spans="2:4" x14ac:dyDescent="0.25">
      <c r="B289" s="8" t="str">
        <f>"101300"</f>
        <v>101300</v>
      </c>
      <c r="C289" t="s">
        <v>73</v>
      </c>
      <c r="D289" s="9">
        <v>-120000</v>
      </c>
    </row>
    <row r="290" spans="2:4" x14ac:dyDescent="0.25">
      <c r="B290" s="8" t="str">
        <f>"106880"</f>
        <v>106880</v>
      </c>
      <c r="C290" t="s">
        <v>73</v>
      </c>
      <c r="D290" s="9">
        <v>-1889495.18</v>
      </c>
    </row>
    <row r="291" spans="2:4" x14ac:dyDescent="0.25">
      <c r="B291" s="8" t="str">
        <f t="shared" ref="B291:B293" si="79">"106880"</f>
        <v>106880</v>
      </c>
      <c r="C291" t="s">
        <v>73</v>
      </c>
      <c r="D291" s="9">
        <v>-4957.87</v>
      </c>
    </row>
    <row r="292" spans="2:4" x14ac:dyDescent="0.25">
      <c r="B292" s="8" t="str">
        <f t="shared" si="79"/>
        <v>106880</v>
      </c>
      <c r="C292" t="s">
        <v>73</v>
      </c>
      <c r="D292" s="9">
        <v>-53613.840000000004</v>
      </c>
    </row>
    <row r="293" spans="2:4" x14ac:dyDescent="0.25">
      <c r="B293" s="8" t="str">
        <f t="shared" si="79"/>
        <v>106880</v>
      </c>
      <c r="C293" t="s">
        <v>73</v>
      </c>
      <c r="D293" s="9">
        <v>-192078.57</v>
      </c>
    </row>
    <row r="294" spans="2:4" x14ac:dyDescent="0.25">
      <c r="B294" s="8" t="str">
        <f>"119000"</f>
        <v>119000</v>
      </c>
      <c r="C294" t="s">
        <v>73</v>
      </c>
      <c r="D294" s="9">
        <v>89526.11</v>
      </c>
    </row>
    <row r="295" spans="2:4" x14ac:dyDescent="0.25">
      <c r="B295" s="8" t="str">
        <f>"151800"</f>
        <v>151800</v>
      </c>
      <c r="C295" t="s">
        <v>73</v>
      </c>
      <c r="D295" s="9">
        <v>-27754.98</v>
      </c>
    </row>
    <row r="296" spans="2:4" x14ac:dyDescent="0.25">
      <c r="B296" s="8" t="str">
        <f>"151800"</f>
        <v>151800</v>
      </c>
      <c r="C296" t="s">
        <v>73</v>
      </c>
      <c r="D296" s="9">
        <v>-963921.54</v>
      </c>
    </row>
    <row r="297" spans="2:4" x14ac:dyDescent="0.25">
      <c r="B297" s="8" t="str">
        <f t="shared" ref="B297" si="80">"164000"</f>
        <v>164000</v>
      </c>
      <c r="C297" t="s">
        <v>73</v>
      </c>
      <c r="D297" s="9">
        <v>-2415540.7600000002</v>
      </c>
    </row>
    <row r="298" spans="2:4" x14ac:dyDescent="0.25">
      <c r="B298" s="8" t="str">
        <f>"101300"</f>
        <v>101300</v>
      </c>
      <c r="C298" t="s">
        <v>74</v>
      </c>
      <c r="D298" s="9">
        <v>-62000</v>
      </c>
    </row>
    <row r="299" spans="2:4" x14ac:dyDescent="0.25">
      <c r="B299" s="8" t="str">
        <f>"106880"</f>
        <v>106880</v>
      </c>
      <c r="C299" t="s">
        <v>74</v>
      </c>
      <c r="D299" s="9">
        <v>-1858556.09</v>
      </c>
    </row>
    <row r="300" spans="2:4" x14ac:dyDescent="0.25">
      <c r="B300" s="8" t="str">
        <f t="shared" ref="B300" si="81">"106880"</f>
        <v>106880</v>
      </c>
      <c r="C300" t="s">
        <v>74</v>
      </c>
      <c r="D300" s="9">
        <v>-6199.9999999999991</v>
      </c>
    </row>
    <row r="301" spans="2:4" x14ac:dyDescent="0.25">
      <c r="B301" s="8" t="str">
        <f>"119000"</f>
        <v>119000</v>
      </c>
      <c r="C301" t="s">
        <v>74</v>
      </c>
      <c r="D301" s="9">
        <v>-2624994.1599999997</v>
      </c>
    </row>
    <row r="302" spans="2:4" x14ac:dyDescent="0.25">
      <c r="B302" s="8" t="str">
        <f>"151800"</f>
        <v>151800</v>
      </c>
      <c r="C302" t="s">
        <v>74</v>
      </c>
      <c r="D302" s="9">
        <v>-139162.46</v>
      </c>
    </row>
    <row r="303" spans="2:4" x14ac:dyDescent="0.25">
      <c r="B303" s="8" t="str">
        <f t="shared" ref="B303" si="82">"164000"</f>
        <v>164000</v>
      </c>
      <c r="C303" t="s">
        <v>74</v>
      </c>
      <c r="D303" s="9">
        <v>-2000000</v>
      </c>
    </row>
    <row r="304" spans="2:4" x14ac:dyDescent="0.25">
      <c r="B304" s="8" t="str">
        <f>"101300"</f>
        <v>101300</v>
      </c>
      <c r="C304" t="s">
        <v>75</v>
      </c>
      <c r="D304" s="9">
        <v>-750</v>
      </c>
    </row>
    <row r="305" spans="2:4" x14ac:dyDescent="0.25">
      <c r="B305" s="8" t="str">
        <f>"101300"</f>
        <v>101300</v>
      </c>
      <c r="C305" t="s">
        <v>76</v>
      </c>
      <c r="D305" s="9">
        <v>-40000</v>
      </c>
    </row>
    <row r="306" spans="2:4" x14ac:dyDescent="0.25">
      <c r="B306" s="8" t="str">
        <f>"106880"</f>
        <v>106880</v>
      </c>
      <c r="C306" t="s">
        <v>76</v>
      </c>
      <c r="D306" s="9">
        <v>-3240808.4999999995</v>
      </c>
    </row>
    <row r="307" spans="2:4" x14ac:dyDescent="0.25">
      <c r="B307" s="8" t="str">
        <f t="shared" ref="B307:B309" si="83">"106880"</f>
        <v>106880</v>
      </c>
      <c r="C307" t="s">
        <v>76</v>
      </c>
      <c r="D307" s="9">
        <v>-3999.9999999999995</v>
      </c>
    </row>
    <row r="308" spans="2:4" x14ac:dyDescent="0.25">
      <c r="B308" s="8" t="str">
        <f t="shared" si="83"/>
        <v>106880</v>
      </c>
      <c r="C308" t="s">
        <v>76</v>
      </c>
      <c r="D308" s="9">
        <v>-37500</v>
      </c>
    </row>
    <row r="309" spans="2:4" x14ac:dyDescent="0.25">
      <c r="B309" s="8" t="str">
        <f t="shared" si="83"/>
        <v>106880</v>
      </c>
      <c r="C309" t="s">
        <v>76</v>
      </c>
      <c r="D309" s="9">
        <v>-567218.49</v>
      </c>
    </row>
    <row r="310" spans="2:4" x14ac:dyDescent="0.25">
      <c r="B310" s="8" t="str">
        <f>"119000"</f>
        <v>119000</v>
      </c>
      <c r="C310" t="s">
        <v>76</v>
      </c>
      <c r="D310" s="9">
        <v>-45867.71</v>
      </c>
    </row>
    <row r="311" spans="2:4" x14ac:dyDescent="0.25">
      <c r="B311" s="8" t="str">
        <f>"131000"</f>
        <v>131000</v>
      </c>
      <c r="C311" t="s">
        <v>76</v>
      </c>
      <c r="D311" s="9">
        <v>-14205.41</v>
      </c>
    </row>
    <row r="312" spans="2:4" x14ac:dyDescent="0.25">
      <c r="B312" s="8" t="str">
        <f>"139000"</f>
        <v>139000</v>
      </c>
      <c r="C312" t="s">
        <v>76</v>
      </c>
      <c r="D312" s="9">
        <v>11364.32</v>
      </c>
    </row>
    <row r="313" spans="2:4" x14ac:dyDescent="0.25">
      <c r="B313" s="8" t="str">
        <f>"151800"</f>
        <v>151800</v>
      </c>
      <c r="C313" t="s">
        <v>76</v>
      </c>
      <c r="D313" s="9">
        <v>-1643297.0599999998</v>
      </c>
    </row>
    <row r="314" spans="2:4" x14ac:dyDescent="0.25">
      <c r="B314" s="8" t="str">
        <f>"101300"</f>
        <v>101300</v>
      </c>
      <c r="C314" t="s">
        <v>77</v>
      </c>
      <c r="D314" s="9">
        <v>-138820.37</v>
      </c>
    </row>
    <row r="315" spans="2:4" x14ac:dyDescent="0.25">
      <c r="B315" s="8" t="str">
        <f>"106880"</f>
        <v>106880</v>
      </c>
      <c r="C315" t="s">
        <v>77</v>
      </c>
      <c r="D315" s="9">
        <v>-813813.05</v>
      </c>
    </row>
    <row r="316" spans="2:4" x14ac:dyDescent="0.25">
      <c r="B316" s="8" t="str">
        <f>"106880"</f>
        <v>106880</v>
      </c>
      <c r="C316" t="s">
        <v>77</v>
      </c>
      <c r="D316" s="9">
        <v>-1494791.56</v>
      </c>
    </row>
    <row r="317" spans="2:4" x14ac:dyDescent="0.25">
      <c r="B317" s="8" t="str">
        <f t="shared" ref="B317:B320" si="84">"106880"</f>
        <v>106880</v>
      </c>
      <c r="C317" t="s">
        <v>77</v>
      </c>
      <c r="D317" s="9">
        <v>-13882.04</v>
      </c>
    </row>
    <row r="318" spans="2:4" x14ac:dyDescent="0.25">
      <c r="B318" s="8" t="str">
        <f t="shared" si="84"/>
        <v>106880</v>
      </c>
      <c r="C318" t="s">
        <v>77</v>
      </c>
      <c r="D318" s="9">
        <v>-4933.3499999999995</v>
      </c>
    </row>
    <row r="319" spans="2:4" x14ac:dyDescent="0.25">
      <c r="B319" s="8" t="str">
        <f t="shared" si="84"/>
        <v>106880</v>
      </c>
      <c r="C319" t="s">
        <v>77</v>
      </c>
      <c r="D319" s="9">
        <v>-56250.000000000007</v>
      </c>
    </row>
    <row r="320" spans="2:4" x14ac:dyDescent="0.25">
      <c r="B320" s="8" t="str">
        <f t="shared" si="84"/>
        <v>106880</v>
      </c>
      <c r="C320" t="s">
        <v>77</v>
      </c>
      <c r="D320" s="9">
        <v>-1801202.8599999999</v>
      </c>
    </row>
    <row r="321" spans="2:4" x14ac:dyDescent="0.25">
      <c r="B321" s="8" t="str">
        <f>"119000"</f>
        <v>119000</v>
      </c>
      <c r="C321" t="s">
        <v>77</v>
      </c>
      <c r="D321" s="9">
        <v>653888.61</v>
      </c>
    </row>
    <row r="322" spans="2:4" x14ac:dyDescent="0.25">
      <c r="B322" s="8" t="str">
        <f>"151800"</f>
        <v>151800</v>
      </c>
      <c r="C322" t="s">
        <v>77</v>
      </c>
      <c r="D322" s="9">
        <v>-1177598.6300000001</v>
      </c>
    </row>
    <row r="323" spans="2:4" x14ac:dyDescent="0.25">
      <c r="B323" s="8" t="str">
        <f>"151800"</f>
        <v>151800</v>
      </c>
      <c r="C323" t="s">
        <v>77</v>
      </c>
      <c r="D323" s="9">
        <v>-2540.29</v>
      </c>
    </row>
    <row r="324" spans="2:4" x14ac:dyDescent="0.25">
      <c r="B324" s="8" t="str">
        <f t="shared" ref="B324:B325" si="85">"164000"</f>
        <v>164000</v>
      </c>
      <c r="C324" t="s">
        <v>77</v>
      </c>
      <c r="D324" s="9">
        <v>-74778.64</v>
      </c>
    </row>
    <row r="325" spans="2:4" x14ac:dyDescent="0.25">
      <c r="B325" s="8" t="str">
        <f t="shared" si="85"/>
        <v>164000</v>
      </c>
      <c r="C325" t="s">
        <v>77</v>
      </c>
      <c r="D325" s="9">
        <v>-471915.26</v>
      </c>
    </row>
    <row r="326" spans="2:4" x14ac:dyDescent="0.25">
      <c r="B326" s="8" t="str">
        <f>"101300"</f>
        <v>101300</v>
      </c>
      <c r="C326" t="s">
        <v>78</v>
      </c>
      <c r="D326" s="9">
        <v>-1162000</v>
      </c>
    </row>
    <row r="327" spans="2:4" x14ac:dyDescent="0.25">
      <c r="B327" s="8" t="str">
        <f t="shared" ref="B327" si="86">"106880"</f>
        <v>106880</v>
      </c>
      <c r="C327" t="s">
        <v>78</v>
      </c>
      <c r="D327" s="9">
        <v>-116200</v>
      </c>
    </row>
    <row r="328" spans="2:4" x14ac:dyDescent="0.25">
      <c r="B328" s="8" t="str">
        <f>"119000"</f>
        <v>119000</v>
      </c>
      <c r="C328" t="s">
        <v>78</v>
      </c>
      <c r="D328" s="9">
        <v>-3590353.16</v>
      </c>
    </row>
    <row r="329" spans="2:4" x14ac:dyDescent="0.25">
      <c r="B329" s="8" t="str">
        <f>"101300"</f>
        <v>101300</v>
      </c>
      <c r="C329" t="s">
        <v>79</v>
      </c>
      <c r="D329" s="9">
        <v>-851700</v>
      </c>
    </row>
    <row r="330" spans="2:4" x14ac:dyDescent="0.25">
      <c r="B330" s="8" t="str">
        <f t="shared" ref="B330:B331" si="87">"106880"</f>
        <v>106880</v>
      </c>
      <c r="C330" t="s">
        <v>79</v>
      </c>
      <c r="D330" s="9">
        <v>-2756104.85</v>
      </c>
    </row>
    <row r="331" spans="2:4" x14ac:dyDescent="0.25">
      <c r="B331" s="8" t="str">
        <f t="shared" si="87"/>
        <v>106880</v>
      </c>
      <c r="C331" t="s">
        <v>79</v>
      </c>
      <c r="D331" s="9">
        <v>-506.67999999999995</v>
      </c>
    </row>
    <row r="332" spans="2:4" x14ac:dyDescent="0.25">
      <c r="B332" s="8" t="str">
        <f>"119000"</f>
        <v>119000</v>
      </c>
      <c r="C332" t="s">
        <v>79</v>
      </c>
      <c r="D332" s="9">
        <v>215146.49000000002</v>
      </c>
    </row>
    <row r="333" spans="2:4" x14ac:dyDescent="0.25">
      <c r="B333" s="8" t="str">
        <f t="shared" ref="B333" si="88">"164000"</f>
        <v>164000</v>
      </c>
      <c r="C333" t="s">
        <v>79</v>
      </c>
      <c r="D333" s="9">
        <v>-71660.98</v>
      </c>
    </row>
    <row r="334" spans="2:4" x14ac:dyDescent="0.25">
      <c r="B334" s="8" t="str">
        <f>"101300"</f>
        <v>101300</v>
      </c>
      <c r="C334" t="s">
        <v>80</v>
      </c>
      <c r="D334" s="9">
        <v>-1608433.6</v>
      </c>
    </row>
    <row r="335" spans="2:4" x14ac:dyDescent="0.25">
      <c r="B335" s="8" t="str">
        <f>"106880"</f>
        <v>106880</v>
      </c>
      <c r="C335" t="s">
        <v>80</v>
      </c>
      <c r="D335" s="9">
        <v>-3574869.09</v>
      </c>
    </row>
    <row r="336" spans="2:4" x14ac:dyDescent="0.25">
      <c r="B336" s="8" t="str">
        <f t="shared" ref="B336:B337" si="89">"106880"</f>
        <v>106880</v>
      </c>
      <c r="C336" t="s">
        <v>80</v>
      </c>
      <c r="D336" s="9">
        <v>-6199.9999999999991</v>
      </c>
    </row>
    <row r="337" spans="2:4" x14ac:dyDescent="0.25">
      <c r="B337" s="8" t="str">
        <f t="shared" si="89"/>
        <v>106880</v>
      </c>
      <c r="C337" t="s">
        <v>80</v>
      </c>
      <c r="D337" s="9">
        <v>-576968.06999999995</v>
      </c>
    </row>
    <row r="338" spans="2:4" x14ac:dyDescent="0.25">
      <c r="B338" s="8" t="str">
        <f>"119000"</f>
        <v>119000</v>
      </c>
      <c r="C338" t="s">
        <v>80</v>
      </c>
      <c r="D338" s="9">
        <v>1017946.49</v>
      </c>
    </row>
    <row r="339" spans="2:4" x14ac:dyDescent="0.25">
      <c r="B339" s="8" t="str">
        <f>"151800"</f>
        <v>151800</v>
      </c>
      <c r="C339" t="s">
        <v>80</v>
      </c>
      <c r="D339" s="9">
        <v>-1516292.61</v>
      </c>
    </row>
    <row r="340" spans="2:4" x14ac:dyDescent="0.25">
      <c r="B340" s="8" t="str">
        <f>"101300"</f>
        <v>101300</v>
      </c>
      <c r="C340" t="s">
        <v>81</v>
      </c>
      <c r="D340" s="9">
        <v>-3724159.9999999995</v>
      </c>
    </row>
    <row r="341" spans="2:4" x14ac:dyDescent="0.25">
      <c r="B341" s="8" t="str">
        <f>"119000"</f>
        <v>119000</v>
      </c>
      <c r="C341" t="s">
        <v>81</v>
      </c>
      <c r="D341" s="9">
        <v>846167.58000000007</v>
      </c>
    </row>
    <row r="342" spans="2:4" x14ac:dyDescent="0.25">
      <c r="B342" s="8" t="str">
        <f t="shared" ref="B342" si="90">"164000"</f>
        <v>164000</v>
      </c>
      <c r="C342" t="s">
        <v>81</v>
      </c>
      <c r="D342" s="9">
        <v>-10138542.23</v>
      </c>
    </row>
    <row r="343" spans="2:4" x14ac:dyDescent="0.25">
      <c r="B343" s="8" t="str">
        <f>"101300"</f>
        <v>101300</v>
      </c>
      <c r="C343" t="s">
        <v>82</v>
      </c>
      <c r="D343" s="9">
        <v>-62000</v>
      </c>
    </row>
    <row r="344" spans="2:4" x14ac:dyDescent="0.25">
      <c r="B344" s="8" t="str">
        <f>"106880"</f>
        <v>106880</v>
      </c>
      <c r="C344" t="s">
        <v>82</v>
      </c>
      <c r="D344" s="9">
        <v>-1512890.33</v>
      </c>
    </row>
    <row r="345" spans="2:4" x14ac:dyDescent="0.25">
      <c r="B345" s="8" t="str">
        <f t="shared" ref="B345:B348" si="91">"106880"</f>
        <v>106880</v>
      </c>
      <c r="C345" t="s">
        <v>82</v>
      </c>
      <c r="D345" s="9">
        <v>-6199.9999999999991</v>
      </c>
    </row>
    <row r="346" spans="2:4" x14ac:dyDescent="0.25">
      <c r="B346" s="8" t="str">
        <f t="shared" si="91"/>
        <v>106880</v>
      </c>
      <c r="C346" t="s">
        <v>82</v>
      </c>
      <c r="D346" s="9">
        <v>-15907.820000000002</v>
      </c>
    </row>
    <row r="347" spans="2:4" x14ac:dyDescent="0.25">
      <c r="B347" s="8" t="str">
        <f t="shared" si="91"/>
        <v>106880</v>
      </c>
      <c r="C347" t="s">
        <v>82</v>
      </c>
      <c r="D347" s="9">
        <v>-25000.000000000004</v>
      </c>
    </row>
    <row r="348" spans="2:4" x14ac:dyDescent="0.25">
      <c r="B348" s="8" t="str">
        <f t="shared" si="91"/>
        <v>106880</v>
      </c>
      <c r="C348" t="s">
        <v>82</v>
      </c>
      <c r="D348" s="9">
        <v>-248598.22999999998</v>
      </c>
    </row>
    <row r="349" spans="2:4" x14ac:dyDescent="0.25">
      <c r="B349" s="8" t="str">
        <f>"119000"</f>
        <v>119000</v>
      </c>
      <c r="C349" t="s">
        <v>82</v>
      </c>
      <c r="D349" s="9">
        <v>-275844.39</v>
      </c>
    </row>
    <row r="350" spans="2:4" x14ac:dyDescent="0.25">
      <c r="B350" s="8" t="str">
        <f>"151800"</f>
        <v>151800</v>
      </c>
      <c r="C350" t="s">
        <v>82</v>
      </c>
      <c r="D350" s="9">
        <v>-779020.48</v>
      </c>
    </row>
    <row r="351" spans="2:4" x14ac:dyDescent="0.25">
      <c r="B351" s="8" t="str">
        <f t="shared" ref="B351:B352" si="92">"164000"</f>
        <v>164000</v>
      </c>
      <c r="C351" t="s">
        <v>82</v>
      </c>
      <c r="D351" s="9">
        <v>-46566.2</v>
      </c>
    </row>
    <row r="352" spans="2:4" x14ac:dyDescent="0.25">
      <c r="B352" s="8" t="str">
        <f t="shared" si="92"/>
        <v>164000</v>
      </c>
      <c r="C352" t="s">
        <v>82</v>
      </c>
      <c r="D352" s="9">
        <v>-221959.30000000002</v>
      </c>
    </row>
    <row r="353" spans="2:4" x14ac:dyDescent="0.25">
      <c r="B353" s="8" t="str">
        <f>"101300"</f>
        <v>101300</v>
      </c>
      <c r="C353" t="s">
        <v>83</v>
      </c>
      <c r="D353" s="9">
        <v>-100000.00000000001</v>
      </c>
    </row>
    <row r="354" spans="2:4" x14ac:dyDescent="0.25">
      <c r="B354" s="8" t="str">
        <f t="shared" ref="B354" si="93">"106880"</f>
        <v>106880</v>
      </c>
      <c r="C354" t="s">
        <v>83</v>
      </c>
      <c r="D354" s="9">
        <v>-10000</v>
      </c>
    </row>
    <row r="355" spans="2:4" x14ac:dyDescent="0.25">
      <c r="B355" s="8" t="str">
        <f>"119000"</f>
        <v>119000</v>
      </c>
      <c r="C355" t="s">
        <v>83</v>
      </c>
      <c r="D355" s="9">
        <v>-746.71</v>
      </c>
    </row>
    <row r="356" spans="2:4" x14ac:dyDescent="0.25">
      <c r="B356" s="8" t="str">
        <f t="shared" ref="B356" si="94">"164000"</f>
        <v>164000</v>
      </c>
      <c r="C356" t="s">
        <v>83</v>
      </c>
      <c r="D356" s="9">
        <v>-13550000</v>
      </c>
    </row>
    <row r="357" spans="2:4" x14ac:dyDescent="0.25">
      <c r="B357" s="8" t="str">
        <f>"101300"</f>
        <v>101300</v>
      </c>
      <c r="C357" t="s">
        <v>84</v>
      </c>
      <c r="D357" s="9">
        <v>-330000</v>
      </c>
    </row>
    <row r="358" spans="2:4" x14ac:dyDescent="0.25">
      <c r="B358" s="8" t="str">
        <f>"119000"</f>
        <v>119000</v>
      </c>
      <c r="C358" t="s">
        <v>84</v>
      </c>
      <c r="D358" s="9">
        <v>201173.09</v>
      </c>
    </row>
    <row r="359" spans="2:4" x14ac:dyDescent="0.25">
      <c r="B359" s="8" t="str">
        <f>"101300"</f>
        <v>101300</v>
      </c>
      <c r="C359" t="s">
        <v>85</v>
      </c>
      <c r="D359" s="9">
        <v>-350000</v>
      </c>
    </row>
    <row r="360" spans="2:4" x14ac:dyDescent="0.25">
      <c r="B360" s="8" t="str">
        <f t="shared" ref="B360" si="95">"106880"</f>
        <v>106880</v>
      </c>
      <c r="C360" t="s">
        <v>85</v>
      </c>
      <c r="D360" s="9">
        <v>-36</v>
      </c>
    </row>
    <row r="361" spans="2:4" x14ac:dyDescent="0.25">
      <c r="B361" s="8" t="str">
        <f>"119000"</f>
        <v>119000</v>
      </c>
      <c r="C361" t="s">
        <v>85</v>
      </c>
      <c r="D361" s="9">
        <v>47033.11</v>
      </c>
    </row>
    <row r="362" spans="2:4" x14ac:dyDescent="0.25">
      <c r="B362" s="8" t="str">
        <f>"101300"</f>
        <v>101300</v>
      </c>
      <c r="C362" t="s">
        <v>86</v>
      </c>
      <c r="D362" s="9">
        <v>-1062000</v>
      </c>
    </row>
    <row r="363" spans="2:4" x14ac:dyDescent="0.25">
      <c r="B363" s="8" t="str">
        <f t="shared" ref="B363:B364" si="96">"106880"</f>
        <v>106880</v>
      </c>
      <c r="C363" t="s">
        <v>86</v>
      </c>
      <c r="D363" s="9">
        <v>-4544.53</v>
      </c>
    </row>
    <row r="364" spans="2:4" x14ac:dyDescent="0.25">
      <c r="B364" s="8" t="str">
        <f t="shared" si="96"/>
        <v>106880</v>
      </c>
      <c r="C364" t="s">
        <v>86</v>
      </c>
      <c r="D364" s="9">
        <v>-316114.91000000003</v>
      </c>
    </row>
    <row r="365" spans="2:4" x14ac:dyDescent="0.25">
      <c r="B365" s="8" t="str">
        <f>"119000"</f>
        <v>119000</v>
      </c>
      <c r="C365" t="s">
        <v>86</v>
      </c>
      <c r="D365" s="9">
        <v>654342.99</v>
      </c>
    </row>
    <row r="366" spans="2:4" x14ac:dyDescent="0.25">
      <c r="B366" s="8" t="str">
        <f>"101300"</f>
        <v>101300</v>
      </c>
      <c r="C366" t="s">
        <v>87</v>
      </c>
      <c r="D366" s="9">
        <v>-1500000</v>
      </c>
    </row>
    <row r="367" spans="2:4" x14ac:dyDescent="0.25">
      <c r="B367" s="8" t="str">
        <f>"101300"</f>
        <v>101300</v>
      </c>
      <c r="C367" t="s">
        <v>88</v>
      </c>
      <c r="D367" s="9">
        <v>-15594999.999999998</v>
      </c>
    </row>
    <row r="368" spans="2:4" x14ac:dyDescent="0.25">
      <c r="B368" s="8" t="str">
        <f>"119000"</f>
        <v>119000</v>
      </c>
      <c r="C368" t="s">
        <v>88</v>
      </c>
      <c r="D368" s="9">
        <v>341083.1</v>
      </c>
    </row>
    <row r="369" spans="2:4" x14ac:dyDescent="0.25">
      <c r="B369" s="8" t="str">
        <f>"101300"</f>
        <v>101300</v>
      </c>
      <c r="C369" t="s">
        <v>89</v>
      </c>
      <c r="D369" s="9">
        <v>-3919300</v>
      </c>
    </row>
    <row r="370" spans="2:4" x14ac:dyDescent="0.25">
      <c r="B370" s="8" t="str">
        <f t="shared" ref="B370" si="97">"106880"</f>
        <v>106880</v>
      </c>
      <c r="C370" t="s">
        <v>89</v>
      </c>
      <c r="D370" s="9">
        <v>-26000</v>
      </c>
    </row>
    <row r="371" spans="2:4" x14ac:dyDescent="0.25">
      <c r="B371" s="8" t="str">
        <f>"119000"</f>
        <v>119000</v>
      </c>
      <c r="C371" t="s">
        <v>89</v>
      </c>
      <c r="D371" s="9">
        <v>-62039.48</v>
      </c>
    </row>
    <row r="372" spans="2:4" x14ac:dyDescent="0.25">
      <c r="B372" s="8" t="str">
        <f>"101300"</f>
        <v>101300</v>
      </c>
      <c r="C372" t="s">
        <v>90</v>
      </c>
      <c r="D372" s="9">
        <v>-247893.52</v>
      </c>
    </row>
    <row r="373" spans="2:4" x14ac:dyDescent="0.25">
      <c r="B373" s="8" t="str">
        <f>"106880"</f>
        <v>106880</v>
      </c>
      <c r="C373" t="s">
        <v>90</v>
      </c>
      <c r="D373" s="9">
        <v>-914330.69</v>
      </c>
    </row>
    <row r="374" spans="2:4" x14ac:dyDescent="0.25">
      <c r="B374" s="8" t="str">
        <f t="shared" ref="B374:B375" si="98">"106880"</f>
        <v>106880</v>
      </c>
      <c r="C374" t="s">
        <v>90</v>
      </c>
      <c r="D374" s="9">
        <v>-25.08</v>
      </c>
    </row>
    <row r="375" spans="2:4" x14ac:dyDescent="0.25">
      <c r="B375" s="8" t="str">
        <f t="shared" si="98"/>
        <v>106880</v>
      </c>
      <c r="C375" t="s">
        <v>90</v>
      </c>
      <c r="D375" s="9">
        <v>-476.54</v>
      </c>
    </row>
    <row r="376" spans="2:4" x14ac:dyDescent="0.25">
      <c r="B376" s="8" t="str">
        <f>"119000"</f>
        <v>119000</v>
      </c>
      <c r="C376" t="s">
        <v>90</v>
      </c>
      <c r="D376" s="9">
        <v>152389.50999999998</v>
      </c>
    </row>
    <row r="377" spans="2:4" x14ac:dyDescent="0.25">
      <c r="B377" s="8" t="str">
        <f>"151100"</f>
        <v>151100</v>
      </c>
      <c r="C377" t="s">
        <v>90</v>
      </c>
      <c r="D377" s="9">
        <v>-16276.070000000002</v>
      </c>
    </row>
    <row r="378" spans="2:4" x14ac:dyDescent="0.25">
      <c r="B378" s="8" t="str">
        <f t="shared" ref="B378" si="99">"164000"</f>
        <v>164000</v>
      </c>
      <c r="C378" t="s">
        <v>90</v>
      </c>
      <c r="D378" s="9">
        <v>-3183608.2499999995</v>
      </c>
    </row>
    <row r="379" spans="2:4" x14ac:dyDescent="0.25">
      <c r="B379" s="8" t="str">
        <f>"101300"</f>
        <v>101300</v>
      </c>
      <c r="C379" t="s">
        <v>91</v>
      </c>
      <c r="D379" s="9">
        <v>-800000.00000000012</v>
      </c>
    </row>
    <row r="380" spans="2:4" x14ac:dyDescent="0.25">
      <c r="B380" s="8" t="str">
        <f>"106880"</f>
        <v>106880</v>
      </c>
      <c r="C380" t="s">
        <v>91</v>
      </c>
      <c r="D380" s="9">
        <v>-3105000.03</v>
      </c>
    </row>
    <row r="381" spans="2:4" x14ac:dyDescent="0.25">
      <c r="B381" s="8" t="str">
        <f t="shared" ref="B381" si="100">"106880"</f>
        <v>106880</v>
      </c>
      <c r="C381" t="s">
        <v>91</v>
      </c>
      <c r="D381" s="9">
        <v>-3658.64</v>
      </c>
    </row>
    <row r="382" spans="2:4" x14ac:dyDescent="0.25">
      <c r="B382" s="8" t="str">
        <f>"119000"</f>
        <v>119000</v>
      </c>
      <c r="C382" t="s">
        <v>91</v>
      </c>
      <c r="D382" s="9">
        <v>-69514.259999999995</v>
      </c>
    </row>
    <row r="383" spans="2:4" x14ac:dyDescent="0.25">
      <c r="B383" s="8" t="str">
        <f t="shared" ref="B383" si="101">"164000"</f>
        <v>164000</v>
      </c>
      <c r="C383" t="s">
        <v>91</v>
      </c>
      <c r="D383" s="9">
        <v>-10650956</v>
      </c>
    </row>
    <row r="384" spans="2:4" x14ac:dyDescent="0.25">
      <c r="B384" s="8" t="str">
        <f>"101300"</f>
        <v>101300</v>
      </c>
      <c r="C384" t="s">
        <v>92</v>
      </c>
      <c r="D384" s="9">
        <v>-161500</v>
      </c>
    </row>
    <row r="385" spans="2:4" x14ac:dyDescent="0.25">
      <c r="B385" s="8" t="str">
        <f t="shared" ref="B385:B387" si="102">"106880"</f>
        <v>106880</v>
      </c>
      <c r="C385" t="s">
        <v>92</v>
      </c>
      <c r="D385" s="9">
        <v>-3885.68</v>
      </c>
    </row>
    <row r="386" spans="2:4" x14ac:dyDescent="0.25">
      <c r="B386" s="8" t="str">
        <f t="shared" si="102"/>
        <v>106880</v>
      </c>
      <c r="C386" t="s">
        <v>92</v>
      </c>
      <c r="D386" s="9">
        <v>-318828.3</v>
      </c>
    </row>
    <row r="387" spans="2:4" x14ac:dyDescent="0.25">
      <c r="B387" s="8" t="str">
        <f t="shared" si="102"/>
        <v>106880</v>
      </c>
      <c r="C387" t="s">
        <v>92</v>
      </c>
      <c r="D387" s="9">
        <v>-60827</v>
      </c>
    </row>
    <row r="388" spans="2:4" x14ac:dyDescent="0.25">
      <c r="B388" s="8" t="str">
        <f>"119000"</f>
        <v>119000</v>
      </c>
      <c r="C388" t="s">
        <v>92</v>
      </c>
      <c r="D388" s="9">
        <v>289278.23</v>
      </c>
    </row>
    <row r="389" spans="2:4" x14ac:dyDescent="0.25">
      <c r="B389" s="8" t="str">
        <f>"151800"</f>
        <v>151800</v>
      </c>
      <c r="C389" t="s">
        <v>92</v>
      </c>
      <c r="D389" s="9">
        <v>-164171.70000000001</v>
      </c>
    </row>
    <row r="390" spans="2:4" x14ac:dyDescent="0.25">
      <c r="B390" s="8" t="str">
        <f>"101300"</f>
        <v>101300</v>
      </c>
      <c r="C390" t="s">
        <v>93</v>
      </c>
      <c r="D390" s="9">
        <v>-500000</v>
      </c>
    </row>
    <row r="391" spans="2:4" x14ac:dyDescent="0.25">
      <c r="B391" s="8" t="str">
        <f>"119000"</f>
        <v>119000</v>
      </c>
      <c r="C391" t="s">
        <v>93</v>
      </c>
      <c r="D391" s="9">
        <v>175893.31</v>
      </c>
    </row>
    <row r="392" spans="2:4" x14ac:dyDescent="0.25">
      <c r="B392" s="8" t="str">
        <f>"101300"</f>
        <v>101300</v>
      </c>
      <c r="C392" t="s">
        <v>94</v>
      </c>
      <c r="D392" s="9">
        <v>-1250000</v>
      </c>
    </row>
    <row r="393" spans="2:4" x14ac:dyDescent="0.25">
      <c r="B393" s="8" t="str">
        <f>"119000"</f>
        <v>119000</v>
      </c>
      <c r="C393" t="s">
        <v>94</v>
      </c>
      <c r="D393" s="9">
        <v>602489.38</v>
      </c>
    </row>
    <row r="394" spans="2:4" x14ac:dyDescent="0.25">
      <c r="B394" s="8" t="str">
        <f>"151100"</f>
        <v>151100</v>
      </c>
      <c r="C394" t="s">
        <v>94</v>
      </c>
      <c r="D394" s="9">
        <v>-50380</v>
      </c>
    </row>
    <row r="395" spans="2:4" x14ac:dyDescent="0.25">
      <c r="B395" s="8" t="str">
        <f>"101300"</f>
        <v>101300</v>
      </c>
      <c r="C395" t="s">
        <v>95</v>
      </c>
      <c r="D395" s="9">
        <v>-18900</v>
      </c>
    </row>
    <row r="396" spans="2:4" x14ac:dyDescent="0.25">
      <c r="B396" s="8" t="str">
        <f>"119000"</f>
        <v>119000</v>
      </c>
      <c r="C396" t="s">
        <v>95</v>
      </c>
      <c r="D396" s="9">
        <v>6047.07</v>
      </c>
    </row>
    <row r="397" spans="2:4" x14ac:dyDescent="0.25">
      <c r="B397" s="8" t="str">
        <f>"101300"</f>
        <v>101300</v>
      </c>
      <c r="C397" t="s">
        <v>96</v>
      </c>
      <c r="D397" s="9">
        <v>-373600</v>
      </c>
    </row>
    <row r="398" spans="2:4" x14ac:dyDescent="0.25">
      <c r="B398" s="8" t="str">
        <f t="shared" ref="B398:B399" si="103">"106880"</f>
        <v>106880</v>
      </c>
      <c r="C398" t="s">
        <v>96</v>
      </c>
      <c r="D398" s="9">
        <v>-16756.900000000001</v>
      </c>
    </row>
    <row r="399" spans="2:4" x14ac:dyDescent="0.25">
      <c r="B399" s="8" t="str">
        <f t="shared" si="103"/>
        <v>106880</v>
      </c>
      <c r="C399" t="s">
        <v>96</v>
      </c>
      <c r="D399" s="9">
        <v>-270000</v>
      </c>
    </row>
    <row r="400" spans="2:4" x14ac:dyDescent="0.25">
      <c r="B400" s="8" t="str">
        <f>"119000"</f>
        <v>119000</v>
      </c>
      <c r="C400" t="s">
        <v>96</v>
      </c>
      <c r="D400" s="9">
        <v>-18381.12</v>
      </c>
    </row>
    <row r="401" spans="2:4" x14ac:dyDescent="0.25">
      <c r="B401" s="8" t="str">
        <f t="shared" ref="B401" si="104">"164000"</f>
        <v>164000</v>
      </c>
      <c r="C401" t="s">
        <v>96</v>
      </c>
      <c r="D401" s="9">
        <v>-1701390.0000000002</v>
      </c>
    </row>
    <row r="402" spans="2:4" x14ac:dyDescent="0.25">
      <c r="B402" s="8" t="str">
        <f>"101300"</f>
        <v>101300</v>
      </c>
      <c r="C402" t="s">
        <v>97</v>
      </c>
      <c r="D402" s="9">
        <v>-823600.00000000012</v>
      </c>
    </row>
    <row r="403" spans="2:4" x14ac:dyDescent="0.25">
      <c r="B403" s="8" t="str">
        <f>"119000"</f>
        <v>119000</v>
      </c>
      <c r="C403" t="s">
        <v>97</v>
      </c>
      <c r="D403" s="9">
        <v>32159.170000000002</v>
      </c>
    </row>
    <row r="404" spans="2:4" x14ac:dyDescent="0.25">
      <c r="B404" s="8" t="str">
        <f>"101300"</f>
        <v>101300</v>
      </c>
      <c r="C404" t="s">
        <v>98</v>
      </c>
      <c r="D404" s="9">
        <v>-533000</v>
      </c>
    </row>
    <row r="405" spans="2:4" x14ac:dyDescent="0.25">
      <c r="B405" s="8" t="str">
        <f t="shared" ref="B405:B406" si="105">"106880"</f>
        <v>106880</v>
      </c>
      <c r="C405" t="s">
        <v>98</v>
      </c>
      <c r="D405" s="9">
        <v>-145116.87</v>
      </c>
    </row>
    <row r="406" spans="2:4" x14ac:dyDescent="0.25">
      <c r="B406" s="8" t="str">
        <f t="shared" si="105"/>
        <v>106880</v>
      </c>
      <c r="C406" t="s">
        <v>98</v>
      </c>
      <c r="D406" s="9">
        <v>-371840.29</v>
      </c>
    </row>
    <row r="407" spans="2:4" x14ac:dyDescent="0.25">
      <c r="B407" s="8" t="str">
        <f>"119000"</f>
        <v>119000</v>
      </c>
      <c r="C407" t="s">
        <v>98</v>
      </c>
      <c r="D407" s="9">
        <v>-389888.13</v>
      </c>
    </row>
    <row r="408" spans="2:4" x14ac:dyDescent="0.25">
      <c r="B408" s="8" t="str">
        <f>"151100"</f>
        <v>151100</v>
      </c>
      <c r="C408" t="s">
        <v>98</v>
      </c>
      <c r="D408" s="9">
        <v>-60000</v>
      </c>
    </row>
    <row r="409" spans="2:4" x14ac:dyDescent="0.25">
      <c r="B409" s="8" t="str">
        <f>"101300"</f>
        <v>101300</v>
      </c>
      <c r="C409" t="s">
        <v>99</v>
      </c>
      <c r="D409" s="9">
        <v>-2498600</v>
      </c>
    </row>
    <row r="410" spans="2:4" x14ac:dyDescent="0.25">
      <c r="B410" s="8" t="str">
        <f>"119000"</f>
        <v>119000</v>
      </c>
      <c r="C410" t="s">
        <v>99</v>
      </c>
      <c r="D410" s="9">
        <v>39410.799999999996</v>
      </c>
    </row>
    <row r="411" spans="2:4" x14ac:dyDescent="0.25">
      <c r="B411" s="8" t="str">
        <f>"101300"</f>
        <v>101300</v>
      </c>
      <c r="C411" t="s">
        <v>100</v>
      </c>
      <c r="D411" s="9">
        <v>-761500</v>
      </c>
    </row>
    <row r="412" spans="2:4" x14ac:dyDescent="0.25">
      <c r="B412" s="8" t="str">
        <f>"119000"</f>
        <v>119000</v>
      </c>
      <c r="C412" t="s">
        <v>100</v>
      </c>
      <c r="D412" s="9">
        <v>16942.77</v>
      </c>
    </row>
    <row r="413" spans="2:4" x14ac:dyDescent="0.25">
      <c r="B413" s="8" t="str">
        <f>"101300"</f>
        <v>101300</v>
      </c>
      <c r="C413" t="s">
        <v>101</v>
      </c>
      <c r="D413" s="9">
        <v>-1500000</v>
      </c>
    </row>
    <row r="414" spans="2:4" x14ac:dyDescent="0.25">
      <c r="B414" s="8" t="str">
        <f>"119000"</f>
        <v>119000</v>
      </c>
      <c r="C414" t="s">
        <v>101</v>
      </c>
      <c r="D414" s="9">
        <v>1248.97</v>
      </c>
    </row>
    <row r="415" spans="2:4" x14ac:dyDescent="0.25">
      <c r="B415" s="8" t="str">
        <f>"101300"</f>
        <v>101300</v>
      </c>
      <c r="C415" t="s">
        <v>13</v>
      </c>
      <c r="D415" s="20" t="str">
        <f ca="1">IFERROR(VLOOKUP($D415,'[2]Mappage de compte'!$B:$G,1,FALSE),"")</f>
        <v>100000</v>
      </c>
    </row>
    <row r="416" spans="2:4" x14ac:dyDescent="0.25">
      <c r="B416" s="8" t="str">
        <f>"101300"</f>
        <v>101300</v>
      </c>
      <c r="C416" t="s">
        <v>13</v>
      </c>
      <c r="D416" s="20" t="str">
        <f ca="1">IFERROR(VLOOKUP($D416,'[2]Mappage de compte'!$B:$G,1,FALSE),"")</f>
        <v/>
      </c>
    </row>
    <row r="417" spans="2:4" x14ac:dyDescent="0.25">
      <c r="B417" s="8" t="str">
        <f>"467000"</f>
        <v>467000</v>
      </c>
      <c r="C417" t="s">
        <v>13</v>
      </c>
      <c r="D417" s="20" t="str">
        <f ca="1">IFERROR(VLOOKUP($D417,'[2]Mappage de compte'!$B:$G,1,FALSE),"")</f>
        <v>101100</v>
      </c>
    </row>
    <row r="418" spans="2:4" x14ac:dyDescent="0.25">
      <c r="B418" s="8" t="str">
        <f>"109000"</f>
        <v>109000</v>
      </c>
      <c r="C418" t="s">
        <v>13</v>
      </c>
      <c r="D418" s="20" t="str">
        <f ca="1">IFERROR(VLOOKUP($D418,'[2]Mappage de compte'!$B:$G,1,FALSE),"")</f>
        <v>110000</v>
      </c>
    </row>
    <row r="419" spans="2:4" x14ac:dyDescent="0.25">
      <c r="B419" s="8"/>
      <c r="C419" t="s">
        <v>13</v>
      </c>
      <c r="D419" s="20" t="str">
        <f ca="1">IFERROR(VLOOKUP($D419,'[2]Mappage de compte'!$B:$G,1,FALSE),"")</f>
        <v/>
      </c>
    </row>
    <row r="420" spans="2:4" x14ac:dyDescent="0.25">
      <c r="B420" s="8" t="str">
        <f>"106880"</f>
        <v>106880</v>
      </c>
      <c r="C420" t="s">
        <v>13</v>
      </c>
      <c r="D420" s="20" t="str">
        <f ca="1">IFERROR(VLOOKUP($D420,'[2]Mappage de compte'!$B:$G,1,FALSE),"")</f>
        <v>121000</v>
      </c>
    </row>
    <row r="421" spans="2:4" x14ac:dyDescent="0.25">
      <c r="B421" s="8" t="str">
        <f>"106880"</f>
        <v>106880</v>
      </c>
      <c r="C421" t="s">
        <v>13</v>
      </c>
      <c r="D421" s="20" t="str">
        <f ca="1">IFERROR(VLOOKUP($D421,'[2]Mappage de compte'!$B:$G,1,FALSE),"")</f>
        <v>121001</v>
      </c>
    </row>
    <row r="422" spans="2:4" x14ac:dyDescent="0.25">
      <c r="B422" s="8" t="str">
        <f>"105000"</f>
        <v>105000</v>
      </c>
      <c r="C422" t="s">
        <v>13</v>
      </c>
      <c r="D422" s="20" t="str">
        <f ca="1">IFERROR(VLOOKUP($D422,'[2]Mappage de compte'!$B:$G,1,FALSE),"")</f>
        <v/>
      </c>
    </row>
    <row r="423" spans="2:4" x14ac:dyDescent="0.25">
      <c r="B423" s="8" t="str">
        <f t="shared" ref="B423:B429" si="106">"106880"</f>
        <v>106880</v>
      </c>
      <c r="C423" t="s">
        <v>13</v>
      </c>
      <c r="D423" s="20" t="str">
        <f ca="1">IFERROR(VLOOKUP($D423,'[2]Mappage de compte'!$B:$G,1,FALSE),"")</f>
        <v>122000</v>
      </c>
    </row>
    <row r="424" spans="2:4" x14ac:dyDescent="0.25">
      <c r="B424" s="8" t="str">
        <f t="shared" si="106"/>
        <v>106880</v>
      </c>
      <c r="C424" t="s">
        <v>13</v>
      </c>
      <c r="D424" s="20" t="str">
        <f ca="1">IFERROR(VLOOKUP($D424,'[2]Mappage de compte'!$B:$G,1,FALSE),"")</f>
        <v>130000</v>
      </c>
    </row>
    <row r="425" spans="2:4" x14ac:dyDescent="0.25">
      <c r="B425" s="8" t="str">
        <f t="shared" si="106"/>
        <v>106880</v>
      </c>
      <c r="C425" t="s">
        <v>13</v>
      </c>
      <c r="D425" s="20" t="str">
        <f ca="1">IFERROR(VLOOKUP($D425,'[2]Mappage de compte'!$B:$G,1,FALSE),"")</f>
        <v>131000</v>
      </c>
    </row>
    <row r="426" spans="2:4" x14ac:dyDescent="0.25">
      <c r="B426" s="8" t="str">
        <f t="shared" si="106"/>
        <v>106880</v>
      </c>
      <c r="C426" t="s">
        <v>13</v>
      </c>
      <c r="D426" s="20" t="str">
        <f ca="1">IFERROR(VLOOKUP($D426,'[2]Mappage de compte'!$B:$G,1,FALSE),"")</f>
        <v>132000</v>
      </c>
    </row>
    <row r="427" spans="2:4" x14ac:dyDescent="0.25">
      <c r="B427" s="8" t="str">
        <f t="shared" si="106"/>
        <v>106880</v>
      </c>
      <c r="C427" t="s">
        <v>13</v>
      </c>
      <c r="D427" s="20" t="str">
        <f ca="1">IFERROR(VLOOKUP($D427,'[2]Mappage de compte'!$B:$G,1,FALSE),"")</f>
        <v>132100</v>
      </c>
    </row>
    <row r="428" spans="2:4" x14ac:dyDescent="0.25">
      <c r="B428" s="8" t="str">
        <f t="shared" si="106"/>
        <v>106880</v>
      </c>
      <c r="C428" t="s">
        <v>13</v>
      </c>
      <c r="D428" s="20" t="str">
        <f ca="1">IFERROR(VLOOKUP($D428,'[2]Mappage de compte'!$B:$G,1,FALSE),"")</f>
        <v>133000</v>
      </c>
    </row>
    <row r="429" spans="2:4" x14ac:dyDescent="0.25">
      <c r="B429" s="8" t="str">
        <f t="shared" si="106"/>
        <v>106880</v>
      </c>
      <c r="C429" t="s">
        <v>13</v>
      </c>
      <c r="D429" s="20" t="str">
        <f ca="1">IFERROR(VLOOKUP($D429,'[2]Mappage de compte'!$B:$G,1,FALSE),"")</f>
        <v>133100</v>
      </c>
    </row>
    <row r="430" spans="2:4" x14ac:dyDescent="0.25">
      <c r="B430" s="8" t="str">
        <f>"119000"</f>
        <v>119000</v>
      </c>
      <c r="C430" t="s">
        <v>13</v>
      </c>
      <c r="D430" s="20" t="str">
        <f ca="1">IFERROR(VLOOKUP($D430,'[2]Mappage de compte'!$B:$G,1,FALSE),"")</f>
        <v>140000</v>
      </c>
    </row>
    <row r="431" spans="2:4" x14ac:dyDescent="0.25">
      <c r="B431" s="8" t="str">
        <f>"119000"</f>
        <v>119000</v>
      </c>
      <c r="C431" t="s">
        <v>13</v>
      </c>
      <c r="D431" s="20" t="str">
        <f ca="1">IFERROR(VLOOKUP($D431,'[2]Mappage de compte'!$B:$G,1,FALSE),"")</f>
        <v>141000</v>
      </c>
    </row>
    <row r="432" spans="2:4" x14ac:dyDescent="0.25">
      <c r="B432" s="8" t="str">
        <f>"131000"</f>
        <v>131000</v>
      </c>
      <c r="C432" t="s">
        <v>13</v>
      </c>
      <c r="D432" s="20" t="str">
        <f ca="1">IFERROR(VLOOKUP($D432,'[2]Mappage de compte'!$B:$G,1,FALSE),"")</f>
        <v/>
      </c>
    </row>
    <row r="433" spans="2:4" x14ac:dyDescent="0.25">
      <c r="B433" s="8" t="str">
        <f>"139000"</f>
        <v>139000</v>
      </c>
      <c r="C433" t="s">
        <v>13</v>
      </c>
      <c r="D433" s="20" t="str">
        <f ca="1">IFERROR(VLOOKUP($D433,'[2]Mappage de compte'!$B:$G,1,FALSE),"")</f>
        <v/>
      </c>
    </row>
    <row r="434" spans="2:4" x14ac:dyDescent="0.25">
      <c r="B434" s="8" t="str">
        <f>"151800"</f>
        <v>151800</v>
      </c>
      <c r="C434" t="s">
        <v>13</v>
      </c>
      <c r="D434" s="20" t="str">
        <f ca="1">IFERROR(VLOOKUP($D434,'[2]Mappage de compte'!$B:$G,1,FALSE),"")</f>
        <v>160000</v>
      </c>
    </row>
    <row r="435" spans="2:4" x14ac:dyDescent="0.25">
      <c r="B435" s="8" t="str">
        <f>"151800"</f>
        <v>151800</v>
      </c>
      <c r="C435" t="s">
        <v>13</v>
      </c>
      <c r="D435" s="20" t="str">
        <f ca="1">IFERROR(VLOOKUP($D435,'[2]Mappage de compte'!$B:$G,1,FALSE),"")</f>
        <v>161000</v>
      </c>
    </row>
    <row r="436" spans="2:4" x14ac:dyDescent="0.25">
      <c r="B436" s="8" t="str">
        <f>"151800"</f>
        <v>151800</v>
      </c>
      <c r="C436" t="s">
        <v>13</v>
      </c>
      <c r="D436" s="20" t="str">
        <f ca="1">IFERROR(VLOOKUP($D436,'[2]Mappage de compte'!$B:$G,1,FALSE),"")</f>
        <v>162000</v>
      </c>
    </row>
    <row r="437" spans="2:4" x14ac:dyDescent="0.25">
      <c r="B437" s="8" t="str">
        <f>"151100"</f>
        <v>151100</v>
      </c>
      <c r="C437" t="s">
        <v>13</v>
      </c>
      <c r="D437" s="20" t="str">
        <f ca="1">IFERROR(VLOOKUP($D437,'[2]Mappage de compte'!$B:$G,1,FALSE),"")</f>
        <v>163000</v>
      </c>
    </row>
    <row r="438" spans="2:4" x14ac:dyDescent="0.25">
      <c r="B438" s="8" t="str">
        <f>"151800"</f>
        <v>151800</v>
      </c>
      <c r="C438" t="s">
        <v>13</v>
      </c>
      <c r="D438" s="20" t="str">
        <f ca="1">IFERROR(VLOOKUP($D438,'[2]Mappage de compte'!$B:$G,1,FALSE),"")</f>
        <v>163001</v>
      </c>
    </row>
    <row r="439" spans="2:4" x14ac:dyDescent="0.25">
      <c r="B439" s="8" t="str">
        <f>"151800"</f>
        <v>151800</v>
      </c>
      <c r="C439" t="s">
        <v>13</v>
      </c>
      <c r="D439" s="20" t="str">
        <f ca="1">IFERROR(VLOOKUP($D439,'[2]Mappage de compte'!$B:$G,1,FALSE),"")</f>
        <v>165000</v>
      </c>
    </row>
    <row r="440" spans="2:4" x14ac:dyDescent="0.25">
      <c r="B440" s="8" t="str">
        <f>"151800"</f>
        <v>151800</v>
      </c>
      <c r="C440" t="s">
        <v>13</v>
      </c>
      <c r="D440" s="20" t="str">
        <f ca="1">IFERROR(VLOOKUP($D440,'[2]Mappage de compte'!$B:$G,1,FALSE),"")</f>
        <v>168000</v>
      </c>
    </row>
    <row r="441" spans="2:4" x14ac:dyDescent="0.25">
      <c r="B441" s="8" t="str">
        <f>"151800"</f>
        <v>151800</v>
      </c>
      <c r="C441" t="s">
        <v>13</v>
      </c>
      <c r="D441" s="20" t="str">
        <f ca="1">IFERROR(VLOOKUP($D441,'[2]Mappage de compte'!$B:$G,1,FALSE),"")</f>
        <v>168001</v>
      </c>
    </row>
    <row r="442" spans="2:4" x14ac:dyDescent="0.25">
      <c r="B442" s="8" t="str">
        <f>"151800"</f>
        <v>151800</v>
      </c>
      <c r="C442" t="s">
        <v>13</v>
      </c>
      <c r="D442" s="20" t="str">
        <f ca="1">IFERROR(VLOOKUP($D442,'[2]Mappage de compte'!$B:$G,1,FALSE),"")</f>
        <v>168002</v>
      </c>
    </row>
    <row r="443" spans="2:4" x14ac:dyDescent="0.25">
      <c r="B443" s="8" t="str">
        <f>"161000"</f>
        <v>161000</v>
      </c>
      <c r="C443" t="s">
        <v>13</v>
      </c>
      <c r="D443" s="20" t="str">
        <f ca="1">IFERROR(VLOOKUP($D443,'[2]Mappage de compte'!$B:$G,1,FALSE),"")</f>
        <v>171101</v>
      </c>
    </row>
    <row r="444" spans="2:4" x14ac:dyDescent="0.25">
      <c r="B444" s="8" t="str">
        <f>"161000"</f>
        <v>161000</v>
      </c>
      <c r="C444" t="s">
        <v>13</v>
      </c>
      <c r="D444" s="20" t="str">
        <f ca="1">IFERROR(VLOOKUP($D444,'[2]Mappage de compte'!$B:$G,1,FALSE),"")</f>
        <v>171102</v>
      </c>
    </row>
    <row r="445" spans="2:4" x14ac:dyDescent="0.25">
      <c r="B445" s="8" t="str">
        <f t="shared" ref="B445:B454" si="107">"164000"</f>
        <v>164000</v>
      </c>
      <c r="C445" t="s">
        <v>13</v>
      </c>
      <c r="D445" s="20" t="str">
        <f ca="1">IFERROR(VLOOKUP($D445,'[2]Mappage de compte'!$B:$G,1,FALSE),"")</f>
        <v>172000</v>
      </c>
    </row>
    <row r="446" spans="2:4" x14ac:dyDescent="0.25">
      <c r="B446" s="8" t="str">
        <f t="shared" si="107"/>
        <v>164000</v>
      </c>
      <c r="C446" t="s">
        <v>13</v>
      </c>
      <c r="D446" s="20" t="str">
        <f ca="1">IFERROR(VLOOKUP($D446,'[2]Mappage de compte'!$B:$G,1,FALSE),"")</f>
        <v>172010</v>
      </c>
    </row>
    <row r="447" spans="2:4" x14ac:dyDescent="0.25">
      <c r="B447" s="8" t="str">
        <f t="shared" si="107"/>
        <v>164000</v>
      </c>
      <c r="C447" t="s">
        <v>13</v>
      </c>
      <c r="D447" s="20" t="str">
        <f ca="1">IFERROR(VLOOKUP($D447,'[2]Mappage de compte'!$B:$G,1,FALSE),"")</f>
        <v>172020</v>
      </c>
    </row>
    <row r="448" spans="2:4" x14ac:dyDescent="0.25">
      <c r="B448" s="8" t="str">
        <f t="shared" si="107"/>
        <v>164000</v>
      </c>
      <c r="C448" t="s">
        <v>13</v>
      </c>
      <c r="D448" s="20" t="str">
        <f ca="1">IFERROR(VLOOKUP($D448,'[2]Mappage de compte'!$B:$G,1,FALSE),"")</f>
        <v>172030</v>
      </c>
    </row>
    <row r="449" spans="2:4" x14ac:dyDescent="0.25">
      <c r="B449" s="8" t="str">
        <f t="shared" si="107"/>
        <v>164000</v>
      </c>
      <c r="C449" t="s">
        <v>13</v>
      </c>
      <c r="D449" s="20" t="str">
        <f ca="1">IFERROR(VLOOKUP($D449,'[2]Mappage de compte'!$B:$G,1,FALSE),"")</f>
        <v>172040</v>
      </c>
    </row>
    <row r="450" spans="2:4" x14ac:dyDescent="0.25">
      <c r="B450" s="8" t="str">
        <f t="shared" si="107"/>
        <v>164000</v>
      </c>
      <c r="C450" t="s">
        <v>13</v>
      </c>
      <c r="D450" s="20" t="str">
        <f ca="1">IFERROR(VLOOKUP($D450,'[2]Mappage de compte'!$B:$G,1,FALSE),"")</f>
        <v>172050</v>
      </c>
    </row>
    <row r="451" spans="2:4" x14ac:dyDescent="0.25">
      <c r="B451" s="8" t="str">
        <f t="shared" si="107"/>
        <v>164000</v>
      </c>
      <c r="C451" t="s">
        <v>13</v>
      </c>
      <c r="D451" s="20" t="str">
        <f ca="1">IFERROR(VLOOKUP($D451,'[2]Mappage de compte'!$B:$G,1,FALSE),"")</f>
        <v>172060</v>
      </c>
    </row>
    <row r="452" spans="2:4" x14ac:dyDescent="0.25">
      <c r="B452" s="8" t="str">
        <f t="shared" si="107"/>
        <v>164000</v>
      </c>
      <c r="C452" t="s">
        <v>13</v>
      </c>
      <c r="D452" s="20" t="str">
        <f ca="1">IFERROR(VLOOKUP($D452,'[2]Mappage de compte'!$B:$G,1,FALSE),"")</f>
        <v>172070</v>
      </c>
    </row>
    <row r="453" spans="2:4" x14ac:dyDescent="0.25">
      <c r="B453" s="8" t="str">
        <f t="shared" si="107"/>
        <v>164000</v>
      </c>
      <c r="C453" t="s">
        <v>13</v>
      </c>
      <c r="D453" s="20" t="str">
        <f ca="1">IFERROR(VLOOKUP($D453,'[2]Mappage de compte'!$B:$G,1,FALSE),"")</f>
        <v>172080</v>
      </c>
    </row>
    <row r="454" spans="2:4" x14ac:dyDescent="0.25">
      <c r="B454" s="8" t="str">
        <f t="shared" si="107"/>
        <v>164000</v>
      </c>
      <c r="C454" t="s">
        <v>13</v>
      </c>
      <c r="D454" s="20" t="str">
        <f ca="1">IFERROR(VLOOKUP($D454,'[2]Mappage de compte'!$B:$G,1,FALSE),"")</f>
        <v>172090</v>
      </c>
    </row>
    <row r="455" spans="2:4" x14ac:dyDescent="0.25">
      <c r="B455" s="8" t="str">
        <f>"168100"</f>
        <v>168100</v>
      </c>
      <c r="C455" t="s">
        <v>13</v>
      </c>
      <c r="D455" s="20" t="str">
        <f ca="1">IFERROR(VLOOKUP($D455,'[2]Mappage de compte'!$B:$G,1,FALSE),"")</f>
        <v/>
      </c>
    </row>
    <row r="456" spans="2:4" x14ac:dyDescent="0.25">
      <c r="B456" s="8" t="str">
        <f t="shared" ref="B456:B479" si="108">"164000"</f>
        <v>164000</v>
      </c>
      <c r="C456" t="s">
        <v>13</v>
      </c>
      <c r="D456" s="20" t="str">
        <f ca="1">IFERROR(VLOOKUP($D456,'[2]Mappage de compte'!$B:$G,1,FALSE),"")</f>
        <v>173000</v>
      </c>
    </row>
    <row r="457" spans="2:4" x14ac:dyDescent="0.25">
      <c r="B457" s="8" t="str">
        <f t="shared" si="108"/>
        <v>164000</v>
      </c>
      <c r="C457" t="s">
        <v>13</v>
      </c>
      <c r="D457" s="20" t="str">
        <f ca="1">IFERROR(VLOOKUP($D457,'[2]Mappage de compte'!$B:$G,1,FALSE),"")</f>
        <v>173010</v>
      </c>
    </row>
    <row r="458" spans="2:4" x14ac:dyDescent="0.25">
      <c r="B458" s="8" t="str">
        <f t="shared" si="108"/>
        <v>164000</v>
      </c>
      <c r="C458" t="s">
        <v>13</v>
      </c>
      <c r="D458" s="20" t="str">
        <f ca="1">IFERROR(VLOOKUP($D458,'[2]Mappage de compte'!$B:$G,1,FALSE),"")</f>
        <v>173020</v>
      </c>
    </row>
    <row r="459" spans="2:4" x14ac:dyDescent="0.25">
      <c r="B459" s="8" t="str">
        <f t="shared" si="108"/>
        <v>164000</v>
      </c>
      <c r="C459" t="s">
        <v>13</v>
      </c>
      <c r="D459" s="20" t="str">
        <f ca="1">IFERROR(VLOOKUP($D459,'[2]Mappage de compte'!$B:$G,1,FALSE),"")</f>
        <v>173030</v>
      </c>
    </row>
    <row r="460" spans="2:4" x14ac:dyDescent="0.25">
      <c r="B460" s="8" t="str">
        <f t="shared" si="108"/>
        <v>164000</v>
      </c>
      <c r="C460" t="s">
        <v>13</v>
      </c>
      <c r="D460" s="20" t="str">
        <f ca="1">IFERROR(VLOOKUP($D460,'[2]Mappage de compte'!$B:$G,1,FALSE),"")</f>
        <v>173040</v>
      </c>
    </row>
    <row r="461" spans="2:4" x14ac:dyDescent="0.25">
      <c r="B461" s="8" t="str">
        <f t="shared" si="108"/>
        <v>164000</v>
      </c>
      <c r="C461" t="s">
        <v>13</v>
      </c>
      <c r="D461" s="20" t="str">
        <f ca="1">IFERROR(VLOOKUP($D461,'[2]Mappage de compte'!$B:$G,1,FALSE),"")</f>
        <v>173050</v>
      </c>
    </row>
    <row r="462" spans="2:4" x14ac:dyDescent="0.25">
      <c r="B462" s="8" t="str">
        <f t="shared" si="108"/>
        <v>164000</v>
      </c>
      <c r="C462" t="s">
        <v>13</v>
      </c>
      <c r="D462" s="20" t="str">
        <f ca="1">IFERROR(VLOOKUP($D462,'[2]Mappage de compte'!$B:$G,1,FALSE),"")</f>
        <v>173060</v>
      </c>
    </row>
    <row r="463" spans="2:4" x14ac:dyDescent="0.25">
      <c r="B463" s="8" t="str">
        <f t="shared" si="108"/>
        <v>164000</v>
      </c>
      <c r="C463" t="s">
        <v>13</v>
      </c>
      <c r="D463" s="20" t="str">
        <f ca="1">IFERROR(VLOOKUP($D463,'[2]Mappage de compte'!$B:$G,1,FALSE),"")</f>
        <v>173070</v>
      </c>
    </row>
    <row r="464" spans="2:4" x14ac:dyDescent="0.25">
      <c r="B464" s="8" t="str">
        <f t="shared" si="108"/>
        <v>164000</v>
      </c>
      <c r="C464" t="s">
        <v>13</v>
      </c>
      <c r="D464" s="20" t="str">
        <f ca="1">IFERROR(VLOOKUP($D464,'[2]Mappage de compte'!$B:$G,1,FALSE),"")</f>
        <v>173080</v>
      </c>
    </row>
    <row r="465" spans="2:4" x14ac:dyDescent="0.25">
      <c r="B465" s="8" t="str">
        <f t="shared" si="108"/>
        <v>164000</v>
      </c>
      <c r="C465" t="s">
        <v>13</v>
      </c>
      <c r="D465" s="20" t="str">
        <f ca="1">IFERROR(VLOOKUP($D465,'[2]Mappage de compte'!$B:$G,1,FALSE),"")</f>
        <v>173090</v>
      </c>
    </row>
    <row r="466" spans="2:4" x14ac:dyDescent="0.25">
      <c r="B466" s="8" t="str">
        <f t="shared" si="108"/>
        <v>164000</v>
      </c>
      <c r="C466" t="s">
        <v>13</v>
      </c>
      <c r="D466" s="20" t="str">
        <f ca="1">IFERROR(VLOOKUP($D466,'[2]Mappage de compte'!$B:$G,1,FALSE),"")</f>
        <v>173100</v>
      </c>
    </row>
    <row r="467" spans="2:4" x14ac:dyDescent="0.25">
      <c r="B467" s="8" t="str">
        <f t="shared" si="108"/>
        <v>164000</v>
      </c>
      <c r="C467" t="s">
        <v>13</v>
      </c>
      <c r="D467" s="20" t="str">
        <f ca="1">IFERROR(VLOOKUP($D467,'[2]Mappage de compte'!$B:$G,1,FALSE),"")</f>
        <v>173101</v>
      </c>
    </row>
    <row r="468" spans="2:4" x14ac:dyDescent="0.25">
      <c r="B468" s="8" t="str">
        <f t="shared" si="108"/>
        <v>164000</v>
      </c>
      <c r="C468" t="s">
        <v>13</v>
      </c>
      <c r="D468" s="20" t="str">
        <f ca="1">IFERROR(VLOOKUP($D468,'[2]Mappage de compte'!$B:$G,1,FALSE),"")</f>
        <v>173102</v>
      </c>
    </row>
    <row r="469" spans="2:4" x14ac:dyDescent="0.25">
      <c r="B469" s="8" t="str">
        <f t="shared" si="108"/>
        <v>164000</v>
      </c>
      <c r="C469" t="s">
        <v>13</v>
      </c>
      <c r="D469" s="20" t="str">
        <f ca="1">IFERROR(VLOOKUP($D469,'[2]Mappage de compte'!$B:$G,1,FALSE),"")</f>
        <v>173103</v>
      </c>
    </row>
    <row r="470" spans="2:4" x14ac:dyDescent="0.25">
      <c r="B470" s="8" t="str">
        <f t="shared" si="108"/>
        <v>164000</v>
      </c>
      <c r="C470" t="s">
        <v>13</v>
      </c>
      <c r="D470" s="20" t="str">
        <f ca="1">IFERROR(VLOOKUP($D470,'[2]Mappage de compte'!$B:$G,1,FALSE),"")</f>
        <v>173104</v>
      </c>
    </row>
    <row r="471" spans="2:4" x14ac:dyDescent="0.25">
      <c r="B471" s="8" t="str">
        <f t="shared" si="108"/>
        <v>164000</v>
      </c>
      <c r="C471" t="s">
        <v>13</v>
      </c>
      <c r="D471" s="20" t="str">
        <f ca="1">IFERROR(VLOOKUP($D471,'[2]Mappage de compte'!$B:$G,1,FALSE),"")</f>
        <v>173105</v>
      </c>
    </row>
    <row r="472" spans="2:4" x14ac:dyDescent="0.25">
      <c r="B472" s="8" t="str">
        <f t="shared" si="108"/>
        <v>164000</v>
      </c>
      <c r="C472" t="s">
        <v>13</v>
      </c>
      <c r="D472" s="20" t="str">
        <f ca="1">IFERROR(VLOOKUP($D472,'[2]Mappage de compte'!$B:$G,1,FALSE),"")</f>
        <v>173106</v>
      </c>
    </row>
    <row r="473" spans="2:4" x14ac:dyDescent="0.25">
      <c r="B473" s="8" t="str">
        <f t="shared" si="108"/>
        <v>164000</v>
      </c>
      <c r="C473" t="s">
        <v>13</v>
      </c>
      <c r="D473" s="20" t="str">
        <f ca="1">IFERROR(VLOOKUP($D473,'[2]Mappage de compte'!$B:$G,1,FALSE),"")</f>
        <v>173107</v>
      </c>
    </row>
    <row r="474" spans="2:4" x14ac:dyDescent="0.25">
      <c r="B474" s="8" t="str">
        <f t="shared" si="108"/>
        <v>164000</v>
      </c>
      <c r="C474" t="s">
        <v>13</v>
      </c>
      <c r="D474" s="20" t="str">
        <f ca="1">IFERROR(VLOOKUP($D474,'[2]Mappage de compte'!$B:$G,1,FALSE),"")</f>
        <v>173108</v>
      </c>
    </row>
    <row r="475" spans="2:4" x14ac:dyDescent="0.25">
      <c r="B475" s="8" t="str">
        <f t="shared" si="108"/>
        <v>164000</v>
      </c>
      <c r="C475" t="s">
        <v>13</v>
      </c>
      <c r="D475" s="20" t="str">
        <f ca="1">IFERROR(VLOOKUP($D475,'[2]Mappage de compte'!$B:$G,1,FALSE),"")</f>
        <v>173109</v>
      </c>
    </row>
    <row r="476" spans="2:4" x14ac:dyDescent="0.25">
      <c r="B476" s="8" t="str">
        <f t="shared" si="108"/>
        <v>164000</v>
      </c>
      <c r="C476" t="s">
        <v>13</v>
      </c>
      <c r="D476" s="20" t="str">
        <f ca="1">IFERROR(VLOOKUP($D476,'[2]Mappage de compte'!$B:$G,1,FALSE),"")</f>
        <v>173110</v>
      </c>
    </row>
    <row r="477" spans="2:4" x14ac:dyDescent="0.25">
      <c r="B477" s="8" t="str">
        <f t="shared" si="108"/>
        <v>164000</v>
      </c>
      <c r="C477" t="s">
        <v>13</v>
      </c>
      <c r="D477" s="20" t="str">
        <f ca="1">IFERROR(VLOOKUP($D477,'[2]Mappage de compte'!$B:$G,1,FALSE),"")</f>
        <v>173120</v>
      </c>
    </row>
    <row r="478" spans="2:4" x14ac:dyDescent="0.25">
      <c r="B478" s="8" t="str">
        <f t="shared" si="108"/>
        <v>164000</v>
      </c>
      <c r="C478" t="s">
        <v>13</v>
      </c>
      <c r="D478" s="20" t="str">
        <f ca="1">IFERROR(VLOOKUP($D478,'[2]Mappage de compte'!$B:$G,1,FALSE),"")</f>
        <v>173130</v>
      </c>
    </row>
    <row r="479" spans="2:4" x14ac:dyDescent="0.25">
      <c r="B479" s="8" t="str">
        <f t="shared" si="108"/>
        <v>164000</v>
      </c>
      <c r="C479" t="s">
        <v>13</v>
      </c>
      <c r="D479" s="20" t="str">
        <f ca="1">IFERROR(VLOOKUP($D479,'[2]Mappage de compte'!$B:$G,1,FALSE),"")</f>
        <v>173140</v>
      </c>
    </row>
    <row r="480" spans="2:4" x14ac:dyDescent="0.25">
      <c r="B480" s="8" t="str">
        <f>"168100"</f>
        <v>168100</v>
      </c>
      <c r="C480" t="s">
        <v>13</v>
      </c>
      <c r="D480" s="20" t="str">
        <f ca="1">IFERROR(VLOOKUP($D480,'[2]Mappage de compte'!$B:$G,1,FALSE),"")</f>
        <v/>
      </c>
    </row>
    <row r="481" spans="2:4" x14ac:dyDescent="0.25">
      <c r="B481" s="8" t="str">
        <f t="shared" ref="B481:B482" si="109">"467820"</f>
        <v>467820</v>
      </c>
      <c r="C481" t="s">
        <v>13</v>
      </c>
      <c r="D481" s="20" t="str">
        <f ca="1">IFERROR(VLOOKUP($D481,'[2]Mappage de compte'!$B:$G,1,FALSE),"")</f>
        <v>178000</v>
      </c>
    </row>
    <row r="482" spans="2:4" x14ac:dyDescent="0.25">
      <c r="B482" s="8" t="str">
        <f t="shared" si="109"/>
        <v>467820</v>
      </c>
      <c r="C482" t="s">
        <v>13</v>
      </c>
      <c r="D482" s="20" t="str">
        <f ca="1">IFERROR(VLOOKUP($D482,'[2]Mappage de compte'!$B:$G,1,FALSE),"")</f>
        <v>178001</v>
      </c>
    </row>
    <row r="483" spans="2:4" x14ac:dyDescent="0.25">
      <c r="B483" s="8" t="str">
        <f>"101300"</f>
        <v>101300</v>
      </c>
      <c r="C483" t="s">
        <v>14</v>
      </c>
      <c r="D483" s="21" t="str">
        <f ca="1">IFERROR(VLOOKUP($D483,'[2]Mappage de compte'!$B:$G,2,FALSE),"")</f>
        <v>Capital Souscrit</v>
      </c>
    </row>
    <row r="484" spans="2:4" x14ac:dyDescent="0.25">
      <c r="B484" s="8" t="str">
        <f>"101300"</f>
        <v>101300</v>
      </c>
      <c r="C484" t="s">
        <v>14</v>
      </c>
      <c r="D484" s="21" t="str">
        <f ca="1">IFERROR(VLOOKUP($D484,'[2]Mappage de compte'!$B:$G,2,FALSE),"")</f>
        <v/>
      </c>
    </row>
    <row r="485" spans="2:4" x14ac:dyDescent="0.25">
      <c r="B485" s="8" t="str">
        <f>"467000"</f>
        <v>467000</v>
      </c>
      <c r="C485" t="s">
        <v>14</v>
      </c>
      <c r="D485" s="21" t="str">
        <f ca="1">IFERROR(VLOOKUP($D485,'[2]Mappage de compte'!$B:$G,2,FALSE),"")</f>
        <v>Fonds Associatif</v>
      </c>
    </row>
    <row r="486" spans="2:4" x14ac:dyDescent="0.25">
      <c r="B486" s="8" t="str">
        <f>"109000"</f>
        <v>109000</v>
      </c>
      <c r="C486" t="s">
        <v>14</v>
      </c>
      <c r="D486" s="21" t="str">
        <f ca="1">IFERROR(VLOOKUP($D486,'[2]Mappage de compte'!$B:$G,2,FALSE),"")</f>
        <v>Prime d'émission</v>
      </c>
    </row>
    <row r="487" spans="2:4" x14ac:dyDescent="0.25">
      <c r="B487" s="8"/>
      <c r="C487" t="s">
        <v>14</v>
      </c>
      <c r="D487" s="21" t="str">
        <f ca="1">IFERROR(VLOOKUP($D487,'[2]Mappage de compte'!$B:$G,2,FALSE),"")</f>
        <v/>
      </c>
    </row>
    <row r="488" spans="2:4" x14ac:dyDescent="0.25">
      <c r="B488" s="8" t="str">
        <f>"106880"</f>
        <v>106880</v>
      </c>
      <c r="C488" t="s">
        <v>14</v>
      </c>
      <c r="D488" s="21" t="str">
        <f ca="1">IFERROR(VLOOKUP($D488,'[2]Mappage de compte'!$B:$G,2,FALSE),"")</f>
        <v>+value réévaluat° s/immo corp</v>
      </c>
    </row>
    <row r="489" spans="2:4" x14ac:dyDescent="0.25">
      <c r="B489" s="8" t="str">
        <f>"106880"</f>
        <v>106880</v>
      </c>
      <c r="C489" t="s">
        <v>14</v>
      </c>
      <c r="D489" s="21" t="str">
        <f ca="1">IFERROR(VLOOKUP($D489,'[2]Mappage de compte'!$B:$G,2,FALSE),"")</f>
        <v>+value réévaluat° s/immo corp</v>
      </c>
    </row>
    <row r="490" spans="2:4" x14ac:dyDescent="0.25">
      <c r="B490" s="8" t="str">
        <f>"105000"</f>
        <v>105000</v>
      </c>
      <c r="C490" t="s">
        <v>14</v>
      </c>
      <c r="D490" s="21" t="str">
        <f ca="1">IFERROR(VLOOKUP($D490,'[2]Mappage de compte'!$B:$G,2,FALSE),"")</f>
        <v/>
      </c>
    </row>
    <row r="491" spans="2:4" x14ac:dyDescent="0.25">
      <c r="B491" s="8" t="str">
        <f t="shared" ref="B491:B497" si="110">"106880"</f>
        <v>106880</v>
      </c>
      <c r="C491" t="s">
        <v>14</v>
      </c>
      <c r="D491" s="21" t="str">
        <f ca="1">IFERROR(VLOOKUP($D491,'[2]Mappage de compte'!$B:$G,2,FALSE),"")</f>
        <v>+value réévaluat° s/participat</v>
      </c>
    </row>
    <row r="492" spans="2:4" x14ac:dyDescent="0.25">
      <c r="B492" s="8" t="str">
        <f t="shared" si="110"/>
        <v>106880</v>
      </c>
      <c r="C492" t="s">
        <v>14</v>
      </c>
      <c r="D492" s="21" t="str">
        <f ca="1">IFERROR(VLOOKUP($D492,'[2]Mappage de compte'!$B:$G,2,FALSE),"")</f>
        <v>Réserve légale</v>
      </c>
    </row>
    <row r="493" spans="2:4" x14ac:dyDescent="0.25">
      <c r="B493" s="8" t="str">
        <f t="shared" si="110"/>
        <v>106880</v>
      </c>
      <c r="C493" t="s">
        <v>14</v>
      </c>
      <c r="D493" s="21" t="str">
        <f ca="1">IFERROR(VLOOKUP($D493,'[2]Mappage de compte'!$B:$G,2,FALSE),"")</f>
        <v>Réserve indisponible</v>
      </c>
    </row>
    <row r="494" spans="2:4" x14ac:dyDescent="0.25">
      <c r="B494" s="8" t="str">
        <f t="shared" si="110"/>
        <v>106880</v>
      </c>
      <c r="C494" t="s">
        <v>14</v>
      </c>
      <c r="D494" s="21" t="str">
        <f ca="1">IFERROR(VLOOKUP($D494,'[2]Mappage de compte'!$B:$G,2,FALSE),"")</f>
        <v>Réserve immunisée</v>
      </c>
    </row>
    <row r="495" spans="2:4" x14ac:dyDescent="0.25">
      <c r="B495" s="8" t="str">
        <f t="shared" si="110"/>
        <v>106880</v>
      </c>
      <c r="C495" t="s">
        <v>14</v>
      </c>
      <c r="D495" s="21" t="str">
        <f ca="1">IFERROR(VLOOKUP($D495,'[2]Mappage de compte'!$B:$G,2,FALSE),"")</f>
        <v>Rés. immunisée investissement</v>
      </c>
    </row>
    <row r="496" spans="2:4" x14ac:dyDescent="0.25">
      <c r="B496" s="8" t="str">
        <f t="shared" si="110"/>
        <v>106880</v>
      </c>
      <c r="C496" t="s">
        <v>14</v>
      </c>
      <c r="D496" s="21" t="str">
        <f ca="1">IFERROR(VLOOKUP($D496,'[2]Mappage de compte'!$B:$G,2,FALSE),"")</f>
        <v>Réserve disponible</v>
      </c>
    </row>
    <row r="497" spans="2:4" x14ac:dyDescent="0.25">
      <c r="B497" s="8" t="str">
        <f t="shared" si="110"/>
        <v>106880</v>
      </c>
      <c r="C497" t="s">
        <v>14</v>
      </c>
      <c r="D497" s="21" t="str">
        <f ca="1">IFERROR(VLOOKUP($D497,'[2]Mappage de compte'!$B:$G,2,FALSE),"")</f>
        <v>Amortissement s/Plus Value I</v>
      </c>
    </row>
    <row r="498" spans="2:4" x14ac:dyDescent="0.25">
      <c r="B498" s="8" t="str">
        <f>"119000"</f>
        <v>119000</v>
      </c>
      <c r="C498" t="s">
        <v>14</v>
      </c>
      <c r="D498" s="21" t="str">
        <f ca="1">IFERROR(VLOOKUP($D498,'[2]Mappage de compte'!$B:$G,2,FALSE),"")</f>
        <v>Bénéfice reporté</v>
      </c>
    </row>
    <row r="499" spans="2:4" x14ac:dyDescent="0.25">
      <c r="B499" s="8" t="str">
        <f>"119000"</f>
        <v>119000</v>
      </c>
      <c r="C499" t="s">
        <v>14</v>
      </c>
      <c r="D499" s="21" t="str">
        <f ca="1">IFERROR(VLOOKUP($D499,'[2]Mappage de compte'!$B:$G,2,FALSE),"")</f>
        <v>Perte reportée</v>
      </c>
    </row>
    <row r="500" spans="2:4" x14ac:dyDescent="0.25">
      <c r="B500" s="8" t="str">
        <f>"131000"</f>
        <v>131000</v>
      </c>
      <c r="C500" t="s">
        <v>14</v>
      </c>
      <c r="D500" s="21" t="str">
        <f ca="1">IFERROR(VLOOKUP($D500,'[2]Mappage de compte'!$B:$G,2,FALSE),"")</f>
        <v/>
      </c>
    </row>
    <row r="501" spans="2:4" x14ac:dyDescent="0.25">
      <c r="B501" s="8" t="str">
        <f>"139000"</f>
        <v>139000</v>
      </c>
      <c r="C501" t="s">
        <v>14</v>
      </c>
      <c r="D501" s="21" t="str">
        <f ca="1">IFERROR(VLOOKUP($D501,'[2]Mappage de compte'!$B:$G,2,FALSE),"")</f>
        <v/>
      </c>
    </row>
    <row r="502" spans="2:4" x14ac:dyDescent="0.25">
      <c r="B502" s="8" t="str">
        <f>"151800"</f>
        <v>151800</v>
      </c>
      <c r="C502" t="s">
        <v>14</v>
      </c>
      <c r="D502" s="21" t="str">
        <f ca="1">IFERROR(VLOOKUP($D502,'[2]Mappage de compte'!$B:$G,2,FALSE),"")</f>
        <v>PROV. PENSION-OBLIGATION</v>
      </c>
    </row>
    <row r="503" spans="2:4" x14ac:dyDescent="0.25">
      <c r="B503" s="8" t="str">
        <f>"151800"</f>
        <v>151800</v>
      </c>
      <c r="C503" t="s">
        <v>14</v>
      </c>
      <c r="D503" s="21" t="str">
        <f ca="1">IFERROR(VLOOKUP($D503,'[2]Mappage de compte'!$B:$G,2,FALSE),"")</f>
        <v>Prov. charges fiscales</v>
      </c>
    </row>
    <row r="504" spans="2:4" x14ac:dyDescent="0.25">
      <c r="B504" s="8" t="str">
        <f>"151800"</f>
        <v>151800</v>
      </c>
      <c r="C504" t="s">
        <v>14</v>
      </c>
      <c r="D504" s="21" t="str">
        <f ca="1">IFERROR(VLOOKUP($D504,'[2]Mappage de compte'!$B:$G,2,FALSE),"")</f>
        <v>Prov. grosse réparat°-entr.</v>
      </c>
    </row>
    <row r="505" spans="2:4" x14ac:dyDescent="0.25">
      <c r="B505" s="8" t="str">
        <f>"151100"</f>
        <v>151100</v>
      </c>
      <c r="C505" t="s">
        <v>14</v>
      </c>
      <c r="D505" s="21" t="str">
        <f ca="1">IFERROR(VLOOKUP($D505,'[2]Mappage de compte'!$B:$G,2,FALSE),"")</f>
        <v>Prov risques et charges</v>
      </c>
    </row>
    <row r="506" spans="2:4" x14ac:dyDescent="0.25">
      <c r="B506" s="8" t="str">
        <f>"151800"</f>
        <v>151800</v>
      </c>
      <c r="C506" t="s">
        <v>14</v>
      </c>
      <c r="D506" s="21" t="str">
        <f ca="1">IFERROR(VLOOKUP($D506,'[2]Mappage de compte'!$B:$G,2,FALSE),"")</f>
        <v>Prov risques et charges "autres"</v>
      </c>
    </row>
    <row r="507" spans="2:4" x14ac:dyDescent="0.25">
      <c r="B507" s="8" t="str">
        <f>"151800"</f>
        <v>151800</v>
      </c>
      <c r="C507" t="s">
        <v>14</v>
      </c>
      <c r="D507" s="21" t="str">
        <f ca="1">IFERROR(VLOOKUP($D507,'[2]Mappage de compte'!$B:$G,2,FALSE),"")</f>
        <v>Prov. prépension</v>
      </c>
    </row>
    <row r="508" spans="2:4" x14ac:dyDescent="0.25">
      <c r="B508" s="8" t="str">
        <f>"151800"</f>
        <v>151800</v>
      </c>
      <c r="C508" t="s">
        <v>14</v>
      </c>
      <c r="D508" s="21" t="str">
        <f ca="1">IFERROR(VLOOKUP($D508,'[2]Mappage de compte'!$B:$G,2,FALSE),"")</f>
        <v>Impôts diff. s/+value exprimée</v>
      </c>
    </row>
    <row r="509" spans="2:4" x14ac:dyDescent="0.25">
      <c r="B509" s="8" t="str">
        <f>"151800"</f>
        <v>151800</v>
      </c>
      <c r="C509" t="s">
        <v>14</v>
      </c>
      <c r="D509" s="21" t="str">
        <f ca="1">IFERROR(VLOOKUP($D509,'[2]Mappage de compte'!$B:$G,2,FALSE),"")</f>
        <v>Impôts diff. s/+value exprimée</v>
      </c>
    </row>
    <row r="510" spans="2:4" x14ac:dyDescent="0.25">
      <c r="B510" s="8" t="str">
        <f>"151800"</f>
        <v>151800</v>
      </c>
      <c r="C510" t="s">
        <v>14</v>
      </c>
      <c r="D510" s="21" t="str">
        <f ca="1">IFERROR(VLOOKUP($D510,'[2]Mappage de compte'!$B:$G,2,FALSE),"")</f>
        <v>Impôts diff. s/+value réalisée</v>
      </c>
    </row>
    <row r="511" spans="2:4" x14ac:dyDescent="0.25">
      <c r="B511" s="8" t="str">
        <f>"161000"</f>
        <v>161000</v>
      </c>
      <c r="C511" t="s">
        <v>14</v>
      </c>
      <c r="D511" s="21" t="str">
        <f ca="1">IFERROR(VLOOKUP($D511,'[2]Mappage de compte'!$B:$G,2,FALSE),"")</f>
        <v>Emprunt Oblig non convertible</v>
      </c>
    </row>
    <row r="512" spans="2:4" x14ac:dyDescent="0.25">
      <c r="B512" s="8" t="str">
        <f>"161000"</f>
        <v>161000</v>
      </c>
      <c r="C512" t="s">
        <v>14</v>
      </c>
      <c r="D512" s="21" t="str">
        <f ca="1">IFERROR(VLOOKUP($D512,'[2]Mappage de compte'!$B:$G,2,FALSE),"")</f>
        <v>Emprunt oblig non convertible</v>
      </c>
    </row>
    <row r="513" spans="2:4" x14ac:dyDescent="0.25">
      <c r="B513" s="8" t="str">
        <f t="shared" ref="B513:B522" si="111">"164000"</f>
        <v>164000</v>
      </c>
      <c r="C513" t="s">
        <v>14</v>
      </c>
      <c r="D513" s="21" t="str">
        <f ca="1">IFERROR(VLOOKUP($D513,'[2]Mappage de compte'!$B:$G,2,FALSE),"")</f>
        <v>Fortis - Créance locat°-Fin.</v>
      </c>
    </row>
    <row r="514" spans="2:4" x14ac:dyDescent="0.25">
      <c r="B514" s="8" t="str">
        <f t="shared" si="111"/>
        <v>164000</v>
      </c>
      <c r="C514" t="s">
        <v>14</v>
      </c>
      <c r="D514" s="21" t="str">
        <f ca="1">IFERROR(VLOOKUP($D514,'[2]Mappage de compte'!$B:$G,2,FALSE),"")</f>
        <v>Dexia - Créance locat°-Fin.</v>
      </c>
    </row>
    <row r="515" spans="2:4" x14ac:dyDescent="0.25">
      <c r="B515" s="8" t="str">
        <f t="shared" si="111"/>
        <v>164000</v>
      </c>
      <c r="C515" t="s">
        <v>14</v>
      </c>
      <c r="D515" s="21" t="str">
        <f ca="1">IFERROR(VLOOKUP($D515,'[2]Mappage de compte'!$B:$G,2,FALSE),"")</f>
        <v>ING - Créance locat°-Fin.</v>
      </c>
    </row>
    <row r="516" spans="2:4" x14ac:dyDescent="0.25">
      <c r="B516" s="8" t="str">
        <f t="shared" si="111"/>
        <v>164000</v>
      </c>
      <c r="C516" t="s">
        <v>14</v>
      </c>
      <c r="D516" s="21" t="str">
        <f ca="1">IFERROR(VLOOKUP($D516,'[2]Mappage de compte'!$B:$G,2,FALSE),"")</f>
        <v>CBC - Créance locat°-Fin.</v>
      </c>
    </row>
    <row r="517" spans="2:4" x14ac:dyDescent="0.25">
      <c r="B517" s="8" t="str">
        <f t="shared" si="111"/>
        <v>164000</v>
      </c>
      <c r="C517" t="s">
        <v>14</v>
      </c>
      <c r="D517" s="21" t="str">
        <f ca="1">IFERROR(VLOOKUP($D517,'[2]Mappage de compte'!$B:$G,2,FALSE),"")</f>
        <v>KBC - Créance locat°-Fin.</v>
      </c>
    </row>
    <row r="518" spans="2:4" x14ac:dyDescent="0.25">
      <c r="B518" s="8" t="str">
        <f t="shared" si="111"/>
        <v>164000</v>
      </c>
      <c r="C518" t="s">
        <v>14</v>
      </c>
      <c r="D518" s="21" t="str">
        <f ca="1">IFERROR(VLOOKUP($D518,'[2]Mappage de compte'!$B:$G,2,FALSE),"")</f>
        <v>AXA - Créance locat°-Fin.</v>
      </c>
    </row>
    <row r="519" spans="2:4" x14ac:dyDescent="0.25">
      <c r="B519" s="8" t="str">
        <f t="shared" si="111"/>
        <v>164000</v>
      </c>
      <c r="C519" t="s">
        <v>14</v>
      </c>
      <c r="D519" s="21" t="str">
        <f ca="1">IFERROR(VLOOKUP($D519,'[2]Mappage de compte'!$B:$G,2,FALSE),"")</f>
        <v>Vanbreda - Créance locat°-Fin.</v>
      </c>
    </row>
    <row r="520" spans="2:4" x14ac:dyDescent="0.25">
      <c r="B520" s="8" t="str">
        <f t="shared" si="111"/>
        <v>164000</v>
      </c>
      <c r="C520" t="s">
        <v>14</v>
      </c>
      <c r="D520" s="21" t="str">
        <f ca="1">IFERROR(VLOOKUP($D520,'[2]Mappage de compte'!$B:$G,2,FALSE),"")</f>
        <v>XXX - Créance locat°-Fin.</v>
      </c>
    </row>
    <row r="521" spans="2:4" x14ac:dyDescent="0.25">
      <c r="B521" s="8" t="str">
        <f t="shared" si="111"/>
        <v>164000</v>
      </c>
      <c r="C521" t="s">
        <v>14</v>
      </c>
      <c r="D521" s="21" t="str">
        <f ca="1">IFERROR(VLOOKUP($D521,'[2]Mappage de compte'!$B:$G,2,FALSE),"")</f>
        <v>XXX - Créance locat°-Fin.</v>
      </c>
    </row>
    <row r="522" spans="2:4" x14ac:dyDescent="0.25">
      <c r="B522" s="8" t="str">
        <f t="shared" si="111"/>
        <v>164000</v>
      </c>
      <c r="C522" t="s">
        <v>14</v>
      </c>
      <c r="D522" s="21" t="str">
        <f ca="1">IFERROR(VLOOKUP($D522,'[2]Mappage de compte'!$B:$G,2,FALSE),"")</f>
        <v>XXX - Créance locat°-Fin.</v>
      </c>
    </row>
    <row r="523" spans="2:4" x14ac:dyDescent="0.25">
      <c r="B523" s="8" t="str">
        <f>"168100"</f>
        <v>168100</v>
      </c>
      <c r="C523" t="s">
        <v>14</v>
      </c>
      <c r="D523" s="21" t="str">
        <f ca="1">IFERROR(VLOOKUP($D523,'[2]Mappage de compte'!$B:$G,2,FALSE),"")</f>
        <v/>
      </c>
    </row>
    <row r="524" spans="2:4" x14ac:dyDescent="0.25">
      <c r="B524" s="8" t="str">
        <f t="shared" ref="B524:B547" si="112">"164000"</f>
        <v>164000</v>
      </c>
      <c r="C524" t="s">
        <v>14</v>
      </c>
      <c r="D524" s="21" t="str">
        <f ca="1">IFERROR(VLOOKUP($D524,'[2]Mappage de compte'!$B:$G,2,FALSE),"")</f>
        <v>FORTIS - EMPRUNT</v>
      </c>
    </row>
    <row r="525" spans="2:4" x14ac:dyDescent="0.25">
      <c r="B525" s="8" t="str">
        <f t="shared" si="112"/>
        <v>164000</v>
      </c>
      <c r="C525" t="s">
        <v>14</v>
      </c>
      <c r="D525" s="21" t="str">
        <f ca="1">IFERROR(VLOOKUP($D525,'[2]Mappage de compte'!$B:$G,2,FALSE),"")</f>
        <v>Dexia - Emprunt</v>
      </c>
    </row>
    <row r="526" spans="2:4" x14ac:dyDescent="0.25">
      <c r="B526" s="8" t="str">
        <f t="shared" si="112"/>
        <v>164000</v>
      </c>
      <c r="C526" t="s">
        <v>14</v>
      </c>
      <c r="D526" s="21" t="str">
        <f ca="1">IFERROR(VLOOKUP($D526,'[2]Mappage de compte'!$B:$G,2,FALSE),"")</f>
        <v>ING - Emprunt</v>
      </c>
    </row>
    <row r="527" spans="2:4" x14ac:dyDescent="0.25">
      <c r="B527" s="8" t="str">
        <f t="shared" si="112"/>
        <v>164000</v>
      </c>
      <c r="C527" t="s">
        <v>14</v>
      </c>
      <c r="D527" s="21" t="str">
        <f ca="1">IFERROR(VLOOKUP($D527,'[2]Mappage de compte'!$B:$G,2,FALSE),"")</f>
        <v>CBC - EMPRUNT</v>
      </c>
    </row>
    <row r="528" spans="2:4" x14ac:dyDescent="0.25">
      <c r="B528" s="8" t="str">
        <f t="shared" si="112"/>
        <v>164000</v>
      </c>
      <c r="C528" t="s">
        <v>14</v>
      </c>
      <c r="D528" s="21" t="str">
        <f ca="1">IFERROR(VLOOKUP($D528,'[2]Mappage de compte'!$B:$G,2,FALSE),"")</f>
        <v>KBC  EMPRUNT</v>
      </c>
    </row>
    <row r="529" spans="2:4" x14ac:dyDescent="0.25">
      <c r="B529" s="8" t="str">
        <f t="shared" si="112"/>
        <v>164000</v>
      </c>
      <c r="C529" t="s">
        <v>14</v>
      </c>
      <c r="D529" s="21" t="str">
        <f ca="1">IFERROR(VLOOKUP($D529,'[2]Mappage de compte'!$B:$G,2,FALSE),"")</f>
        <v>AXA - EMPRUNT</v>
      </c>
    </row>
    <row r="530" spans="2:4" x14ac:dyDescent="0.25">
      <c r="B530" s="8" t="str">
        <f t="shared" si="112"/>
        <v>164000</v>
      </c>
      <c r="C530" t="s">
        <v>14</v>
      </c>
      <c r="D530" s="21" t="str">
        <f ca="1">IFERROR(VLOOKUP($D530,'[2]Mappage de compte'!$B:$G,2,FALSE),"")</f>
        <v>Crédit Agricole - Emprunt</v>
      </c>
    </row>
    <row r="531" spans="2:4" x14ac:dyDescent="0.25">
      <c r="B531" s="8" t="str">
        <f t="shared" si="112"/>
        <v>164000</v>
      </c>
      <c r="C531" t="s">
        <v>14</v>
      </c>
      <c r="D531" s="21" t="str">
        <f ca="1">IFERROR(VLOOKUP($D531,'[2]Mappage de compte'!$B:$G,2,FALSE),"")</f>
        <v>XXX - Emprunt</v>
      </c>
    </row>
    <row r="532" spans="2:4" x14ac:dyDescent="0.25">
      <c r="B532" s="8" t="str">
        <f t="shared" si="112"/>
        <v>164000</v>
      </c>
      <c r="C532" t="s">
        <v>14</v>
      </c>
      <c r="D532" s="21" t="str">
        <f ca="1">IFERROR(VLOOKUP($D532,'[2]Mappage de compte'!$B:$G,2,FALSE),"")</f>
        <v>XXX - Emprunt</v>
      </c>
    </row>
    <row r="533" spans="2:4" x14ac:dyDescent="0.25">
      <c r="B533" s="8" t="str">
        <f t="shared" si="112"/>
        <v>164000</v>
      </c>
      <c r="C533" t="s">
        <v>14</v>
      </c>
      <c r="D533" s="21" t="str">
        <f ca="1">IFERROR(VLOOKUP($D533,'[2]Mappage de compte'!$B:$G,2,FALSE),"")</f>
        <v>XXX - Emprunt</v>
      </c>
    </row>
    <row r="534" spans="2:4" x14ac:dyDescent="0.25">
      <c r="B534" s="8" t="str">
        <f t="shared" si="112"/>
        <v>164000</v>
      </c>
      <c r="C534" t="s">
        <v>14</v>
      </c>
      <c r="D534" s="21" t="str">
        <f ca="1">IFERROR(VLOOKUP($D534,'[2]Mappage de compte'!$B:$G,2,FALSE),"")</f>
        <v>XXX - Crédit d'investissement</v>
      </c>
    </row>
    <row r="535" spans="2:4" x14ac:dyDescent="0.25">
      <c r="B535" s="8" t="str">
        <f t="shared" si="112"/>
        <v>164000</v>
      </c>
      <c r="C535" t="s">
        <v>14</v>
      </c>
      <c r="D535" s="21" t="str">
        <f ca="1">IFERROR(VLOOKUP($D535,'[2]Mappage de compte'!$B:$G,2,FALSE),"")</f>
        <v>XXX - Crédit d'investissement</v>
      </c>
    </row>
    <row r="536" spans="2:4" x14ac:dyDescent="0.25">
      <c r="B536" s="8" t="str">
        <f t="shared" si="112"/>
        <v>164000</v>
      </c>
      <c r="C536" t="s">
        <v>14</v>
      </c>
      <c r="D536" s="21" t="str">
        <f ca="1">IFERROR(VLOOKUP($D536,'[2]Mappage de compte'!$B:$G,2,FALSE),"")</f>
        <v>XXX - Crédit d'investissement</v>
      </c>
    </row>
    <row r="537" spans="2:4" x14ac:dyDescent="0.25">
      <c r="B537" s="8" t="str">
        <f t="shared" si="112"/>
        <v>164000</v>
      </c>
      <c r="C537" t="s">
        <v>14</v>
      </c>
      <c r="D537" s="21" t="str">
        <f ca="1">IFERROR(VLOOKUP($D537,'[2]Mappage de compte'!$B:$G,2,FALSE),"")</f>
        <v>XXX - Crédit d'investissement</v>
      </c>
    </row>
    <row r="538" spans="2:4" x14ac:dyDescent="0.25">
      <c r="B538" s="8" t="str">
        <f t="shared" si="112"/>
        <v>164000</v>
      </c>
      <c r="C538" t="s">
        <v>14</v>
      </c>
      <c r="D538" s="21" t="str">
        <f ca="1">IFERROR(VLOOKUP($D538,'[2]Mappage de compte'!$B:$G,2,FALSE),"")</f>
        <v>XXX - Crédit d'investissement</v>
      </c>
    </row>
    <row r="539" spans="2:4" x14ac:dyDescent="0.25">
      <c r="B539" s="8" t="str">
        <f t="shared" si="112"/>
        <v>164000</v>
      </c>
      <c r="C539" t="s">
        <v>14</v>
      </c>
      <c r="D539" s="21" t="str">
        <f ca="1">IFERROR(VLOOKUP($D539,'[2]Mappage de compte'!$B:$G,2,FALSE),"")</f>
        <v>XXX - Crédit d'investissement</v>
      </c>
    </row>
    <row r="540" spans="2:4" x14ac:dyDescent="0.25">
      <c r="B540" s="8" t="str">
        <f t="shared" si="112"/>
        <v>164000</v>
      </c>
      <c r="C540" t="s">
        <v>14</v>
      </c>
      <c r="D540" s="21" t="str">
        <f ca="1">IFERROR(VLOOKUP($D540,'[2]Mappage de compte'!$B:$G,2,FALSE),"")</f>
        <v>XXX - Crédit d'investissement</v>
      </c>
    </row>
    <row r="541" spans="2:4" x14ac:dyDescent="0.25">
      <c r="B541" s="8" t="str">
        <f t="shared" si="112"/>
        <v>164000</v>
      </c>
      <c r="C541" t="s">
        <v>14</v>
      </c>
      <c r="D541" s="21" t="str">
        <f ca="1">IFERROR(VLOOKUP($D541,'[2]Mappage de compte'!$B:$G,2,FALSE),"")</f>
        <v>XXX - Crédit d'investissement</v>
      </c>
    </row>
    <row r="542" spans="2:4" x14ac:dyDescent="0.25">
      <c r="B542" s="8" t="str">
        <f t="shared" si="112"/>
        <v>164000</v>
      </c>
      <c r="C542" t="s">
        <v>14</v>
      </c>
      <c r="D542" s="21" t="str">
        <f ca="1">IFERROR(VLOOKUP($D542,'[2]Mappage de compte'!$B:$G,2,FALSE),"")</f>
        <v>XXX - Crédit d'investissement</v>
      </c>
    </row>
    <row r="543" spans="2:4" x14ac:dyDescent="0.25">
      <c r="B543" s="8" t="str">
        <f t="shared" si="112"/>
        <v>164000</v>
      </c>
      <c r="C543" t="s">
        <v>14</v>
      </c>
      <c r="D543" s="21" t="str">
        <f ca="1">IFERROR(VLOOKUP($D543,'[2]Mappage de compte'!$B:$G,2,FALSE),"")</f>
        <v>XXX - Crédit d'investissement</v>
      </c>
    </row>
    <row r="544" spans="2:4" x14ac:dyDescent="0.25">
      <c r="B544" s="8" t="str">
        <f t="shared" si="112"/>
        <v>164000</v>
      </c>
      <c r="C544" t="s">
        <v>14</v>
      </c>
      <c r="D544" s="21" t="str">
        <f ca="1">IFERROR(VLOOKUP($D544,'[2]Mappage de compte'!$B:$G,2,FALSE),"")</f>
        <v>XXX - Crédit d'investissement</v>
      </c>
    </row>
    <row r="545" spans="2:4" x14ac:dyDescent="0.25">
      <c r="B545" s="8" t="str">
        <f t="shared" si="112"/>
        <v>164000</v>
      </c>
      <c r="C545" t="s">
        <v>14</v>
      </c>
      <c r="D545" s="21" t="str">
        <f ca="1">IFERROR(VLOOKUP($D545,'[2]Mappage de compte'!$B:$G,2,FALSE),"")</f>
        <v>XXX - Crédit d'investissement</v>
      </c>
    </row>
    <row r="546" spans="2:4" x14ac:dyDescent="0.25">
      <c r="B546" s="8" t="str">
        <f t="shared" si="112"/>
        <v>164000</v>
      </c>
      <c r="C546" t="s">
        <v>14</v>
      </c>
      <c r="D546" s="21" t="str">
        <f ca="1">IFERROR(VLOOKUP($D546,'[2]Mappage de compte'!$B:$G,2,FALSE),"")</f>
        <v>XXX - Crédit d'investissement</v>
      </c>
    </row>
    <row r="547" spans="2:4" x14ac:dyDescent="0.25">
      <c r="B547" s="8" t="str">
        <f t="shared" si="112"/>
        <v>164000</v>
      </c>
      <c r="C547" t="s">
        <v>14</v>
      </c>
      <c r="D547" s="21" t="str">
        <f ca="1">IFERROR(VLOOKUP($D547,'[2]Mappage de compte'!$B:$G,2,FALSE),"")</f>
        <v>XXX - Crédit d'investissement</v>
      </c>
    </row>
    <row r="548" spans="2:4" x14ac:dyDescent="0.25">
      <c r="B548" s="8" t="str">
        <f>"168100"</f>
        <v>168100</v>
      </c>
      <c r="C548" t="s">
        <v>14</v>
      </c>
      <c r="D548" s="21" t="str">
        <f ca="1">IFERROR(VLOOKUP($D548,'[2]Mappage de compte'!$B:$G,2,FALSE),"")</f>
        <v/>
      </c>
    </row>
    <row r="549" spans="2:4" x14ac:dyDescent="0.25">
      <c r="B549" s="8" t="str">
        <f t="shared" ref="B549:B550" si="113">"467820"</f>
        <v>467820</v>
      </c>
      <c r="C549" t="s">
        <v>14</v>
      </c>
      <c r="D549" s="21" t="str">
        <f ca="1">IFERROR(VLOOKUP($D549,'[2]Mappage de compte'!$B:$G,2,FALSE),"")</f>
        <v>Caution reçue en numéraire</v>
      </c>
    </row>
    <row r="550" spans="2:4" x14ac:dyDescent="0.25">
      <c r="B550" s="8" t="str">
        <f t="shared" si="113"/>
        <v>467820</v>
      </c>
      <c r="C550" t="s">
        <v>14</v>
      </c>
      <c r="D550" s="21" t="str">
        <f ca="1">IFERROR(VLOOKUP($D550,'[2]Mappage de compte'!$B:$G,2,FALSE),"")</f>
        <v>CAUTIONS XXX</v>
      </c>
    </row>
    <row r="551" spans="2:4" x14ac:dyDescent="0.25">
      <c r="B551" s="8" t="str">
        <f>"101300"</f>
        <v>101300</v>
      </c>
      <c r="C551" t="s">
        <v>13</v>
      </c>
      <c r="D551" s="22" t="str">
        <f ca="1">IFERROR(VLOOKUP($D551,'[2]Mappage de compte'!$B:$G,3,FALSE),"")</f>
        <v>101300</v>
      </c>
    </row>
    <row r="552" spans="2:4" x14ac:dyDescent="0.25">
      <c r="B552" s="8" t="str">
        <f>"101300"</f>
        <v>101300</v>
      </c>
      <c r="C552" t="s">
        <v>13</v>
      </c>
      <c r="D552" s="22" t="str">
        <f ca="1">IFERROR(VLOOKUP($D552,'[2]Mappage de compte'!$B:$G,3,FALSE),"")</f>
        <v/>
      </c>
    </row>
    <row r="553" spans="2:4" x14ac:dyDescent="0.25">
      <c r="B553" s="8" t="str">
        <f>"467000"</f>
        <v>467000</v>
      </c>
      <c r="C553" t="s">
        <v>13</v>
      </c>
      <c r="D553" s="22" t="str">
        <f ca="1">IFERROR(VLOOKUP($D553,'[2]Mappage de compte'!$B:$G,3,FALSE),"")</f>
        <v>467951</v>
      </c>
    </row>
    <row r="554" spans="2:4" x14ac:dyDescent="0.25">
      <c r="B554" s="8" t="str">
        <f>"109000"</f>
        <v>109000</v>
      </c>
      <c r="C554" t="s">
        <v>13</v>
      </c>
      <c r="D554" s="22" t="str">
        <f ca="1">IFERROR(VLOOKUP($D554,'[2]Mappage de compte'!$B:$G,3,FALSE),"")</f>
        <v>101100</v>
      </c>
    </row>
    <row r="555" spans="2:4" x14ac:dyDescent="0.25">
      <c r="B555" s="8"/>
      <c r="C555" t="s">
        <v>13</v>
      </c>
      <c r="D555" s="22" t="str">
        <f ca="1">IFERROR(VLOOKUP($D555,'[2]Mappage de compte'!$B:$G,3,FALSE),"")</f>
        <v/>
      </c>
    </row>
    <row r="556" spans="2:4" x14ac:dyDescent="0.25">
      <c r="B556" s="8" t="str">
        <f>"106880"</f>
        <v>106880</v>
      </c>
      <c r="C556" t="s">
        <v>13</v>
      </c>
      <c r="D556" s="22" t="str">
        <f ca="1">IFERROR(VLOOKUP($D556,'[2]Mappage de compte'!$B:$G,3,FALSE),"")</f>
        <v>104100</v>
      </c>
    </row>
    <row r="557" spans="2:4" x14ac:dyDescent="0.25">
      <c r="B557" s="8" t="str">
        <f>"106880"</f>
        <v>106880</v>
      </c>
      <c r="C557" t="s">
        <v>13</v>
      </c>
      <c r="D557" s="22" t="str">
        <f ca="1">IFERROR(VLOOKUP($D557,'[2]Mappage de compte'!$B:$G,3,FALSE),"")</f>
        <v>106881</v>
      </c>
    </row>
    <row r="558" spans="2:4" x14ac:dyDescent="0.25">
      <c r="B558" s="8" t="str">
        <f>"105000"</f>
        <v>105000</v>
      </c>
      <c r="C558" t="s">
        <v>13</v>
      </c>
      <c r="D558" s="22" t="str">
        <f ca="1">IFERROR(VLOOKUP($D558,'[2]Mappage de compte'!$B:$G,3,FALSE),"")</f>
        <v/>
      </c>
    </row>
    <row r="559" spans="2:4" x14ac:dyDescent="0.25">
      <c r="B559" s="8" t="str">
        <f t="shared" ref="B559:B565" si="114">"106880"</f>
        <v>106880</v>
      </c>
      <c r="C559" t="s">
        <v>13</v>
      </c>
      <c r="D559" s="22" t="str">
        <f ca="1">IFERROR(VLOOKUP($D559,'[2]Mappage de compte'!$B:$G,3,FALSE),"")</f>
        <v>106881</v>
      </c>
    </row>
    <row r="560" spans="2:4" x14ac:dyDescent="0.25">
      <c r="B560" s="8" t="str">
        <f t="shared" si="114"/>
        <v>106880</v>
      </c>
      <c r="C560" t="s">
        <v>13</v>
      </c>
      <c r="D560" s="22" t="str">
        <f ca="1">IFERROR(VLOOKUP($D560,'[2]Mappage de compte'!$B:$G,3,FALSE),"")</f>
        <v>106881</v>
      </c>
    </row>
    <row r="561" spans="2:4" x14ac:dyDescent="0.25">
      <c r="B561" s="8" t="str">
        <f t="shared" si="114"/>
        <v>106880</v>
      </c>
      <c r="C561" t="s">
        <v>13</v>
      </c>
      <c r="D561" s="22" t="str">
        <f ca="1">IFERROR(VLOOKUP($D561,'[2]Mappage de compte'!$B:$G,3,FALSE),"")</f>
        <v>106200</v>
      </c>
    </row>
    <row r="562" spans="2:4" x14ac:dyDescent="0.25">
      <c r="B562" s="8" t="str">
        <f t="shared" si="114"/>
        <v>106880</v>
      </c>
      <c r="C562" t="s">
        <v>13</v>
      </c>
      <c r="D562" s="22" t="str">
        <f ca="1">IFERROR(VLOOKUP($D562,'[2]Mappage de compte'!$B:$G,3,FALSE),"")</f>
        <v>106200</v>
      </c>
    </row>
    <row r="563" spans="2:4" x14ac:dyDescent="0.25">
      <c r="B563" s="8" t="str">
        <f t="shared" si="114"/>
        <v>106880</v>
      </c>
      <c r="C563" t="s">
        <v>13</v>
      </c>
      <c r="D563" s="22" t="str">
        <f ca="1">IFERROR(VLOOKUP($D563,'[2]Mappage de compte'!$B:$G,3,FALSE),"")</f>
        <v>106200</v>
      </c>
    </row>
    <row r="564" spans="2:4" x14ac:dyDescent="0.25">
      <c r="B564" s="8" t="str">
        <f t="shared" si="114"/>
        <v>106880</v>
      </c>
      <c r="C564" t="s">
        <v>13</v>
      </c>
      <c r="D564" s="22" t="str">
        <f ca="1">IFERROR(VLOOKUP($D564,'[2]Mappage de compte'!$B:$G,3,FALSE),"")</f>
        <v>106880</v>
      </c>
    </row>
    <row r="565" spans="2:4" x14ac:dyDescent="0.25">
      <c r="B565" s="8" t="str">
        <f t="shared" si="114"/>
        <v>106880</v>
      </c>
      <c r="C565" t="s">
        <v>13</v>
      </c>
      <c r="D565" s="22" t="str">
        <f ca="1">IFERROR(VLOOKUP($D565,'[2]Mappage de compte'!$B:$G,3,FALSE),"")</f>
        <v>106880</v>
      </c>
    </row>
    <row r="566" spans="2:4" x14ac:dyDescent="0.25">
      <c r="B566" s="8" t="str">
        <f>"119000"</f>
        <v>119000</v>
      </c>
      <c r="C566" t="s">
        <v>13</v>
      </c>
      <c r="D566" s="22" t="str">
        <f ca="1">IFERROR(VLOOKUP($D566,'[2]Mappage de compte'!$B:$G,3,FALSE),"")</f>
        <v>119000</v>
      </c>
    </row>
    <row r="567" spans="2:4" x14ac:dyDescent="0.25">
      <c r="B567" s="8" t="str">
        <f>"119000"</f>
        <v>119000</v>
      </c>
      <c r="C567" t="s">
        <v>13</v>
      </c>
      <c r="D567" s="22" t="str">
        <f ca="1">IFERROR(VLOOKUP($D567,'[2]Mappage de compte'!$B:$G,3,FALSE),"")</f>
        <v>119000</v>
      </c>
    </row>
    <row r="568" spans="2:4" x14ac:dyDescent="0.25">
      <c r="B568" s="8" t="str">
        <f>"131000"</f>
        <v>131000</v>
      </c>
      <c r="C568" t="s">
        <v>13</v>
      </c>
      <c r="D568" s="22" t="str">
        <f ca="1">IFERROR(VLOOKUP($D568,'[2]Mappage de compte'!$B:$G,3,FALSE),"")</f>
        <v/>
      </c>
    </row>
    <row r="569" spans="2:4" x14ac:dyDescent="0.25">
      <c r="B569" s="8" t="str">
        <f>"139000"</f>
        <v>139000</v>
      </c>
      <c r="C569" t="s">
        <v>13</v>
      </c>
      <c r="D569" s="22" t="str">
        <f ca="1">IFERROR(VLOOKUP($D569,'[2]Mappage de compte'!$B:$G,3,FALSE),"")</f>
        <v/>
      </c>
    </row>
    <row r="570" spans="2:4" x14ac:dyDescent="0.25">
      <c r="B570" s="8" t="str">
        <f>"151800"</f>
        <v>151800</v>
      </c>
      <c r="C570" t="s">
        <v>13</v>
      </c>
      <c r="D570" s="22">
        <f ca="1">IFERROR(VLOOKUP($D570,'[2]Mappage de compte'!$B:$G,3,FALSE),"")</f>
        <v>151800</v>
      </c>
    </row>
    <row r="571" spans="2:4" x14ac:dyDescent="0.25">
      <c r="B571" s="8" t="str">
        <f>"151800"</f>
        <v>151800</v>
      </c>
      <c r="C571" t="s">
        <v>13</v>
      </c>
      <c r="D571" s="22">
        <f ca="1">IFERROR(VLOOKUP($D571,'[2]Mappage de compte'!$B:$G,3,FALSE),"")</f>
        <v>151800</v>
      </c>
    </row>
    <row r="572" spans="2:4" x14ac:dyDescent="0.25">
      <c r="B572" s="8" t="str">
        <f>"151800"</f>
        <v>151800</v>
      </c>
      <c r="C572" t="s">
        <v>13</v>
      </c>
      <c r="D572" s="22" t="str">
        <f ca="1">IFERROR(VLOOKUP($D572,'[2]Mappage de compte'!$B:$G,3,FALSE),"")</f>
        <v>151800</v>
      </c>
    </row>
    <row r="573" spans="2:4" x14ac:dyDescent="0.25">
      <c r="B573" s="8" t="str">
        <f>"151100"</f>
        <v>151100</v>
      </c>
      <c r="C573" t="s">
        <v>13</v>
      </c>
      <c r="D573" s="22">
        <f ca="1">IFERROR(VLOOKUP($D573,'[2]Mappage de compte'!$B:$G,3,FALSE),"")</f>
        <v>151100</v>
      </c>
    </row>
    <row r="574" spans="2:4" x14ac:dyDescent="0.25">
      <c r="B574" s="8" t="str">
        <f>"151800"</f>
        <v>151800</v>
      </c>
      <c r="C574" t="s">
        <v>13</v>
      </c>
      <c r="D574" s="22" t="str">
        <f ca="1">IFERROR(VLOOKUP($D574,'[2]Mappage de compte'!$B:$G,3,FALSE),"")</f>
        <v>151800</v>
      </c>
    </row>
    <row r="575" spans="2:4" x14ac:dyDescent="0.25">
      <c r="B575" s="8" t="str">
        <f>"151800"</f>
        <v>151800</v>
      </c>
      <c r="C575" t="s">
        <v>13</v>
      </c>
      <c r="D575" s="22" t="str">
        <f ca="1">IFERROR(VLOOKUP($D575,'[2]Mappage de compte'!$B:$G,3,FALSE),"")</f>
        <v>151800</v>
      </c>
    </row>
    <row r="576" spans="2:4" x14ac:dyDescent="0.25">
      <c r="B576" s="8" t="str">
        <f>"151800"</f>
        <v>151800</v>
      </c>
      <c r="C576" t="s">
        <v>13</v>
      </c>
      <c r="D576" s="22">
        <f ca="1">IFERROR(VLOOKUP($D576,'[2]Mappage de compte'!$B:$G,3,FALSE),"")</f>
        <v>151810</v>
      </c>
    </row>
    <row r="577" spans="2:4" x14ac:dyDescent="0.25">
      <c r="B577" s="8" t="str">
        <f>"151800"</f>
        <v>151800</v>
      </c>
      <c r="C577" t="s">
        <v>13</v>
      </c>
      <c r="D577" s="22">
        <f ca="1">IFERROR(VLOOKUP($D577,'[2]Mappage de compte'!$B:$G,3,FALSE),"")</f>
        <v>151810</v>
      </c>
    </row>
    <row r="578" spans="2:4" x14ac:dyDescent="0.25">
      <c r="B578" s="8" t="str">
        <f>"151800"</f>
        <v>151800</v>
      </c>
      <c r="C578" t="s">
        <v>13</v>
      </c>
      <c r="D578" s="22">
        <f ca="1">IFERROR(VLOOKUP($D578,'[2]Mappage de compte'!$B:$G,3,FALSE),"")</f>
        <v>151810</v>
      </c>
    </row>
    <row r="579" spans="2:4" x14ac:dyDescent="0.25">
      <c r="B579" s="8" t="str">
        <f>"161000"</f>
        <v>161000</v>
      </c>
      <c r="C579" t="s">
        <v>13</v>
      </c>
      <c r="D579" s="22" t="str">
        <f ca="1">IFERROR(VLOOKUP($D579,'[2]Mappage de compte'!$B:$G,3,FALSE),"")</f>
        <v>161000</v>
      </c>
    </row>
    <row r="580" spans="2:4" x14ac:dyDescent="0.25">
      <c r="B580" s="8" t="str">
        <f>"161000"</f>
        <v>161000</v>
      </c>
      <c r="C580" t="s">
        <v>13</v>
      </c>
      <c r="D580" s="22" t="str">
        <f ca="1">IFERROR(VLOOKUP($D580,'[2]Mappage de compte'!$B:$G,3,FALSE),"")</f>
        <v>161000</v>
      </c>
    </row>
    <row r="581" spans="2:4" x14ac:dyDescent="0.25">
      <c r="B581" s="8" t="str">
        <f t="shared" ref="B581:B590" si="115">"164000"</f>
        <v>164000</v>
      </c>
      <c r="C581" t="s">
        <v>13</v>
      </c>
      <c r="D581" s="22" t="str">
        <f ca="1">IFERROR(VLOOKUP($D581,'[2]Mappage de compte'!$B:$G,3,FALSE),"")</f>
        <v>164001</v>
      </c>
    </row>
    <row r="582" spans="2:4" x14ac:dyDescent="0.25">
      <c r="B582" s="8" t="str">
        <f t="shared" si="115"/>
        <v>164000</v>
      </c>
      <c r="C582" t="s">
        <v>13</v>
      </c>
      <c r="D582" s="22" t="str">
        <f ca="1">IFERROR(VLOOKUP($D582,'[2]Mappage de compte'!$B:$G,3,FALSE),"")</f>
        <v>164001</v>
      </c>
    </row>
    <row r="583" spans="2:4" x14ac:dyDescent="0.25">
      <c r="B583" s="8" t="str">
        <f t="shared" si="115"/>
        <v>164000</v>
      </c>
      <c r="C583" t="s">
        <v>13</v>
      </c>
      <c r="D583" s="22" t="str">
        <f ca="1">IFERROR(VLOOKUP($D583,'[2]Mappage de compte'!$B:$G,3,FALSE),"")</f>
        <v>164001</v>
      </c>
    </row>
    <row r="584" spans="2:4" x14ac:dyDescent="0.25">
      <c r="B584" s="8" t="str">
        <f t="shared" si="115"/>
        <v>164000</v>
      </c>
      <c r="C584" t="s">
        <v>13</v>
      </c>
      <c r="D584" s="22" t="str">
        <f ca="1">IFERROR(VLOOKUP($D584,'[2]Mappage de compte'!$B:$G,3,FALSE),"")</f>
        <v>164001</v>
      </c>
    </row>
    <row r="585" spans="2:4" x14ac:dyDescent="0.25">
      <c r="B585" s="8" t="str">
        <f t="shared" si="115"/>
        <v>164000</v>
      </c>
      <c r="C585" t="s">
        <v>13</v>
      </c>
      <c r="D585" s="22" t="str">
        <f ca="1">IFERROR(VLOOKUP($D585,'[2]Mappage de compte'!$B:$G,3,FALSE),"")</f>
        <v>164001</v>
      </c>
    </row>
    <row r="586" spans="2:4" x14ac:dyDescent="0.25">
      <c r="B586" s="8" t="str">
        <f t="shared" si="115"/>
        <v>164000</v>
      </c>
      <c r="C586" t="s">
        <v>13</v>
      </c>
      <c r="D586" s="22" t="str">
        <f ca="1">IFERROR(VLOOKUP($D586,'[2]Mappage de compte'!$B:$G,3,FALSE),"")</f>
        <v>164001</v>
      </c>
    </row>
    <row r="587" spans="2:4" x14ac:dyDescent="0.25">
      <c r="B587" s="8" t="str">
        <f t="shared" si="115"/>
        <v>164000</v>
      </c>
      <c r="C587" t="s">
        <v>13</v>
      </c>
      <c r="D587" s="22" t="str">
        <f ca="1">IFERROR(VLOOKUP($D587,'[2]Mappage de compte'!$B:$G,3,FALSE),"")</f>
        <v>164001</v>
      </c>
    </row>
    <row r="588" spans="2:4" x14ac:dyDescent="0.25">
      <c r="B588" s="8" t="str">
        <f t="shared" si="115"/>
        <v>164000</v>
      </c>
      <c r="C588" t="s">
        <v>13</v>
      </c>
      <c r="D588" s="22" t="str">
        <f ca="1">IFERROR(VLOOKUP($D588,'[2]Mappage de compte'!$B:$G,3,FALSE),"")</f>
        <v>164001</v>
      </c>
    </row>
    <row r="589" spans="2:4" x14ac:dyDescent="0.25">
      <c r="B589" s="8" t="str">
        <f t="shared" si="115"/>
        <v>164000</v>
      </c>
      <c r="C589" t="s">
        <v>13</v>
      </c>
      <c r="D589" s="22" t="str">
        <f ca="1">IFERROR(VLOOKUP($D589,'[2]Mappage de compte'!$B:$G,3,FALSE),"")</f>
        <v>164001</v>
      </c>
    </row>
    <row r="590" spans="2:4" x14ac:dyDescent="0.25">
      <c r="B590" s="8" t="str">
        <f t="shared" si="115"/>
        <v>164000</v>
      </c>
      <c r="C590" t="s">
        <v>13</v>
      </c>
      <c r="D590" s="22" t="str">
        <f ca="1">IFERROR(VLOOKUP($D590,'[2]Mappage de compte'!$B:$G,3,FALSE),"")</f>
        <v>164001</v>
      </c>
    </row>
    <row r="591" spans="2:4" x14ac:dyDescent="0.25">
      <c r="B591" s="8" t="str">
        <f>"168100"</f>
        <v>168100</v>
      </c>
      <c r="C591" t="s">
        <v>13</v>
      </c>
      <c r="D591" s="22" t="str">
        <f ca="1">IFERROR(VLOOKUP($D591,'[2]Mappage de compte'!$B:$G,3,FALSE),"")</f>
        <v/>
      </c>
    </row>
    <row r="592" spans="2:4" x14ac:dyDescent="0.25">
      <c r="B592" s="8" t="str">
        <f t="shared" ref="B592:B615" si="116">"164000"</f>
        <v>164000</v>
      </c>
      <c r="C592" t="s">
        <v>13</v>
      </c>
      <c r="D592" s="22" t="str">
        <f ca="1">IFERROR(VLOOKUP($D592,'[2]Mappage de compte'!$B:$G,3,FALSE),"")</f>
        <v>164001</v>
      </c>
    </row>
    <row r="593" spans="2:4" x14ac:dyDescent="0.25">
      <c r="B593" s="8" t="str">
        <f t="shared" si="116"/>
        <v>164000</v>
      </c>
      <c r="C593" t="s">
        <v>13</v>
      </c>
      <c r="D593" s="22" t="str">
        <f ca="1">IFERROR(VLOOKUP($D593,'[2]Mappage de compte'!$B:$G,3,FALSE),"")</f>
        <v>164001</v>
      </c>
    </row>
    <row r="594" spans="2:4" x14ac:dyDescent="0.25">
      <c r="B594" s="8" t="str">
        <f t="shared" si="116"/>
        <v>164000</v>
      </c>
      <c r="C594" t="s">
        <v>13</v>
      </c>
      <c r="D594" s="22" t="str">
        <f ca="1">IFERROR(VLOOKUP($D594,'[2]Mappage de compte'!$B:$G,3,FALSE),"")</f>
        <v>164001</v>
      </c>
    </row>
    <row r="595" spans="2:4" x14ac:dyDescent="0.25">
      <c r="B595" s="8" t="str">
        <f t="shared" si="116"/>
        <v>164000</v>
      </c>
      <c r="C595" t="s">
        <v>13</v>
      </c>
      <c r="D595" s="22" t="str">
        <f ca="1">IFERROR(VLOOKUP($D595,'[2]Mappage de compte'!$B:$G,3,FALSE),"")</f>
        <v>164001</v>
      </c>
    </row>
    <row r="596" spans="2:4" x14ac:dyDescent="0.25">
      <c r="B596" s="8" t="str">
        <f t="shared" si="116"/>
        <v>164000</v>
      </c>
      <c r="C596" t="s">
        <v>13</v>
      </c>
      <c r="D596" s="22" t="str">
        <f ca="1">IFERROR(VLOOKUP($D596,'[2]Mappage de compte'!$B:$G,3,FALSE),"")</f>
        <v>164001</v>
      </c>
    </row>
    <row r="597" spans="2:4" x14ac:dyDescent="0.25">
      <c r="B597" s="8" t="str">
        <f t="shared" si="116"/>
        <v>164000</v>
      </c>
      <c r="C597" t="s">
        <v>13</v>
      </c>
      <c r="D597" s="22" t="str">
        <f ca="1">IFERROR(VLOOKUP($D597,'[2]Mappage de compte'!$B:$G,3,FALSE),"")</f>
        <v>164001</v>
      </c>
    </row>
    <row r="598" spans="2:4" x14ac:dyDescent="0.25">
      <c r="B598" s="8" t="str">
        <f t="shared" si="116"/>
        <v>164000</v>
      </c>
      <c r="C598" t="s">
        <v>13</v>
      </c>
      <c r="D598" s="22" t="str">
        <f ca="1">IFERROR(VLOOKUP($D598,'[2]Mappage de compte'!$B:$G,3,FALSE),"")</f>
        <v>164001</v>
      </c>
    </row>
    <row r="599" spans="2:4" x14ac:dyDescent="0.25">
      <c r="B599" s="8" t="str">
        <f t="shared" si="116"/>
        <v>164000</v>
      </c>
      <c r="C599" t="s">
        <v>13</v>
      </c>
      <c r="D599" s="22" t="str">
        <f ca="1">IFERROR(VLOOKUP($D599,'[2]Mappage de compte'!$B:$G,3,FALSE),"")</f>
        <v>164001</v>
      </c>
    </row>
    <row r="600" spans="2:4" x14ac:dyDescent="0.25">
      <c r="B600" s="8" t="str">
        <f t="shared" si="116"/>
        <v>164000</v>
      </c>
      <c r="C600" t="s">
        <v>13</v>
      </c>
      <c r="D600" s="22" t="str">
        <f ca="1">IFERROR(VLOOKUP($D600,'[2]Mappage de compte'!$B:$G,3,FALSE),"")</f>
        <v>164001</v>
      </c>
    </row>
    <row r="601" spans="2:4" x14ac:dyDescent="0.25">
      <c r="B601" s="8" t="str">
        <f t="shared" si="116"/>
        <v>164000</v>
      </c>
      <c r="C601" t="s">
        <v>13</v>
      </c>
      <c r="D601" s="22" t="str">
        <f ca="1">IFERROR(VLOOKUP($D601,'[2]Mappage de compte'!$B:$G,3,FALSE),"")</f>
        <v>164001</v>
      </c>
    </row>
    <row r="602" spans="2:4" x14ac:dyDescent="0.25">
      <c r="B602" s="8" t="str">
        <f t="shared" si="116"/>
        <v>164000</v>
      </c>
      <c r="C602" t="s">
        <v>13</v>
      </c>
      <c r="D602" s="22" t="str">
        <f ca="1">IFERROR(VLOOKUP($D602,'[2]Mappage de compte'!$B:$G,3,FALSE),"")</f>
        <v>164001</v>
      </c>
    </row>
    <row r="603" spans="2:4" x14ac:dyDescent="0.25">
      <c r="B603" s="8" t="str">
        <f t="shared" si="116"/>
        <v>164000</v>
      </c>
      <c r="C603" t="s">
        <v>13</v>
      </c>
      <c r="D603" s="22" t="str">
        <f ca="1">IFERROR(VLOOKUP($D603,'[2]Mappage de compte'!$B:$G,3,FALSE),"")</f>
        <v>164001</v>
      </c>
    </row>
    <row r="604" spans="2:4" x14ac:dyDescent="0.25">
      <c r="B604" s="8" t="str">
        <f t="shared" si="116"/>
        <v>164000</v>
      </c>
      <c r="C604" t="s">
        <v>13</v>
      </c>
      <c r="D604" s="22" t="str">
        <f ca="1">IFERROR(VLOOKUP($D604,'[2]Mappage de compte'!$B:$G,3,FALSE),"")</f>
        <v>164001</v>
      </c>
    </row>
    <row r="605" spans="2:4" x14ac:dyDescent="0.25">
      <c r="B605" s="8" t="str">
        <f t="shared" si="116"/>
        <v>164000</v>
      </c>
      <c r="C605" t="s">
        <v>13</v>
      </c>
      <c r="D605" s="22" t="str">
        <f ca="1">IFERROR(VLOOKUP($D605,'[2]Mappage de compte'!$B:$G,3,FALSE),"")</f>
        <v>164001</v>
      </c>
    </row>
    <row r="606" spans="2:4" x14ac:dyDescent="0.25">
      <c r="B606" s="8" t="str">
        <f t="shared" si="116"/>
        <v>164000</v>
      </c>
      <c r="C606" t="s">
        <v>13</v>
      </c>
      <c r="D606" s="22" t="str">
        <f ca="1">IFERROR(VLOOKUP($D606,'[2]Mappage de compte'!$B:$G,3,FALSE),"")</f>
        <v>164001</v>
      </c>
    </row>
    <row r="607" spans="2:4" x14ac:dyDescent="0.25">
      <c r="B607" s="8" t="str">
        <f t="shared" si="116"/>
        <v>164000</v>
      </c>
      <c r="C607" t="s">
        <v>13</v>
      </c>
      <c r="D607" s="22" t="str">
        <f ca="1">IFERROR(VLOOKUP($D607,'[2]Mappage de compte'!$B:$G,3,FALSE),"")</f>
        <v>164001</v>
      </c>
    </row>
    <row r="608" spans="2:4" x14ac:dyDescent="0.25">
      <c r="B608" s="8" t="str">
        <f t="shared" si="116"/>
        <v>164000</v>
      </c>
      <c r="C608" t="s">
        <v>13</v>
      </c>
      <c r="D608" s="22" t="str">
        <f ca="1">IFERROR(VLOOKUP($D608,'[2]Mappage de compte'!$B:$G,3,FALSE),"")</f>
        <v>164001</v>
      </c>
    </row>
    <row r="609" spans="2:4" x14ac:dyDescent="0.25">
      <c r="B609" s="8" t="str">
        <f t="shared" si="116"/>
        <v>164000</v>
      </c>
      <c r="C609" t="s">
        <v>13</v>
      </c>
      <c r="D609" s="22" t="str">
        <f ca="1">IFERROR(VLOOKUP($D609,'[2]Mappage de compte'!$B:$G,3,FALSE),"")</f>
        <v>164001</v>
      </c>
    </row>
    <row r="610" spans="2:4" x14ac:dyDescent="0.25">
      <c r="B610" s="8" t="str">
        <f t="shared" si="116"/>
        <v>164000</v>
      </c>
      <c r="C610" t="s">
        <v>13</v>
      </c>
      <c r="D610" s="22" t="str">
        <f ca="1">IFERROR(VLOOKUP($D610,'[2]Mappage de compte'!$B:$G,3,FALSE),"")</f>
        <v>164001</v>
      </c>
    </row>
    <row r="611" spans="2:4" x14ac:dyDescent="0.25">
      <c r="B611" s="8" t="str">
        <f t="shared" si="116"/>
        <v>164000</v>
      </c>
      <c r="C611" t="s">
        <v>13</v>
      </c>
      <c r="D611" s="22" t="str">
        <f ca="1">IFERROR(VLOOKUP($D611,'[2]Mappage de compte'!$B:$G,3,FALSE),"")</f>
        <v>164001</v>
      </c>
    </row>
    <row r="612" spans="2:4" x14ac:dyDescent="0.25">
      <c r="B612" s="8" t="str">
        <f t="shared" si="116"/>
        <v>164000</v>
      </c>
      <c r="C612" t="s">
        <v>13</v>
      </c>
      <c r="D612" s="22" t="str">
        <f ca="1">IFERROR(VLOOKUP($D612,'[2]Mappage de compte'!$B:$G,3,FALSE),"")</f>
        <v>164001</v>
      </c>
    </row>
    <row r="613" spans="2:4" x14ac:dyDescent="0.25">
      <c r="B613" s="8" t="str">
        <f t="shared" si="116"/>
        <v>164000</v>
      </c>
      <c r="C613" t="s">
        <v>13</v>
      </c>
      <c r="D613" s="22" t="str">
        <f ca="1">IFERROR(VLOOKUP($D613,'[2]Mappage de compte'!$B:$G,3,FALSE),"")</f>
        <v>164001</v>
      </c>
    </row>
    <row r="614" spans="2:4" x14ac:dyDescent="0.25">
      <c r="B614" s="8" t="str">
        <f t="shared" si="116"/>
        <v>164000</v>
      </c>
      <c r="C614" t="s">
        <v>13</v>
      </c>
      <c r="D614" s="22" t="str">
        <f ca="1">IFERROR(VLOOKUP($D614,'[2]Mappage de compte'!$B:$G,3,FALSE),"")</f>
        <v>164001</v>
      </c>
    </row>
    <row r="615" spans="2:4" x14ac:dyDescent="0.25">
      <c r="B615" s="8" t="str">
        <f t="shared" si="116"/>
        <v>164000</v>
      </c>
      <c r="C615" t="s">
        <v>13</v>
      </c>
      <c r="D615" s="22" t="str">
        <f ca="1">IFERROR(VLOOKUP($D615,'[2]Mappage de compte'!$B:$G,3,FALSE),"")</f>
        <v>164001</v>
      </c>
    </row>
    <row r="616" spans="2:4" x14ac:dyDescent="0.25">
      <c r="B616" s="8" t="str">
        <f>"168100"</f>
        <v>168100</v>
      </c>
      <c r="C616" t="s">
        <v>13</v>
      </c>
      <c r="D616" s="22" t="str">
        <f ca="1">IFERROR(VLOOKUP($D616,'[2]Mappage de compte'!$B:$G,3,FALSE),"")</f>
        <v/>
      </c>
    </row>
    <row r="617" spans="2:4" x14ac:dyDescent="0.25">
      <c r="B617" s="8" t="str">
        <f t="shared" ref="B617:B618" si="117">"467820"</f>
        <v>467820</v>
      </c>
      <c r="C617" t="s">
        <v>13</v>
      </c>
      <c r="D617" s="22" t="str">
        <f ca="1">IFERROR(VLOOKUP($D617,'[2]Mappage de compte'!$B:$G,3,FALSE),"")</f>
        <v>165000</v>
      </c>
    </row>
    <row r="618" spans="2:4" x14ac:dyDescent="0.25">
      <c r="B618" s="8" t="str">
        <f t="shared" si="117"/>
        <v>467820</v>
      </c>
      <c r="C618" t="s">
        <v>13</v>
      </c>
      <c r="D618" s="22" t="str">
        <f ca="1">IFERROR(VLOOKUP($D618,'[2]Mappage de compte'!$B:$G,3,FALSE),"")</f>
        <v>165000</v>
      </c>
    </row>
    <row r="619" spans="2:4" x14ac:dyDescent="0.25">
      <c r="B619" s="8" t="str">
        <f>"101300"</f>
        <v>101300</v>
      </c>
      <c r="C619" t="s">
        <v>2</v>
      </c>
      <c r="D619" s="22" t="str">
        <f ca="1">IFERROR(VLOOKUP($D619,'[2]Mappage de compte'!$B:$G,4,FALSE),"")</f>
        <v xml:space="preserve">CAPITAL SOUSCRIT APPELE VERSE          </v>
      </c>
    </row>
    <row r="620" spans="2:4" x14ac:dyDescent="0.25">
      <c r="B620" s="8" t="str">
        <f>"101300"</f>
        <v>101300</v>
      </c>
      <c r="C620" t="s">
        <v>2</v>
      </c>
      <c r="D620" s="22" t="str">
        <f ca="1">IFERROR(VLOOKUP($D620,'[2]Mappage de compte'!$B:$G,4,FALSE),"")</f>
        <v/>
      </c>
    </row>
    <row r="621" spans="2:4" x14ac:dyDescent="0.25">
      <c r="B621" s="8" t="str">
        <f>"467000"</f>
        <v>467000</v>
      </c>
      <c r="C621" t="s">
        <v>2</v>
      </c>
      <c r="D621" s="22" t="str">
        <f ca="1">IFERROR(VLOOKUP($D621,'[2]Mappage de compte'!$B:$G,4,FALSE),"")</f>
        <v>ACHAT - BELGIQUE</v>
      </c>
    </row>
    <row r="622" spans="2:4" x14ac:dyDescent="0.25">
      <c r="B622" s="8" t="str">
        <f>"109000"</f>
        <v>109000</v>
      </c>
      <c r="C622" t="s">
        <v>2</v>
      </c>
      <c r="D622" s="22" t="str">
        <f ca="1">IFERROR(VLOOKUP($D622,'[2]Mappage de compte'!$B:$G,4,FALSE),"")</f>
        <v>CAPITAL SOUSC NON APPELE</v>
      </c>
    </row>
    <row r="623" spans="2:4" x14ac:dyDescent="0.25">
      <c r="B623" s="8"/>
      <c r="C623" t="s">
        <v>2</v>
      </c>
      <c r="D623" s="22" t="str">
        <f ca="1">IFERROR(VLOOKUP($D623,'[2]Mappage de compte'!$B:$G,4,FALSE),"")</f>
        <v/>
      </c>
    </row>
    <row r="624" spans="2:4" x14ac:dyDescent="0.25">
      <c r="B624" s="8" t="str">
        <f>"106880"</f>
        <v>106880</v>
      </c>
      <c r="C624" t="s">
        <v>2</v>
      </c>
      <c r="D624" s="22" t="str">
        <f ca="1">IFERROR(VLOOKUP($D624,'[2]Mappage de compte'!$B:$G,4,FALSE),"")</f>
        <v>PRIME EMISSION</v>
      </c>
    </row>
    <row r="625" spans="2:4" x14ac:dyDescent="0.25">
      <c r="B625" s="8" t="str">
        <f>"106880"</f>
        <v>106880</v>
      </c>
      <c r="C625" t="s">
        <v>2</v>
      </c>
      <c r="D625" s="22" t="str">
        <f ca="1">IFERROR(VLOOKUP($D625,'[2]Mappage de compte'!$B:$G,4,FALSE),"")</f>
        <v>RESERVES DIVERSES réev.</v>
      </c>
    </row>
    <row r="626" spans="2:4" x14ac:dyDescent="0.25">
      <c r="B626" s="8" t="str">
        <f>"105000"</f>
        <v>105000</v>
      </c>
      <c r="C626" t="s">
        <v>2</v>
      </c>
      <c r="D626" s="22" t="str">
        <f ca="1">IFERROR(VLOOKUP($D626,'[2]Mappage de compte'!$B:$G,4,FALSE),"")</f>
        <v/>
      </c>
    </row>
    <row r="627" spans="2:4" x14ac:dyDescent="0.25">
      <c r="B627" s="8" t="str">
        <f t="shared" ref="B627:B633" si="118">"106880"</f>
        <v>106880</v>
      </c>
      <c r="C627" t="s">
        <v>2</v>
      </c>
      <c r="D627" s="22" t="str">
        <f ca="1">IFERROR(VLOOKUP($D627,'[2]Mappage de compte'!$B:$G,4,FALSE),"")</f>
        <v>RESERVES DIVERSES réev.</v>
      </c>
    </row>
    <row r="628" spans="2:4" x14ac:dyDescent="0.25">
      <c r="B628" s="8" t="str">
        <f t="shared" si="118"/>
        <v>106880</v>
      </c>
      <c r="C628" t="s">
        <v>2</v>
      </c>
      <c r="D628" s="22" t="str">
        <f ca="1">IFERROR(VLOOKUP($D628,'[2]Mappage de compte'!$B:$G,4,FALSE),"")</f>
        <v>RESERVES DIVERSES réev.</v>
      </c>
    </row>
    <row r="629" spans="2:4" x14ac:dyDescent="0.25">
      <c r="B629" s="8" t="str">
        <f t="shared" si="118"/>
        <v>106880</v>
      </c>
      <c r="C629" t="s">
        <v>2</v>
      </c>
      <c r="D629" s="22" t="str">
        <f ca="1">IFERROR(VLOOKUP($D629,'[2]Mappage de compte'!$B:$G,4,FALSE),"")</f>
        <v>RESERVES INDISPONIBLES</v>
      </c>
    </row>
    <row r="630" spans="2:4" x14ac:dyDescent="0.25">
      <c r="B630" s="8" t="str">
        <f t="shared" si="118"/>
        <v>106880</v>
      </c>
      <c r="C630" t="s">
        <v>2</v>
      </c>
      <c r="D630" s="22" t="str">
        <f ca="1">IFERROR(VLOOKUP($D630,'[2]Mappage de compte'!$B:$G,4,FALSE),"")</f>
        <v>RESERVES INDISPONIBLES</v>
      </c>
    </row>
    <row r="631" spans="2:4" x14ac:dyDescent="0.25">
      <c r="B631" s="8" t="str">
        <f t="shared" si="118"/>
        <v>106880</v>
      </c>
      <c r="C631" t="s">
        <v>2</v>
      </c>
      <c r="D631" s="22" t="str">
        <f ca="1">IFERROR(VLOOKUP($D631,'[2]Mappage de compte'!$B:$G,4,FALSE),"")</f>
        <v>RESERVES INDISPONIBLES</v>
      </c>
    </row>
    <row r="632" spans="2:4" x14ac:dyDescent="0.25">
      <c r="B632" s="8" t="str">
        <f t="shared" si="118"/>
        <v>106880</v>
      </c>
      <c r="C632" t="s">
        <v>2</v>
      </c>
      <c r="D632" s="22" t="str">
        <f ca="1">IFERROR(VLOOKUP($D632,'[2]Mappage de compte'!$B:$G,4,FALSE),"")</f>
        <v>RESERVES DIVERSES</v>
      </c>
    </row>
    <row r="633" spans="2:4" x14ac:dyDescent="0.25">
      <c r="B633" s="8" t="str">
        <f t="shared" si="118"/>
        <v>106880</v>
      </c>
      <c r="C633" t="s">
        <v>2</v>
      </c>
      <c r="D633" s="22" t="str">
        <f ca="1">IFERROR(VLOOKUP($D633,'[2]Mappage de compte'!$B:$G,4,FALSE),"")</f>
        <v>RESERVES DIVERSES</v>
      </c>
    </row>
    <row r="634" spans="2:4" x14ac:dyDescent="0.25">
      <c r="B634" s="8" t="str">
        <f>"119000"</f>
        <v>119000</v>
      </c>
      <c r="C634" t="s">
        <v>2</v>
      </c>
      <c r="D634" s="22" t="str">
        <f ca="1">IFERROR(VLOOKUP($D634,'[2]Mappage de compte'!$B:$G,4,FALSE),"")</f>
        <v xml:space="preserve">REPORT A NOUVEAU SOLDE DEBITEUR        </v>
      </c>
    </row>
    <row r="635" spans="2:4" x14ac:dyDescent="0.25">
      <c r="B635" s="8" t="str">
        <f>"119000"</f>
        <v>119000</v>
      </c>
      <c r="C635" t="s">
        <v>2</v>
      </c>
      <c r="D635" s="22" t="str">
        <f ca="1">IFERROR(VLOOKUP($D635,'[2]Mappage de compte'!$B:$G,4,FALSE),"")</f>
        <v xml:space="preserve">REPORT A NOUVEAU SOLDE DEBITEUR        </v>
      </c>
    </row>
    <row r="636" spans="2:4" x14ac:dyDescent="0.25">
      <c r="B636" s="8" t="str">
        <f>"131000"</f>
        <v>131000</v>
      </c>
      <c r="C636" t="s">
        <v>2</v>
      </c>
      <c r="D636" s="22" t="str">
        <f ca="1">IFERROR(VLOOKUP($D636,'[2]Mappage de compte'!$B:$G,4,FALSE),"")</f>
        <v/>
      </c>
    </row>
    <row r="637" spans="2:4" x14ac:dyDescent="0.25">
      <c r="B637" s="8" t="str">
        <f>"139000"</f>
        <v>139000</v>
      </c>
      <c r="C637" t="s">
        <v>2</v>
      </c>
      <c r="D637" s="22" t="str">
        <f ca="1">IFERROR(VLOOKUP($D637,'[2]Mappage de compte'!$B:$G,4,FALSE),"")</f>
        <v/>
      </c>
    </row>
    <row r="638" spans="2:4" x14ac:dyDescent="0.25">
      <c r="B638" s="8" t="str">
        <f>"151800"</f>
        <v>151800</v>
      </c>
      <c r="C638" t="s">
        <v>2</v>
      </c>
      <c r="D638" s="22" t="str">
        <f ca="1">IFERROR(VLOOKUP($D638,'[2]Mappage de compte'!$B:$G,4,FALSE),"")</f>
        <v xml:space="preserve">PROVISIONS POUR IMPOTS        </v>
      </c>
    </row>
    <row r="639" spans="2:4" x14ac:dyDescent="0.25">
      <c r="B639" s="8" t="str">
        <f>"151800"</f>
        <v>151800</v>
      </c>
      <c r="C639" t="s">
        <v>2</v>
      </c>
      <c r="D639" s="22" t="str">
        <f ca="1">IFERROR(VLOOKUP($D639,'[2]Mappage de compte'!$B:$G,4,FALSE),"")</f>
        <v xml:space="preserve">PROVISIONS POUR IMPOTS        </v>
      </c>
    </row>
    <row r="640" spans="2:4" x14ac:dyDescent="0.25">
      <c r="B640" s="8" t="str">
        <f>"151800"</f>
        <v>151800</v>
      </c>
      <c r="C640" t="s">
        <v>2</v>
      </c>
      <c r="D640" s="22" t="str">
        <f ca="1">IFERROR(VLOOKUP($D640,'[2]Mappage de compte'!$B:$G,4,FALSE),"")</f>
        <v>AUTRES PROVISIONS POUR RISQUES</v>
      </c>
    </row>
    <row r="641" spans="2:4" x14ac:dyDescent="0.25">
      <c r="B641" s="8" t="str">
        <f>"151100"</f>
        <v>151100</v>
      </c>
      <c r="C641" t="s">
        <v>2</v>
      </c>
      <c r="D641" s="22" t="str">
        <f ca="1">IFERROR(VLOOKUP($D641,'[2]Mappage de compte'!$B:$G,4,FALSE),"")</f>
        <v>AUTRES PROVISIONS POUR RISQUES</v>
      </c>
    </row>
    <row r="642" spans="2:4" x14ac:dyDescent="0.25">
      <c r="B642" s="8" t="str">
        <f>"151800"</f>
        <v>151800</v>
      </c>
      <c r="C642" t="s">
        <v>2</v>
      </c>
      <c r="D642" s="22" t="str">
        <f ca="1">IFERROR(VLOOKUP($D642,'[2]Mappage de compte'!$B:$G,4,FALSE),"")</f>
        <v>AUTRES PROVISIONS POUR RISQUES</v>
      </c>
    </row>
    <row r="643" spans="2:4" x14ac:dyDescent="0.25">
      <c r="B643" s="8" t="str">
        <f>"151800"</f>
        <v>151800</v>
      </c>
      <c r="C643" t="s">
        <v>2</v>
      </c>
      <c r="D643" s="22" t="str">
        <f ca="1">IFERROR(VLOOKUP($D643,'[2]Mappage de compte'!$B:$G,4,FALSE),"")</f>
        <v>AUTRES PROVISIONS POUR RISQUES</v>
      </c>
    </row>
    <row r="644" spans="2:4" x14ac:dyDescent="0.25">
      <c r="B644" s="8" t="str">
        <f>"151800"</f>
        <v>151800</v>
      </c>
      <c r="C644" t="s">
        <v>2</v>
      </c>
      <c r="D644" s="22" t="str">
        <f ca="1">IFERROR(VLOOKUP($D644,'[2]Mappage de compte'!$B:$G,4,FALSE),"")</f>
        <v xml:space="preserve">PROVISIONS POUR IMPOTS        </v>
      </c>
    </row>
    <row r="645" spans="2:4" x14ac:dyDescent="0.25">
      <c r="B645" s="8" t="str">
        <f>"151800"</f>
        <v>151800</v>
      </c>
      <c r="C645" t="s">
        <v>2</v>
      </c>
      <c r="D645" s="22" t="str">
        <f ca="1">IFERROR(VLOOKUP($D645,'[2]Mappage de compte'!$B:$G,4,FALSE),"")</f>
        <v xml:space="preserve">PROVISIONS POUR IMPOTS        </v>
      </c>
    </row>
    <row r="646" spans="2:4" x14ac:dyDescent="0.25">
      <c r="B646" s="8" t="str">
        <f>"151800"</f>
        <v>151800</v>
      </c>
      <c r="C646" t="s">
        <v>2</v>
      </c>
      <c r="D646" s="22" t="str">
        <f ca="1">IFERROR(VLOOKUP($D646,'[2]Mappage de compte'!$B:$G,4,FALSE),"")</f>
        <v xml:space="preserve">PROVISIONS POUR IMPOTS        </v>
      </c>
    </row>
    <row r="647" spans="2:4" x14ac:dyDescent="0.25">
      <c r="B647" s="8" t="str">
        <f>"161000"</f>
        <v>161000</v>
      </c>
      <c r="C647" t="s">
        <v>2</v>
      </c>
      <c r="D647" s="22" t="str">
        <f ca="1">IFERROR(VLOOKUP($D647,'[2]Mappage de compte'!$B:$G,4,FALSE),"")</f>
        <v>EMPRUNT OBLIGATAIRE</v>
      </c>
    </row>
    <row r="648" spans="2:4" x14ac:dyDescent="0.25">
      <c r="B648" s="8" t="str">
        <f>"161000"</f>
        <v>161000</v>
      </c>
      <c r="C648" t="s">
        <v>2</v>
      </c>
      <c r="D648" s="22" t="str">
        <f ca="1">IFERROR(VLOOKUP($D648,'[2]Mappage de compte'!$B:$G,4,FALSE),"")</f>
        <v>EMPRUNT OBLIGATAIRE</v>
      </c>
    </row>
    <row r="649" spans="2:4" x14ac:dyDescent="0.25">
      <c r="B649" s="8" t="str">
        <f t="shared" ref="B649:B658" si="119">"164000"</f>
        <v>164000</v>
      </c>
      <c r="C649" t="s">
        <v>2</v>
      </c>
      <c r="D649" s="22" t="str">
        <f ca="1">IFERROR(VLOOKUP($D649,'[2]Mappage de compte'!$B:$G,4,FALSE),"")</f>
        <v xml:space="preserve">EMPRUNT BELGIQUE      </v>
      </c>
    </row>
    <row r="650" spans="2:4" x14ac:dyDescent="0.25">
      <c r="B650" s="8" t="str">
        <f t="shared" si="119"/>
        <v>164000</v>
      </c>
      <c r="C650" t="s">
        <v>2</v>
      </c>
      <c r="D650" s="22" t="str">
        <f ca="1">IFERROR(VLOOKUP($D650,'[2]Mappage de compte'!$B:$G,4,FALSE),"")</f>
        <v xml:space="preserve">EMPRUNT BELGIQUE      </v>
      </c>
    </row>
    <row r="651" spans="2:4" x14ac:dyDescent="0.25">
      <c r="B651" s="8" t="str">
        <f t="shared" si="119"/>
        <v>164000</v>
      </c>
      <c r="C651" t="s">
        <v>2</v>
      </c>
      <c r="D651" s="22" t="str">
        <f ca="1">IFERROR(VLOOKUP($D651,'[2]Mappage de compte'!$B:$G,4,FALSE),"")</f>
        <v xml:space="preserve">EMPRUNT BELGIQUE      </v>
      </c>
    </row>
    <row r="652" spans="2:4" x14ac:dyDescent="0.25">
      <c r="B652" s="8" t="str">
        <f t="shared" si="119"/>
        <v>164000</v>
      </c>
      <c r="C652" t="s">
        <v>2</v>
      </c>
      <c r="D652" s="22" t="str">
        <f ca="1">IFERROR(VLOOKUP($D652,'[2]Mappage de compte'!$B:$G,4,FALSE),"")</f>
        <v xml:space="preserve">EMPRUNT BELGIQUE      </v>
      </c>
    </row>
    <row r="653" spans="2:4" x14ac:dyDescent="0.25">
      <c r="B653" s="8" t="str">
        <f t="shared" si="119"/>
        <v>164000</v>
      </c>
      <c r="C653" t="s">
        <v>2</v>
      </c>
      <c r="D653" s="22" t="str">
        <f ca="1">IFERROR(VLOOKUP($D653,'[2]Mappage de compte'!$B:$G,4,FALSE),"")</f>
        <v xml:space="preserve">EMPRUNT BELGIQUE      </v>
      </c>
    </row>
    <row r="654" spans="2:4" x14ac:dyDescent="0.25">
      <c r="B654" s="8" t="str">
        <f t="shared" si="119"/>
        <v>164000</v>
      </c>
      <c r="C654" t="s">
        <v>2</v>
      </c>
      <c r="D654" s="22" t="str">
        <f ca="1">IFERROR(VLOOKUP($D654,'[2]Mappage de compte'!$B:$G,4,FALSE),"")</f>
        <v xml:space="preserve">EMPRUNT BELGIQUE      </v>
      </c>
    </row>
    <row r="655" spans="2:4" x14ac:dyDescent="0.25">
      <c r="B655" s="8" t="str">
        <f t="shared" si="119"/>
        <v>164000</v>
      </c>
      <c r="C655" t="s">
        <v>2</v>
      </c>
      <c r="D655" s="22" t="str">
        <f ca="1">IFERROR(VLOOKUP($D655,'[2]Mappage de compte'!$B:$G,4,FALSE),"")</f>
        <v xml:space="preserve">EMPRUNT BELGIQUE      </v>
      </c>
    </row>
    <row r="656" spans="2:4" x14ac:dyDescent="0.25">
      <c r="B656" s="8" t="str">
        <f t="shared" si="119"/>
        <v>164000</v>
      </c>
      <c r="C656" t="s">
        <v>2</v>
      </c>
      <c r="D656" s="22" t="str">
        <f ca="1">IFERROR(VLOOKUP($D656,'[2]Mappage de compte'!$B:$G,4,FALSE),"")</f>
        <v xml:space="preserve">EMPRUNT BELGIQUE      </v>
      </c>
    </row>
    <row r="657" spans="2:4" x14ac:dyDescent="0.25">
      <c r="B657" s="8" t="str">
        <f t="shared" si="119"/>
        <v>164000</v>
      </c>
      <c r="C657" t="s">
        <v>2</v>
      </c>
      <c r="D657" s="22" t="str">
        <f ca="1">IFERROR(VLOOKUP($D657,'[2]Mappage de compte'!$B:$G,4,FALSE),"")</f>
        <v xml:space="preserve">EMPRUNT BELGIQUE      </v>
      </c>
    </row>
    <row r="658" spans="2:4" x14ac:dyDescent="0.25">
      <c r="B658" s="8" t="str">
        <f t="shared" si="119"/>
        <v>164000</v>
      </c>
      <c r="C658" t="s">
        <v>2</v>
      </c>
      <c r="D658" s="22" t="str">
        <f ca="1">IFERROR(VLOOKUP($D658,'[2]Mappage de compte'!$B:$G,4,FALSE),"")</f>
        <v xml:space="preserve">EMPRUNT BELGIQUE      </v>
      </c>
    </row>
    <row r="659" spans="2:4" x14ac:dyDescent="0.25">
      <c r="B659" s="8" t="str">
        <f>"168100"</f>
        <v>168100</v>
      </c>
      <c r="C659" t="s">
        <v>2</v>
      </c>
      <c r="D659" s="22" t="str">
        <f ca="1">IFERROR(VLOOKUP($D659,'[2]Mappage de compte'!$B:$G,4,FALSE),"")</f>
        <v/>
      </c>
    </row>
    <row r="660" spans="2:4" x14ac:dyDescent="0.25">
      <c r="B660" s="8" t="str">
        <f t="shared" ref="B660:B683" si="120">"164000"</f>
        <v>164000</v>
      </c>
      <c r="C660" t="s">
        <v>2</v>
      </c>
      <c r="D660" s="22" t="str">
        <f ca="1">IFERROR(VLOOKUP($D660,'[2]Mappage de compte'!$B:$G,4,FALSE),"")</f>
        <v xml:space="preserve">EMPRUNT BELGIQUE      </v>
      </c>
    </row>
    <row r="661" spans="2:4" x14ac:dyDescent="0.25">
      <c r="B661" s="8" t="str">
        <f t="shared" si="120"/>
        <v>164000</v>
      </c>
      <c r="C661" t="s">
        <v>2</v>
      </c>
      <c r="D661" s="22" t="str">
        <f ca="1">IFERROR(VLOOKUP($D661,'[2]Mappage de compte'!$B:$G,4,FALSE),"")</f>
        <v xml:space="preserve">EMPRUNT BELGIQUE      </v>
      </c>
    </row>
    <row r="662" spans="2:4" x14ac:dyDescent="0.25">
      <c r="B662" s="8" t="str">
        <f t="shared" si="120"/>
        <v>164000</v>
      </c>
      <c r="C662" t="s">
        <v>2</v>
      </c>
      <c r="D662" s="22" t="str">
        <f ca="1">IFERROR(VLOOKUP($D662,'[2]Mappage de compte'!$B:$G,4,FALSE),"")</f>
        <v xml:space="preserve">EMPRUNT BELGIQUE      </v>
      </c>
    </row>
    <row r="663" spans="2:4" x14ac:dyDescent="0.25">
      <c r="B663" s="8" t="str">
        <f t="shared" si="120"/>
        <v>164000</v>
      </c>
      <c r="C663" t="s">
        <v>2</v>
      </c>
      <c r="D663" s="22" t="str">
        <f ca="1">IFERROR(VLOOKUP($D663,'[2]Mappage de compte'!$B:$G,4,FALSE),"")</f>
        <v xml:space="preserve">EMPRUNT BELGIQUE      </v>
      </c>
    </row>
    <row r="664" spans="2:4" x14ac:dyDescent="0.25">
      <c r="B664" s="8" t="str">
        <f t="shared" si="120"/>
        <v>164000</v>
      </c>
      <c r="C664" t="s">
        <v>2</v>
      </c>
      <c r="D664" s="22" t="str">
        <f ca="1">IFERROR(VLOOKUP($D664,'[2]Mappage de compte'!$B:$G,4,FALSE),"")</f>
        <v xml:space="preserve">EMPRUNT BELGIQUE      </v>
      </c>
    </row>
    <row r="665" spans="2:4" x14ac:dyDescent="0.25">
      <c r="B665" s="8" t="str">
        <f t="shared" si="120"/>
        <v>164000</v>
      </c>
      <c r="C665" t="s">
        <v>2</v>
      </c>
      <c r="D665" s="22" t="str">
        <f ca="1">IFERROR(VLOOKUP($D665,'[2]Mappage de compte'!$B:$G,4,FALSE),"")</f>
        <v xml:space="preserve">EMPRUNT BELGIQUE      </v>
      </c>
    </row>
    <row r="666" spans="2:4" x14ac:dyDescent="0.25">
      <c r="B666" s="8" t="str">
        <f t="shared" si="120"/>
        <v>164000</v>
      </c>
      <c r="C666" t="s">
        <v>2</v>
      </c>
      <c r="D666" s="22" t="str">
        <f ca="1">IFERROR(VLOOKUP($D666,'[2]Mappage de compte'!$B:$G,4,FALSE),"")</f>
        <v xml:space="preserve">EMPRUNT BELGIQUE      </v>
      </c>
    </row>
    <row r="667" spans="2:4" x14ac:dyDescent="0.25">
      <c r="B667" s="8" t="str">
        <f t="shared" si="120"/>
        <v>164000</v>
      </c>
      <c r="C667" t="s">
        <v>2</v>
      </c>
      <c r="D667" s="22" t="str">
        <f ca="1">IFERROR(VLOOKUP($D667,'[2]Mappage de compte'!$B:$G,4,FALSE),"")</f>
        <v xml:space="preserve">EMPRUNT BELGIQUE      </v>
      </c>
    </row>
    <row r="668" spans="2:4" x14ac:dyDescent="0.25">
      <c r="B668" s="8" t="str">
        <f t="shared" si="120"/>
        <v>164000</v>
      </c>
      <c r="C668" t="s">
        <v>2</v>
      </c>
      <c r="D668" s="22" t="str">
        <f ca="1">IFERROR(VLOOKUP($D668,'[2]Mappage de compte'!$B:$G,4,FALSE),"")</f>
        <v xml:space="preserve">EMPRUNT BELGIQUE      </v>
      </c>
    </row>
    <row r="669" spans="2:4" x14ac:dyDescent="0.25">
      <c r="B669" s="8" t="str">
        <f t="shared" si="120"/>
        <v>164000</v>
      </c>
      <c r="C669" t="s">
        <v>2</v>
      </c>
      <c r="D669" s="22" t="str">
        <f ca="1">IFERROR(VLOOKUP($D669,'[2]Mappage de compte'!$B:$G,4,FALSE),"")</f>
        <v xml:space="preserve">EMPRUNT BELGIQUE      </v>
      </c>
    </row>
    <row r="670" spans="2:4" x14ac:dyDescent="0.25">
      <c r="B670" s="8" t="str">
        <f t="shared" si="120"/>
        <v>164000</v>
      </c>
      <c r="C670" t="s">
        <v>2</v>
      </c>
      <c r="D670" s="22" t="str">
        <f ca="1">IFERROR(VLOOKUP($D670,'[2]Mappage de compte'!$B:$G,4,FALSE),"")</f>
        <v xml:space="preserve">EMPRUNT BELGIQUE      </v>
      </c>
    </row>
    <row r="671" spans="2:4" x14ac:dyDescent="0.25">
      <c r="B671" s="8" t="str">
        <f t="shared" si="120"/>
        <v>164000</v>
      </c>
      <c r="C671" t="s">
        <v>2</v>
      </c>
      <c r="D671" s="22" t="str">
        <f ca="1">IFERROR(VLOOKUP($D671,'[2]Mappage de compte'!$B:$G,4,FALSE),"")</f>
        <v xml:space="preserve">EMPRUNT BELGIQUE      </v>
      </c>
    </row>
    <row r="672" spans="2:4" x14ac:dyDescent="0.25">
      <c r="B672" s="8" t="str">
        <f t="shared" si="120"/>
        <v>164000</v>
      </c>
      <c r="C672" t="s">
        <v>2</v>
      </c>
      <c r="D672" s="22" t="str">
        <f ca="1">IFERROR(VLOOKUP($D672,'[2]Mappage de compte'!$B:$G,4,FALSE),"")</f>
        <v xml:space="preserve">EMPRUNT BELGIQUE      </v>
      </c>
    </row>
    <row r="673" spans="2:4" x14ac:dyDescent="0.25">
      <c r="B673" s="8" t="str">
        <f t="shared" si="120"/>
        <v>164000</v>
      </c>
      <c r="C673" t="s">
        <v>2</v>
      </c>
      <c r="D673" s="22" t="str">
        <f ca="1">IFERROR(VLOOKUP($D673,'[2]Mappage de compte'!$B:$G,4,FALSE),"")</f>
        <v xml:space="preserve">EMPRUNT BELGIQUE      </v>
      </c>
    </row>
    <row r="674" spans="2:4" x14ac:dyDescent="0.25">
      <c r="B674" s="8" t="str">
        <f t="shared" si="120"/>
        <v>164000</v>
      </c>
      <c r="C674" t="s">
        <v>2</v>
      </c>
      <c r="D674" s="22" t="str">
        <f ca="1">IFERROR(VLOOKUP($D674,'[2]Mappage de compte'!$B:$G,4,FALSE),"")</f>
        <v xml:space="preserve">EMPRUNT BELGIQUE      </v>
      </c>
    </row>
    <row r="675" spans="2:4" x14ac:dyDescent="0.25">
      <c r="B675" s="8" t="str">
        <f t="shared" si="120"/>
        <v>164000</v>
      </c>
      <c r="C675" t="s">
        <v>2</v>
      </c>
      <c r="D675" s="22" t="str">
        <f ca="1">IFERROR(VLOOKUP($D675,'[2]Mappage de compte'!$B:$G,4,FALSE),"")</f>
        <v xml:space="preserve">EMPRUNT BELGIQUE      </v>
      </c>
    </row>
    <row r="676" spans="2:4" x14ac:dyDescent="0.25">
      <c r="B676" s="8" t="str">
        <f t="shared" si="120"/>
        <v>164000</v>
      </c>
      <c r="C676" t="s">
        <v>2</v>
      </c>
      <c r="D676" s="22" t="str">
        <f ca="1">IFERROR(VLOOKUP($D676,'[2]Mappage de compte'!$B:$G,4,FALSE),"")</f>
        <v xml:space="preserve">EMPRUNT BELGIQUE      </v>
      </c>
    </row>
    <row r="677" spans="2:4" x14ac:dyDescent="0.25">
      <c r="B677" s="8" t="str">
        <f t="shared" si="120"/>
        <v>164000</v>
      </c>
      <c r="C677" t="s">
        <v>2</v>
      </c>
      <c r="D677" s="22" t="str">
        <f ca="1">IFERROR(VLOOKUP($D677,'[2]Mappage de compte'!$B:$G,4,FALSE),"")</f>
        <v xml:space="preserve">EMPRUNT BELGIQUE      </v>
      </c>
    </row>
    <row r="678" spans="2:4" x14ac:dyDescent="0.25">
      <c r="B678" s="8" t="str">
        <f t="shared" si="120"/>
        <v>164000</v>
      </c>
      <c r="C678" t="s">
        <v>2</v>
      </c>
      <c r="D678" s="22" t="str">
        <f ca="1">IFERROR(VLOOKUP($D678,'[2]Mappage de compte'!$B:$G,4,FALSE),"")</f>
        <v xml:space="preserve">EMPRUNT BELGIQUE      </v>
      </c>
    </row>
    <row r="679" spans="2:4" x14ac:dyDescent="0.25">
      <c r="B679" s="8" t="str">
        <f t="shared" si="120"/>
        <v>164000</v>
      </c>
      <c r="C679" t="s">
        <v>2</v>
      </c>
      <c r="D679" s="22" t="str">
        <f ca="1">IFERROR(VLOOKUP($D679,'[2]Mappage de compte'!$B:$G,4,FALSE),"")</f>
        <v xml:space="preserve">EMPRUNT BELGIQUE      </v>
      </c>
    </row>
    <row r="680" spans="2:4" x14ac:dyDescent="0.25">
      <c r="B680" s="8" t="str">
        <f t="shared" si="120"/>
        <v>164000</v>
      </c>
      <c r="C680" t="s">
        <v>2</v>
      </c>
      <c r="D680" s="22" t="str">
        <f ca="1">IFERROR(VLOOKUP($D680,'[2]Mappage de compte'!$B:$G,4,FALSE),"")</f>
        <v xml:space="preserve">EMPRUNT BELGIQUE      </v>
      </c>
    </row>
    <row r="681" spans="2:4" x14ac:dyDescent="0.25">
      <c r="B681" s="8" t="str">
        <f t="shared" si="120"/>
        <v>164000</v>
      </c>
      <c r="C681" t="s">
        <v>2</v>
      </c>
      <c r="D681" s="22" t="str">
        <f ca="1">IFERROR(VLOOKUP($D681,'[2]Mappage de compte'!$B:$G,4,FALSE),"")</f>
        <v xml:space="preserve">EMPRUNT BELGIQUE      </v>
      </c>
    </row>
    <row r="682" spans="2:4" x14ac:dyDescent="0.25">
      <c r="B682" s="8" t="str">
        <f t="shared" si="120"/>
        <v>164000</v>
      </c>
      <c r="C682" t="s">
        <v>2</v>
      </c>
      <c r="D682" s="22" t="str">
        <f ca="1">IFERROR(VLOOKUP($D682,'[2]Mappage de compte'!$B:$G,4,FALSE),"")</f>
        <v xml:space="preserve">EMPRUNT BELGIQUE      </v>
      </c>
    </row>
    <row r="683" spans="2:4" x14ac:dyDescent="0.25">
      <c r="B683" s="8" t="str">
        <f t="shared" si="120"/>
        <v>164000</v>
      </c>
      <c r="C683" t="s">
        <v>2</v>
      </c>
      <c r="D683" s="22" t="str">
        <f ca="1">IFERROR(VLOOKUP($D683,'[2]Mappage de compte'!$B:$G,4,FALSE),"")</f>
        <v xml:space="preserve">EMPRUNT BELGIQUE      </v>
      </c>
    </row>
    <row r="684" spans="2:4" x14ac:dyDescent="0.25">
      <c r="B684" s="8" t="str">
        <f>"168100"</f>
        <v>168100</v>
      </c>
      <c r="C684" t="s">
        <v>2</v>
      </c>
      <c r="D684" s="22" t="str">
        <f ca="1">IFERROR(VLOOKUP($D684,'[2]Mappage de compte'!$B:$G,4,FALSE),"")</f>
        <v/>
      </c>
    </row>
    <row r="685" spans="2:4" x14ac:dyDescent="0.25">
      <c r="B685" s="8" t="str">
        <f t="shared" ref="B685:B686" si="121">"467820"</f>
        <v>467820</v>
      </c>
      <c r="C685" t="s">
        <v>2</v>
      </c>
      <c r="D685" s="22" t="str">
        <f ca="1">IFERROR(VLOOKUP($D685,'[2]Mappage de compte'!$B:$G,4,FALSE),"")</f>
        <v>DEPOTS ET CAUTIONNEMENTS RECUS - AUTRES</v>
      </c>
    </row>
    <row r="686" spans="2:4" x14ac:dyDescent="0.25">
      <c r="B686" s="8" t="str">
        <f t="shared" si="121"/>
        <v>467820</v>
      </c>
      <c r="C686" t="s">
        <v>2</v>
      </c>
      <c r="D686" s="22" t="str">
        <f ca="1">IFERROR(VLOOKUP($D686,'[2]Mappage de compte'!$B:$G,4,FALSE),"")</f>
        <v>DEPOTS ET CAUTIONNEMENTS RECUS - AUTRES</v>
      </c>
    </row>
    <row r="687" spans="2:4" x14ac:dyDescent="0.25">
      <c r="B687" s="8" t="str">
        <f>"101300"</f>
        <v>101300</v>
      </c>
      <c r="C687" t="s">
        <v>15</v>
      </c>
      <c r="D687" s="23" t="str">
        <f ca="1">IFERROR(VLOOKUP($D687,'[2]Mappage de compte'!$B:$G,5,FALSE),"")</f>
        <v>Capital</v>
      </c>
    </row>
    <row r="688" spans="2:4" x14ac:dyDescent="0.25">
      <c r="B688" s="8" t="str">
        <f>"101300"</f>
        <v>101300</v>
      </c>
      <c r="C688" t="s">
        <v>15</v>
      </c>
      <c r="D688" s="23" t="str">
        <f ca="1">IFERROR(VLOOKUP($D688,'[2]Mappage de compte'!$B:$G,5,FALSE),"")</f>
        <v/>
      </c>
    </row>
    <row r="689" spans="2:4" x14ac:dyDescent="0.25">
      <c r="B689" s="8" t="str">
        <f>"467000"</f>
        <v>467000</v>
      </c>
      <c r="C689" t="s">
        <v>15</v>
      </c>
      <c r="D689" s="23" t="str">
        <f ca="1">IFERROR(VLOOKUP($D689,'[2]Mappage de compte'!$B:$G,5,FALSE),"")</f>
        <v>Autres passifs courants</v>
      </c>
    </row>
    <row r="690" spans="2:4" x14ac:dyDescent="0.25">
      <c r="B690" s="8" t="str">
        <f>"109000"</f>
        <v>109000</v>
      </c>
      <c r="C690" t="s">
        <v>15</v>
      </c>
      <c r="D690" s="23" t="str">
        <f ca="1">IFERROR(VLOOKUP($D690,'[2]Mappage de compte'!$B:$G,5,FALSE),"")</f>
        <v>Capital</v>
      </c>
    </row>
    <row r="691" spans="2:4" x14ac:dyDescent="0.25">
      <c r="B691" s="8"/>
      <c r="C691" t="s">
        <v>15</v>
      </c>
      <c r="D691" s="23" t="str">
        <f ca="1">IFERROR(VLOOKUP($D691,'[2]Mappage de compte'!$B:$G,5,FALSE),"")</f>
        <v/>
      </c>
    </row>
    <row r="692" spans="2:4" x14ac:dyDescent="0.25">
      <c r="B692" s="8" t="str">
        <f>"106880"</f>
        <v>106880</v>
      </c>
      <c r="C692" t="s">
        <v>15</v>
      </c>
      <c r="D692" s="23" t="str">
        <f ca="1">IFERROR(VLOOKUP($D692,'[2]Mappage de compte'!$B:$G,5,FALSE),"")</f>
        <v>Primes</v>
      </c>
    </row>
    <row r="693" spans="2:4" x14ac:dyDescent="0.25">
      <c r="B693" s="8" t="str">
        <f>"106880"</f>
        <v>106880</v>
      </c>
      <c r="C693" t="s">
        <v>15</v>
      </c>
      <c r="D693" s="23" t="str">
        <f ca="1">IFERROR(VLOOKUP($D693,'[2]Mappage de compte'!$B:$G,5,FALSE),"")</f>
        <v>Réserves Sociales</v>
      </c>
    </row>
    <row r="694" spans="2:4" x14ac:dyDescent="0.25">
      <c r="B694" s="8" t="str">
        <f>"105000"</f>
        <v>105000</v>
      </c>
      <c r="C694" t="s">
        <v>15</v>
      </c>
      <c r="D694" s="23" t="str">
        <f ca="1">IFERROR(VLOOKUP($D694,'[2]Mappage de compte'!$B:$G,5,FALSE),"")</f>
        <v/>
      </c>
    </row>
    <row r="695" spans="2:4" x14ac:dyDescent="0.25">
      <c r="B695" s="8" t="str">
        <f t="shared" ref="B695:B701" si="122">"106880"</f>
        <v>106880</v>
      </c>
      <c r="C695" t="s">
        <v>15</v>
      </c>
      <c r="D695" s="23" t="str">
        <f ca="1">IFERROR(VLOOKUP($D695,'[2]Mappage de compte'!$B:$G,5,FALSE),"")</f>
        <v>Réserves Sociales</v>
      </c>
    </row>
    <row r="696" spans="2:4" x14ac:dyDescent="0.25">
      <c r="B696" s="8" t="str">
        <f t="shared" si="122"/>
        <v>106880</v>
      </c>
      <c r="C696" t="s">
        <v>15</v>
      </c>
      <c r="D696" s="23" t="str">
        <f ca="1">IFERROR(VLOOKUP($D696,'[2]Mappage de compte'!$B:$G,5,FALSE),"")</f>
        <v>Réserves Sociales</v>
      </c>
    </row>
    <row r="697" spans="2:4" x14ac:dyDescent="0.25">
      <c r="B697" s="8" t="str">
        <f t="shared" si="122"/>
        <v>106880</v>
      </c>
      <c r="C697" t="s">
        <v>15</v>
      </c>
      <c r="D697" s="23" t="str">
        <f ca="1">IFERROR(VLOOKUP($D697,'[2]Mappage de compte'!$B:$G,5,FALSE),"")</f>
        <v>Réserves Sociales</v>
      </c>
    </row>
    <row r="698" spans="2:4" x14ac:dyDescent="0.25">
      <c r="B698" s="8" t="str">
        <f t="shared" si="122"/>
        <v>106880</v>
      </c>
      <c r="C698" t="s">
        <v>15</v>
      </c>
      <c r="D698" s="23" t="str">
        <f ca="1">IFERROR(VLOOKUP($D698,'[2]Mappage de compte'!$B:$G,5,FALSE),"")</f>
        <v>Réserves Sociales</v>
      </c>
    </row>
    <row r="699" spans="2:4" x14ac:dyDescent="0.25">
      <c r="B699" s="8" t="str">
        <f t="shared" si="122"/>
        <v>106880</v>
      </c>
      <c r="C699" t="s">
        <v>15</v>
      </c>
      <c r="D699" s="23" t="str">
        <f ca="1">IFERROR(VLOOKUP($D699,'[2]Mappage de compte'!$B:$G,5,FALSE),"")</f>
        <v>Réserves Sociales</v>
      </c>
    </row>
    <row r="700" spans="2:4" x14ac:dyDescent="0.25">
      <c r="B700" s="8" t="str">
        <f t="shared" si="122"/>
        <v>106880</v>
      </c>
      <c r="C700" t="s">
        <v>15</v>
      </c>
      <c r="D700" s="23" t="str">
        <f ca="1">IFERROR(VLOOKUP($D700,'[2]Mappage de compte'!$B:$G,5,FALSE),"")</f>
        <v>Réserves Sociales</v>
      </c>
    </row>
    <row r="701" spans="2:4" x14ac:dyDescent="0.25">
      <c r="B701" s="8" t="str">
        <f t="shared" si="122"/>
        <v>106880</v>
      </c>
      <c r="C701" t="s">
        <v>15</v>
      </c>
      <c r="D701" s="23" t="str">
        <f ca="1">IFERROR(VLOOKUP($D701,'[2]Mappage de compte'!$B:$G,5,FALSE),"")</f>
        <v>Réserves Sociales</v>
      </c>
    </row>
    <row r="702" spans="2:4" x14ac:dyDescent="0.25">
      <c r="B702" s="8" t="str">
        <f>"119000"</f>
        <v>119000</v>
      </c>
      <c r="C702" t="s">
        <v>15</v>
      </c>
      <c r="D702" s="23" t="str">
        <f ca="1">IFERROR(VLOOKUP($D702,'[2]Mappage de compte'!$B:$G,5,FALSE),"")</f>
        <v>Réserves Sociales</v>
      </c>
    </row>
    <row r="703" spans="2:4" x14ac:dyDescent="0.25">
      <c r="B703" s="8" t="str">
        <f>"119000"</f>
        <v>119000</v>
      </c>
      <c r="C703" t="s">
        <v>15</v>
      </c>
      <c r="D703" s="23" t="str">
        <f ca="1">IFERROR(VLOOKUP($D703,'[2]Mappage de compte'!$B:$G,5,FALSE),"")</f>
        <v>Réserves Sociales</v>
      </c>
    </row>
    <row r="704" spans="2:4" x14ac:dyDescent="0.25">
      <c r="B704" s="8" t="str">
        <f>"131000"</f>
        <v>131000</v>
      </c>
      <c r="C704" t="s">
        <v>15</v>
      </c>
      <c r="D704" s="23" t="str">
        <f ca="1">IFERROR(VLOOKUP($D704,'[2]Mappage de compte'!$B:$G,5,FALSE),"")</f>
        <v/>
      </c>
    </row>
    <row r="705" spans="2:4" x14ac:dyDescent="0.25">
      <c r="B705" s="8" t="str">
        <f>"139000"</f>
        <v>139000</v>
      </c>
      <c r="C705" t="s">
        <v>15</v>
      </c>
      <c r="D705" s="23" t="str">
        <f ca="1">IFERROR(VLOOKUP($D705,'[2]Mappage de compte'!$B:$G,5,FALSE),"")</f>
        <v/>
      </c>
    </row>
    <row r="706" spans="2:4" x14ac:dyDescent="0.25">
      <c r="B706" s="8" t="str">
        <f>"151800"</f>
        <v>151800</v>
      </c>
      <c r="C706" t="s">
        <v>15</v>
      </c>
      <c r="D706" s="23" t="str">
        <f ca="1">IFERROR(VLOOKUP($D706,'[2]Mappage de compte'!$B:$G,5,FALSE),"")</f>
        <v>Provisions courantes ou non courantes</v>
      </c>
    </row>
    <row r="707" spans="2:4" x14ac:dyDescent="0.25">
      <c r="B707" s="8" t="str">
        <f>"151800"</f>
        <v>151800</v>
      </c>
      <c r="C707" t="s">
        <v>15</v>
      </c>
      <c r="D707" s="23" t="str">
        <f ca="1">IFERROR(VLOOKUP($D707,'[2]Mappage de compte'!$B:$G,5,FALSE),"")</f>
        <v>Provisions courantes ou non courantes</v>
      </c>
    </row>
    <row r="708" spans="2:4" x14ac:dyDescent="0.25">
      <c r="B708" s="8" t="str">
        <f>"151800"</f>
        <v>151800</v>
      </c>
      <c r="C708" t="s">
        <v>15</v>
      </c>
      <c r="D708" s="23" t="str">
        <f ca="1">IFERROR(VLOOKUP($D708,'[2]Mappage de compte'!$B:$G,5,FALSE),"")</f>
        <v>Provisions courantes ou non courantes</v>
      </c>
    </row>
    <row r="709" spans="2:4" x14ac:dyDescent="0.25">
      <c r="B709" s="8" t="str">
        <f>"151100"</f>
        <v>151100</v>
      </c>
      <c r="C709" t="s">
        <v>15</v>
      </c>
      <c r="D709" s="23" t="str">
        <f ca="1">IFERROR(VLOOKUP($D709,'[2]Mappage de compte'!$B:$G,5,FALSE),"")</f>
        <v>Provisions courantes ou non courantes</v>
      </c>
    </row>
    <row r="710" spans="2:4" x14ac:dyDescent="0.25">
      <c r="B710" s="8" t="str">
        <f>"151800"</f>
        <v>151800</v>
      </c>
      <c r="C710" t="s">
        <v>15</v>
      </c>
      <c r="D710" s="23" t="str">
        <f ca="1">IFERROR(VLOOKUP($D710,'[2]Mappage de compte'!$B:$G,5,FALSE),"")</f>
        <v>Provisions courantes ou non courantes</v>
      </c>
    </row>
    <row r="711" spans="2:4" x14ac:dyDescent="0.25">
      <c r="B711" s="8" t="str">
        <f>"151800"</f>
        <v>151800</v>
      </c>
      <c r="C711" t="s">
        <v>15</v>
      </c>
      <c r="D711" s="23" t="str">
        <f ca="1">IFERROR(VLOOKUP($D711,'[2]Mappage de compte'!$B:$G,5,FALSE),"")</f>
        <v>Provisions courantes ou non courantes</v>
      </c>
    </row>
    <row r="712" spans="2:4" x14ac:dyDescent="0.25">
      <c r="B712" s="8" t="str">
        <f>"151800"</f>
        <v>151800</v>
      </c>
      <c r="C712" t="s">
        <v>15</v>
      </c>
      <c r="D712" s="23" t="str">
        <f ca="1">IFERROR(VLOOKUP($D712,'[2]Mappage de compte'!$B:$G,5,FALSE),"")</f>
        <v>Provisions courantes ou non courantes</v>
      </c>
    </row>
    <row r="713" spans="2:4" x14ac:dyDescent="0.25">
      <c r="B713" s="8" t="str">
        <f>"151800"</f>
        <v>151800</v>
      </c>
      <c r="C713" t="s">
        <v>15</v>
      </c>
      <c r="D713" s="23" t="str">
        <f ca="1">IFERROR(VLOOKUP($D713,'[2]Mappage de compte'!$B:$G,5,FALSE),"")</f>
        <v>Provisions courantes ou non courantes</v>
      </c>
    </row>
    <row r="714" spans="2:4" x14ac:dyDescent="0.25">
      <c r="B714" s="8" t="str">
        <f>"151800"</f>
        <v>151800</v>
      </c>
      <c r="C714" t="s">
        <v>15</v>
      </c>
      <c r="D714" s="23" t="str">
        <f ca="1">IFERROR(VLOOKUP($D714,'[2]Mappage de compte'!$B:$G,5,FALSE),"")</f>
        <v>Provisions courantes ou non courantes</v>
      </c>
    </row>
    <row r="715" spans="2:4" x14ac:dyDescent="0.25">
      <c r="B715" s="8" t="str">
        <f>"161000"</f>
        <v>161000</v>
      </c>
      <c r="C715" t="s">
        <v>15</v>
      </c>
      <c r="D715" s="23" t="str">
        <f ca="1">IFERROR(VLOOKUP($D715,'[2]Mappage de compte'!$B:$G,5,FALSE),"")</f>
        <v>Passifs courants ou non courants portant intérêts ou non</v>
      </c>
    </row>
    <row r="716" spans="2:4" x14ac:dyDescent="0.25">
      <c r="B716" s="8" t="str">
        <f>"161000"</f>
        <v>161000</v>
      </c>
      <c r="C716" t="s">
        <v>15</v>
      </c>
      <c r="D716" s="23" t="str">
        <f ca="1">IFERROR(VLOOKUP($D716,'[2]Mappage de compte'!$B:$G,5,FALSE),"")</f>
        <v>Passifs courants ou non courants portant intérêts ou non</v>
      </c>
    </row>
    <row r="717" spans="2:4" x14ac:dyDescent="0.25">
      <c r="B717" s="8" t="str">
        <f t="shared" ref="B717:B726" si="123">"164000"</f>
        <v>164000</v>
      </c>
      <c r="C717" t="s">
        <v>15</v>
      </c>
      <c r="D717" s="23" t="str">
        <f ca="1">IFERROR(VLOOKUP($D717,'[2]Mappage de compte'!$B:$G,5,FALSE),"")</f>
        <v>Passifs courants ou non courants portant intérêts ou non</v>
      </c>
    </row>
    <row r="718" spans="2:4" x14ac:dyDescent="0.25">
      <c r="B718" s="8" t="str">
        <f t="shared" si="123"/>
        <v>164000</v>
      </c>
      <c r="C718" t="s">
        <v>15</v>
      </c>
      <c r="D718" s="23" t="str">
        <f ca="1">IFERROR(VLOOKUP($D718,'[2]Mappage de compte'!$B:$G,5,FALSE),"")</f>
        <v>Passifs courants ou non courants portant intérêts ou non</v>
      </c>
    </row>
    <row r="719" spans="2:4" x14ac:dyDescent="0.25">
      <c r="B719" s="8" t="str">
        <f t="shared" si="123"/>
        <v>164000</v>
      </c>
      <c r="C719" t="s">
        <v>15</v>
      </c>
      <c r="D719" s="23" t="str">
        <f ca="1">IFERROR(VLOOKUP($D719,'[2]Mappage de compte'!$B:$G,5,FALSE),"")</f>
        <v>Passifs courants ou non courants portant intérêts ou non</v>
      </c>
    </row>
    <row r="720" spans="2:4" x14ac:dyDescent="0.25">
      <c r="B720" s="8" t="str">
        <f t="shared" si="123"/>
        <v>164000</v>
      </c>
      <c r="C720" t="s">
        <v>15</v>
      </c>
      <c r="D720" s="23" t="str">
        <f ca="1">IFERROR(VLOOKUP($D720,'[2]Mappage de compte'!$B:$G,5,FALSE),"")</f>
        <v>Passifs courants ou non courants portant intérêts ou non</v>
      </c>
    </row>
    <row r="721" spans="2:4" x14ac:dyDescent="0.25">
      <c r="B721" s="8" t="str">
        <f t="shared" si="123"/>
        <v>164000</v>
      </c>
      <c r="C721" t="s">
        <v>15</v>
      </c>
      <c r="D721" s="23" t="str">
        <f ca="1">IFERROR(VLOOKUP($D721,'[2]Mappage de compte'!$B:$G,5,FALSE),"")</f>
        <v>Passifs courants ou non courants portant intérêts ou non</v>
      </c>
    </row>
    <row r="722" spans="2:4" x14ac:dyDescent="0.25">
      <c r="B722" s="8" t="str">
        <f t="shared" si="123"/>
        <v>164000</v>
      </c>
      <c r="C722" t="s">
        <v>15</v>
      </c>
      <c r="D722" s="23" t="str">
        <f ca="1">IFERROR(VLOOKUP($D722,'[2]Mappage de compte'!$B:$G,5,FALSE),"")</f>
        <v>Passifs courants ou non courants portant intérêts ou non</v>
      </c>
    </row>
    <row r="723" spans="2:4" x14ac:dyDescent="0.25">
      <c r="B723" s="8" t="str">
        <f t="shared" si="123"/>
        <v>164000</v>
      </c>
      <c r="C723" t="s">
        <v>15</v>
      </c>
      <c r="D723" s="23" t="str">
        <f ca="1">IFERROR(VLOOKUP($D723,'[2]Mappage de compte'!$B:$G,5,FALSE),"")</f>
        <v>Passifs courants ou non courants portant intérêts ou non</v>
      </c>
    </row>
    <row r="724" spans="2:4" x14ac:dyDescent="0.25">
      <c r="B724" s="8" t="str">
        <f t="shared" si="123"/>
        <v>164000</v>
      </c>
      <c r="C724" t="s">
        <v>15</v>
      </c>
      <c r="D724" s="23" t="str">
        <f ca="1">IFERROR(VLOOKUP($D724,'[2]Mappage de compte'!$B:$G,5,FALSE),"")</f>
        <v>Passifs courants ou non courants portant intérêts ou non</v>
      </c>
    </row>
    <row r="725" spans="2:4" x14ac:dyDescent="0.25">
      <c r="B725" s="8" t="str">
        <f t="shared" si="123"/>
        <v>164000</v>
      </c>
      <c r="C725" t="s">
        <v>15</v>
      </c>
      <c r="D725" s="23" t="str">
        <f ca="1">IFERROR(VLOOKUP($D725,'[2]Mappage de compte'!$B:$G,5,FALSE),"")</f>
        <v>Passifs courants ou non courants portant intérêts ou non</v>
      </c>
    </row>
    <row r="726" spans="2:4" x14ac:dyDescent="0.25">
      <c r="B726" s="8" t="str">
        <f t="shared" si="123"/>
        <v>164000</v>
      </c>
      <c r="C726" t="s">
        <v>15</v>
      </c>
      <c r="D726" s="23" t="str">
        <f ca="1">IFERROR(VLOOKUP($D726,'[2]Mappage de compte'!$B:$G,5,FALSE),"")</f>
        <v>Passifs courants ou non courants portant intérêts ou non</v>
      </c>
    </row>
    <row r="727" spans="2:4" x14ac:dyDescent="0.25">
      <c r="B727" s="8" t="str">
        <f>"168100"</f>
        <v>168100</v>
      </c>
      <c r="C727" t="s">
        <v>15</v>
      </c>
      <c r="D727" s="23" t="str">
        <f ca="1">IFERROR(VLOOKUP($D727,'[2]Mappage de compte'!$B:$G,5,FALSE),"")</f>
        <v/>
      </c>
    </row>
    <row r="728" spans="2:4" x14ac:dyDescent="0.25">
      <c r="B728" s="8" t="str">
        <f t="shared" ref="B728:B751" si="124">"164000"</f>
        <v>164000</v>
      </c>
      <c r="C728" t="s">
        <v>15</v>
      </c>
      <c r="D728" s="23" t="str">
        <f ca="1">IFERROR(VLOOKUP($D728,'[2]Mappage de compte'!$B:$G,5,FALSE),"")</f>
        <v>Passifs courants ou non courants portant intérêts ou non</v>
      </c>
    </row>
    <row r="729" spans="2:4" x14ac:dyDescent="0.25">
      <c r="B729" s="8" t="str">
        <f t="shared" si="124"/>
        <v>164000</v>
      </c>
      <c r="C729" t="s">
        <v>15</v>
      </c>
      <c r="D729" s="23" t="str">
        <f ca="1">IFERROR(VLOOKUP($D729,'[2]Mappage de compte'!$B:$G,5,FALSE),"")</f>
        <v>Passifs courants ou non courants portant intérêts ou non</v>
      </c>
    </row>
    <row r="730" spans="2:4" x14ac:dyDescent="0.25">
      <c r="B730" s="8" t="str">
        <f t="shared" si="124"/>
        <v>164000</v>
      </c>
      <c r="C730" t="s">
        <v>15</v>
      </c>
      <c r="D730" s="23" t="str">
        <f ca="1">IFERROR(VLOOKUP($D730,'[2]Mappage de compte'!$B:$G,5,FALSE),"")</f>
        <v>Passifs courants ou non courants portant intérêts ou non</v>
      </c>
    </row>
    <row r="731" spans="2:4" x14ac:dyDescent="0.25">
      <c r="B731" s="8" t="str">
        <f t="shared" si="124"/>
        <v>164000</v>
      </c>
      <c r="C731" t="s">
        <v>15</v>
      </c>
      <c r="D731" s="23" t="str">
        <f ca="1">IFERROR(VLOOKUP($D731,'[2]Mappage de compte'!$B:$G,5,FALSE),"")</f>
        <v>Passifs courants ou non courants portant intérêts ou non</v>
      </c>
    </row>
    <row r="732" spans="2:4" x14ac:dyDescent="0.25">
      <c r="B732" s="8" t="str">
        <f t="shared" si="124"/>
        <v>164000</v>
      </c>
      <c r="C732" t="s">
        <v>15</v>
      </c>
      <c r="D732" s="23" t="str">
        <f ca="1">IFERROR(VLOOKUP($D732,'[2]Mappage de compte'!$B:$G,5,FALSE),"")</f>
        <v>Passifs courants ou non courants portant intérêts ou non</v>
      </c>
    </row>
    <row r="733" spans="2:4" x14ac:dyDescent="0.25">
      <c r="B733" s="8" t="str">
        <f t="shared" si="124"/>
        <v>164000</v>
      </c>
      <c r="C733" t="s">
        <v>15</v>
      </c>
      <c r="D733" s="23" t="str">
        <f ca="1">IFERROR(VLOOKUP($D733,'[2]Mappage de compte'!$B:$G,5,FALSE),"")</f>
        <v>Passifs courants ou non courants portant intérêts ou non</v>
      </c>
    </row>
    <row r="734" spans="2:4" x14ac:dyDescent="0.25">
      <c r="B734" s="8" t="str">
        <f t="shared" si="124"/>
        <v>164000</v>
      </c>
      <c r="C734" t="s">
        <v>15</v>
      </c>
      <c r="D734" s="23" t="str">
        <f ca="1">IFERROR(VLOOKUP($D734,'[2]Mappage de compte'!$B:$G,5,FALSE),"")</f>
        <v>Passifs courants ou non courants portant intérêts ou non</v>
      </c>
    </row>
    <row r="735" spans="2:4" x14ac:dyDescent="0.25">
      <c r="B735" s="8" t="str">
        <f t="shared" si="124"/>
        <v>164000</v>
      </c>
      <c r="C735" t="s">
        <v>15</v>
      </c>
      <c r="D735" s="23" t="str">
        <f ca="1">IFERROR(VLOOKUP($D735,'[2]Mappage de compte'!$B:$G,5,FALSE),"")</f>
        <v>Passifs courants ou non courants portant intérêts ou non</v>
      </c>
    </row>
    <row r="736" spans="2:4" x14ac:dyDescent="0.25">
      <c r="B736" s="8" t="str">
        <f t="shared" si="124"/>
        <v>164000</v>
      </c>
      <c r="C736" t="s">
        <v>15</v>
      </c>
      <c r="D736" s="23" t="str">
        <f ca="1">IFERROR(VLOOKUP($D736,'[2]Mappage de compte'!$B:$G,5,FALSE),"")</f>
        <v>Passifs courants ou non courants portant intérêts ou non</v>
      </c>
    </row>
    <row r="737" spans="2:4" x14ac:dyDescent="0.25">
      <c r="B737" s="8" t="str">
        <f t="shared" si="124"/>
        <v>164000</v>
      </c>
      <c r="C737" t="s">
        <v>15</v>
      </c>
      <c r="D737" s="23" t="str">
        <f ca="1">IFERROR(VLOOKUP($D737,'[2]Mappage de compte'!$B:$G,5,FALSE),"")</f>
        <v>Passifs courants ou non courants portant intérêts ou non</v>
      </c>
    </row>
    <row r="738" spans="2:4" x14ac:dyDescent="0.25">
      <c r="B738" s="8" t="str">
        <f t="shared" si="124"/>
        <v>164000</v>
      </c>
      <c r="C738" t="s">
        <v>15</v>
      </c>
      <c r="D738" s="23" t="str">
        <f ca="1">IFERROR(VLOOKUP($D738,'[2]Mappage de compte'!$B:$G,5,FALSE),"")</f>
        <v>Passifs courants ou non courants portant intérêts ou non</v>
      </c>
    </row>
    <row r="739" spans="2:4" x14ac:dyDescent="0.25">
      <c r="B739" s="8" t="str">
        <f t="shared" si="124"/>
        <v>164000</v>
      </c>
      <c r="C739" t="s">
        <v>15</v>
      </c>
      <c r="D739" s="23" t="str">
        <f ca="1">IFERROR(VLOOKUP($D739,'[2]Mappage de compte'!$B:$G,5,FALSE),"")</f>
        <v>Passifs courants ou non courants portant intérêts ou non</v>
      </c>
    </row>
    <row r="740" spans="2:4" x14ac:dyDescent="0.25">
      <c r="B740" s="8" t="str">
        <f t="shared" si="124"/>
        <v>164000</v>
      </c>
      <c r="C740" t="s">
        <v>15</v>
      </c>
      <c r="D740" s="23" t="str">
        <f ca="1">IFERROR(VLOOKUP($D740,'[2]Mappage de compte'!$B:$G,5,FALSE),"")</f>
        <v>Passifs courants ou non courants portant intérêts ou non</v>
      </c>
    </row>
    <row r="741" spans="2:4" x14ac:dyDescent="0.25">
      <c r="B741" s="8" t="str">
        <f t="shared" si="124"/>
        <v>164000</v>
      </c>
      <c r="C741" t="s">
        <v>15</v>
      </c>
      <c r="D741" s="23" t="str">
        <f ca="1">IFERROR(VLOOKUP($D741,'[2]Mappage de compte'!$B:$G,5,FALSE),"")</f>
        <v>Passifs courants ou non courants portant intérêts ou non</v>
      </c>
    </row>
    <row r="742" spans="2:4" x14ac:dyDescent="0.25">
      <c r="B742" s="8" t="str">
        <f t="shared" si="124"/>
        <v>164000</v>
      </c>
      <c r="C742" t="s">
        <v>15</v>
      </c>
      <c r="D742" s="23" t="str">
        <f ca="1">IFERROR(VLOOKUP($D742,'[2]Mappage de compte'!$B:$G,5,FALSE),"")</f>
        <v>Passifs courants ou non courants portant intérêts ou non</v>
      </c>
    </row>
    <row r="743" spans="2:4" x14ac:dyDescent="0.25">
      <c r="B743" s="8" t="str">
        <f t="shared" si="124"/>
        <v>164000</v>
      </c>
      <c r="C743" t="s">
        <v>15</v>
      </c>
      <c r="D743" s="23" t="str">
        <f ca="1">IFERROR(VLOOKUP($D743,'[2]Mappage de compte'!$B:$G,5,FALSE),"")</f>
        <v>Passifs courants ou non courants portant intérêts ou non</v>
      </c>
    </row>
    <row r="744" spans="2:4" x14ac:dyDescent="0.25">
      <c r="B744" s="8" t="str">
        <f t="shared" si="124"/>
        <v>164000</v>
      </c>
      <c r="C744" t="s">
        <v>15</v>
      </c>
      <c r="D744" s="23" t="str">
        <f ca="1">IFERROR(VLOOKUP($D744,'[2]Mappage de compte'!$B:$G,5,FALSE),"")</f>
        <v>Passifs courants ou non courants portant intérêts ou non</v>
      </c>
    </row>
    <row r="745" spans="2:4" x14ac:dyDescent="0.25">
      <c r="B745" s="8" t="str">
        <f t="shared" si="124"/>
        <v>164000</v>
      </c>
      <c r="C745" t="s">
        <v>15</v>
      </c>
      <c r="D745" s="23" t="str">
        <f ca="1">IFERROR(VLOOKUP($D745,'[2]Mappage de compte'!$B:$G,5,FALSE),"")</f>
        <v>Passifs courants ou non courants portant intérêts ou non</v>
      </c>
    </row>
    <row r="746" spans="2:4" x14ac:dyDescent="0.25">
      <c r="B746" s="8" t="str">
        <f t="shared" si="124"/>
        <v>164000</v>
      </c>
      <c r="C746" t="s">
        <v>15</v>
      </c>
      <c r="D746" s="23" t="str">
        <f ca="1">IFERROR(VLOOKUP($D746,'[2]Mappage de compte'!$B:$G,5,FALSE),"")</f>
        <v>Passifs courants ou non courants portant intérêts ou non</v>
      </c>
    </row>
    <row r="747" spans="2:4" x14ac:dyDescent="0.25">
      <c r="B747" s="8" t="str">
        <f t="shared" si="124"/>
        <v>164000</v>
      </c>
      <c r="C747" t="s">
        <v>15</v>
      </c>
      <c r="D747" s="23" t="str">
        <f ca="1">IFERROR(VLOOKUP($D747,'[2]Mappage de compte'!$B:$G,5,FALSE),"")</f>
        <v>Passifs courants ou non courants portant intérêts ou non</v>
      </c>
    </row>
    <row r="748" spans="2:4" x14ac:dyDescent="0.25">
      <c r="B748" s="8" t="str">
        <f t="shared" si="124"/>
        <v>164000</v>
      </c>
      <c r="C748" t="s">
        <v>15</v>
      </c>
      <c r="D748" s="23" t="str">
        <f ca="1">IFERROR(VLOOKUP($D748,'[2]Mappage de compte'!$B:$G,5,FALSE),"")</f>
        <v>Passifs courants ou non courants portant intérêts ou non</v>
      </c>
    </row>
    <row r="749" spans="2:4" x14ac:dyDescent="0.25">
      <c r="B749" s="8" t="str">
        <f t="shared" si="124"/>
        <v>164000</v>
      </c>
      <c r="C749" t="s">
        <v>15</v>
      </c>
      <c r="D749" s="23" t="str">
        <f ca="1">IFERROR(VLOOKUP($D749,'[2]Mappage de compte'!$B:$G,5,FALSE),"")</f>
        <v>Passifs courants ou non courants portant intérêts ou non</v>
      </c>
    </row>
    <row r="750" spans="2:4" x14ac:dyDescent="0.25">
      <c r="B750" s="8" t="str">
        <f t="shared" si="124"/>
        <v>164000</v>
      </c>
      <c r="C750" t="s">
        <v>15</v>
      </c>
      <c r="D750" s="23" t="str">
        <f ca="1">IFERROR(VLOOKUP($D750,'[2]Mappage de compte'!$B:$G,5,FALSE),"")</f>
        <v>Passifs courants ou non courants portant intérêts ou non</v>
      </c>
    </row>
    <row r="751" spans="2:4" x14ac:dyDescent="0.25">
      <c r="B751" s="8" t="str">
        <f t="shared" si="124"/>
        <v>164000</v>
      </c>
      <c r="C751" t="s">
        <v>15</v>
      </c>
      <c r="D751" s="23" t="str">
        <f ca="1">IFERROR(VLOOKUP($D751,'[2]Mappage de compte'!$B:$G,5,FALSE),"")</f>
        <v>Passifs courants ou non courants portant intérêts ou non</v>
      </c>
    </row>
    <row r="752" spans="2:4" x14ac:dyDescent="0.25">
      <c r="B752" s="8" t="str">
        <f>"168100"</f>
        <v>168100</v>
      </c>
      <c r="C752" t="s">
        <v>15</v>
      </c>
      <c r="D752" s="23" t="str">
        <f ca="1">IFERROR(VLOOKUP($D752,'[2]Mappage de compte'!$B:$G,5,FALSE),"")</f>
        <v/>
      </c>
    </row>
    <row r="753" spans="2:4" x14ac:dyDescent="0.25">
      <c r="B753" s="8" t="str">
        <f t="shared" ref="B753:B754" si="125">"467820"</f>
        <v>467820</v>
      </c>
      <c r="C753" t="s">
        <v>15</v>
      </c>
      <c r="D753" s="23" t="str">
        <f ca="1">IFERROR(VLOOKUP($D753,'[2]Mappage de compte'!$B:$G,5,FALSE),"")</f>
        <v>Passifs courants ou non courants portant intérêts ou non</v>
      </c>
    </row>
    <row r="754" spans="2:4" x14ac:dyDescent="0.25">
      <c r="B754" s="8" t="str">
        <f t="shared" si="125"/>
        <v>467820</v>
      </c>
      <c r="C754" t="s">
        <v>15</v>
      </c>
      <c r="D754" s="23" t="str">
        <f ca="1">IFERROR(VLOOKUP($D754,'[2]Mappage de compte'!$B:$G,5,FALSE),"")</f>
        <v>Passifs courants ou non courants portant intérêts ou non</v>
      </c>
    </row>
    <row r="755" spans="2:4" x14ac:dyDescent="0.25">
      <c r="B755" s="8" t="str">
        <f>"101300"</f>
        <v>101300</v>
      </c>
      <c r="C755" t="s">
        <v>16</v>
      </c>
      <c r="D755" s="23" t="str">
        <f ca="1">IFERROR(VLOOKUP($D755,'[2]Mappage de compte'!$B:$G,6,FALSE),"")</f>
        <v>Capitaux propres part du groupe</v>
      </c>
    </row>
    <row r="756" spans="2:4" x14ac:dyDescent="0.25">
      <c r="B756" s="8" t="str">
        <f>"101300"</f>
        <v>101300</v>
      </c>
      <c r="C756" t="s">
        <v>16</v>
      </c>
      <c r="D756" s="23" t="str">
        <f ca="1">IFERROR(VLOOKUP($D756,'[2]Mappage de compte'!$B:$G,6,FALSE),"")</f>
        <v/>
      </c>
    </row>
    <row r="757" spans="2:4" x14ac:dyDescent="0.25">
      <c r="B757" s="8" t="str">
        <f>"467000"</f>
        <v>467000</v>
      </c>
      <c r="C757" t="s">
        <v>16</v>
      </c>
      <c r="D757" s="23" t="str">
        <f ca="1">IFERROR(VLOOKUP($D757,'[2]Mappage de compte'!$B:$G,6,FALSE),"")</f>
        <v>PASSIFS COURANTS</v>
      </c>
    </row>
    <row r="758" spans="2:4" x14ac:dyDescent="0.25">
      <c r="B758" s="8" t="str">
        <f>"109000"</f>
        <v>109000</v>
      </c>
      <c r="C758" t="s">
        <v>16</v>
      </c>
      <c r="D758" s="23" t="str">
        <f ca="1">IFERROR(VLOOKUP($D758,'[2]Mappage de compte'!$B:$G,6,FALSE),"")</f>
        <v>Capitaux propres part du groupe</v>
      </c>
    </row>
    <row r="759" spans="2:4" x14ac:dyDescent="0.25">
      <c r="B759" s="8"/>
      <c r="C759" t="s">
        <v>16</v>
      </c>
      <c r="D759" s="23" t="str">
        <f ca="1">IFERROR(VLOOKUP($D759,'[2]Mappage de compte'!$B:$G,6,FALSE),"")</f>
        <v/>
      </c>
    </row>
    <row r="760" spans="2:4" x14ac:dyDescent="0.25">
      <c r="B760" s="8" t="str">
        <f>"106880"</f>
        <v>106880</v>
      </c>
      <c r="C760" t="s">
        <v>16</v>
      </c>
      <c r="D760" s="23" t="str">
        <f ca="1">IFERROR(VLOOKUP($D760,'[2]Mappage de compte'!$B:$G,6,FALSE),"")</f>
        <v>Capitaux propres part du groupe</v>
      </c>
    </row>
    <row r="761" spans="2:4" x14ac:dyDescent="0.25">
      <c r="B761" s="8" t="str">
        <f>"106880"</f>
        <v>106880</v>
      </c>
      <c r="C761" t="s">
        <v>16</v>
      </c>
      <c r="D761" s="23" t="str">
        <f ca="1">IFERROR(VLOOKUP($D761,'[2]Mappage de compte'!$B:$G,6,FALSE),"")</f>
        <v>Capitaux propres part du groupe</v>
      </c>
    </row>
    <row r="762" spans="2:4" x14ac:dyDescent="0.25">
      <c r="B762" s="8" t="str">
        <f>"105000"</f>
        <v>105000</v>
      </c>
      <c r="C762" t="s">
        <v>16</v>
      </c>
      <c r="D762" s="23" t="str">
        <f ca="1">IFERROR(VLOOKUP($D762,'[2]Mappage de compte'!$B:$G,6,FALSE),"")</f>
        <v/>
      </c>
    </row>
    <row r="763" spans="2:4" x14ac:dyDescent="0.25">
      <c r="B763" s="8" t="str">
        <f t="shared" ref="B763:B769" si="126">"106880"</f>
        <v>106880</v>
      </c>
      <c r="C763" t="s">
        <v>16</v>
      </c>
      <c r="D763" s="23" t="str">
        <f ca="1">IFERROR(VLOOKUP($D763,'[2]Mappage de compte'!$B:$G,6,FALSE),"")</f>
        <v>Capitaux propres part du groupe</v>
      </c>
    </row>
    <row r="764" spans="2:4" x14ac:dyDescent="0.25">
      <c r="B764" s="8" t="str">
        <f t="shared" si="126"/>
        <v>106880</v>
      </c>
      <c r="C764" t="s">
        <v>16</v>
      </c>
      <c r="D764" s="23" t="str">
        <f ca="1">IFERROR(VLOOKUP($D764,'[2]Mappage de compte'!$B:$G,6,FALSE),"")</f>
        <v>Capitaux propres part du groupe</v>
      </c>
    </row>
    <row r="765" spans="2:4" x14ac:dyDescent="0.25">
      <c r="B765" s="8" t="str">
        <f t="shared" si="126"/>
        <v>106880</v>
      </c>
      <c r="C765" t="s">
        <v>16</v>
      </c>
      <c r="D765" s="23" t="str">
        <f ca="1">IFERROR(VLOOKUP($D765,'[2]Mappage de compte'!$B:$G,6,FALSE),"")</f>
        <v>Capitaux propres part du groupe</v>
      </c>
    </row>
    <row r="766" spans="2:4" x14ac:dyDescent="0.25">
      <c r="B766" s="8" t="str">
        <f t="shared" si="126"/>
        <v>106880</v>
      </c>
      <c r="C766" t="s">
        <v>16</v>
      </c>
      <c r="D766" s="23" t="str">
        <f ca="1">IFERROR(VLOOKUP($D766,'[2]Mappage de compte'!$B:$G,6,FALSE),"")</f>
        <v>Capitaux propres part du groupe</v>
      </c>
    </row>
    <row r="767" spans="2:4" x14ac:dyDescent="0.25">
      <c r="B767" s="8" t="str">
        <f t="shared" si="126"/>
        <v>106880</v>
      </c>
      <c r="C767" t="s">
        <v>16</v>
      </c>
      <c r="D767" s="23" t="str">
        <f ca="1">IFERROR(VLOOKUP($D767,'[2]Mappage de compte'!$B:$G,6,FALSE),"")</f>
        <v>Capitaux propres part du groupe</v>
      </c>
    </row>
    <row r="768" spans="2:4" x14ac:dyDescent="0.25">
      <c r="B768" s="8" t="str">
        <f t="shared" si="126"/>
        <v>106880</v>
      </c>
      <c r="C768" t="s">
        <v>16</v>
      </c>
      <c r="D768" s="23" t="str">
        <f ca="1">IFERROR(VLOOKUP($D768,'[2]Mappage de compte'!$B:$G,6,FALSE),"")</f>
        <v>Capitaux propres part du groupe</v>
      </c>
    </row>
    <row r="769" spans="2:4" x14ac:dyDescent="0.25">
      <c r="B769" s="8" t="str">
        <f t="shared" si="126"/>
        <v>106880</v>
      </c>
      <c r="C769" t="s">
        <v>16</v>
      </c>
      <c r="D769" s="23" t="str">
        <f ca="1">IFERROR(VLOOKUP($D769,'[2]Mappage de compte'!$B:$G,6,FALSE),"")</f>
        <v>Capitaux propres part du groupe</v>
      </c>
    </row>
    <row r="770" spans="2:4" x14ac:dyDescent="0.25">
      <c r="B770" s="8" t="str">
        <f>"119000"</f>
        <v>119000</v>
      </c>
      <c r="C770" t="s">
        <v>16</v>
      </c>
      <c r="D770" s="23" t="str">
        <f ca="1">IFERROR(VLOOKUP($D770,'[2]Mappage de compte'!$B:$G,6,FALSE),"")</f>
        <v>Capitaux propres part du groupe</v>
      </c>
    </row>
    <row r="771" spans="2:4" x14ac:dyDescent="0.25">
      <c r="B771" s="8" t="str">
        <f>"119000"</f>
        <v>119000</v>
      </c>
      <c r="C771" t="s">
        <v>16</v>
      </c>
      <c r="D771" s="23" t="str">
        <f ca="1">IFERROR(VLOOKUP($D771,'[2]Mappage de compte'!$B:$G,6,FALSE),"")</f>
        <v>Capitaux propres part du groupe</v>
      </c>
    </row>
    <row r="772" spans="2:4" x14ac:dyDescent="0.25">
      <c r="B772" s="8" t="str">
        <f>"131000"</f>
        <v>131000</v>
      </c>
      <c r="C772" t="s">
        <v>16</v>
      </c>
      <c r="D772" s="23" t="str">
        <f ca="1">IFERROR(VLOOKUP($D772,'[2]Mappage de compte'!$B:$G,6,FALSE),"")</f>
        <v/>
      </c>
    </row>
    <row r="773" spans="2:4" x14ac:dyDescent="0.25">
      <c r="B773" s="8" t="str">
        <f>"139000"</f>
        <v>139000</v>
      </c>
      <c r="C773" t="s">
        <v>16</v>
      </c>
      <c r="D773" s="23" t="str">
        <f ca="1">IFERROR(VLOOKUP($D773,'[2]Mappage de compte'!$B:$G,6,FALSE),"")</f>
        <v/>
      </c>
    </row>
    <row r="774" spans="2:4" x14ac:dyDescent="0.25">
      <c r="B774" s="8" t="str">
        <f>"151800"</f>
        <v>151800</v>
      </c>
      <c r="C774" t="s">
        <v>16</v>
      </c>
      <c r="D774" s="23" t="str">
        <f ca="1">IFERROR(VLOOKUP($D774,'[2]Mappage de compte'!$B:$G,6,FALSE),"")</f>
        <v>Passifs courants ou non courants</v>
      </c>
    </row>
    <row r="775" spans="2:4" x14ac:dyDescent="0.25">
      <c r="B775" s="8" t="str">
        <f>"151800"</f>
        <v>151800</v>
      </c>
      <c r="C775" t="s">
        <v>16</v>
      </c>
      <c r="D775" s="23" t="str">
        <f ca="1">IFERROR(VLOOKUP($D775,'[2]Mappage de compte'!$B:$G,6,FALSE),"")</f>
        <v>Passifs courants ou non courants</v>
      </c>
    </row>
    <row r="776" spans="2:4" x14ac:dyDescent="0.25">
      <c r="B776" s="8" t="str">
        <f>"151800"</f>
        <v>151800</v>
      </c>
      <c r="C776" t="s">
        <v>16</v>
      </c>
      <c r="D776" s="23" t="str">
        <f ca="1">IFERROR(VLOOKUP($D776,'[2]Mappage de compte'!$B:$G,6,FALSE),"")</f>
        <v>Passifs courants ou non courants</v>
      </c>
    </row>
    <row r="777" spans="2:4" x14ac:dyDescent="0.25">
      <c r="B777" s="8" t="str">
        <f>"151100"</f>
        <v>151100</v>
      </c>
      <c r="C777" t="s">
        <v>16</v>
      </c>
      <c r="D777" s="23" t="str">
        <f ca="1">IFERROR(VLOOKUP($D777,'[2]Mappage de compte'!$B:$G,6,FALSE),"")</f>
        <v>Passifs courants ou non courants</v>
      </c>
    </row>
    <row r="778" spans="2:4" x14ac:dyDescent="0.25">
      <c r="B778" s="8" t="str">
        <f>"151800"</f>
        <v>151800</v>
      </c>
      <c r="C778" t="s">
        <v>16</v>
      </c>
      <c r="D778" s="23" t="str">
        <f ca="1">IFERROR(VLOOKUP($D778,'[2]Mappage de compte'!$B:$G,6,FALSE),"")</f>
        <v>Passifs courants ou non courants</v>
      </c>
    </row>
    <row r="779" spans="2:4" x14ac:dyDescent="0.25">
      <c r="B779" s="8" t="str">
        <f>"151800"</f>
        <v>151800</v>
      </c>
      <c r="C779" t="s">
        <v>16</v>
      </c>
      <c r="D779" s="23" t="str">
        <f ca="1">IFERROR(VLOOKUP($D779,'[2]Mappage de compte'!$B:$G,6,FALSE),"")</f>
        <v>Passifs courants ou non courants</v>
      </c>
    </row>
    <row r="780" spans="2:4" x14ac:dyDescent="0.25">
      <c r="B780" s="8" t="str">
        <f>"151800"</f>
        <v>151800</v>
      </c>
      <c r="C780" t="s">
        <v>16</v>
      </c>
      <c r="D780" s="23" t="str">
        <f ca="1">IFERROR(VLOOKUP($D780,'[2]Mappage de compte'!$B:$G,6,FALSE),"")</f>
        <v>Passifs courants ou non courants</v>
      </c>
    </row>
    <row r="781" spans="2:4" x14ac:dyDescent="0.25">
      <c r="B781" s="8" t="str">
        <f>"151800"</f>
        <v>151800</v>
      </c>
      <c r="C781" t="s">
        <v>16</v>
      </c>
      <c r="D781" s="23" t="str">
        <f ca="1">IFERROR(VLOOKUP($D781,'[2]Mappage de compte'!$B:$G,6,FALSE),"")</f>
        <v>Passifs courants ou non courants</v>
      </c>
    </row>
    <row r="782" spans="2:4" x14ac:dyDescent="0.25">
      <c r="B782" s="8" t="str">
        <f>"151800"</f>
        <v>151800</v>
      </c>
      <c r="C782" t="s">
        <v>16</v>
      </c>
      <c r="D782" s="23" t="str">
        <f ca="1">IFERROR(VLOOKUP($D782,'[2]Mappage de compte'!$B:$G,6,FALSE),"")</f>
        <v>Passifs courants ou non courants</v>
      </c>
    </row>
    <row r="783" spans="2:4" x14ac:dyDescent="0.25">
      <c r="B783" s="8" t="str">
        <f>"161000"</f>
        <v>161000</v>
      </c>
      <c r="C783" t="s">
        <v>16</v>
      </c>
      <c r="D783" s="23" t="str">
        <f ca="1">IFERROR(VLOOKUP($D783,'[2]Mappage de compte'!$B:$G,6,FALSE),"")</f>
        <v>Passifs courants ou non courants</v>
      </c>
    </row>
    <row r="784" spans="2:4" x14ac:dyDescent="0.25">
      <c r="B784" s="8" t="str">
        <f>"161000"</f>
        <v>161000</v>
      </c>
      <c r="C784" t="s">
        <v>16</v>
      </c>
      <c r="D784" s="23" t="str">
        <f ca="1">IFERROR(VLOOKUP($D784,'[2]Mappage de compte'!$B:$G,6,FALSE),"")</f>
        <v>Passifs courants ou non courants</v>
      </c>
    </row>
    <row r="785" spans="2:4" x14ac:dyDescent="0.25">
      <c r="B785" s="8" t="str">
        <f t="shared" ref="B785:B794" si="127">"164000"</f>
        <v>164000</v>
      </c>
      <c r="C785" t="s">
        <v>16</v>
      </c>
      <c r="D785" s="23" t="str">
        <f ca="1">IFERROR(VLOOKUP($D785,'[2]Mappage de compte'!$B:$G,6,FALSE),"")</f>
        <v>Passifs courants ou non courants</v>
      </c>
    </row>
    <row r="786" spans="2:4" x14ac:dyDescent="0.25">
      <c r="B786" s="8" t="str">
        <f t="shared" si="127"/>
        <v>164000</v>
      </c>
      <c r="C786" t="s">
        <v>16</v>
      </c>
      <c r="D786" s="23" t="str">
        <f ca="1">IFERROR(VLOOKUP($D786,'[2]Mappage de compte'!$B:$G,6,FALSE),"")</f>
        <v>Passifs courants ou non courants</v>
      </c>
    </row>
    <row r="787" spans="2:4" x14ac:dyDescent="0.25">
      <c r="B787" s="8" t="str">
        <f t="shared" si="127"/>
        <v>164000</v>
      </c>
      <c r="C787" t="s">
        <v>16</v>
      </c>
      <c r="D787" s="23" t="str">
        <f ca="1">IFERROR(VLOOKUP($D787,'[2]Mappage de compte'!$B:$G,6,FALSE),"")</f>
        <v>Passifs courants ou non courants</v>
      </c>
    </row>
    <row r="788" spans="2:4" x14ac:dyDescent="0.25">
      <c r="B788" s="8" t="str">
        <f t="shared" si="127"/>
        <v>164000</v>
      </c>
      <c r="C788" t="s">
        <v>16</v>
      </c>
      <c r="D788" s="23" t="str">
        <f ca="1">IFERROR(VLOOKUP($D788,'[2]Mappage de compte'!$B:$G,6,FALSE),"")</f>
        <v>Passifs courants ou non courants</v>
      </c>
    </row>
    <row r="789" spans="2:4" x14ac:dyDescent="0.25">
      <c r="B789" s="8" t="str">
        <f t="shared" si="127"/>
        <v>164000</v>
      </c>
      <c r="C789" t="s">
        <v>16</v>
      </c>
      <c r="D789" s="23" t="str">
        <f ca="1">IFERROR(VLOOKUP($D789,'[2]Mappage de compte'!$B:$G,6,FALSE),"")</f>
        <v>Passifs courants ou non courants</v>
      </c>
    </row>
    <row r="790" spans="2:4" x14ac:dyDescent="0.25">
      <c r="B790" s="8" t="str">
        <f t="shared" si="127"/>
        <v>164000</v>
      </c>
      <c r="C790" t="s">
        <v>16</v>
      </c>
      <c r="D790" s="23" t="str">
        <f ca="1">IFERROR(VLOOKUP($D790,'[2]Mappage de compte'!$B:$G,6,FALSE),"")</f>
        <v>Passifs courants ou non courants</v>
      </c>
    </row>
    <row r="791" spans="2:4" x14ac:dyDescent="0.25">
      <c r="B791" s="8" t="str">
        <f t="shared" si="127"/>
        <v>164000</v>
      </c>
      <c r="C791" t="s">
        <v>16</v>
      </c>
      <c r="D791" s="23" t="str">
        <f ca="1">IFERROR(VLOOKUP($D791,'[2]Mappage de compte'!$B:$G,6,FALSE),"")</f>
        <v>Passifs courants ou non courants</v>
      </c>
    </row>
    <row r="792" spans="2:4" x14ac:dyDescent="0.25">
      <c r="B792" s="8" t="str">
        <f t="shared" si="127"/>
        <v>164000</v>
      </c>
      <c r="C792" t="s">
        <v>16</v>
      </c>
      <c r="D792" s="23" t="str">
        <f ca="1">IFERROR(VLOOKUP($D792,'[2]Mappage de compte'!$B:$G,6,FALSE),"")</f>
        <v>Passifs courants ou non courants</v>
      </c>
    </row>
    <row r="793" spans="2:4" x14ac:dyDescent="0.25">
      <c r="B793" s="8" t="str">
        <f t="shared" si="127"/>
        <v>164000</v>
      </c>
      <c r="C793" t="s">
        <v>16</v>
      </c>
      <c r="D793" s="23" t="str">
        <f ca="1">IFERROR(VLOOKUP($D793,'[2]Mappage de compte'!$B:$G,6,FALSE),"")</f>
        <v>Passifs courants ou non courants</v>
      </c>
    </row>
    <row r="794" spans="2:4" x14ac:dyDescent="0.25">
      <c r="B794" s="8" t="str">
        <f t="shared" si="127"/>
        <v>164000</v>
      </c>
      <c r="C794" t="s">
        <v>16</v>
      </c>
      <c r="D794" s="23" t="str">
        <f ca="1">IFERROR(VLOOKUP($D794,'[2]Mappage de compte'!$B:$G,6,FALSE),"")</f>
        <v>Passifs courants ou non courants</v>
      </c>
    </row>
    <row r="795" spans="2:4" x14ac:dyDescent="0.25">
      <c r="B795" s="8" t="str">
        <f>"168100"</f>
        <v>168100</v>
      </c>
      <c r="C795" t="s">
        <v>16</v>
      </c>
      <c r="D795" s="23" t="str">
        <f ca="1">IFERROR(VLOOKUP($D795,'[2]Mappage de compte'!$B:$G,6,FALSE),"")</f>
        <v/>
      </c>
    </row>
    <row r="796" spans="2:4" x14ac:dyDescent="0.25">
      <c r="B796" s="8" t="str">
        <f t="shared" ref="B796:B819" si="128">"164000"</f>
        <v>164000</v>
      </c>
      <c r="C796" t="s">
        <v>16</v>
      </c>
      <c r="D796" s="23" t="str">
        <f ca="1">IFERROR(VLOOKUP($D796,'[2]Mappage de compte'!$B:$G,6,FALSE),"")</f>
        <v>Passifs courants ou non courants</v>
      </c>
    </row>
    <row r="797" spans="2:4" x14ac:dyDescent="0.25">
      <c r="B797" s="8" t="str">
        <f t="shared" si="128"/>
        <v>164000</v>
      </c>
      <c r="C797" t="s">
        <v>16</v>
      </c>
      <c r="D797" s="23" t="str">
        <f ca="1">IFERROR(VLOOKUP($D797,'[2]Mappage de compte'!$B:$G,6,FALSE),"")</f>
        <v>Passifs courants ou non courants</v>
      </c>
    </row>
    <row r="798" spans="2:4" x14ac:dyDescent="0.25">
      <c r="B798" s="8" t="str">
        <f t="shared" si="128"/>
        <v>164000</v>
      </c>
      <c r="C798" t="s">
        <v>16</v>
      </c>
      <c r="D798" s="23" t="str">
        <f ca="1">IFERROR(VLOOKUP($D798,'[2]Mappage de compte'!$B:$G,6,FALSE),"")</f>
        <v>Passifs courants ou non courants</v>
      </c>
    </row>
    <row r="799" spans="2:4" x14ac:dyDescent="0.25">
      <c r="B799" s="8" t="str">
        <f t="shared" si="128"/>
        <v>164000</v>
      </c>
      <c r="C799" t="s">
        <v>16</v>
      </c>
      <c r="D799" s="23" t="str">
        <f ca="1">IFERROR(VLOOKUP($D799,'[2]Mappage de compte'!$B:$G,6,FALSE),"")</f>
        <v>Passifs courants ou non courants</v>
      </c>
    </row>
    <row r="800" spans="2:4" x14ac:dyDescent="0.25">
      <c r="B800" s="8" t="str">
        <f t="shared" si="128"/>
        <v>164000</v>
      </c>
      <c r="C800" t="s">
        <v>16</v>
      </c>
      <c r="D800" s="23" t="str">
        <f ca="1">IFERROR(VLOOKUP($D800,'[2]Mappage de compte'!$B:$G,6,FALSE),"")</f>
        <v>Passifs courants ou non courants</v>
      </c>
    </row>
    <row r="801" spans="2:4" x14ac:dyDescent="0.25">
      <c r="B801" s="8" t="str">
        <f t="shared" si="128"/>
        <v>164000</v>
      </c>
      <c r="C801" t="s">
        <v>16</v>
      </c>
      <c r="D801" s="23" t="str">
        <f ca="1">IFERROR(VLOOKUP($D801,'[2]Mappage de compte'!$B:$G,6,FALSE),"")</f>
        <v>Passifs courants ou non courants</v>
      </c>
    </row>
    <row r="802" spans="2:4" x14ac:dyDescent="0.25">
      <c r="B802" s="8" t="str">
        <f t="shared" si="128"/>
        <v>164000</v>
      </c>
      <c r="C802" t="s">
        <v>16</v>
      </c>
      <c r="D802" s="23" t="str">
        <f ca="1">IFERROR(VLOOKUP($D802,'[2]Mappage de compte'!$B:$G,6,FALSE),"")</f>
        <v>Passifs courants ou non courants</v>
      </c>
    </row>
    <row r="803" spans="2:4" x14ac:dyDescent="0.25">
      <c r="B803" s="8" t="str">
        <f t="shared" si="128"/>
        <v>164000</v>
      </c>
      <c r="C803" t="s">
        <v>16</v>
      </c>
      <c r="D803" s="23" t="str">
        <f ca="1">IFERROR(VLOOKUP($D803,'[2]Mappage de compte'!$B:$G,6,FALSE),"")</f>
        <v>Passifs courants ou non courants</v>
      </c>
    </row>
    <row r="804" spans="2:4" x14ac:dyDescent="0.25">
      <c r="B804" s="8" t="str">
        <f t="shared" si="128"/>
        <v>164000</v>
      </c>
      <c r="C804" t="s">
        <v>16</v>
      </c>
      <c r="D804" s="23" t="str">
        <f ca="1">IFERROR(VLOOKUP($D804,'[2]Mappage de compte'!$B:$G,6,FALSE),"")</f>
        <v>Passifs courants ou non courants</v>
      </c>
    </row>
    <row r="805" spans="2:4" x14ac:dyDescent="0.25">
      <c r="B805" s="8" t="str">
        <f t="shared" si="128"/>
        <v>164000</v>
      </c>
      <c r="C805" t="s">
        <v>16</v>
      </c>
      <c r="D805" s="23" t="str">
        <f ca="1">IFERROR(VLOOKUP($D805,'[2]Mappage de compte'!$B:$G,6,FALSE),"")</f>
        <v>Passifs courants ou non courants</v>
      </c>
    </row>
    <row r="806" spans="2:4" x14ac:dyDescent="0.25">
      <c r="B806" s="8" t="str">
        <f t="shared" si="128"/>
        <v>164000</v>
      </c>
      <c r="C806" t="s">
        <v>16</v>
      </c>
      <c r="D806" s="23" t="str">
        <f ca="1">IFERROR(VLOOKUP($D806,'[2]Mappage de compte'!$B:$G,6,FALSE),"")</f>
        <v>Passifs courants ou non courants</v>
      </c>
    </row>
    <row r="807" spans="2:4" x14ac:dyDescent="0.25">
      <c r="B807" s="8" t="str">
        <f t="shared" si="128"/>
        <v>164000</v>
      </c>
      <c r="C807" t="s">
        <v>16</v>
      </c>
      <c r="D807" s="23" t="str">
        <f ca="1">IFERROR(VLOOKUP($D807,'[2]Mappage de compte'!$B:$G,6,FALSE),"")</f>
        <v>Passifs courants ou non courants</v>
      </c>
    </row>
    <row r="808" spans="2:4" x14ac:dyDescent="0.25">
      <c r="B808" s="8" t="str">
        <f t="shared" si="128"/>
        <v>164000</v>
      </c>
      <c r="C808" t="s">
        <v>16</v>
      </c>
      <c r="D808" s="23" t="str">
        <f ca="1">IFERROR(VLOOKUP($D808,'[2]Mappage de compte'!$B:$G,6,FALSE),"")</f>
        <v>Passifs courants ou non courants</v>
      </c>
    </row>
    <row r="809" spans="2:4" x14ac:dyDescent="0.25">
      <c r="B809" s="8" t="str">
        <f t="shared" si="128"/>
        <v>164000</v>
      </c>
      <c r="C809" t="s">
        <v>16</v>
      </c>
      <c r="D809" s="23" t="str">
        <f ca="1">IFERROR(VLOOKUP($D809,'[2]Mappage de compte'!$B:$G,6,FALSE),"")</f>
        <v>Passifs courants ou non courants</v>
      </c>
    </row>
    <row r="810" spans="2:4" x14ac:dyDescent="0.25">
      <c r="B810" s="8" t="str">
        <f t="shared" si="128"/>
        <v>164000</v>
      </c>
      <c r="C810" t="s">
        <v>16</v>
      </c>
      <c r="D810" s="23" t="str">
        <f ca="1">IFERROR(VLOOKUP($D810,'[2]Mappage de compte'!$B:$G,6,FALSE),"")</f>
        <v>Passifs courants ou non courants</v>
      </c>
    </row>
    <row r="811" spans="2:4" x14ac:dyDescent="0.25">
      <c r="B811" s="8" t="str">
        <f t="shared" si="128"/>
        <v>164000</v>
      </c>
      <c r="C811" t="s">
        <v>16</v>
      </c>
      <c r="D811" s="23" t="str">
        <f ca="1">IFERROR(VLOOKUP($D811,'[2]Mappage de compte'!$B:$G,6,FALSE),"")</f>
        <v>Passifs courants ou non courants</v>
      </c>
    </row>
    <row r="812" spans="2:4" x14ac:dyDescent="0.25">
      <c r="B812" s="8" t="str">
        <f t="shared" si="128"/>
        <v>164000</v>
      </c>
      <c r="C812" t="s">
        <v>16</v>
      </c>
      <c r="D812" s="23" t="str">
        <f ca="1">IFERROR(VLOOKUP($D812,'[2]Mappage de compte'!$B:$G,6,FALSE),"")</f>
        <v>Passifs courants ou non courants</v>
      </c>
    </row>
    <row r="813" spans="2:4" x14ac:dyDescent="0.25">
      <c r="B813" s="8" t="str">
        <f t="shared" si="128"/>
        <v>164000</v>
      </c>
      <c r="C813" t="s">
        <v>16</v>
      </c>
      <c r="D813" s="23" t="str">
        <f ca="1">IFERROR(VLOOKUP($D813,'[2]Mappage de compte'!$B:$G,6,FALSE),"")</f>
        <v>Passifs courants ou non courants</v>
      </c>
    </row>
    <row r="814" spans="2:4" x14ac:dyDescent="0.25">
      <c r="B814" s="8" t="str">
        <f t="shared" si="128"/>
        <v>164000</v>
      </c>
      <c r="C814" t="s">
        <v>16</v>
      </c>
      <c r="D814" s="23" t="str">
        <f ca="1">IFERROR(VLOOKUP($D814,'[2]Mappage de compte'!$B:$G,6,FALSE),"")</f>
        <v>Passifs courants ou non courants</v>
      </c>
    </row>
    <row r="815" spans="2:4" x14ac:dyDescent="0.25">
      <c r="B815" s="8" t="str">
        <f t="shared" si="128"/>
        <v>164000</v>
      </c>
      <c r="C815" t="s">
        <v>16</v>
      </c>
      <c r="D815" s="23" t="str">
        <f ca="1">IFERROR(VLOOKUP($D815,'[2]Mappage de compte'!$B:$G,6,FALSE),"")</f>
        <v>Passifs courants ou non courants</v>
      </c>
    </row>
    <row r="816" spans="2:4" x14ac:dyDescent="0.25">
      <c r="B816" s="8" t="str">
        <f t="shared" si="128"/>
        <v>164000</v>
      </c>
      <c r="C816" t="s">
        <v>16</v>
      </c>
      <c r="D816" s="23" t="str">
        <f ca="1">IFERROR(VLOOKUP($D816,'[2]Mappage de compte'!$B:$G,6,FALSE),"")</f>
        <v>Passifs courants ou non courants</v>
      </c>
    </row>
    <row r="817" spans="2:4" x14ac:dyDescent="0.25">
      <c r="B817" s="8" t="str">
        <f t="shared" si="128"/>
        <v>164000</v>
      </c>
      <c r="C817" t="s">
        <v>16</v>
      </c>
      <c r="D817" s="23" t="str">
        <f ca="1">IFERROR(VLOOKUP($D817,'[2]Mappage de compte'!$B:$G,6,FALSE),"")</f>
        <v>Passifs courants ou non courants</v>
      </c>
    </row>
    <row r="818" spans="2:4" x14ac:dyDescent="0.25">
      <c r="B818" s="8" t="str">
        <f t="shared" si="128"/>
        <v>164000</v>
      </c>
      <c r="C818" t="s">
        <v>16</v>
      </c>
      <c r="D818" s="23" t="str">
        <f ca="1">IFERROR(VLOOKUP($D818,'[2]Mappage de compte'!$B:$G,6,FALSE),"")</f>
        <v>Passifs courants ou non courants</v>
      </c>
    </row>
    <row r="819" spans="2:4" x14ac:dyDescent="0.25">
      <c r="B819" s="8" t="str">
        <f t="shared" si="128"/>
        <v>164000</v>
      </c>
      <c r="C819" t="s">
        <v>16</v>
      </c>
      <c r="D819" s="23" t="str">
        <f ca="1">IFERROR(VLOOKUP($D819,'[2]Mappage de compte'!$B:$G,6,FALSE),"")</f>
        <v>Passifs courants ou non courants</v>
      </c>
    </row>
    <row r="820" spans="2:4" x14ac:dyDescent="0.25">
      <c r="B820" s="8" t="str">
        <f>"168100"</f>
        <v>168100</v>
      </c>
      <c r="C820" t="s">
        <v>16</v>
      </c>
      <c r="D820" s="23" t="str">
        <f ca="1">IFERROR(VLOOKUP($D820,'[2]Mappage de compte'!$B:$G,6,FALSE),"")</f>
        <v/>
      </c>
    </row>
    <row r="821" spans="2:4" x14ac:dyDescent="0.25">
      <c r="B821" s="8" t="str">
        <f t="shared" ref="B821:B822" si="129">"467820"</f>
        <v>467820</v>
      </c>
      <c r="C821" t="s">
        <v>16</v>
      </c>
      <c r="D821" s="23" t="str">
        <f ca="1">IFERROR(VLOOKUP($D821,'[2]Mappage de compte'!$B:$G,6,FALSE),"")</f>
        <v>Passifs courants ou non courants</v>
      </c>
    </row>
    <row r="822" spans="2:4" x14ac:dyDescent="0.25">
      <c r="B822" s="8" t="str">
        <f t="shared" si="129"/>
        <v>467820</v>
      </c>
      <c r="C822" t="s">
        <v>16</v>
      </c>
      <c r="D822" s="23" t="str">
        <f ca="1">IFERROR(VLOOKUP($D822,'[2]Mappage de compte'!$B:$G,6,FALSE),"")</f>
        <v>Passifs courants ou non courants</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Benjamin Tabouret</cp:lastModifiedBy>
  <dcterms:created xsi:type="dcterms:W3CDTF">2006-09-16T00:00:00Z</dcterms:created>
  <dcterms:modified xsi:type="dcterms:W3CDTF">2016-01-21T10:29:37Z</dcterms:modified>
</cp:coreProperties>
</file>