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0" yWindow="60" windowWidth="22455" windowHeight="10485" activeTab="1"/>
  </bookViews>
  <sheets>
    <sheet name="Feuil5" sheetId="5" r:id="rId1"/>
    <sheet name="Feuil1" sheetId="1" r:id="rId2"/>
    <sheet name="Feuil2" sheetId="2" r:id="rId3"/>
    <sheet name="Feuil3" sheetId="3" r:id="rId4"/>
  </sheets>
  <definedNames>
    <definedName name="List">Feuil1!$R$4:$R$15</definedName>
  </definedNames>
  <calcPr calcId="145621"/>
  <pivotCaches>
    <pivotCache cacheId="0" r:id="rId5"/>
  </pivotCaches>
</workbook>
</file>

<file path=xl/calcChain.xml><?xml version="1.0" encoding="utf-8"?>
<calcChain xmlns="http://schemas.openxmlformats.org/spreadsheetml/2006/main">
  <c r="Y30" i="1" l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28" i="1"/>
  <c r="Y29" i="1"/>
  <c r="Y28" i="1"/>
  <c r="V7" i="1" l="1"/>
  <c r="BJ33" i="1"/>
  <c r="BJ32" i="1"/>
  <c r="BJ31" i="1"/>
  <c r="BJ30" i="1"/>
  <c r="BJ29" i="1"/>
  <c r="BJ28" i="1"/>
  <c r="BJ27" i="1"/>
  <c r="BJ26" i="1"/>
  <c r="BJ25" i="1"/>
  <c r="BO24" i="1"/>
  <c r="BJ24" i="1"/>
  <c r="BO23" i="1"/>
  <c r="BJ23" i="1"/>
  <c r="AK23" i="1"/>
  <c r="BO22" i="1"/>
  <c r="BJ22" i="1"/>
  <c r="AK22" i="1"/>
  <c r="BO21" i="1"/>
  <c r="BJ21" i="1"/>
  <c r="AK21" i="1"/>
  <c r="BO20" i="1"/>
  <c r="BJ20" i="1"/>
  <c r="AK20" i="1"/>
  <c r="BY19" i="1"/>
  <c r="BT19" i="1"/>
  <c r="BO19" i="1"/>
  <c r="BJ19" i="1"/>
  <c r="AK19" i="1"/>
  <c r="BY18" i="1"/>
  <c r="BT18" i="1"/>
  <c r="BO18" i="1"/>
  <c r="BJ18" i="1"/>
  <c r="AK18" i="1"/>
  <c r="BY17" i="1"/>
  <c r="BT17" i="1"/>
  <c r="BO17" i="1"/>
  <c r="BJ17" i="1"/>
  <c r="BE17" i="1"/>
  <c r="AK17" i="1"/>
  <c r="BY16" i="1"/>
  <c r="BT16" i="1"/>
  <c r="BO16" i="1"/>
  <c r="BJ16" i="1"/>
  <c r="BE16" i="1"/>
  <c r="AK16" i="1"/>
  <c r="BY15" i="1"/>
  <c r="BT15" i="1"/>
  <c r="BO15" i="1"/>
  <c r="BJ15" i="1"/>
  <c r="BE15" i="1"/>
  <c r="AK15" i="1"/>
  <c r="BY14" i="1"/>
  <c r="BT14" i="1"/>
  <c r="BO14" i="1"/>
  <c r="BJ14" i="1"/>
  <c r="BE14" i="1"/>
  <c r="AK14" i="1"/>
  <c r="BY13" i="1"/>
  <c r="BT13" i="1"/>
  <c r="BO13" i="1"/>
  <c r="BJ13" i="1"/>
  <c r="BE13" i="1"/>
  <c r="AK13" i="1"/>
  <c r="BY12" i="1"/>
  <c r="BT12" i="1"/>
  <c r="BO12" i="1"/>
  <c r="BJ12" i="1"/>
  <c r="BE12" i="1"/>
  <c r="AK12" i="1"/>
  <c r="BY11" i="1"/>
  <c r="BT11" i="1"/>
  <c r="BO11" i="1"/>
  <c r="BJ11" i="1"/>
  <c r="BE11" i="1"/>
  <c r="BY10" i="1"/>
  <c r="BT10" i="1"/>
  <c r="BO10" i="1"/>
  <c r="BJ10" i="1"/>
  <c r="BE10" i="1"/>
  <c r="BY9" i="1"/>
  <c r="BT9" i="1"/>
  <c r="BO9" i="1"/>
  <c r="BJ9" i="1"/>
  <c r="BE9" i="1"/>
  <c r="BY8" i="1"/>
  <c r="BT8" i="1"/>
  <c r="BO8" i="1"/>
  <c r="BJ8" i="1"/>
  <c r="BE8" i="1"/>
  <c r="BY7" i="1"/>
  <c r="BT7" i="1"/>
  <c r="BO7" i="1"/>
  <c r="BJ7" i="1"/>
  <c r="BE7" i="1"/>
  <c r="BY6" i="1"/>
  <c r="BT6" i="1"/>
  <c r="BO6" i="1"/>
  <c r="BJ6" i="1"/>
  <c r="BE6" i="1"/>
  <c r="BT5" i="1"/>
  <c r="BO5" i="1"/>
  <c r="BJ5" i="1"/>
  <c r="BE5" i="1"/>
  <c r="BY4" i="1"/>
  <c r="BT4" i="1"/>
  <c r="BO4" i="1"/>
  <c r="BJ4" i="1"/>
  <c r="BE4" i="1"/>
  <c r="BY3" i="1"/>
  <c r="BT3" i="1"/>
  <c r="BO3" i="1"/>
  <c r="BJ3" i="1"/>
  <c r="BE3" i="1"/>
  <c r="V6" i="1"/>
  <c r="N4" i="1" l="1"/>
  <c r="I100" i="1" l="1"/>
  <c r="H100" i="1"/>
  <c r="N18" i="1" l="1"/>
  <c r="M18" i="1"/>
  <c r="F80" i="1" l="1"/>
  <c r="H80" i="1" s="1"/>
  <c r="F79" i="1"/>
  <c r="H79" i="1" s="1"/>
  <c r="F78" i="1"/>
  <c r="G78" i="1" s="1"/>
  <c r="F77" i="1"/>
  <c r="H77" i="1" s="1"/>
  <c r="G80" i="1" l="1"/>
  <c r="G79" i="1"/>
  <c r="H78" i="1"/>
  <c r="G77" i="1"/>
  <c r="I77" i="1" s="1"/>
  <c r="J77" i="1" s="1"/>
  <c r="I89" i="1" l="1"/>
  <c r="J89" i="1" s="1"/>
  <c r="Q78" i="1" s="1"/>
  <c r="I85" i="1"/>
  <c r="J85" i="1" s="1"/>
  <c r="Q74" i="1" s="1"/>
  <c r="I81" i="1"/>
  <c r="J81" i="1" s="1"/>
  <c r="I78" i="1"/>
  <c r="J78" i="1" s="1"/>
  <c r="K78" i="1" s="1"/>
  <c r="L78" i="1" s="1"/>
  <c r="M78" i="1" s="1"/>
  <c r="N78" i="1" s="1"/>
  <c r="O78" i="1" s="1"/>
  <c r="P78" i="1" s="1"/>
  <c r="I88" i="1"/>
  <c r="J88" i="1" s="1"/>
  <c r="Q77" i="1" s="1"/>
  <c r="I84" i="1"/>
  <c r="J84" i="1" s="1"/>
  <c r="Q73" i="1" s="1"/>
  <c r="I80" i="1"/>
  <c r="J80" i="1" s="1"/>
  <c r="Q69" i="1" s="1"/>
  <c r="I87" i="1"/>
  <c r="J87" i="1" s="1"/>
  <c r="K87" i="1" s="1"/>
  <c r="L87" i="1" s="1"/>
  <c r="M87" i="1" s="1"/>
  <c r="N87" i="1" s="1"/>
  <c r="O87" i="1" s="1"/>
  <c r="P87" i="1" s="1"/>
  <c r="I83" i="1"/>
  <c r="J83" i="1" s="1"/>
  <c r="Q72" i="1" s="1"/>
  <c r="I79" i="1"/>
  <c r="J79" i="1" s="1"/>
  <c r="Q68" i="1" s="1"/>
  <c r="I86" i="1"/>
  <c r="J86" i="1" s="1"/>
  <c r="Q75" i="1" s="1"/>
  <c r="I82" i="1"/>
  <c r="J82" i="1" s="1"/>
  <c r="K82" i="1" s="1"/>
  <c r="L82" i="1" s="1"/>
  <c r="M82" i="1" s="1"/>
  <c r="N82" i="1" s="1"/>
  <c r="O82" i="1" s="1"/>
  <c r="P82" i="1" s="1"/>
  <c r="Q70" i="1"/>
  <c r="K81" i="1"/>
  <c r="L81" i="1" s="1"/>
  <c r="M81" i="1" s="1"/>
  <c r="N81" i="1" s="1"/>
  <c r="O81" i="1" s="1"/>
  <c r="P81" i="1" s="1"/>
  <c r="Q66" i="1"/>
  <c r="K77" i="1"/>
  <c r="L77" i="1" s="1"/>
  <c r="M77" i="1" s="1"/>
  <c r="N77" i="1" s="1"/>
  <c r="O77" i="1" s="1"/>
  <c r="P77" i="1" s="1"/>
  <c r="J56" i="1"/>
  <c r="R47" i="1"/>
  <c r="R49" i="1"/>
  <c r="R51" i="1"/>
  <c r="S47" i="1"/>
  <c r="S48" i="1"/>
  <c r="R48" i="1" s="1"/>
  <c r="S49" i="1"/>
  <c r="S50" i="1"/>
  <c r="R50" i="1" s="1"/>
  <c r="S51" i="1"/>
  <c r="S46" i="1"/>
  <c r="R46" i="1" s="1"/>
  <c r="K86" i="1" l="1"/>
  <c r="L86" i="1" s="1"/>
  <c r="M86" i="1" s="1"/>
  <c r="N86" i="1" s="1"/>
  <c r="O86" i="1" s="1"/>
  <c r="P86" i="1" s="1"/>
  <c r="K88" i="1"/>
  <c r="L88" i="1" s="1"/>
  <c r="M88" i="1" s="1"/>
  <c r="N88" i="1" s="1"/>
  <c r="O88" i="1" s="1"/>
  <c r="P88" i="1" s="1"/>
  <c r="Q67" i="1"/>
  <c r="K80" i="1"/>
  <c r="L80" i="1" s="1"/>
  <c r="M80" i="1" s="1"/>
  <c r="N80" i="1" s="1"/>
  <c r="O80" i="1" s="1"/>
  <c r="P80" i="1" s="1"/>
  <c r="K89" i="1"/>
  <c r="L89" i="1" s="1"/>
  <c r="M89" i="1" s="1"/>
  <c r="N89" i="1" s="1"/>
  <c r="O89" i="1" s="1"/>
  <c r="P89" i="1" s="1"/>
  <c r="K79" i="1"/>
  <c r="L79" i="1" s="1"/>
  <c r="M79" i="1" s="1"/>
  <c r="N79" i="1" s="1"/>
  <c r="O79" i="1" s="1"/>
  <c r="P79" i="1" s="1"/>
  <c r="K84" i="1"/>
  <c r="L84" i="1" s="1"/>
  <c r="M84" i="1" s="1"/>
  <c r="N84" i="1" s="1"/>
  <c r="O84" i="1" s="1"/>
  <c r="P84" i="1" s="1"/>
  <c r="K83" i="1"/>
  <c r="L83" i="1" s="1"/>
  <c r="M83" i="1" s="1"/>
  <c r="N83" i="1" s="1"/>
  <c r="O83" i="1" s="1"/>
  <c r="P83" i="1" s="1"/>
  <c r="R72" i="1" s="1"/>
  <c r="K85" i="1"/>
  <c r="L85" i="1" s="1"/>
  <c r="M85" i="1" s="1"/>
  <c r="N85" i="1" s="1"/>
  <c r="O85" i="1" s="1"/>
  <c r="P85" i="1" s="1"/>
  <c r="Q76" i="1"/>
  <c r="Q71" i="1"/>
  <c r="R76" i="1"/>
  <c r="S76" i="1"/>
  <c r="R71" i="1"/>
  <c r="S67" i="1"/>
  <c r="S66" i="1"/>
  <c r="R67" i="1"/>
  <c r="R66" i="1"/>
  <c r="S71" i="1"/>
  <c r="S70" i="1"/>
  <c r="R70" i="1"/>
  <c r="L55" i="1"/>
  <c r="K55" i="1"/>
  <c r="R75" i="1" l="1"/>
  <c r="S75" i="1"/>
  <c r="R77" i="1"/>
  <c r="S77" i="1"/>
  <c r="S73" i="1"/>
  <c r="R73" i="1"/>
  <c r="S69" i="1"/>
  <c r="R69" i="1"/>
  <c r="T70" i="1"/>
  <c r="W70" i="1" s="1"/>
  <c r="S74" i="1"/>
  <c r="R78" i="1"/>
  <c r="R74" i="1"/>
  <c r="S72" i="1"/>
  <c r="T72" i="1" s="1"/>
  <c r="W72" i="1" s="1"/>
  <c r="S68" i="1"/>
  <c r="R68" i="1"/>
  <c r="S78" i="1"/>
  <c r="T71" i="1"/>
  <c r="U71" i="1" s="1"/>
  <c r="T76" i="1"/>
  <c r="V76" i="1" s="1"/>
  <c r="T67" i="1"/>
  <c r="U67" i="1" s="1"/>
  <c r="T66" i="1"/>
  <c r="V66" i="1" s="1"/>
  <c r="C86" i="1" a="1"/>
  <c r="C86" i="1" s="1"/>
  <c r="C78" i="1" a="1"/>
  <c r="C79" i="1" s="1"/>
  <c r="C70" i="1" a="1"/>
  <c r="C71" i="1" s="1"/>
  <c r="C62" i="1" a="1"/>
  <c r="C63" i="1" s="1"/>
  <c r="C54" i="1" a="1"/>
  <c r="C55" i="1" s="1"/>
  <c r="C46" i="1" a="1"/>
  <c r="C47" i="1" s="1"/>
  <c r="T75" i="1" l="1"/>
  <c r="W75" i="1" s="1"/>
  <c r="T77" i="1"/>
  <c r="W77" i="1" s="1"/>
  <c r="U76" i="1"/>
  <c r="T73" i="1"/>
  <c r="W73" i="1" s="1"/>
  <c r="V70" i="1"/>
  <c r="W66" i="1"/>
  <c r="T69" i="1"/>
  <c r="U69" i="1" s="1"/>
  <c r="U70" i="1"/>
  <c r="T74" i="1"/>
  <c r="V74" i="1" s="1"/>
  <c r="U72" i="1"/>
  <c r="V71" i="1"/>
  <c r="V72" i="1"/>
  <c r="W71" i="1"/>
  <c r="T68" i="1"/>
  <c r="W68" i="1" s="1"/>
  <c r="T78" i="1"/>
  <c r="W78" i="1" s="1"/>
  <c r="U66" i="1"/>
  <c r="W76" i="1"/>
  <c r="U75" i="1"/>
  <c r="V75" i="1"/>
  <c r="V67" i="1"/>
  <c r="W67" i="1"/>
  <c r="C93" i="1"/>
  <c r="C89" i="1"/>
  <c r="C92" i="1"/>
  <c r="C88" i="1"/>
  <c r="C91" i="1"/>
  <c r="C87" i="1"/>
  <c r="C90" i="1"/>
  <c r="C84" i="1"/>
  <c r="C80" i="1"/>
  <c r="C82" i="1"/>
  <c r="C78" i="1"/>
  <c r="C85" i="1"/>
  <c r="C81" i="1"/>
  <c r="C83" i="1"/>
  <c r="C74" i="1"/>
  <c r="C70" i="1"/>
  <c r="C77" i="1"/>
  <c r="C73" i="1"/>
  <c r="C76" i="1"/>
  <c r="C72" i="1"/>
  <c r="C75" i="1"/>
  <c r="C64" i="1"/>
  <c r="C66" i="1"/>
  <c r="C62" i="1"/>
  <c r="C69" i="1"/>
  <c r="C65" i="1"/>
  <c r="C68" i="1"/>
  <c r="C67" i="1"/>
  <c r="C56" i="1"/>
  <c r="C58" i="1"/>
  <c r="C54" i="1"/>
  <c r="C61" i="1"/>
  <c r="C57" i="1"/>
  <c r="C60" i="1"/>
  <c r="C59" i="1"/>
  <c r="C52" i="1"/>
  <c r="C48" i="1"/>
  <c r="C50" i="1"/>
  <c r="C46" i="1"/>
  <c r="C53" i="1"/>
  <c r="C49" i="1"/>
  <c r="C51" i="1"/>
  <c r="J57" i="1"/>
  <c r="J58" i="1"/>
  <c r="J59" i="1"/>
  <c r="J60" i="1"/>
  <c r="J61" i="1"/>
  <c r="Q47" i="1"/>
  <c r="Q48" i="1"/>
  <c r="Q49" i="1"/>
  <c r="Q50" i="1"/>
  <c r="Q51" i="1"/>
  <c r="Q46" i="1"/>
  <c r="P38" i="1"/>
  <c r="O38" i="1"/>
  <c r="N38" i="1" s="1"/>
  <c r="E38" i="1"/>
  <c r="G38" i="1"/>
  <c r="K38" i="1"/>
  <c r="L38" i="1"/>
  <c r="R38" i="1"/>
  <c r="Q38" i="1"/>
  <c r="M38" i="1"/>
  <c r="V77" i="1" l="1"/>
  <c r="U77" i="1"/>
  <c r="V69" i="1"/>
  <c r="W69" i="1"/>
  <c r="W74" i="1"/>
  <c r="U73" i="1"/>
  <c r="V73" i="1"/>
  <c r="U74" i="1"/>
  <c r="U78" i="1"/>
  <c r="V78" i="1"/>
  <c r="V68" i="1"/>
  <c r="U68" i="1"/>
  <c r="D47" i="1"/>
  <c r="D48" i="1"/>
  <c r="D49" i="1"/>
  <c r="D53" i="1"/>
  <c r="D57" i="1"/>
  <c r="D46" i="1"/>
  <c r="D52" i="1"/>
  <c r="D50" i="1"/>
  <c r="D54" i="1"/>
  <c r="D58" i="1"/>
  <c r="D51" i="1"/>
  <c r="D55" i="1"/>
  <c r="D56" i="1"/>
  <c r="S38" i="1"/>
  <c r="T38" i="1" s="1"/>
  <c r="J37" i="1"/>
  <c r="J29" i="1"/>
  <c r="O23" i="1" l="1"/>
  <c r="J26" i="1"/>
  <c r="J27" i="1"/>
  <c r="J28" i="1"/>
  <c r="J30" i="1"/>
  <c r="J31" i="1"/>
  <c r="J32" i="1"/>
  <c r="J33" i="1"/>
  <c r="J34" i="1"/>
  <c r="J35" i="1"/>
  <c r="J36" i="1"/>
  <c r="J25" i="1"/>
  <c r="G27" i="1"/>
  <c r="G28" i="1"/>
  <c r="G29" i="1"/>
  <c r="G30" i="1"/>
  <c r="G31" i="1"/>
  <c r="G32" i="1"/>
  <c r="G33" i="1"/>
  <c r="G34" i="1"/>
  <c r="G35" i="1"/>
  <c r="G36" i="1"/>
  <c r="G37" i="1"/>
  <c r="G25" i="1"/>
  <c r="G26" i="1"/>
  <c r="P26" i="1" l="1"/>
  <c r="P27" i="1"/>
  <c r="P28" i="1"/>
  <c r="P29" i="1"/>
  <c r="P30" i="1"/>
  <c r="P31" i="1"/>
  <c r="P32" i="1"/>
  <c r="P33" i="1"/>
  <c r="P34" i="1"/>
  <c r="P35" i="1"/>
  <c r="P36" i="1"/>
  <c r="P37" i="1"/>
  <c r="O26" i="1"/>
  <c r="O27" i="1"/>
  <c r="O28" i="1"/>
  <c r="O29" i="1"/>
  <c r="N29" i="1" s="1"/>
  <c r="O30" i="1"/>
  <c r="N30" i="1" s="1"/>
  <c r="O31" i="1"/>
  <c r="N31" i="1" s="1"/>
  <c r="O32" i="1"/>
  <c r="N32" i="1" s="1"/>
  <c r="O33" i="1"/>
  <c r="N33" i="1" s="1"/>
  <c r="O34" i="1"/>
  <c r="N34" i="1" s="1"/>
  <c r="O35" i="1"/>
  <c r="N35" i="1" s="1"/>
  <c r="O36" i="1"/>
  <c r="N36" i="1" s="1"/>
  <c r="O37" i="1"/>
  <c r="N37" i="1" s="1"/>
  <c r="N26" i="1"/>
  <c r="N27" i="1"/>
  <c r="N28" i="1"/>
  <c r="P25" i="1"/>
  <c r="O25" i="1"/>
  <c r="N25" i="1" s="1"/>
  <c r="O14" i="1" a="1"/>
  <c r="O14" i="1" s="1"/>
  <c r="L25" i="1" l="1"/>
  <c r="K25" i="1"/>
  <c r="L26" i="1"/>
  <c r="L27" i="1"/>
  <c r="L28" i="1"/>
  <c r="L29" i="1"/>
  <c r="L30" i="1"/>
  <c r="L31" i="1"/>
  <c r="L32" i="1"/>
  <c r="L33" i="1"/>
  <c r="L34" i="1"/>
  <c r="L35" i="1"/>
  <c r="L36" i="1"/>
  <c r="L37" i="1"/>
  <c r="K26" i="1"/>
  <c r="K27" i="1"/>
  <c r="K28" i="1"/>
  <c r="K29" i="1"/>
  <c r="K30" i="1"/>
  <c r="K31" i="1"/>
  <c r="K32" i="1"/>
  <c r="K33" i="1"/>
  <c r="K34" i="1"/>
  <c r="K35" i="1"/>
  <c r="K36" i="1"/>
  <c r="K37" i="1"/>
  <c r="Q27" i="1"/>
  <c r="Q32" i="1"/>
  <c r="M35" i="1"/>
  <c r="R36" i="1"/>
  <c r="M30" i="1"/>
  <c r="M32" i="1"/>
  <c r="R30" i="1"/>
  <c r="M25" i="1"/>
  <c r="Q36" i="1"/>
  <c r="Q29" i="1"/>
  <c r="R29" i="1"/>
  <c r="M33" i="1"/>
  <c r="Q30" i="1"/>
  <c r="M31" i="1"/>
  <c r="M34" i="1"/>
  <c r="Q28" i="1"/>
  <c r="M29" i="1"/>
  <c r="R27" i="1"/>
  <c r="R32" i="1"/>
  <c r="Q31" i="1"/>
  <c r="R37" i="1"/>
  <c r="R34" i="1"/>
  <c r="Q33" i="1"/>
  <c r="R31" i="1"/>
  <c r="M28" i="1"/>
  <c r="Q26" i="1"/>
  <c r="R28" i="1"/>
  <c r="M26" i="1"/>
  <c r="R33" i="1"/>
  <c r="R25" i="1"/>
  <c r="Q37" i="1"/>
  <c r="R35" i="1"/>
  <c r="R26" i="1"/>
  <c r="Q34" i="1"/>
  <c r="M27" i="1"/>
  <c r="M36" i="1"/>
  <c r="M37" i="1"/>
  <c r="Q25" i="1"/>
  <c r="Q35" i="1"/>
  <c r="E40" i="1" l="1"/>
  <c r="S34" i="1"/>
  <c r="T34" i="1" s="1"/>
  <c r="S37" i="1"/>
  <c r="T37" i="1" s="1"/>
  <c r="S33" i="1"/>
  <c r="T33" i="1" s="1"/>
  <c r="S36" i="1"/>
  <c r="T36" i="1" s="1"/>
  <c r="S35" i="1"/>
  <c r="T35" i="1" s="1"/>
  <c r="S32" i="1"/>
  <c r="T32" i="1" s="1"/>
  <c r="S31" i="1"/>
  <c r="T31" i="1" s="1"/>
  <c r="S27" i="1"/>
  <c r="T27" i="1" s="1"/>
  <c r="S30" i="1"/>
  <c r="T30" i="1" s="1"/>
  <c r="S26" i="1"/>
  <c r="T26" i="1" s="1"/>
  <c r="S29" i="1"/>
  <c r="T29" i="1" s="1"/>
  <c r="S28" i="1"/>
  <c r="T28" i="1" s="1"/>
  <c r="S25" i="1"/>
  <c r="T25" i="1" s="1"/>
  <c r="E26" i="1"/>
  <c r="E27" i="1"/>
  <c r="E28" i="1"/>
  <c r="E29" i="1"/>
  <c r="E30" i="1"/>
  <c r="E31" i="1"/>
  <c r="E32" i="1"/>
  <c r="E33" i="1"/>
  <c r="E34" i="1"/>
  <c r="E35" i="1"/>
  <c r="E36" i="1"/>
  <c r="E37" i="1"/>
  <c r="E25" i="1"/>
  <c r="D26" i="1"/>
  <c r="D27" i="1"/>
  <c r="D28" i="1"/>
  <c r="D29" i="1"/>
  <c r="D30" i="1"/>
  <c r="D31" i="1"/>
  <c r="D32" i="1"/>
  <c r="D33" i="1"/>
  <c r="D34" i="1"/>
  <c r="D35" i="1"/>
  <c r="D36" i="1"/>
  <c r="D37" i="1"/>
  <c r="C26" i="1"/>
  <c r="C27" i="1"/>
  <c r="C28" i="1"/>
  <c r="C29" i="1"/>
  <c r="C30" i="1"/>
  <c r="C31" i="1"/>
  <c r="C32" i="1"/>
  <c r="C33" i="1"/>
  <c r="C34" i="1"/>
  <c r="C35" i="1"/>
  <c r="C36" i="1"/>
  <c r="C37" i="1"/>
  <c r="D25" i="1"/>
  <c r="C25" i="1"/>
  <c r="L5" i="1"/>
  <c r="L17" i="1"/>
  <c r="L6" i="1"/>
  <c r="C40" i="1"/>
</calcChain>
</file>

<file path=xl/sharedStrings.xml><?xml version="1.0" encoding="utf-8"?>
<sst xmlns="http://schemas.openxmlformats.org/spreadsheetml/2006/main" count="605" uniqueCount="256">
  <si>
    <t>A</t>
  </si>
  <si>
    <t>B</t>
  </si>
  <si>
    <t>C</t>
  </si>
  <si>
    <t>D</t>
  </si>
  <si>
    <t>E</t>
  </si>
  <si>
    <t>F</t>
  </si>
  <si>
    <t>O</t>
  </si>
  <si>
    <t>AB</t>
  </si>
  <si>
    <t>BC</t>
  </si>
  <si>
    <t>CD</t>
  </si>
  <si>
    <t>DE</t>
  </si>
  <si>
    <t>EF</t>
  </si>
  <si>
    <t>EG</t>
  </si>
  <si>
    <t>CI</t>
  </si>
  <si>
    <t>N</t>
  </si>
  <si>
    <t>IM</t>
  </si>
  <si>
    <t>IJ</t>
  </si>
  <si>
    <t>JL</t>
  </si>
  <si>
    <t>JK</t>
  </si>
  <si>
    <t>BN</t>
  </si>
  <si>
    <t>Débit EF</t>
  </si>
  <si>
    <t>Débit corrigé</t>
  </si>
  <si>
    <t>DH</t>
  </si>
  <si>
    <t>G</t>
  </si>
  <si>
    <t>H</t>
  </si>
  <si>
    <t>I</t>
  </si>
  <si>
    <t>M</t>
  </si>
  <si>
    <t>J</t>
  </si>
  <si>
    <t>L</t>
  </si>
  <si>
    <t>K</t>
  </si>
  <si>
    <t>P</t>
  </si>
  <si>
    <t>x</t>
  </si>
  <si>
    <t>y</t>
  </si>
  <si>
    <t>Total :</t>
  </si>
  <si>
    <t>Trois Voies</t>
  </si>
  <si>
    <t>B=</t>
  </si>
  <si>
    <t>…</t>
  </si>
  <si>
    <t>Nombre total Appareils</t>
  </si>
  <si>
    <t>BD</t>
  </si>
  <si>
    <t>DF</t>
  </si>
  <si>
    <t>FH</t>
  </si>
  <si>
    <t>FG</t>
  </si>
  <si>
    <t>GJ</t>
  </si>
  <si>
    <t>Étiquettes de lignes</t>
  </si>
  <si>
    <t>(vide)</t>
  </si>
  <si>
    <t>Total général</t>
  </si>
  <si>
    <t>Voie1</t>
  </si>
  <si>
    <t>Voie2</t>
  </si>
  <si>
    <t>Voie3</t>
  </si>
  <si>
    <t>liste1</t>
  </si>
  <si>
    <t>liste2</t>
  </si>
  <si>
    <t>liste3</t>
  </si>
  <si>
    <t>Nombre de liste1</t>
  </si>
  <si>
    <t>liste4</t>
  </si>
  <si>
    <t>liste5</t>
  </si>
  <si>
    <t>liste6</t>
  </si>
  <si>
    <t>liste7</t>
  </si>
  <si>
    <t>liste8</t>
  </si>
  <si>
    <t>Voie4</t>
  </si>
  <si>
    <t>Voie5</t>
  </si>
  <si>
    <t>Voie6</t>
  </si>
  <si>
    <t>ABBCCJ</t>
  </si>
  <si>
    <t>ABBDDGGK</t>
  </si>
  <si>
    <t>ABBDDEEHHL</t>
  </si>
  <si>
    <t>ABBDDEEFFIIM</t>
  </si>
  <si>
    <t>CF</t>
  </si>
  <si>
    <t>FJ</t>
  </si>
  <si>
    <t>JN</t>
  </si>
  <si>
    <t>DS</t>
  </si>
  <si>
    <t>SW</t>
  </si>
  <si>
    <t>WA'</t>
  </si>
  <si>
    <t>EF'</t>
  </si>
  <si>
    <t>F'J'</t>
  </si>
  <si>
    <t>J'N'</t>
  </si>
  <si>
    <t>S</t>
  </si>
  <si>
    <t>W</t>
  </si>
  <si>
    <t>A'</t>
  </si>
  <si>
    <t>F'</t>
  </si>
  <si>
    <t>J'</t>
  </si>
  <si>
    <t>N'</t>
  </si>
  <si>
    <t>fin de colonne</t>
  </si>
  <si>
    <t>si(J77&lt;&gt;"";si(</t>
  </si>
  <si>
    <t>Colonne</t>
  </si>
  <si>
    <t>Coef.</t>
  </si>
  <si>
    <t>A renseigner</t>
  </si>
  <si>
    <t>CUIVRE Ecroui</t>
  </si>
  <si>
    <t>CUIVRE Recuit</t>
  </si>
  <si>
    <t>PER</t>
  </si>
  <si>
    <t>ACIER (Tarif 1)</t>
  </si>
  <si>
    <t>ACIER (Tarif 3)</t>
  </si>
  <si>
    <t>ACIER (Tarif 10)</t>
  </si>
  <si>
    <t>PVC PN 25*</t>
  </si>
  <si>
    <t>PVC PN 16*</t>
  </si>
  <si>
    <t>PVC PN 10*</t>
  </si>
  <si>
    <t>PVC PN 6*</t>
  </si>
  <si>
    <t>MEPLA</t>
  </si>
  <si>
    <t>D int. mini fonction coef.</t>
  </si>
  <si>
    <t>D mini</t>
  </si>
  <si>
    <t>/</t>
  </si>
  <si>
    <t>CuEcroui</t>
  </si>
  <si>
    <t>Tubes CUIVRE ECROUI</t>
  </si>
  <si>
    <t>Tubes CUIVRE RECUIT</t>
  </si>
  <si>
    <t>Tubes PER</t>
  </si>
  <si>
    <t>PVC PN 25</t>
  </si>
  <si>
    <t>PVC PN 16</t>
  </si>
  <si>
    <t>PVC PN 10</t>
  </si>
  <si>
    <t>PVC PN 6</t>
  </si>
  <si>
    <t>Mepla</t>
  </si>
  <si>
    <t>D int.
mini</t>
  </si>
  <si>
    <t>Dext x Ep</t>
  </si>
  <si>
    <t>D ext. Réel</t>
  </si>
  <si>
    <t>D int. réel</t>
  </si>
  <si>
    <t>Contenance
(l/ml)</t>
  </si>
  <si>
    <t>D int. Réel</t>
  </si>
  <si>
    <t>CU 12 x 1</t>
  </si>
  <si>
    <t>PER 10 x 12</t>
  </si>
  <si>
    <t>ACIER 17,2 x 2</t>
  </si>
  <si>
    <t>ACIER 33,7 x 3,2</t>
  </si>
  <si>
    <t>PVC 12 x 1,4</t>
  </si>
  <si>
    <t>PVC 25 x 1,9</t>
  </si>
  <si>
    <t>PVC 63 x 3</t>
  </si>
  <si>
    <t>PVC 110 x 3,2</t>
  </si>
  <si>
    <t>MEPLA 16 x 2,25</t>
  </si>
  <si>
    <t>ACIER 21,3 x 2,3</t>
  </si>
  <si>
    <t>ACIER 42,4 x 2,6</t>
  </si>
  <si>
    <t>PVC 16 x 1,8</t>
  </si>
  <si>
    <t>PVC 32 x 2,4</t>
  </si>
  <si>
    <t>PVC 75 x 3,6</t>
  </si>
  <si>
    <t>PVC 125 x 3,7</t>
  </si>
  <si>
    <t>MEPLA 20 x 2,5</t>
  </si>
  <si>
    <t>CU 14 x 1</t>
  </si>
  <si>
    <t>PER 13 x 16</t>
  </si>
  <si>
    <t>ACIER 26,9 x 2,6</t>
  </si>
  <si>
    <t>ACIER 48,3 x 2,6</t>
  </si>
  <si>
    <t>PVC 20 x 2,3</t>
  </si>
  <si>
    <t>PVC 40 x 3,0</t>
  </si>
  <si>
    <t>PVC 90 x 4,3</t>
  </si>
  <si>
    <t>PVC 140 x 3,7</t>
  </si>
  <si>
    <t>CU 16 x 1</t>
  </si>
  <si>
    <t>PER 16 x 20</t>
  </si>
  <si>
    <t>ACIER 26,9 x 2,3</t>
  </si>
  <si>
    <t>ACIER 60,3 x 2,9</t>
  </si>
  <si>
    <t>PVC 25 x 2,8</t>
  </si>
  <si>
    <t>PVC 50 x 3,7</t>
  </si>
  <si>
    <t>PVC 110 x 5,3</t>
  </si>
  <si>
    <t>PVC 160 x 3,8</t>
  </si>
  <si>
    <t>MEPLA 26 x 3</t>
  </si>
  <si>
    <t>CU 18 x 1</t>
  </si>
  <si>
    <t>PER 20 x 25</t>
  </si>
  <si>
    <t>ACIER 33,7 x 2,9</t>
  </si>
  <si>
    <t>ACIER 42,4 x 3,2</t>
  </si>
  <si>
    <t>ACIER 76,1 x 2,9</t>
  </si>
  <si>
    <t>PVC 32 x 3,6</t>
  </si>
  <si>
    <t>PVC 63 x 4,7</t>
  </si>
  <si>
    <t>PVC 125 x 6,0</t>
  </si>
  <si>
    <t>PVC 200 x 4,7</t>
  </si>
  <si>
    <t>MEPLA 32 x 3</t>
  </si>
  <si>
    <t>CU 22 x 1</t>
  </si>
  <si>
    <t>PER 26 x 32</t>
  </si>
  <si>
    <t>ACIER 42,4 x 2,9</t>
  </si>
  <si>
    <t>ACIER 48,3 x 3,2</t>
  </si>
  <si>
    <t>ACIER 88,9 x 3,2</t>
  </si>
  <si>
    <t>PVC 40 x 4,5</t>
  </si>
  <si>
    <t>PVC 75 x 5,5</t>
  </si>
  <si>
    <t>PVC 140 x 6,1</t>
  </si>
  <si>
    <t>PVC 225 x 5,3</t>
  </si>
  <si>
    <t>MEPLA 40 x 3,5</t>
  </si>
  <si>
    <t>CU 28 x 1</t>
  </si>
  <si>
    <t>PER 32 x 40</t>
  </si>
  <si>
    <t>ACIER 48,3 x 2,9</t>
  </si>
  <si>
    <t>ACIER 60,3 x 3,6</t>
  </si>
  <si>
    <t>ACIER 101,6 x 3,6</t>
  </si>
  <si>
    <t>PVC 50 x 5,6</t>
  </si>
  <si>
    <t>PVC 90 x 6,6</t>
  </si>
  <si>
    <t>PVC 160 x 6,2</t>
  </si>
  <si>
    <t>PVC 250 x 5,9</t>
  </si>
  <si>
    <t>MEPLA 50 x 4</t>
  </si>
  <si>
    <t>CU 32 x 1</t>
  </si>
  <si>
    <t>Pour distribution d'eau</t>
  </si>
  <si>
    <t>PER 40 x 50</t>
  </si>
  <si>
    <t>ACIER 60,3 x 3,2</t>
  </si>
  <si>
    <t>ACIER 76,1 x 3,6</t>
  </si>
  <si>
    <t>ACIER 114,3 x 3,6</t>
  </si>
  <si>
    <t>PVC 63 x 7,1</t>
  </si>
  <si>
    <t>PVC 110 x 8,1</t>
  </si>
  <si>
    <t>PVC 200 x 7,7</t>
  </si>
  <si>
    <t>PVC 315 x 7,4</t>
  </si>
  <si>
    <t>MEPLA 63 x 4,5</t>
  </si>
  <si>
    <t>CU 36 x 1</t>
  </si>
  <si>
    <t>PER 50 x 63</t>
  </si>
  <si>
    <t>ACIER 76,1 x 3,2</t>
  </si>
  <si>
    <t>ACIER 88,9 x 3,6</t>
  </si>
  <si>
    <t>ACIER 133,0 x 4,0</t>
  </si>
  <si>
    <t>PVC 125 x 9,2</t>
  </si>
  <si>
    <t>PVC 225 x 8,6</t>
  </si>
  <si>
    <t>PVC 400 x 9,4</t>
  </si>
  <si>
    <t>MEPLA 75 x 4,6</t>
  </si>
  <si>
    <t>CU 40 x 1</t>
  </si>
  <si>
    <t>Liste tube</t>
  </si>
  <si>
    <t>PER 63 x 75</t>
  </si>
  <si>
    <t>ACIER 101,6 x 4,0</t>
  </si>
  <si>
    <t>ACIER 139,7 x 4,0</t>
  </si>
  <si>
    <t>PVC 140 x 9,3</t>
  </si>
  <si>
    <t>PVC 250 x 9,6</t>
  </si>
  <si>
    <t>CU 42 x 1</t>
  </si>
  <si>
    <t>PER 75 x 90</t>
  </si>
  <si>
    <t>ACIER 114,3 x 4,0</t>
  </si>
  <si>
    <t>ACIER 159,0 x 4,5</t>
  </si>
  <si>
    <t>PVC 160 x 9,5</t>
  </si>
  <si>
    <t>PVC 315 x 12,1</t>
  </si>
  <si>
    <t>CU 52 x 1</t>
  </si>
  <si>
    <t>ACIER 168,3 x 4,5</t>
  </si>
  <si>
    <t>PVC 200 x 11,9</t>
  </si>
  <si>
    <t>PVC 400 x 15,3</t>
  </si>
  <si>
    <t>ACIER 193,7 x 5,4</t>
  </si>
  <si>
    <t>PVC 225 x 13,4</t>
  </si>
  <si>
    <t>ACIER 219,1 x 5,9</t>
  </si>
  <si>
    <t>PVC 250 x 14,8</t>
  </si>
  <si>
    <t>ACIER 244,5 x 6,3</t>
  </si>
  <si>
    <t>PVC 315 x 18,7</t>
  </si>
  <si>
    <t>ACIER 273,0 x 6,3</t>
  </si>
  <si>
    <t>PVC 400 x 23,7</t>
  </si>
  <si>
    <t>ACIER 323,9 x 7,1</t>
  </si>
  <si>
    <t>ACIER 355,6 x 8,0</t>
  </si>
  <si>
    <t>ACIER 406,4 x 8,8</t>
  </si>
  <si>
    <t>Bac à laver</t>
  </si>
  <si>
    <t>Baignoire 150l</t>
  </si>
  <si>
    <t>Baignoire 160l</t>
  </si>
  <si>
    <t>Baignoire 170l</t>
  </si>
  <si>
    <t>Baignoire 180l</t>
  </si>
  <si>
    <t>Baignoire 190l</t>
  </si>
  <si>
    <t>Baignoire 200l</t>
  </si>
  <si>
    <t>Baignoire 210l</t>
  </si>
  <si>
    <t>Baignoire 220l</t>
  </si>
  <si>
    <t>Baignoire 230l</t>
  </si>
  <si>
    <t>Baignoire 240l</t>
  </si>
  <si>
    <t>Baignoire 250l</t>
  </si>
  <si>
    <t>Bidet</t>
  </si>
  <si>
    <t>Douche</t>
  </si>
  <si>
    <t>Evier</t>
  </si>
  <si>
    <t>L.L.</t>
  </si>
  <si>
    <t>L.V.</t>
  </si>
  <si>
    <t>Lavabo</t>
  </si>
  <si>
    <t>Lavabo collectif</t>
  </si>
  <si>
    <t>Lave-mains</t>
  </si>
  <si>
    <t>Poste 1/2</t>
  </si>
  <si>
    <t>Poste 3/4</t>
  </si>
  <si>
    <t>Timbre d'office</t>
  </si>
  <si>
    <t>Urinoir action siphonique</t>
  </si>
  <si>
    <t>Urinoir robinet indiv.</t>
  </si>
  <si>
    <t>WC chasse (1 à 3)</t>
  </si>
  <si>
    <t>WC chasse (4 à 12)</t>
  </si>
  <si>
    <t>WC chasse (13 à 24)</t>
  </si>
  <si>
    <t>WC chasse (25 à 50)</t>
  </si>
  <si>
    <t>WC chasse ( + de 50)</t>
  </si>
  <si>
    <t>WC réservoir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</si>
</sst>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&quot; l/s&quot;"/>
    <numFmt numFmtId="165" formatCode="0.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6">
    <xf numFmtId="0" fontId="0" fillId="0" borderId="0" xfId="0"/>
    <xf numFmtId="0" fontId="2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4" fillId="0" borderId="0" xfId="0" applyFont="1"/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>
      <alignment horizontal="left" vertical="center" indent="2"/>
    </xf>
    <xf numFmtId="0" fontId="5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2" borderId="0" xfId="0" applyFill="1"/>
    <xf numFmtId="0" fontId="0" fillId="3" borderId="0" xfId="0" applyFill="1"/>
    <xf numFmtId="164" fontId="4" fillId="0" borderId="0" xfId="0" applyNumberFormat="1" applyFont="1" applyFill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/>
    <xf numFmtId="0" fontId="0" fillId="2" borderId="0" xfId="0" applyFill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7" fillId="0" borderId="0" xfId="0" applyFont="1"/>
    <xf numFmtId="164" fontId="0" fillId="0" borderId="10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/>
    <xf numFmtId="0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0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9" fillId="0" borderId="0" xfId="0" applyFont="1" applyBorder="1"/>
    <xf numFmtId="0" fontId="9" fillId="0" borderId="18" xfId="0" applyFont="1" applyBorder="1"/>
    <xf numFmtId="0" fontId="9" fillId="0" borderId="17" xfId="0" applyFont="1" applyBorder="1"/>
    <xf numFmtId="0" fontId="9" fillId="0" borderId="0" xfId="0" applyFont="1" applyFill="1" applyBorder="1"/>
    <xf numFmtId="0" fontId="9" fillId="0" borderId="0" xfId="0" applyFont="1"/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Font="1"/>
    <xf numFmtId="0" fontId="11" fillId="4" borderId="11" xfId="0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0" fillId="0" borderId="8" xfId="0" applyBorder="1" applyAlignment="1">
      <alignment horizontal="center"/>
    </xf>
    <xf numFmtId="1" fontId="0" fillId="0" borderId="15" xfId="0" applyNumberFormat="1" applyFill="1" applyBorder="1" applyAlignment="1">
      <alignment horizontal="center"/>
    </xf>
    <xf numFmtId="0" fontId="0" fillId="0" borderId="9" xfId="0" applyBorder="1" applyAlignment="1">
      <alignment horizontal="center"/>
    </xf>
    <xf numFmtId="165" fontId="0" fillId="0" borderId="9" xfId="0" applyNumberFormat="1" applyBorder="1" applyAlignment="1">
      <alignment horizontal="center"/>
    </xf>
    <xf numFmtId="1" fontId="0" fillId="0" borderId="15" xfId="0" applyNumberFormat="1" applyBorder="1" applyAlignment="1">
      <alignment horizontal="center"/>
    </xf>
    <xf numFmtId="165" fontId="0" fillId="0" borderId="10" xfId="0" applyNumberFormat="1" applyBorder="1" applyAlignment="1">
      <alignment horizontal="center"/>
    </xf>
    <xf numFmtId="1" fontId="0" fillId="0" borderId="18" xfId="0" applyNumberFormat="1" applyBorder="1" applyAlignment="1">
      <alignment horizontal="center"/>
    </xf>
    <xf numFmtId="0" fontId="11" fillId="4" borderId="11" xfId="0" applyFont="1" applyFill="1" applyBorder="1" applyAlignment="1"/>
    <xf numFmtId="0" fontId="11" fillId="4" borderId="12" xfId="0" applyFont="1" applyFill="1" applyBorder="1" applyAlignment="1"/>
    <xf numFmtId="0" fontId="11" fillId="4" borderId="13" xfId="0" applyFont="1" applyFill="1" applyBorder="1" applyAlignment="1"/>
    <xf numFmtId="0" fontId="11" fillId="4" borderId="19" xfId="0" applyFont="1" applyFill="1" applyBorder="1" applyAlignment="1"/>
    <xf numFmtId="0" fontId="11" fillId="4" borderId="20" xfId="0" applyFont="1" applyFill="1" applyBorder="1" applyAlignment="1"/>
    <xf numFmtId="0" fontId="11" fillId="4" borderId="21" xfId="0" applyFont="1" applyFill="1" applyBorder="1" applyAlignment="1"/>
    <xf numFmtId="0" fontId="11" fillId="4" borderId="22" xfId="0" applyFont="1" applyFill="1" applyBorder="1" applyAlignment="1"/>
    <xf numFmtId="0" fontId="12" fillId="4" borderId="0" xfId="0" applyFont="1" applyFill="1"/>
    <xf numFmtId="0" fontId="11" fillId="4" borderId="23" xfId="0" applyFont="1" applyFill="1" applyBorder="1" applyAlignment="1"/>
    <xf numFmtId="0" fontId="1" fillId="0" borderId="1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165" fontId="0" fillId="0" borderId="14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15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5" xfId="0" applyNumberFormat="1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165" fontId="0" fillId="0" borderId="14" xfId="0" applyNumberFormat="1" applyFill="1" applyBorder="1" applyAlignment="1">
      <alignment horizontal="center"/>
    </xf>
    <xf numFmtId="0" fontId="0" fillId="0" borderId="14" xfId="0" applyBorder="1" applyAlignment="1">
      <alignment horizontal="center"/>
    </xf>
    <xf numFmtId="2" fontId="0" fillId="0" borderId="15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/>
    </xf>
    <xf numFmtId="165" fontId="0" fillId="0" borderId="16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2" fontId="0" fillId="0" borderId="17" xfId="0" applyNumberFormat="1" applyFill="1" applyBorder="1" applyAlignment="1">
      <alignment horizontal="center"/>
    </xf>
    <xf numFmtId="0" fontId="0" fillId="0" borderId="14" xfId="0" applyNumberFormat="1" applyFill="1" applyBorder="1" applyAlignment="1">
      <alignment horizontal="center"/>
    </xf>
    <xf numFmtId="0" fontId="0" fillId="5" borderId="0" xfId="0" applyFill="1" applyBorder="1"/>
    <xf numFmtId="2" fontId="0" fillId="0" borderId="15" xfId="0" applyNumberFormat="1" applyFill="1" applyBorder="1" applyAlignment="1">
      <alignment horizontal="center" vertical="center"/>
    </xf>
    <xf numFmtId="0" fontId="14" fillId="0" borderId="14" xfId="0" applyFont="1" applyBorder="1" applyAlignment="1">
      <alignment horizontal="center"/>
    </xf>
    <xf numFmtId="0" fontId="0" fillId="0" borderId="16" xfId="0" applyBorder="1" applyAlignment="1">
      <alignment horizontal="center"/>
    </xf>
    <xf numFmtId="2" fontId="0" fillId="0" borderId="18" xfId="0" applyNumberForma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7" xfId="0" applyFill="1" applyBorder="1" applyAlignment="1">
      <alignment horizontal="center" vertical="center"/>
    </xf>
    <xf numFmtId="2" fontId="0" fillId="0" borderId="18" xfId="0" applyNumberFormat="1" applyFill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16" xfId="0" applyNumberFormat="1" applyBorder="1" applyAlignment="1">
      <alignment horizontal="center"/>
    </xf>
    <xf numFmtId="165" fontId="0" fillId="0" borderId="16" xfId="0" applyNumberFormat="1" applyFill="1" applyBorder="1" applyAlignment="1">
      <alignment horizontal="center"/>
    </xf>
    <xf numFmtId="165" fontId="0" fillId="0" borderId="17" xfId="0" applyNumberForma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7" xfId="0" applyFill="1" applyBorder="1" applyAlignment="1">
      <alignment horizontal="center"/>
    </xf>
    <xf numFmtId="2" fontId="0" fillId="0" borderId="18" xfId="0" applyNumberFormat="1" applyFill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165" fontId="0" fillId="0" borderId="12" xfId="0" applyNumberFormat="1" applyFill="1" applyBorder="1" applyAlignment="1">
      <alignment horizontal="center"/>
    </xf>
    <xf numFmtId="2" fontId="0" fillId="0" borderId="0" xfId="0" applyNumberFormat="1" applyFill="1" applyBorder="1" applyAlignment="1">
      <alignment horizontal="center" vertical="center"/>
    </xf>
    <xf numFmtId="165" fontId="0" fillId="0" borderId="17" xfId="0" applyNumberFormat="1" applyBorder="1" applyAlignment="1">
      <alignment horizontal="center"/>
    </xf>
    <xf numFmtId="0" fontId="11" fillId="4" borderId="11" xfId="0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3" fillId="5" borderId="0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fmlaLink="$D77" lockText="1" noThreeD="1"/>
</file>

<file path=xl/ctrlProps/ctrlProp2.xml><?xml version="1.0" encoding="utf-8"?>
<formControlPr xmlns="http://schemas.microsoft.com/office/spreadsheetml/2009/9/main" objectType="CheckBox" fmlaLink="$D78" lockText="1" noThreeD="1"/>
</file>

<file path=xl/ctrlProps/ctrlProp3.xml><?xml version="1.0" encoding="utf-8"?>
<formControlPr xmlns="http://schemas.microsoft.com/office/spreadsheetml/2009/9/main" objectType="CheckBox" fmlaLink="$D79" lockText="1" noThreeD="1"/>
</file>

<file path=xl/ctrlProps/ctrlProp4.xml><?xml version="1.0" encoding="utf-8"?>
<formControlPr xmlns="http://schemas.microsoft.com/office/spreadsheetml/2009/9/main" objectType="CheckBox" fmlaLink="$D80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14</xdr:row>
      <xdr:rowOff>114300</xdr:rowOff>
    </xdr:from>
    <xdr:to>
      <xdr:col>7</xdr:col>
      <xdr:colOff>752475</xdr:colOff>
      <xdr:row>17</xdr:row>
      <xdr:rowOff>95250</xdr:rowOff>
    </xdr:to>
    <xdr:cxnSp macro="">
      <xdr:nvCxnSpPr>
        <xdr:cNvPr id="3" name="Connecteur droit 2"/>
        <xdr:cNvCxnSpPr/>
      </xdr:nvCxnSpPr>
      <xdr:spPr>
        <a:xfrm>
          <a:off x="3914775" y="2781300"/>
          <a:ext cx="1409700" cy="552450"/>
        </a:xfrm>
        <a:prstGeom prst="line">
          <a:avLst/>
        </a:prstGeom>
        <a:ln>
          <a:solidFill>
            <a:schemeClr val="tx1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761207</xdr:colOff>
      <xdr:row>15</xdr:row>
      <xdr:rowOff>181768</xdr:rowOff>
    </xdr:from>
    <xdr:to>
      <xdr:col>7</xdr:col>
      <xdr:colOff>795</xdr:colOff>
      <xdr:row>21</xdr:row>
      <xdr:rowOff>793</xdr:rowOff>
    </xdr:to>
    <xdr:cxnSp macro="">
      <xdr:nvCxnSpPr>
        <xdr:cNvPr id="4" name="Connecteur droit 3"/>
        <xdr:cNvCxnSpPr/>
      </xdr:nvCxnSpPr>
      <xdr:spPr>
        <a:xfrm rot="5400000">
          <a:off x="4090988" y="3519487"/>
          <a:ext cx="962025" cy="1588"/>
        </a:xfrm>
        <a:prstGeom prst="line">
          <a:avLst/>
        </a:prstGeom>
        <a:ln>
          <a:solidFill>
            <a:schemeClr val="tx1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113506</xdr:colOff>
      <xdr:row>8</xdr:row>
      <xdr:rowOff>10319</xdr:rowOff>
    </xdr:from>
    <xdr:to>
      <xdr:col>6</xdr:col>
      <xdr:colOff>115094</xdr:colOff>
      <xdr:row>14</xdr:row>
      <xdr:rowOff>124619</xdr:rowOff>
    </xdr:to>
    <xdr:cxnSp macro="">
      <xdr:nvCxnSpPr>
        <xdr:cNvPr id="7" name="Connecteur droit 6"/>
        <xdr:cNvCxnSpPr/>
      </xdr:nvCxnSpPr>
      <xdr:spPr>
        <a:xfrm rot="5400000">
          <a:off x="3295650" y="2162175"/>
          <a:ext cx="1257300" cy="1588"/>
        </a:xfrm>
        <a:prstGeom prst="line">
          <a:avLst/>
        </a:prstGeom>
        <a:ln>
          <a:solidFill>
            <a:schemeClr val="tx1"/>
          </a:solidFill>
          <a:headEnd type="non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590550</xdr:colOff>
      <xdr:row>8</xdr:row>
      <xdr:rowOff>9525</xdr:rowOff>
    </xdr:from>
    <xdr:to>
      <xdr:col>6</xdr:col>
      <xdr:colOff>114300</xdr:colOff>
      <xdr:row>8</xdr:row>
      <xdr:rowOff>11114</xdr:rowOff>
    </xdr:to>
    <xdr:cxnSp macro="">
      <xdr:nvCxnSpPr>
        <xdr:cNvPr id="10" name="Connecteur droit 9"/>
        <xdr:cNvCxnSpPr/>
      </xdr:nvCxnSpPr>
      <xdr:spPr>
        <a:xfrm>
          <a:off x="2114550" y="1533525"/>
          <a:ext cx="1809750" cy="1589"/>
        </a:xfrm>
        <a:prstGeom prst="line">
          <a:avLst/>
        </a:prstGeom>
        <a:ln>
          <a:solidFill>
            <a:schemeClr val="tx1"/>
          </a:solidFill>
          <a:headEnd type="non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485775</xdr:colOff>
      <xdr:row>14</xdr:row>
      <xdr:rowOff>114300</xdr:rowOff>
    </xdr:from>
    <xdr:to>
      <xdr:col>6</xdr:col>
      <xdr:colOff>66675</xdr:colOff>
      <xdr:row>14</xdr:row>
      <xdr:rowOff>115888</xdr:rowOff>
    </xdr:to>
    <xdr:cxnSp macro="">
      <xdr:nvCxnSpPr>
        <xdr:cNvPr id="12" name="Connecteur droit 11"/>
        <xdr:cNvCxnSpPr/>
      </xdr:nvCxnSpPr>
      <xdr:spPr>
        <a:xfrm>
          <a:off x="2009775" y="2781300"/>
          <a:ext cx="1866900" cy="1588"/>
        </a:xfrm>
        <a:prstGeom prst="line">
          <a:avLst/>
        </a:prstGeom>
        <a:ln>
          <a:solidFill>
            <a:schemeClr val="tx1"/>
          </a:solidFill>
          <a:headEnd type="non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485776</xdr:colOff>
      <xdr:row>12</xdr:row>
      <xdr:rowOff>142875</xdr:rowOff>
    </xdr:from>
    <xdr:to>
      <xdr:col>3</xdr:col>
      <xdr:colOff>495300</xdr:colOff>
      <xdr:row>14</xdr:row>
      <xdr:rowOff>114301</xdr:rowOff>
    </xdr:to>
    <xdr:cxnSp macro="">
      <xdr:nvCxnSpPr>
        <xdr:cNvPr id="17" name="Connecteur droit 16"/>
        <xdr:cNvCxnSpPr/>
      </xdr:nvCxnSpPr>
      <xdr:spPr>
        <a:xfrm rot="5400000" flipH="1" flipV="1">
          <a:off x="1838325" y="2600326"/>
          <a:ext cx="352426" cy="9524"/>
        </a:xfrm>
        <a:prstGeom prst="line">
          <a:avLst/>
        </a:prstGeom>
        <a:ln>
          <a:solidFill>
            <a:schemeClr val="tx1"/>
          </a:solidFill>
          <a:headEnd type="none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657225</xdr:colOff>
      <xdr:row>13</xdr:row>
      <xdr:rowOff>47624</xdr:rowOff>
    </xdr:from>
    <xdr:to>
      <xdr:col>4</xdr:col>
      <xdr:colOff>657228</xdr:colOff>
      <xdr:row>14</xdr:row>
      <xdr:rowOff>114299</xdr:rowOff>
    </xdr:to>
    <xdr:cxnSp macro="">
      <xdr:nvCxnSpPr>
        <xdr:cNvPr id="23" name="Connecteur droit 22"/>
        <xdr:cNvCxnSpPr/>
      </xdr:nvCxnSpPr>
      <xdr:spPr>
        <a:xfrm rot="16200000" flipH="1">
          <a:off x="2814639" y="2652710"/>
          <a:ext cx="257175" cy="3"/>
        </a:xfrm>
        <a:prstGeom prst="line">
          <a:avLst/>
        </a:prstGeom>
        <a:ln>
          <a:solidFill>
            <a:schemeClr val="tx1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447675</xdr:colOff>
      <xdr:row>13</xdr:row>
      <xdr:rowOff>47625</xdr:rowOff>
    </xdr:from>
    <xdr:to>
      <xdr:col>5</xdr:col>
      <xdr:colOff>447678</xdr:colOff>
      <xdr:row>14</xdr:row>
      <xdr:rowOff>114300</xdr:rowOff>
    </xdr:to>
    <xdr:cxnSp macro="">
      <xdr:nvCxnSpPr>
        <xdr:cNvPr id="29" name="Connecteur droit 28"/>
        <xdr:cNvCxnSpPr/>
      </xdr:nvCxnSpPr>
      <xdr:spPr>
        <a:xfrm rot="16200000" flipH="1">
          <a:off x="3367089" y="2652711"/>
          <a:ext cx="257175" cy="3"/>
        </a:xfrm>
        <a:prstGeom prst="line">
          <a:avLst/>
        </a:prstGeom>
        <a:ln>
          <a:solidFill>
            <a:schemeClr val="tx1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390525</xdr:colOff>
      <xdr:row>6</xdr:row>
      <xdr:rowOff>133350</xdr:rowOff>
    </xdr:from>
    <xdr:to>
      <xdr:col>4</xdr:col>
      <xdr:colOff>390528</xdr:colOff>
      <xdr:row>8</xdr:row>
      <xdr:rowOff>9525</xdr:rowOff>
    </xdr:to>
    <xdr:cxnSp macro="">
      <xdr:nvCxnSpPr>
        <xdr:cNvPr id="30" name="Connecteur droit 29"/>
        <xdr:cNvCxnSpPr/>
      </xdr:nvCxnSpPr>
      <xdr:spPr>
        <a:xfrm rot="16200000" flipH="1">
          <a:off x="2547939" y="1404936"/>
          <a:ext cx="257175" cy="3"/>
        </a:xfrm>
        <a:prstGeom prst="line">
          <a:avLst/>
        </a:prstGeom>
        <a:ln>
          <a:solidFill>
            <a:schemeClr val="tx1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228600</xdr:colOff>
      <xdr:row>6</xdr:row>
      <xdr:rowOff>133350</xdr:rowOff>
    </xdr:from>
    <xdr:to>
      <xdr:col>5</xdr:col>
      <xdr:colOff>228603</xdr:colOff>
      <xdr:row>8</xdr:row>
      <xdr:rowOff>9525</xdr:rowOff>
    </xdr:to>
    <xdr:cxnSp macro="">
      <xdr:nvCxnSpPr>
        <xdr:cNvPr id="31" name="Connecteur droit 30"/>
        <xdr:cNvCxnSpPr/>
      </xdr:nvCxnSpPr>
      <xdr:spPr>
        <a:xfrm rot="16200000" flipH="1">
          <a:off x="3148014" y="1404936"/>
          <a:ext cx="257175" cy="3"/>
        </a:xfrm>
        <a:prstGeom prst="line">
          <a:avLst/>
        </a:prstGeom>
        <a:ln>
          <a:solidFill>
            <a:schemeClr val="tx1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590550</xdr:colOff>
      <xdr:row>6</xdr:row>
      <xdr:rowOff>28575</xdr:rowOff>
    </xdr:from>
    <xdr:to>
      <xdr:col>3</xdr:col>
      <xdr:colOff>600074</xdr:colOff>
      <xdr:row>8</xdr:row>
      <xdr:rowOff>1</xdr:rowOff>
    </xdr:to>
    <xdr:cxnSp macro="">
      <xdr:nvCxnSpPr>
        <xdr:cNvPr id="32" name="Connecteur droit 31"/>
        <xdr:cNvCxnSpPr/>
      </xdr:nvCxnSpPr>
      <xdr:spPr>
        <a:xfrm rot="5400000" flipH="1" flipV="1">
          <a:off x="1943099" y="1343026"/>
          <a:ext cx="352426" cy="9524"/>
        </a:xfrm>
        <a:prstGeom prst="line">
          <a:avLst/>
        </a:prstGeom>
        <a:ln>
          <a:solidFill>
            <a:schemeClr val="tx1"/>
          </a:solidFill>
          <a:headEnd type="none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257175</xdr:colOff>
      <xdr:row>11</xdr:row>
      <xdr:rowOff>19050</xdr:rowOff>
    </xdr:from>
    <xdr:to>
      <xdr:col>4</xdr:col>
      <xdr:colOff>266700</xdr:colOff>
      <xdr:row>12</xdr:row>
      <xdr:rowOff>142875</xdr:rowOff>
    </xdr:to>
    <xdr:sp macro="" textlink="">
      <xdr:nvSpPr>
        <xdr:cNvPr id="33" name="ZoneTexte 32"/>
        <xdr:cNvSpPr txBox="1"/>
      </xdr:nvSpPr>
      <xdr:spPr>
        <a:xfrm>
          <a:off x="1781175" y="2114550"/>
          <a:ext cx="77152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Evier</a:t>
          </a:r>
        </a:p>
      </xdr:txBody>
    </xdr:sp>
    <xdr:clientData/>
  </xdr:twoCellAnchor>
  <xdr:twoCellAnchor>
    <xdr:from>
      <xdr:col>4</xdr:col>
      <xdr:colOff>466725</xdr:colOff>
      <xdr:row>11</xdr:row>
      <xdr:rowOff>152400</xdr:rowOff>
    </xdr:from>
    <xdr:to>
      <xdr:col>5</xdr:col>
      <xdr:colOff>114300</xdr:colOff>
      <xdr:row>13</xdr:row>
      <xdr:rowOff>85725</xdr:rowOff>
    </xdr:to>
    <xdr:sp macro="" textlink="">
      <xdr:nvSpPr>
        <xdr:cNvPr id="34" name="ZoneTexte 33"/>
        <xdr:cNvSpPr txBox="1"/>
      </xdr:nvSpPr>
      <xdr:spPr>
        <a:xfrm>
          <a:off x="2752725" y="2247900"/>
          <a:ext cx="40957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L-V</a:t>
          </a:r>
        </a:p>
      </xdr:txBody>
    </xdr:sp>
    <xdr:clientData/>
  </xdr:twoCellAnchor>
  <xdr:twoCellAnchor>
    <xdr:from>
      <xdr:col>3</xdr:col>
      <xdr:colOff>228600</xdr:colOff>
      <xdr:row>4</xdr:row>
      <xdr:rowOff>142875</xdr:rowOff>
    </xdr:from>
    <xdr:to>
      <xdr:col>4</xdr:col>
      <xdr:colOff>238125</xdr:colOff>
      <xdr:row>6</xdr:row>
      <xdr:rowOff>76200</xdr:rowOff>
    </xdr:to>
    <xdr:sp macro="" textlink="">
      <xdr:nvSpPr>
        <xdr:cNvPr id="35" name="ZoneTexte 34"/>
        <xdr:cNvSpPr txBox="1"/>
      </xdr:nvSpPr>
      <xdr:spPr>
        <a:xfrm>
          <a:off x="1752600" y="904875"/>
          <a:ext cx="77152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Baignoire</a:t>
          </a:r>
        </a:p>
      </xdr:txBody>
    </xdr:sp>
    <xdr:clientData/>
  </xdr:twoCellAnchor>
  <xdr:twoCellAnchor>
    <xdr:from>
      <xdr:col>6</xdr:col>
      <xdr:colOff>581025</xdr:colOff>
      <xdr:row>20</xdr:row>
      <xdr:rowOff>180975</xdr:rowOff>
    </xdr:from>
    <xdr:to>
      <xdr:col>7</xdr:col>
      <xdr:colOff>247650</xdr:colOff>
      <xdr:row>22</xdr:row>
      <xdr:rowOff>95250</xdr:rowOff>
    </xdr:to>
    <xdr:sp macro="" textlink="">
      <xdr:nvSpPr>
        <xdr:cNvPr id="36" name="ZoneTexte 35"/>
        <xdr:cNvSpPr txBox="1"/>
      </xdr:nvSpPr>
      <xdr:spPr>
        <a:xfrm>
          <a:off x="4391025" y="3990975"/>
          <a:ext cx="428625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AEP</a:t>
          </a:r>
        </a:p>
      </xdr:txBody>
    </xdr:sp>
    <xdr:clientData/>
  </xdr:twoCellAnchor>
  <xdr:twoCellAnchor>
    <xdr:from>
      <xdr:col>5</xdr:col>
      <xdr:colOff>276225</xdr:colOff>
      <xdr:row>11</xdr:row>
      <xdr:rowOff>152400</xdr:rowOff>
    </xdr:from>
    <xdr:to>
      <xdr:col>5</xdr:col>
      <xdr:colOff>685800</xdr:colOff>
      <xdr:row>13</xdr:row>
      <xdr:rowOff>85725</xdr:rowOff>
    </xdr:to>
    <xdr:sp macro="" textlink="">
      <xdr:nvSpPr>
        <xdr:cNvPr id="37" name="ZoneTexte 36"/>
        <xdr:cNvSpPr txBox="1"/>
      </xdr:nvSpPr>
      <xdr:spPr>
        <a:xfrm>
          <a:off x="3324225" y="2247900"/>
          <a:ext cx="40957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L-L</a:t>
          </a:r>
        </a:p>
      </xdr:txBody>
    </xdr:sp>
    <xdr:clientData/>
  </xdr:twoCellAnchor>
  <xdr:twoCellAnchor>
    <xdr:from>
      <xdr:col>4</xdr:col>
      <xdr:colOff>133351</xdr:colOff>
      <xdr:row>5</xdr:row>
      <xdr:rowOff>57150</xdr:rowOff>
    </xdr:from>
    <xdr:to>
      <xdr:col>4</xdr:col>
      <xdr:colOff>704851</xdr:colOff>
      <xdr:row>6</xdr:row>
      <xdr:rowOff>180975</xdr:rowOff>
    </xdr:to>
    <xdr:sp macro="" textlink="">
      <xdr:nvSpPr>
        <xdr:cNvPr id="38" name="ZoneTexte 37"/>
        <xdr:cNvSpPr txBox="1"/>
      </xdr:nvSpPr>
      <xdr:spPr>
        <a:xfrm>
          <a:off x="2419351" y="1009650"/>
          <a:ext cx="5715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lavabo</a:t>
          </a:r>
        </a:p>
      </xdr:txBody>
    </xdr:sp>
    <xdr:clientData/>
  </xdr:twoCellAnchor>
  <xdr:twoCellAnchor>
    <xdr:from>
      <xdr:col>5</xdr:col>
      <xdr:colOff>9525</xdr:colOff>
      <xdr:row>5</xdr:row>
      <xdr:rowOff>66675</xdr:rowOff>
    </xdr:from>
    <xdr:to>
      <xdr:col>5</xdr:col>
      <xdr:colOff>581025</xdr:colOff>
      <xdr:row>7</xdr:row>
      <xdr:rowOff>0</xdr:rowOff>
    </xdr:to>
    <xdr:sp macro="" textlink="">
      <xdr:nvSpPr>
        <xdr:cNvPr id="39" name="ZoneTexte 38"/>
        <xdr:cNvSpPr txBox="1"/>
      </xdr:nvSpPr>
      <xdr:spPr>
        <a:xfrm>
          <a:off x="3057525" y="1019175"/>
          <a:ext cx="5715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lavabo</a:t>
          </a:r>
        </a:p>
      </xdr:txBody>
    </xdr:sp>
    <xdr:clientData/>
  </xdr:twoCellAnchor>
  <xdr:twoCellAnchor>
    <xdr:from>
      <xdr:col>3</xdr:col>
      <xdr:colOff>323851</xdr:colOff>
      <xdr:row>3</xdr:row>
      <xdr:rowOff>180975</xdr:rowOff>
    </xdr:from>
    <xdr:to>
      <xdr:col>4</xdr:col>
      <xdr:colOff>171451</xdr:colOff>
      <xdr:row>5</xdr:row>
      <xdr:rowOff>114300</xdr:rowOff>
    </xdr:to>
    <xdr:sp macro="" textlink="">
      <xdr:nvSpPr>
        <xdr:cNvPr id="40" name="ZoneTexte 39"/>
        <xdr:cNvSpPr txBox="1"/>
      </xdr:nvSpPr>
      <xdr:spPr>
        <a:xfrm>
          <a:off x="1847851" y="752475"/>
          <a:ext cx="609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0.33</a:t>
          </a:r>
          <a:r>
            <a:rPr lang="fr-FR" sz="1100" baseline="0"/>
            <a:t> l/s</a:t>
          </a:r>
          <a:endParaRPr lang="fr-FR" sz="1100"/>
        </a:p>
      </xdr:txBody>
    </xdr:sp>
    <xdr:clientData/>
  </xdr:twoCellAnchor>
  <xdr:twoCellAnchor>
    <xdr:from>
      <xdr:col>5</xdr:col>
      <xdr:colOff>180975</xdr:colOff>
      <xdr:row>11</xdr:row>
      <xdr:rowOff>9525</xdr:rowOff>
    </xdr:from>
    <xdr:to>
      <xdr:col>6</xdr:col>
      <xdr:colOff>28575</xdr:colOff>
      <xdr:row>12</xdr:row>
      <xdr:rowOff>133350</xdr:rowOff>
    </xdr:to>
    <xdr:sp macro="" textlink="">
      <xdr:nvSpPr>
        <xdr:cNvPr id="41" name="ZoneTexte 40"/>
        <xdr:cNvSpPr txBox="1"/>
      </xdr:nvSpPr>
      <xdr:spPr>
        <a:xfrm>
          <a:off x="3228975" y="2105025"/>
          <a:ext cx="609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0.20</a:t>
          </a:r>
          <a:r>
            <a:rPr lang="fr-FR" sz="1100" baseline="0"/>
            <a:t> l/s</a:t>
          </a:r>
          <a:endParaRPr lang="fr-FR" sz="1100"/>
        </a:p>
      </xdr:txBody>
    </xdr:sp>
    <xdr:clientData/>
  </xdr:twoCellAnchor>
  <xdr:twoCellAnchor>
    <xdr:from>
      <xdr:col>5</xdr:col>
      <xdr:colOff>47625</xdr:colOff>
      <xdr:row>4</xdr:row>
      <xdr:rowOff>123825</xdr:rowOff>
    </xdr:from>
    <xdr:to>
      <xdr:col>5</xdr:col>
      <xdr:colOff>657225</xdr:colOff>
      <xdr:row>6</xdr:row>
      <xdr:rowOff>57150</xdr:rowOff>
    </xdr:to>
    <xdr:sp macro="" textlink="">
      <xdr:nvSpPr>
        <xdr:cNvPr id="42" name="ZoneTexte 41"/>
        <xdr:cNvSpPr txBox="1"/>
      </xdr:nvSpPr>
      <xdr:spPr>
        <a:xfrm>
          <a:off x="3095625" y="885825"/>
          <a:ext cx="609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0.20</a:t>
          </a:r>
          <a:r>
            <a:rPr lang="fr-FR" sz="1100" baseline="0"/>
            <a:t> l/s</a:t>
          </a:r>
          <a:endParaRPr lang="fr-FR" sz="1100"/>
        </a:p>
      </xdr:txBody>
    </xdr:sp>
    <xdr:clientData/>
  </xdr:twoCellAnchor>
  <xdr:twoCellAnchor>
    <xdr:from>
      <xdr:col>4</xdr:col>
      <xdr:colOff>381000</xdr:colOff>
      <xdr:row>11</xdr:row>
      <xdr:rowOff>9525</xdr:rowOff>
    </xdr:from>
    <xdr:to>
      <xdr:col>5</xdr:col>
      <xdr:colOff>228600</xdr:colOff>
      <xdr:row>12</xdr:row>
      <xdr:rowOff>133350</xdr:rowOff>
    </xdr:to>
    <xdr:sp macro="" textlink="">
      <xdr:nvSpPr>
        <xdr:cNvPr id="43" name="ZoneTexte 42"/>
        <xdr:cNvSpPr txBox="1"/>
      </xdr:nvSpPr>
      <xdr:spPr>
        <a:xfrm>
          <a:off x="2667000" y="2105025"/>
          <a:ext cx="609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0.10</a:t>
          </a:r>
          <a:r>
            <a:rPr lang="fr-FR" sz="1100" baseline="0"/>
            <a:t> l/s</a:t>
          </a:r>
          <a:endParaRPr lang="fr-FR" sz="1100"/>
        </a:p>
      </xdr:txBody>
    </xdr:sp>
    <xdr:clientData/>
  </xdr:twoCellAnchor>
  <xdr:twoCellAnchor>
    <xdr:from>
      <xdr:col>3</xdr:col>
      <xdr:colOff>228600</xdr:colOff>
      <xdr:row>10</xdr:row>
      <xdr:rowOff>76200</xdr:rowOff>
    </xdr:from>
    <xdr:to>
      <xdr:col>4</xdr:col>
      <xdr:colOff>76200</xdr:colOff>
      <xdr:row>12</xdr:row>
      <xdr:rowOff>9525</xdr:rowOff>
    </xdr:to>
    <xdr:sp macro="" textlink="">
      <xdr:nvSpPr>
        <xdr:cNvPr id="44" name="ZoneTexte 43"/>
        <xdr:cNvSpPr txBox="1"/>
      </xdr:nvSpPr>
      <xdr:spPr>
        <a:xfrm>
          <a:off x="1752600" y="1981200"/>
          <a:ext cx="609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0.20</a:t>
          </a:r>
          <a:r>
            <a:rPr lang="fr-FR" sz="1100" baseline="0"/>
            <a:t> l/s</a:t>
          </a:r>
          <a:endParaRPr lang="fr-FR" sz="1100"/>
        </a:p>
      </xdr:txBody>
    </xdr:sp>
    <xdr:clientData/>
  </xdr:twoCellAnchor>
  <xdr:twoCellAnchor>
    <xdr:from>
      <xdr:col>4</xdr:col>
      <xdr:colOff>161925</xdr:colOff>
      <xdr:row>4</xdr:row>
      <xdr:rowOff>114300</xdr:rowOff>
    </xdr:from>
    <xdr:to>
      <xdr:col>5</xdr:col>
      <xdr:colOff>9525</xdr:colOff>
      <xdr:row>6</xdr:row>
      <xdr:rowOff>47625</xdr:rowOff>
    </xdr:to>
    <xdr:sp macro="" textlink="">
      <xdr:nvSpPr>
        <xdr:cNvPr id="45" name="ZoneTexte 44"/>
        <xdr:cNvSpPr txBox="1"/>
      </xdr:nvSpPr>
      <xdr:spPr>
        <a:xfrm>
          <a:off x="2447925" y="876300"/>
          <a:ext cx="609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0.20</a:t>
          </a:r>
          <a:r>
            <a:rPr lang="fr-FR" sz="1100" baseline="0"/>
            <a:t> l/s</a:t>
          </a:r>
          <a:endParaRPr lang="fr-FR" sz="1100"/>
        </a:p>
      </xdr:txBody>
    </xdr:sp>
    <xdr:clientData/>
  </xdr:twoCellAnchor>
  <xdr:twoCellAnchor>
    <xdr:from>
      <xdr:col>3</xdr:col>
      <xdr:colOff>228600</xdr:colOff>
      <xdr:row>12</xdr:row>
      <xdr:rowOff>0</xdr:rowOff>
    </xdr:from>
    <xdr:to>
      <xdr:col>3</xdr:col>
      <xdr:colOff>514350</xdr:colOff>
      <xdr:row>13</xdr:row>
      <xdr:rowOff>123825</xdr:rowOff>
    </xdr:to>
    <xdr:sp macro="" textlink="">
      <xdr:nvSpPr>
        <xdr:cNvPr id="46" name="ZoneTexte 45"/>
        <xdr:cNvSpPr txBox="1"/>
      </xdr:nvSpPr>
      <xdr:spPr>
        <a:xfrm>
          <a:off x="1752600" y="2286000"/>
          <a:ext cx="2857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/>
            <a:t>F</a:t>
          </a:r>
        </a:p>
      </xdr:txBody>
    </xdr:sp>
    <xdr:clientData/>
  </xdr:twoCellAnchor>
  <xdr:twoCellAnchor>
    <xdr:from>
      <xdr:col>4</xdr:col>
      <xdr:colOff>381000</xdr:colOff>
      <xdr:row>12</xdr:row>
      <xdr:rowOff>95250</xdr:rowOff>
    </xdr:from>
    <xdr:to>
      <xdr:col>4</xdr:col>
      <xdr:colOff>666750</xdr:colOff>
      <xdr:row>14</xdr:row>
      <xdr:rowOff>28575</xdr:rowOff>
    </xdr:to>
    <xdr:sp macro="" textlink="">
      <xdr:nvSpPr>
        <xdr:cNvPr id="47" name="ZoneTexte 46"/>
        <xdr:cNvSpPr txBox="1"/>
      </xdr:nvSpPr>
      <xdr:spPr>
        <a:xfrm>
          <a:off x="2667000" y="2381250"/>
          <a:ext cx="2857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/>
            <a:t>G</a:t>
          </a:r>
        </a:p>
      </xdr:txBody>
    </xdr:sp>
    <xdr:clientData/>
  </xdr:twoCellAnchor>
  <xdr:twoCellAnchor>
    <xdr:from>
      <xdr:col>5</xdr:col>
      <xdr:colOff>190500</xdr:colOff>
      <xdr:row>12</xdr:row>
      <xdr:rowOff>104775</xdr:rowOff>
    </xdr:from>
    <xdr:to>
      <xdr:col>5</xdr:col>
      <xdr:colOff>476250</xdr:colOff>
      <xdr:row>14</xdr:row>
      <xdr:rowOff>38100</xdr:rowOff>
    </xdr:to>
    <xdr:sp macro="" textlink="">
      <xdr:nvSpPr>
        <xdr:cNvPr id="48" name="ZoneTexte 47"/>
        <xdr:cNvSpPr txBox="1"/>
      </xdr:nvSpPr>
      <xdr:spPr>
        <a:xfrm>
          <a:off x="3238500" y="2390775"/>
          <a:ext cx="2857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/>
            <a:t>H</a:t>
          </a:r>
        </a:p>
      </xdr:txBody>
    </xdr:sp>
    <xdr:clientData/>
  </xdr:twoCellAnchor>
  <xdr:twoCellAnchor>
    <xdr:from>
      <xdr:col>5</xdr:col>
      <xdr:colOff>123825</xdr:colOff>
      <xdr:row>8</xdr:row>
      <xdr:rowOff>0</xdr:rowOff>
    </xdr:from>
    <xdr:to>
      <xdr:col>5</xdr:col>
      <xdr:colOff>409575</xdr:colOff>
      <xdr:row>9</xdr:row>
      <xdr:rowOff>123825</xdr:rowOff>
    </xdr:to>
    <xdr:sp macro="" textlink="">
      <xdr:nvSpPr>
        <xdr:cNvPr id="49" name="ZoneTexte 48"/>
        <xdr:cNvSpPr txBox="1"/>
      </xdr:nvSpPr>
      <xdr:spPr>
        <a:xfrm>
          <a:off x="3171825" y="1524000"/>
          <a:ext cx="2857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/>
            <a:t>I</a:t>
          </a:r>
        </a:p>
      </xdr:txBody>
    </xdr:sp>
    <xdr:clientData/>
  </xdr:twoCellAnchor>
  <xdr:twoCellAnchor>
    <xdr:from>
      <xdr:col>3</xdr:col>
      <xdr:colOff>342900</xdr:colOff>
      <xdr:row>5</xdr:row>
      <xdr:rowOff>95250</xdr:rowOff>
    </xdr:from>
    <xdr:to>
      <xdr:col>3</xdr:col>
      <xdr:colOff>666750</xdr:colOff>
      <xdr:row>7</xdr:row>
      <xdr:rowOff>19050</xdr:rowOff>
    </xdr:to>
    <xdr:sp macro="" textlink="">
      <xdr:nvSpPr>
        <xdr:cNvPr id="50" name="ZoneTexte 49"/>
        <xdr:cNvSpPr txBox="1"/>
      </xdr:nvSpPr>
      <xdr:spPr>
        <a:xfrm>
          <a:off x="1866900" y="1047750"/>
          <a:ext cx="3238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/>
            <a:t>K</a:t>
          </a:r>
        </a:p>
      </xdr:txBody>
    </xdr:sp>
    <xdr:clientData/>
  </xdr:twoCellAnchor>
  <xdr:twoCellAnchor>
    <xdr:from>
      <xdr:col>4</xdr:col>
      <xdr:colOff>257175</xdr:colOff>
      <xdr:row>7</xdr:row>
      <xdr:rowOff>180975</xdr:rowOff>
    </xdr:from>
    <xdr:to>
      <xdr:col>4</xdr:col>
      <xdr:colOff>581025</xdr:colOff>
      <xdr:row>9</xdr:row>
      <xdr:rowOff>104775</xdr:rowOff>
    </xdr:to>
    <xdr:sp macro="" textlink="">
      <xdr:nvSpPr>
        <xdr:cNvPr id="51" name="ZoneTexte 50"/>
        <xdr:cNvSpPr txBox="1"/>
      </xdr:nvSpPr>
      <xdr:spPr>
        <a:xfrm>
          <a:off x="2543175" y="1514475"/>
          <a:ext cx="3238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/>
            <a:t>J</a:t>
          </a:r>
        </a:p>
      </xdr:txBody>
    </xdr:sp>
    <xdr:clientData/>
  </xdr:twoCellAnchor>
  <xdr:twoCellAnchor>
    <xdr:from>
      <xdr:col>4</xdr:col>
      <xdr:colOff>152400</xdr:colOff>
      <xdr:row>5</xdr:row>
      <xdr:rowOff>180975</xdr:rowOff>
    </xdr:from>
    <xdr:to>
      <xdr:col>4</xdr:col>
      <xdr:colOff>476250</xdr:colOff>
      <xdr:row>7</xdr:row>
      <xdr:rowOff>104775</xdr:rowOff>
    </xdr:to>
    <xdr:sp macro="" textlink="">
      <xdr:nvSpPr>
        <xdr:cNvPr id="52" name="ZoneTexte 51"/>
        <xdr:cNvSpPr txBox="1"/>
      </xdr:nvSpPr>
      <xdr:spPr>
        <a:xfrm>
          <a:off x="2438400" y="1133475"/>
          <a:ext cx="3238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/>
            <a:t>L</a:t>
          </a:r>
        </a:p>
      </xdr:txBody>
    </xdr:sp>
    <xdr:clientData/>
  </xdr:twoCellAnchor>
  <xdr:twoCellAnchor>
    <xdr:from>
      <xdr:col>4</xdr:col>
      <xdr:colOff>723900</xdr:colOff>
      <xdr:row>6</xdr:row>
      <xdr:rowOff>0</xdr:rowOff>
    </xdr:from>
    <xdr:to>
      <xdr:col>5</xdr:col>
      <xdr:colOff>285750</xdr:colOff>
      <xdr:row>7</xdr:row>
      <xdr:rowOff>114300</xdr:rowOff>
    </xdr:to>
    <xdr:sp macro="" textlink="">
      <xdr:nvSpPr>
        <xdr:cNvPr id="53" name="ZoneTexte 52"/>
        <xdr:cNvSpPr txBox="1"/>
      </xdr:nvSpPr>
      <xdr:spPr>
        <a:xfrm>
          <a:off x="3009900" y="1143000"/>
          <a:ext cx="3238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/>
            <a:t>M</a:t>
          </a:r>
        </a:p>
      </xdr:txBody>
    </xdr:sp>
    <xdr:clientData/>
  </xdr:twoCellAnchor>
  <xdr:twoCellAnchor>
    <xdr:from>
      <xdr:col>6</xdr:col>
      <xdr:colOff>123825</xdr:colOff>
      <xdr:row>10</xdr:row>
      <xdr:rowOff>76200</xdr:rowOff>
    </xdr:from>
    <xdr:to>
      <xdr:col>6</xdr:col>
      <xdr:colOff>447675</xdr:colOff>
      <xdr:row>11</xdr:row>
      <xdr:rowOff>19050</xdr:rowOff>
    </xdr:to>
    <xdr:cxnSp macro="">
      <xdr:nvCxnSpPr>
        <xdr:cNvPr id="56" name="Connecteur droit avec flèche 55"/>
        <xdr:cNvCxnSpPr/>
      </xdr:nvCxnSpPr>
      <xdr:spPr>
        <a:xfrm rot="10800000">
          <a:off x="3933825" y="1981200"/>
          <a:ext cx="323850" cy="133350"/>
        </a:xfrm>
        <a:prstGeom prst="straightConnector1">
          <a:avLst/>
        </a:prstGeom>
        <a:ln w="158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13</xdr:row>
      <xdr:rowOff>180976</xdr:rowOff>
    </xdr:from>
    <xdr:to>
      <xdr:col>3</xdr:col>
      <xdr:colOff>504825</xdr:colOff>
      <xdr:row>14</xdr:row>
      <xdr:rowOff>95250</xdr:rowOff>
    </xdr:to>
    <xdr:cxnSp macro="">
      <xdr:nvCxnSpPr>
        <xdr:cNvPr id="59" name="Connecteur droit avec flèche 58"/>
        <xdr:cNvCxnSpPr/>
      </xdr:nvCxnSpPr>
      <xdr:spPr>
        <a:xfrm flipV="1">
          <a:off x="1533525" y="2657476"/>
          <a:ext cx="495300" cy="104774"/>
        </a:xfrm>
        <a:prstGeom prst="straightConnector1">
          <a:avLst/>
        </a:prstGeom>
        <a:ln w="158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161925</xdr:colOff>
      <xdr:row>14</xdr:row>
      <xdr:rowOff>123825</xdr:rowOff>
    </xdr:from>
    <xdr:to>
      <xdr:col>5</xdr:col>
      <xdr:colOff>228600</xdr:colOff>
      <xdr:row>16</xdr:row>
      <xdr:rowOff>47625</xdr:rowOff>
    </xdr:to>
    <xdr:cxnSp macro="">
      <xdr:nvCxnSpPr>
        <xdr:cNvPr id="62" name="Connecteur droit avec flèche 61"/>
        <xdr:cNvCxnSpPr/>
      </xdr:nvCxnSpPr>
      <xdr:spPr>
        <a:xfrm rot="16200000" flipV="1">
          <a:off x="3090863" y="2909887"/>
          <a:ext cx="304800" cy="66675"/>
        </a:xfrm>
        <a:prstGeom prst="straightConnector1">
          <a:avLst/>
        </a:prstGeom>
        <a:ln w="158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647700</xdr:colOff>
      <xdr:row>14</xdr:row>
      <xdr:rowOff>123824</xdr:rowOff>
    </xdr:from>
    <xdr:to>
      <xdr:col>5</xdr:col>
      <xdr:colOff>714375</xdr:colOff>
      <xdr:row>16</xdr:row>
      <xdr:rowOff>47624</xdr:rowOff>
    </xdr:to>
    <xdr:cxnSp macro="">
      <xdr:nvCxnSpPr>
        <xdr:cNvPr id="65" name="Connecteur droit avec flèche 64"/>
        <xdr:cNvCxnSpPr/>
      </xdr:nvCxnSpPr>
      <xdr:spPr>
        <a:xfrm rot="16200000" flipV="1">
          <a:off x="3576638" y="2909886"/>
          <a:ext cx="304800" cy="66675"/>
        </a:xfrm>
        <a:prstGeom prst="straightConnector1">
          <a:avLst/>
        </a:prstGeom>
        <a:ln w="158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676276</xdr:colOff>
      <xdr:row>8</xdr:row>
      <xdr:rowOff>19051</xdr:rowOff>
    </xdr:from>
    <xdr:to>
      <xdr:col>5</xdr:col>
      <xdr:colOff>9526</xdr:colOff>
      <xdr:row>9</xdr:row>
      <xdr:rowOff>85726</xdr:rowOff>
    </xdr:to>
    <xdr:cxnSp macro="">
      <xdr:nvCxnSpPr>
        <xdr:cNvPr id="66" name="Connecteur droit avec flèche 65"/>
        <xdr:cNvCxnSpPr/>
      </xdr:nvCxnSpPr>
      <xdr:spPr>
        <a:xfrm rot="16200000" flipV="1">
          <a:off x="2881313" y="1624014"/>
          <a:ext cx="257175" cy="95250"/>
        </a:xfrm>
        <a:prstGeom prst="straightConnector1">
          <a:avLst/>
        </a:prstGeom>
        <a:ln w="158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752475</xdr:colOff>
      <xdr:row>7</xdr:row>
      <xdr:rowOff>28575</xdr:rowOff>
    </xdr:from>
    <xdr:to>
      <xdr:col>3</xdr:col>
      <xdr:colOff>600075</xdr:colOff>
      <xdr:row>7</xdr:row>
      <xdr:rowOff>152400</xdr:rowOff>
    </xdr:to>
    <xdr:cxnSp macro="">
      <xdr:nvCxnSpPr>
        <xdr:cNvPr id="69" name="Connecteur droit avec flèche 68"/>
        <xdr:cNvCxnSpPr/>
      </xdr:nvCxnSpPr>
      <xdr:spPr>
        <a:xfrm flipV="1">
          <a:off x="1514475" y="1362075"/>
          <a:ext cx="609600" cy="123825"/>
        </a:xfrm>
        <a:prstGeom prst="straightConnector1">
          <a:avLst/>
        </a:prstGeom>
        <a:ln w="158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466725</xdr:colOff>
      <xdr:row>14</xdr:row>
      <xdr:rowOff>9525</xdr:rowOff>
    </xdr:from>
    <xdr:to>
      <xdr:col>7</xdr:col>
      <xdr:colOff>28575</xdr:colOff>
      <xdr:row>15</xdr:row>
      <xdr:rowOff>66675</xdr:rowOff>
    </xdr:to>
    <xdr:cxnSp macro="">
      <xdr:nvCxnSpPr>
        <xdr:cNvPr id="71" name="Connecteur droit avec flèche 70"/>
        <xdr:cNvCxnSpPr/>
      </xdr:nvCxnSpPr>
      <xdr:spPr>
        <a:xfrm rot="10800000" flipV="1">
          <a:off x="4276725" y="2676525"/>
          <a:ext cx="323850" cy="247650"/>
        </a:xfrm>
        <a:prstGeom prst="straightConnector1">
          <a:avLst/>
        </a:prstGeom>
        <a:ln w="158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9528</xdr:colOff>
      <xdr:row>18</xdr:row>
      <xdr:rowOff>171450</xdr:rowOff>
    </xdr:from>
    <xdr:to>
      <xdr:col>7</xdr:col>
      <xdr:colOff>247651</xdr:colOff>
      <xdr:row>19</xdr:row>
      <xdr:rowOff>114300</xdr:rowOff>
    </xdr:to>
    <xdr:cxnSp macro="">
      <xdr:nvCxnSpPr>
        <xdr:cNvPr id="75" name="Connecteur droit avec flèche 74"/>
        <xdr:cNvCxnSpPr/>
      </xdr:nvCxnSpPr>
      <xdr:spPr>
        <a:xfrm rot="10800000">
          <a:off x="4581528" y="3600450"/>
          <a:ext cx="238123" cy="133350"/>
        </a:xfrm>
        <a:prstGeom prst="straightConnector1">
          <a:avLst/>
        </a:prstGeom>
        <a:ln w="158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219075</xdr:colOff>
      <xdr:row>13</xdr:row>
      <xdr:rowOff>171450</xdr:rowOff>
    </xdr:from>
    <xdr:to>
      <xdr:col>3</xdr:col>
      <xdr:colOff>66675</xdr:colOff>
      <xdr:row>15</xdr:row>
      <xdr:rowOff>104775</xdr:rowOff>
    </xdr:to>
    <xdr:sp macro="" textlink="">
      <xdr:nvSpPr>
        <xdr:cNvPr id="78" name="ZoneTexte 77"/>
        <xdr:cNvSpPr txBox="1"/>
      </xdr:nvSpPr>
      <xdr:spPr>
        <a:xfrm>
          <a:off x="981075" y="2647950"/>
          <a:ext cx="609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aseline="0">
              <a:solidFill>
                <a:srgbClr val="0070C0"/>
              </a:solidFill>
            </a:rPr>
            <a:t>0.20 l/s</a:t>
          </a:r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>
    <xdr:from>
      <xdr:col>2</xdr:col>
      <xdr:colOff>200025</xdr:colOff>
      <xdr:row>7</xdr:row>
      <xdr:rowOff>9525</xdr:rowOff>
    </xdr:from>
    <xdr:to>
      <xdr:col>3</xdr:col>
      <xdr:colOff>47625</xdr:colOff>
      <xdr:row>8</xdr:row>
      <xdr:rowOff>133350</xdr:rowOff>
    </xdr:to>
    <xdr:sp macro="" textlink="">
      <xdr:nvSpPr>
        <xdr:cNvPr id="79" name="ZoneTexte 78"/>
        <xdr:cNvSpPr txBox="1"/>
      </xdr:nvSpPr>
      <xdr:spPr>
        <a:xfrm>
          <a:off x="962025" y="1343025"/>
          <a:ext cx="609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rgbClr val="0070C0"/>
              </a:solidFill>
            </a:rPr>
            <a:t>0.33</a:t>
          </a:r>
          <a:r>
            <a:rPr lang="fr-FR" sz="1100" baseline="0">
              <a:solidFill>
                <a:srgbClr val="0070C0"/>
              </a:solidFill>
            </a:rPr>
            <a:t> l/s</a:t>
          </a:r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>
    <xdr:from>
      <xdr:col>4</xdr:col>
      <xdr:colOff>438150</xdr:colOff>
      <xdr:row>9</xdr:row>
      <xdr:rowOff>38100</xdr:rowOff>
    </xdr:from>
    <xdr:to>
      <xdr:col>5</xdr:col>
      <xdr:colOff>285750</xdr:colOff>
      <xdr:row>10</xdr:row>
      <xdr:rowOff>161925</xdr:rowOff>
    </xdr:to>
    <xdr:sp macro="" textlink="">
      <xdr:nvSpPr>
        <xdr:cNvPr id="80" name="ZoneTexte 79"/>
        <xdr:cNvSpPr txBox="1"/>
      </xdr:nvSpPr>
      <xdr:spPr>
        <a:xfrm>
          <a:off x="2724150" y="1752600"/>
          <a:ext cx="609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rgbClr val="0070C0"/>
              </a:solidFill>
            </a:rPr>
            <a:t>0.53</a:t>
          </a:r>
          <a:r>
            <a:rPr lang="fr-FR" sz="1100" baseline="0">
              <a:solidFill>
                <a:srgbClr val="0070C0"/>
              </a:solidFill>
            </a:rPr>
            <a:t> l/s</a:t>
          </a:r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>
    <xdr:from>
      <xdr:col>6</xdr:col>
      <xdr:colOff>400050</xdr:colOff>
      <xdr:row>10</xdr:row>
      <xdr:rowOff>85725</xdr:rowOff>
    </xdr:from>
    <xdr:to>
      <xdr:col>7</xdr:col>
      <xdr:colOff>247650</xdr:colOff>
      <xdr:row>12</xdr:row>
      <xdr:rowOff>19050</xdr:rowOff>
    </xdr:to>
    <xdr:sp macro="" textlink="">
      <xdr:nvSpPr>
        <xdr:cNvPr id="82" name="ZoneTexte 81"/>
        <xdr:cNvSpPr txBox="1"/>
      </xdr:nvSpPr>
      <xdr:spPr>
        <a:xfrm>
          <a:off x="4210050" y="1990725"/>
          <a:ext cx="609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rgbClr val="0070C0"/>
              </a:solidFill>
            </a:rPr>
            <a:t>0.73</a:t>
          </a:r>
          <a:r>
            <a:rPr lang="fr-FR" sz="1100" baseline="0">
              <a:solidFill>
                <a:srgbClr val="0070C0"/>
              </a:solidFill>
            </a:rPr>
            <a:t> l/s</a:t>
          </a:r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>
    <xdr:from>
      <xdr:col>4</xdr:col>
      <xdr:colOff>704850</xdr:colOff>
      <xdr:row>16</xdr:row>
      <xdr:rowOff>28575</xdr:rowOff>
    </xdr:from>
    <xdr:to>
      <xdr:col>5</xdr:col>
      <xdr:colOff>552450</xdr:colOff>
      <xdr:row>17</xdr:row>
      <xdr:rowOff>152400</xdr:rowOff>
    </xdr:to>
    <xdr:sp macro="" textlink="">
      <xdr:nvSpPr>
        <xdr:cNvPr id="83" name="ZoneTexte 82"/>
        <xdr:cNvSpPr txBox="1"/>
      </xdr:nvSpPr>
      <xdr:spPr>
        <a:xfrm>
          <a:off x="2990850" y="3076575"/>
          <a:ext cx="609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rgbClr val="0070C0"/>
              </a:solidFill>
            </a:rPr>
            <a:t>0.30</a:t>
          </a:r>
          <a:r>
            <a:rPr lang="fr-FR" sz="1100" baseline="0">
              <a:solidFill>
                <a:srgbClr val="0070C0"/>
              </a:solidFill>
            </a:rPr>
            <a:t> l/s</a:t>
          </a:r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>
    <xdr:from>
      <xdr:col>5</xdr:col>
      <xdr:colOff>485775</xdr:colOff>
      <xdr:row>16</xdr:row>
      <xdr:rowOff>9525</xdr:rowOff>
    </xdr:from>
    <xdr:to>
      <xdr:col>6</xdr:col>
      <xdr:colOff>333375</xdr:colOff>
      <xdr:row>17</xdr:row>
      <xdr:rowOff>133350</xdr:rowOff>
    </xdr:to>
    <xdr:sp macro="" textlink="">
      <xdr:nvSpPr>
        <xdr:cNvPr id="84" name="ZoneTexte 83"/>
        <xdr:cNvSpPr txBox="1"/>
      </xdr:nvSpPr>
      <xdr:spPr>
        <a:xfrm>
          <a:off x="3533775" y="3057525"/>
          <a:ext cx="609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rgbClr val="0070C0"/>
              </a:solidFill>
            </a:rPr>
            <a:t>0.50</a:t>
          </a:r>
          <a:r>
            <a:rPr lang="fr-FR" sz="1100" baseline="0">
              <a:solidFill>
                <a:srgbClr val="0070C0"/>
              </a:solidFill>
            </a:rPr>
            <a:t> l/s</a:t>
          </a:r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>
    <xdr:from>
      <xdr:col>6</xdr:col>
      <xdr:colOff>714375</xdr:colOff>
      <xdr:row>12</xdr:row>
      <xdr:rowOff>171450</xdr:rowOff>
    </xdr:from>
    <xdr:to>
      <xdr:col>7</xdr:col>
      <xdr:colOff>561975</xdr:colOff>
      <xdr:row>14</xdr:row>
      <xdr:rowOff>104775</xdr:rowOff>
    </xdr:to>
    <xdr:sp macro="" textlink="">
      <xdr:nvSpPr>
        <xdr:cNvPr id="85" name="ZoneTexte 84"/>
        <xdr:cNvSpPr txBox="1"/>
      </xdr:nvSpPr>
      <xdr:spPr>
        <a:xfrm>
          <a:off x="4524375" y="2457450"/>
          <a:ext cx="609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aseline="0">
              <a:solidFill>
                <a:srgbClr val="0070C0"/>
              </a:solidFill>
            </a:rPr>
            <a:t>1.23 l/s</a:t>
          </a:r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>
    <xdr:from>
      <xdr:col>7</xdr:col>
      <xdr:colOff>466725</xdr:colOff>
      <xdr:row>15</xdr:row>
      <xdr:rowOff>123825</xdr:rowOff>
    </xdr:from>
    <xdr:to>
      <xdr:col>8</xdr:col>
      <xdr:colOff>28575</xdr:colOff>
      <xdr:row>16</xdr:row>
      <xdr:rowOff>180975</xdr:rowOff>
    </xdr:to>
    <xdr:cxnSp macro="">
      <xdr:nvCxnSpPr>
        <xdr:cNvPr id="86" name="Connecteur droit avec flèche 85"/>
        <xdr:cNvCxnSpPr/>
      </xdr:nvCxnSpPr>
      <xdr:spPr>
        <a:xfrm rot="10800000" flipV="1">
          <a:off x="5038725" y="2981325"/>
          <a:ext cx="323850" cy="247650"/>
        </a:xfrm>
        <a:prstGeom prst="straightConnector1">
          <a:avLst/>
        </a:prstGeom>
        <a:ln w="158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714375</xdr:colOff>
      <xdr:row>14</xdr:row>
      <xdr:rowOff>95250</xdr:rowOff>
    </xdr:from>
    <xdr:to>
      <xdr:col>8</xdr:col>
      <xdr:colOff>561975</xdr:colOff>
      <xdr:row>16</xdr:row>
      <xdr:rowOff>28575</xdr:rowOff>
    </xdr:to>
    <xdr:sp macro="" textlink="">
      <xdr:nvSpPr>
        <xdr:cNvPr id="87" name="ZoneTexte 86"/>
        <xdr:cNvSpPr txBox="1"/>
      </xdr:nvSpPr>
      <xdr:spPr>
        <a:xfrm>
          <a:off x="5286375" y="2762250"/>
          <a:ext cx="609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aseline="0">
              <a:solidFill>
                <a:srgbClr val="0070C0"/>
              </a:solidFill>
            </a:rPr>
            <a:t>1.23 l/s</a:t>
          </a:r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>
    <xdr:from>
      <xdr:col>7</xdr:col>
      <xdr:colOff>200025</xdr:colOff>
      <xdr:row>19</xdr:row>
      <xdr:rowOff>0</xdr:rowOff>
    </xdr:from>
    <xdr:to>
      <xdr:col>8</xdr:col>
      <xdr:colOff>47625</xdr:colOff>
      <xdr:row>20</xdr:row>
      <xdr:rowOff>123825</xdr:rowOff>
    </xdr:to>
    <xdr:sp macro="" textlink="">
      <xdr:nvSpPr>
        <xdr:cNvPr id="88" name="ZoneTexte 87"/>
        <xdr:cNvSpPr txBox="1"/>
      </xdr:nvSpPr>
      <xdr:spPr>
        <a:xfrm>
          <a:off x="4772025" y="3619500"/>
          <a:ext cx="609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aseline="0">
              <a:solidFill>
                <a:srgbClr val="0070C0"/>
              </a:solidFill>
            </a:rPr>
            <a:t>2.46 l/s</a:t>
          </a:r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>
    <xdr:from>
      <xdr:col>1</xdr:col>
      <xdr:colOff>104776</xdr:colOff>
      <xdr:row>21</xdr:row>
      <xdr:rowOff>180976</xdr:rowOff>
    </xdr:from>
    <xdr:to>
      <xdr:col>12</xdr:col>
      <xdr:colOff>266701</xdr:colOff>
      <xdr:row>23</xdr:row>
      <xdr:rowOff>180976</xdr:rowOff>
    </xdr:to>
    <xdr:sp macro="" textlink="">
      <xdr:nvSpPr>
        <xdr:cNvPr id="89" name="ZoneTexte 88"/>
        <xdr:cNvSpPr txBox="1"/>
      </xdr:nvSpPr>
      <xdr:spPr>
        <a:xfrm>
          <a:off x="257176" y="4181476"/>
          <a:ext cx="7886700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Si le second terme</a:t>
          </a:r>
          <a:r>
            <a:rPr lang="fr-FR" sz="1100" baseline="0"/>
            <a:t> (seconde lettre ou chiffre affecté à celle-ci) n'apparait pas dans la première colonne, cela constitue un point de distribution d'eau</a:t>
          </a:r>
          <a:endParaRPr lang="fr-FR" sz="1100"/>
        </a:p>
      </xdr:txBody>
    </xdr:sp>
    <xdr:clientData/>
  </xdr:twoCellAnchor>
  <xdr:twoCellAnchor>
    <xdr:from>
      <xdr:col>3</xdr:col>
      <xdr:colOff>228601</xdr:colOff>
      <xdr:row>28</xdr:row>
      <xdr:rowOff>9526</xdr:rowOff>
    </xdr:from>
    <xdr:to>
      <xdr:col>3</xdr:col>
      <xdr:colOff>523875</xdr:colOff>
      <xdr:row>29</xdr:row>
      <xdr:rowOff>19050</xdr:rowOff>
    </xdr:to>
    <xdr:sp macro="" textlink="">
      <xdr:nvSpPr>
        <xdr:cNvPr id="90" name="Ellipse 89"/>
        <xdr:cNvSpPr/>
      </xdr:nvSpPr>
      <xdr:spPr>
        <a:xfrm>
          <a:off x="1390651" y="5343526"/>
          <a:ext cx="295274" cy="2000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228600</xdr:colOff>
      <xdr:row>29</xdr:row>
      <xdr:rowOff>19050</xdr:rowOff>
    </xdr:from>
    <xdr:to>
      <xdr:col>3</xdr:col>
      <xdr:colOff>523874</xdr:colOff>
      <xdr:row>30</xdr:row>
      <xdr:rowOff>28574</xdr:rowOff>
    </xdr:to>
    <xdr:sp macro="" textlink="">
      <xdr:nvSpPr>
        <xdr:cNvPr id="91" name="Ellipse 90"/>
        <xdr:cNvSpPr/>
      </xdr:nvSpPr>
      <xdr:spPr>
        <a:xfrm>
          <a:off x="1390650" y="5543550"/>
          <a:ext cx="295274" cy="2000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238125</xdr:colOff>
      <xdr:row>32</xdr:row>
      <xdr:rowOff>9525</xdr:rowOff>
    </xdr:from>
    <xdr:to>
      <xdr:col>3</xdr:col>
      <xdr:colOff>533399</xdr:colOff>
      <xdr:row>33</xdr:row>
      <xdr:rowOff>19049</xdr:rowOff>
    </xdr:to>
    <xdr:sp macro="" textlink="">
      <xdr:nvSpPr>
        <xdr:cNvPr id="92" name="Ellipse 91"/>
        <xdr:cNvSpPr/>
      </xdr:nvSpPr>
      <xdr:spPr>
        <a:xfrm>
          <a:off x="1400175" y="6105525"/>
          <a:ext cx="295274" cy="2000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228600</xdr:colOff>
      <xdr:row>34</xdr:row>
      <xdr:rowOff>0</xdr:rowOff>
    </xdr:from>
    <xdr:to>
      <xdr:col>3</xdr:col>
      <xdr:colOff>523874</xdr:colOff>
      <xdr:row>35</xdr:row>
      <xdr:rowOff>9524</xdr:rowOff>
    </xdr:to>
    <xdr:sp macro="" textlink="">
      <xdr:nvSpPr>
        <xdr:cNvPr id="93" name="Ellipse 92"/>
        <xdr:cNvSpPr/>
      </xdr:nvSpPr>
      <xdr:spPr>
        <a:xfrm>
          <a:off x="1390650" y="6477000"/>
          <a:ext cx="295274" cy="2000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238125</xdr:colOff>
      <xdr:row>35</xdr:row>
      <xdr:rowOff>0</xdr:rowOff>
    </xdr:from>
    <xdr:to>
      <xdr:col>3</xdr:col>
      <xdr:colOff>533399</xdr:colOff>
      <xdr:row>36</xdr:row>
      <xdr:rowOff>9524</xdr:rowOff>
    </xdr:to>
    <xdr:sp macro="" textlink="">
      <xdr:nvSpPr>
        <xdr:cNvPr id="94" name="Ellipse 93"/>
        <xdr:cNvSpPr/>
      </xdr:nvSpPr>
      <xdr:spPr>
        <a:xfrm>
          <a:off x="1400175" y="6667500"/>
          <a:ext cx="295274" cy="2000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238125</xdr:colOff>
      <xdr:row>36</xdr:row>
      <xdr:rowOff>0</xdr:rowOff>
    </xdr:from>
    <xdr:to>
      <xdr:col>3</xdr:col>
      <xdr:colOff>533399</xdr:colOff>
      <xdr:row>37</xdr:row>
      <xdr:rowOff>9524</xdr:rowOff>
    </xdr:to>
    <xdr:sp macro="" textlink="">
      <xdr:nvSpPr>
        <xdr:cNvPr id="95" name="Ellipse 94"/>
        <xdr:cNvSpPr/>
      </xdr:nvSpPr>
      <xdr:spPr>
        <a:xfrm>
          <a:off x="1400175" y="6858000"/>
          <a:ext cx="295274" cy="2000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95250</xdr:colOff>
      <xdr:row>19</xdr:row>
      <xdr:rowOff>66675</xdr:rowOff>
    </xdr:from>
    <xdr:to>
      <xdr:col>18</xdr:col>
      <xdr:colOff>504825</xdr:colOff>
      <xdr:row>21</xdr:row>
      <xdr:rowOff>114301</xdr:rowOff>
    </xdr:to>
    <xdr:sp macro="" textlink="">
      <xdr:nvSpPr>
        <xdr:cNvPr id="96" name="ZoneTexte 95"/>
        <xdr:cNvSpPr txBox="1"/>
      </xdr:nvSpPr>
      <xdr:spPr>
        <a:xfrm>
          <a:off x="5067300" y="3686175"/>
          <a:ext cx="7886700" cy="428626"/>
        </a:xfrm>
        <a:prstGeom prst="rect">
          <a:avLst/>
        </a:prstGeom>
        <a:solidFill>
          <a:schemeClr val="lt1"/>
        </a:solidFill>
        <a:ln w="9525" cmpd="sng">
          <a:solidFill>
            <a:srgbClr val="92D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Comment faire</a:t>
          </a:r>
          <a:r>
            <a:rPr lang="fr-FR" sz="1100" baseline="0"/>
            <a:t> comprendre à Excel que, par exemple, le tronçon AB représente la somme des tronçons de tous les autres ou que le tronçon CD représente la somme des tronçons en aval  à savoir, DH DE EG EF.</a:t>
          </a:r>
          <a:endParaRPr lang="fr-FR" sz="1100"/>
        </a:p>
      </xdr:txBody>
    </xdr:sp>
    <xdr:clientData/>
  </xdr:twoCellAnchor>
  <xdr:twoCellAnchor>
    <xdr:from>
      <xdr:col>3</xdr:col>
      <xdr:colOff>228600</xdr:colOff>
      <xdr:row>30</xdr:row>
      <xdr:rowOff>19050</xdr:rowOff>
    </xdr:from>
    <xdr:to>
      <xdr:col>3</xdr:col>
      <xdr:colOff>523874</xdr:colOff>
      <xdr:row>31</xdr:row>
      <xdr:rowOff>28574</xdr:rowOff>
    </xdr:to>
    <xdr:sp macro="" textlink="">
      <xdr:nvSpPr>
        <xdr:cNvPr id="61" name="Ellipse 60"/>
        <xdr:cNvSpPr/>
      </xdr:nvSpPr>
      <xdr:spPr>
        <a:xfrm>
          <a:off x="1390650" y="5734050"/>
          <a:ext cx="295274" cy="200024"/>
        </a:xfrm>
        <a:prstGeom prst="ellipse">
          <a:avLst/>
        </a:prstGeom>
        <a:noFill/>
        <a:ln w="25400" cap="flat" cmpd="sng" algn="ctr">
          <a:solidFill>
            <a:srgbClr val="FF0000"/>
          </a:solidFill>
          <a:prstDash val="solid"/>
        </a:ln>
        <a:effectLst/>
      </xdr:spPr>
      <xdr:txBody>
        <a:bodyPr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0</xdr:colOff>
      <xdr:row>20</xdr:row>
      <xdr:rowOff>90488</xdr:rowOff>
    </xdr:from>
    <xdr:to>
      <xdr:col>8</xdr:col>
      <xdr:colOff>95250</xdr:colOff>
      <xdr:row>27</xdr:row>
      <xdr:rowOff>0</xdr:rowOff>
    </xdr:to>
    <xdr:cxnSp macro="">
      <xdr:nvCxnSpPr>
        <xdr:cNvPr id="5" name="Connecteur droit 4"/>
        <xdr:cNvCxnSpPr>
          <a:stCxn id="96" idx="1"/>
        </xdr:cNvCxnSpPr>
      </xdr:nvCxnSpPr>
      <xdr:spPr>
        <a:xfrm flipH="1">
          <a:off x="333375" y="3900488"/>
          <a:ext cx="4733925" cy="1243012"/>
        </a:xfrm>
        <a:prstGeom prst="line">
          <a:avLst/>
        </a:prstGeom>
        <a:ln>
          <a:solidFill>
            <a:srgbClr val="92D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97491</xdr:colOff>
      <xdr:row>21</xdr:row>
      <xdr:rowOff>79002</xdr:rowOff>
    </xdr:from>
    <xdr:to>
      <xdr:col>23</xdr:col>
      <xdr:colOff>280147</xdr:colOff>
      <xdr:row>23</xdr:row>
      <xdr:rowOff>-1</xdr:rowOff>
    </xdr:to>
    <xdr:sp macro="" textlink="">
      <xdr:nvSpPr>
        <xdr:cNvPr id="63" name="ZoneTexte 62"/>
        <xdr:cNvSpPr txBox="1"/>
      </xdr:nvSpPr>
      <xdr:spPr>
        <a:xfrm>
          <a:off x="12894609" y="4101914"/>
          <a:ext cx="4586567" cy="324409"/>
        </a:xfrm>
        <a:prstGeom prst="rect">
          <a:avLst/>
        </a:prstGeom>
        <a:solidFill>
          <a:schemeClr val="lt1"/>
        </a:solidFill>
        <a:ln w="9525" cmpd="sng">
          <a:solidFill>
            <a:srgbClr val="92D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11 car la</a:t>
          </a:r>
          <a:r>
            <a:rPr lang="fr-FR" sz="1100" baseline="0"/>
            <a:t> plage de donnée a été déplacée afin de retrouver la bonne valeur ! </a:t>
          </a:r>
          <a:endParaRPr lang="fr-FR" sz="1100"/>
        </a:p>
      </xdr:txBody>
    </xdr:sp>
    <xdr:clientData/>
  </xdr:twoCellAnchor>
  <xdr:twoCellAnchor>
    <xdr:from>
      <xdr:col>17</xdr:col>
      <xdr:colOff>504264</xdr:colOff>
      <xdr:row>22</xdr:row>
      <xdr:rowOff>39501</xdr:rowOff>
    </xdr:from>
    <xdr:to>
      <xdr:col>18</xdr:col>
      <xdr:colOff>97491</xdr:colOff>
      <xdr:row>24</xdr:row>
      <xdr:rowOff>11206</xdr:rowOff>
    </xdr:to>
    <xdr:cxnSp macro="">
      <xdr:nvCxnSpPr>
        <xdr:cNvPr id="68" name="Connecteur droit 67"/>
        <xdr:cNvCxnSpPr>
          <a:stCxn id="63" idx="1"/>
        </xdr:cNvCxnSpPr>
      </xdr:nvCxnSpPr>
      <xdr:spPr>
        <a:xfrm flipH="1">
          <a:off x="12337676" y="4264119"/>
          <a:ext cx="556933" cy="375116"/>
        </a:xfrm>
        <a:prstGeom prst="line">
          <a:avLst/>
        </a:prstGeom>
        <a:noFill/>
        <a:ln w="9525" cap="flat" cmpd="sng" algn="ctr">
          <a:solidFill>
            <a:srgbClr val="92D050"/>
          </a:solidFill>
          <a:prstDash val="solid"/>
        </a:ln>
        <a:effectLst/>
      </xdr:spPr>
    </xdr:cxnSp>
    <xdr:clientData/>
  </xdr:twoCellAnchor>
  <xdr:twoCellAnchor>
    <xdr:from>
      <xdr:col>10</xdr:col>
      <xdr:colOff>523875</xdr:colOff>
      <xdr:row>24</xdr:row>
      <xdr:rowOff>0</xdr:rowOff>
    </xdr:from>
    <xdr:to>
      <xdr:col>11</xdr:col>
      <xdr:colOff>447675</xdr:colOff>
      <xdr:row>25</xdr:row>
      <xdr:rowOff>19050</xdr:rowOff>
    </xdr:to>
    <xdr:sp macro="" textlink="">
      <xdr:nvSpPr>
        <xdr:cNvPr id="70" name="Ellipse 69"/>
        <xdr:cNvSpPr/>
      </xdr:nvSpPr>
      <xdr:spPr>
        <a:xfrm>
          <a:off x="7019925" y="4619625"/>
          <a:ext cx="476250" cy="209550"/>
        </a:xfrm>
        <a:prstGeom prst="ellipse">
          <a:avLst/>
        </a:prstGeom>
        <a:noFill/>
        <a:ln w="25400" cap="flat" cmpd="sng" algn="ctr">
          <a:solidFill>
            <a:srgbClr val="00B050"/>
          </a:solidFill>
          <a:prstDash val="solid"/>
        </a:ln>
        <a:effectLst/>
      </xdr:spPr>
      <xdr:txBody>
        <a:bodyPr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254496</xdr:colOff>
      <xdr:row>22</xdr:row>
      <xdr:rowOff>74430</xdr:rowOff>
    </xdr:from>
    <xdr:to>
      <xdr:col>15</xdr:col>
      <xdr:colOff>738200</xdr:colOff>
      <xdr:row>26</xdr:row>
      <xdr:rowOff>95249</xdr:rowOff>
    </xdr:to>
    <xdr:sp macro="" textlink="">
      <xdr:nvSpPr>
        <xdr:cNvPr id="8" name="Arc 7"/>
        <xdr:cNvSpPr/>
      </xdr:nvSpPr>
      <xdr:spPr>
        <a:xfrm rot="16200000">
          <a:off x="8701251" y="2895750"/>
          <a:ext cx="801869" cy="3598379"/>
        </a:xfrm>
        <a:prstGeom prst="arc">
          <a:avLst>
            <a:gd name="adj1" fmla="val 16360283"/>
            <a:gd name="adj2" fmla="val 2185482"/>
          </a:avLst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209550</xdr:colOff>
      <xdr:row>23</xdr:row>
      <xdr:rowOff>180975</xdr:rowOff>
    </xdr:from>
    <xdr:to>
      <xdr:col>16</xdr:col>
      <xdr:colOff>685800</xdr:colOff>
      <xdr:row>25</xdr:row>
      <xdr:rowOff>0</xdr:rowOff>
    </xdr:to>
    <xdr:sp macro="" textlink="">
      <xdr:nvSpPr>
        <xdr:cNvPr id="72" name="Ellipse 71"/>
        <xdr:cNvSpPr/>
      </xdr:nvSpPr>
      <xdr:spPr>
        <a:xfrm>
          <a:off x="11477625" y="4600575"/>
          <a:ext cx="476250" cy="209550"/>
        </a:xfrm>
        <a:prstGeom prst="ellipse">
          <a:avLst/>
        </a:prstGeom>
        <a:noFill/>
        <a:ln w="25400" cap="flat" cmpd="sng" algn="ctr">
          <a:solidFill>
            <a:srgbClr val="00B050"/>
          </a:solidFill>
          <a:prstDash val="solid"/>
        </a:ln>
        <a:effectLst/>
      </xdr:spPr>
      <xdr:txBody>
        <a:bodyPr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76201</xdr:colOff>
      <xdr:row>22</xdr:row>
      <xdr:rowOff>95249</xdr:rowOff>
    </xdr:from>
    <xdr:to>
      <xdr:col>16</xdr:col>
      <xdr:colOff>457201</xdr:colOff>
      <xdr:row>26</xdr:row>
      <xdr:rowOff>58918</xdr:rowOff>
    </xdr:to>
    <xdr:sp macro="" textlink="">
      <xdr:nvSpPr>
        <xdr:cNvPr id="73" name="Arc 72"/>
        <xdr:cNvSpPr/>
      </xdr:nvSpPr>
      <xdr:spPr>
        <a:xfrm rot="16200000" flipV="1">
          <a:off x="10057516" y="3734684"/>
          <a:ext cx="744719" cy="1905000"/>
        </a:xfrm>
        <a:prstGeom prst="arc">
          <a:avLst>
            <a:gd name="adj1" fmla="val 16510582"/>
            <a:gd name="adj2" fmla="val 2185482"/>
          </a:avLst>
        </a:prstGeom>
        <a:noFill/>
        <a:ln w="9525" cap="flat" cmpd="sng" algn="ctr">
          <a:solidFill>
            <a:srgbClr val="00B05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752475</xdr:colOff>
      <xdr:row>16</xdr:row>
      <xdr:rowOff>180975</xdr:rowOff>
    </xdr:from>
    <xdr:to>
      <xdr:col>8</xdr:col>
      <xdr:colOff>276225</xdr:colOff>
      <xdr:row>18</xdr:row>
      <xdr:rowOff>114300</xdr:rowOff>
    </xdr:to>
    <xdr:sp macro="" textlink="">
      <xdr:nvSpPr>
        <xdr:cNvPr id="77" name="ZoneTexte 76"/>
        <xdr:cNvSpPr txBox="1"/>
      </xdr:nvSpPr>
      <xdr:spPr>
        <a:xfrm>
          <a:off x="4962525" y="3248025"/>
          <a:ext cx="285750" cy="314325"/>
        </a:xfrm>
        <a:prstGeom prst="rect">
          <a:avLst/>
        </a:prstGeom>
        <a:noFill/>
        <a:ln w="9525" cmpd="sng">
          <a:noFill/>
        </a:ln>
        <a:effectLst/>
      </xdr:spPr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N</a:t>
          </a:r>
        </a:p>
      </xdr:txBody>
    </xdr:sp>
    <xdr:clientData/>
  </xdr:twoCellAnchor>
  <xdr:twoCellAnchor>
    <xdr:from>
      <xdr:col>5</xdr:col>
      <xdr:colOff>409574</xdr:colOff>
      <xdr:row>38</xdr:row>
      <xdr:rowOff>9524</xdr:rowOff>
    </xdr:from>
    <xdr:to>
      <xdr:col>18</xdr:col>
      <xdr:colOff>771525</xdr:colOff>
      <xdr:row>41</xdr:row>
      <xdr:rowOff>28575</xdr:rowOff>
    </xdr:to>
    <xdr:sp macro="" textlink="">
      <xdr:nvSpPr>
        <xdr:cNvPr id="74" name="ZoneTexte 73"/>
        <xdr:cNvSpPr txBox="1"/>
      </xdr:nvSpPr>
      <xdr:spPr>
        <a:xfrm>
          <a:off x="3095624" y="7305674"/>
          <a:ext cx="10696576" cy="590551"/>
        </a:xfrm>
        <a:prstGeom prst="rect">
          <a:avLst/>
        </a:prstGeom>
        <a:solidFill>
          <a:schemeClr val="lt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u="sng" baseline="0"/>
            <a:t>A tester :</a:t>
          </a:r>
          <a:r>
            <a:rPr lang="fr-FR" sz="1100" baseline="0"/>
            <a:t> Concernant le coefficient de simultanéité, il faudrait utiliser le tableur de calcul des pertes de charges sur EC et EF pour déterminer le nbre de tronçons apparaissant à plus de 5 reprises (car le coef de simultanéité n'est valable que si le nbre d'équipements est &gt;  5) et pour chaque tronçon concerné, il sera nécessaire de calculer un coefficient de simultanéité en rapport avec le nombre d'occurence du tronçon concerné.</a:t>
          </a:r>
          <a:endParaRPr lang="fr-FR" sz="1100"/>
        </a:p>
      </xdr:txBody>
    </xdr:sp>
    <xdr:clientData/>
  </xdr:twoCellAnchor>
  <xdr:twoCellAnchor>
    <xdr:from>
      <xdr:col>3</xdr:col>
      <xdr:colOff>723900</xdr:colOff>
      <xdr:row>45</xdr:row>
      <xdr:rowOff>104775</xdr:rowOff>
    </xdr:from>
    <xdr:to>
      <xdr:col>5</xdr:col>
      <xdr:colOff>19050</xdr:colOff>
      <xdr:row>45</xdr:row>
      <xdr:rowOff>104775</xdr:rowOff>
    </xdr:to>
    <xdr:cxnSp macro="">
      <xdr:nvCxnSpPr>
        <xdr:cNvPr id="6" name="Connecteur droit avec flèche 5"/>
        <xdr:cNvCxnSpPr/>
      </xdr:nvCxnSpPr>
      <xdr:spPr>
        <a:xfrm flipH="1">
          <a:off x="1885950" y="8743950"/>
          <a:ext cx="81915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723900</xdr:colOff>
      <xdr:row>46</xdr:row>
      <xdr:rowOff>104775</xdr:rowOff>
    </xdr:from>
    <xdr:to>
      <xdr:col>5</xdr:col>
      <xdr:colOff>19050</xdr:colOff>
      <xdr:row>46</xdr:row>
      <xdr:rowOff>104775</xdr:rowOff>
    </xdr:to>
    <xdr:cxnSp macro="">
      <xdr:nvCxnSpPr>
        <xdr:cNvPr id="76" name="Connecteur droit avec flèche 75"/>
        <xdr:cNvCxnSpPr/>
      </xdr:nvCxnSpPr>
      <xdr:spPr>
        <a:xfrm flipH="1">
          <a:off x="1885950" y="8743950"/>
          <a:ext cx="81915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723900</xdr:colOff>
      <xdr:row>47</xdr:row>
      <xdr:rowOff>104775</xdr:rowOff>
    </xdr:from>
    <xdr:to>
      <xdr:col>5</xdr:col>
      <xdr:colOff>19050</xdr:colOff>
      <xdr:row>47</xdr:row>
      <xdr:rowOff>104775</xdr:rowOff>
    </xdr:to>
    <xdr:cxnSp macro="">
      <xdr:nvCxnSpPr>
        <xdr:cNvPr id="81" name="Connecteur droit avec flèche 80"/>
        <xdr:cNvCxnSpPr/>
      </xdr:nvCxnSpPr>
      <xdr:spPr>
        <a:xfrm flipH="1">
          <a:off x="1885950" y="8743950"/>
          <a:ext cx="81915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723900</xdr:colOff>
      <xdr:row>48</xdr:row>
      <xdr:rowOff>104775</xdr:rowOff>
    </xdr:from>
    <xdr:to>
      <xdr:col>5</xdr:col>
      <xdr:colOff>19050</xdr:colOff>
      <xdr:row>48</xdr:row>
      <xdr:rowOff>104775</xdr:rowOff>
    </xdr:to>
    <xdr:cxnSp macro="">
      <xdr:nvCxnSpPr>
        <xdr:cNvPr id="97" name="Connecteur droit avec flèche 96"/>
        <xdr:cNvCxnSpPr/>
      </xdr:nvCxnSpPr>
      <xdr:spPr>
        <a:xfrm flipH="1">
          <a:off x="1885950" y="8743950"/>
          <a:ext cx="81915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723900</xdr:colOff>
      <xdr:row>49</xdr:row>
      <xdr:rowOff>104775</xdr:rowOff>
    </xdr:from>
    <xdr:to>
      <xdr:col>5</xdr:col>
      <xdr:colOff>19050</xdr:colOff>
      <xdr:row>49</xdr:row>
      <xdr:rowOff>104775</xdr:rowOff>
    </xdr:to>
    <xdr:cxnSp macro="">
      <xdr:nvCxnSpPr>
        <xdr:cNvPr id="98" name="Connecteur droit avec flèche 97"/>
        <xdr:cNvCxnSpPr/>
      </xdr:nvCxnSpPr>
      <xdr:spPr>
        <a:xfrm flipH="1">
          <a:off x="1885950" y="8743950"/>
          <a:ext cx="81915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723900</xdr:colOff>
      <xdr:row>50</xdr:row>
      <xdr:rowOff>104775</xdr:rowOff>
    </xdr:from>
    <xdr:to>
      <xdr:col>5</xdr:col>
      <xdr:colOff>19050</xdr:colOff>
      <xdr:row>50</xdr:row>
      <xdr:rowOff>104775</xdr:rowOff>
    </xdr:to>
    <xdr:cxnSp macro="">
      <xdr:nvCxnSpPr>
        <xdr:cNvPr id="99" name="Connecteur droit avec flèche 98"/>
        <xdr:cNvCxnSpPr/>
      </xdr:nvCxnSpPr>
      <xdr:spPr>
        <a:xfrm flipH="1">
          <a:off x="1885950" y="8743950"/>
          <a:ext cx="81915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723900</xdr:colOff>
      <xdr:row>51</xdr:row>
      <xdr:rowOff>104775</xdr:rowOff>
    </xdr:from>
    <xdr:to>
      <xdr:col>5</xdr:col>
      <xdr:colOff>19050</xdr:colOff>
      <xdr:row>51</xdr:row>
      <xdr:rowOff>104775</xdr:rowOff>
    </xdr:to>
    <xdr:cxnSp macro="">
      <xdr:nvCxnSpPr>
        <xdr:cNvPr id="100" name="Connecteur droit avec flèche 99"/>
        <xdr:cNvCxnSpPr/>
      </xdr:nvCxnSpPr>
      <xdr:spPr>
        <a:xfrm flipH="1">
          <a:off x="1885950" y="8743950"/>
          <a:ext cx="81915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723900</xdr:colOff>
      <xdr:row>52</xdr:row>
      <xdr:rowOff>104775</xdr:rowOff>
    </xdr:from>
    <xdr:to>
      <xdr:col>5</xdr:col>
      <xdr:colOff>19050</xdr:colOff>
      <xdr:row>52</xdr:row>
      <xdr:rowOff>104775</xdr:rowOff>
    </xdr:to>
    <xdr:cxnSp macro="">
      <xdr:nvCxnSpPr>
        <xdr:cNvPr id="101" name="Connecteur droit avec flèche 100"/>
        <xdr:cNvCxnSpPr/>
      </xdr:nvCxnSpPr>
      <xdr:spPr>
        <a:xfrm flipH="1">
          <a:off x="1885950" y="8743950"/>
          <a:ext cx="81915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723900</xdr:colOff>
      <xdr:row>53</xdr:row>
      <xdr:rowOff>104775</xdr:rowOff>
    </xdr:from>
    <xdr:to>
      <xdr:col>5</xdr:col>
      <xdr:colOff>19050</xdr:colOff>
      <xdr:row>53</xdr:row>
      <xdr:rowOff>104775</xdr:rowOff>
    </xdr:to>
    <xdr:cxnSp macro="">
      <xdr:nvCxnSpPr>
        <xdr:cNvPr id="102" name="Connecteur droit avec flèche 101"/>
        <xdr:cNvCxnSpPr/>
      </xdr:nvCxnSpPr>
      <xdr:spPr>
        <a:xfrm flipH="1">
          <a:off x="1885950" y="8743950"/>
          <a:ext cx="81915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723900</xdr:colOff>
      <xdr:row>54</xdr:row>
      <xdr:rowOff>104775</xdr:rowOff>
    </xdr:from>
    <xdr:to>
      <xdr:col>5</xdr:col>
      <xdr:colOff>19050</xdr:colOff>
      <xdr:row>54</xdr:row>
      <xdr:rowOff>104775</xdr:rowOff>
    </xdr:to>
    <xdr:cxnSp macro="">
      <xdr:nvCxnSpPr>
        <xdr:cNvPr id="103" name="Connecteur droit avec flèche 102"/>
        <xdr:cNvCxnSpPr/>
      </xdr:nvCxnSpPr>
      <xdr:spPr>
        <a:xfrm flipH="1">
          <a:off x="1885950" y="8743950"/>
          <a:ext cx="81915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723900</xdr:colOff>
      <xdr:row>55</xdr:row>
      <xdr:rowOff>104775</xdr:rowOff>
    </xdr:from>
    <xdr:to>
      <xdr:col>5</xdr:col>
      <xdr:colOff>19050</xdr:colOff>
      <xdr:row>55</xdr:row>
      <xdr:rowOff>104775</xdr:rowOff>
    </xdr:to>
    <xdr:cxnSp macro="">
      <xdr:nvCxnSpPr>
        <xdr:cNvPr id="104" name="Connecteur droit avec flèche 103"/>
        <xdr:cNvCxnSpPr/>
      </xdr:nvCxnSpPr>
      <xdr:spPr>
        <a:xfrm flipH="1">
          <a:off x="1885950" y="8743950"/>
          <a:ext cx="81915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723900</xdr:colOff>
      <xdr:row>56</xdr:row>
      <xdr:rowOff>104775</xdr:rowOff>
    </xdr:from>
    <xdr:to>
      <xdr:col>5</xdr:col>
      <xdr:colOff>19050</xdr:colOff>
      <xdr:row>56</xdr:row>
      <xdr:rowOff>104775</xdr:rowOff>
    </xdr:to>
    <xdr:cxnSp macro="">
      <xdr:nvCxnSpPr>
        <xdr:cNvPr id="105" name="Connecteur droit avec flèche 104"/>
        <xdr:cNvCxnSpPr/>
      </xdr:nvCxnSpPr>
      <xdr:spPr>
        <a:xfrm flipH="1">
          <a:off x="1885950" y="8743950"/>
          <a:ext cx="81915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723900</xdr:colOff>
      <xdr:row>57</xdr:row>
      <xdr:rowOff>104775</xdr:rowOff>
    </xdr:from>
    <xdr:to>
      <xdr:col>5</xdr:col>
      <xdr:colOff>19050</xdr:colOff>
      <xdr:row>57</xdr:row>
      <xdr:rowOff>104775</xdr:rowOff>
    </xdr:to>
    <xdr:cxnSp macro="">
      <xdr:nvCxnSpPr>
        <xdr:cNvPr id="106" name="Connecteur droit avec flèche 105"/>
        <xdr:cNvCxnSpPr/>
      </xdr:nvCxnSpPr>
      <xdr:spPr>
        <a:xfrm flipH="1">
          <a:off x="1885950" y="8743950"/>
          <a:ext cx="819150" cy="0"/>
        </a:xfrm>
        <a:prstGeom prst="straightConnector1">
          <a:avLst/>
        </a:prstGeom>
        <a:ln>
          <a:solidFill>
            <a:schemeClr val="tx1"/>
          </a:solidFill>
          <a:headEnd type="none"/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11206</xdr:colOff>
      <xdr:row>66</xdr:row>
      <xdr:rowOff>156883</xdr:rowOff>
    </xdr:from>
    <xdr:to>
      <xdr:col>9</xdr:col>
      <xdr:colOff>12795</xdr:colOff>
      <xdr:row>70</xdr:row>
      <xdr:rowOff>11207</xdr:rowOff>
    </xdr:to>
    <xdr:cxnSp macro="">
      <xdr:nvCxnSpPr>
        <xdr:cNvPr id="108" name="Connecteur droit 107"/>
        <xdr:cNvCxnSpPr/>
      </xdr:nvCxnSpPr>
      <xdr:spPr>
        <a:xfrm flipH="1">
          <a:off x="5748618" y="12819530"/>
          <a:ext cx="1589" cy="616324"/>
        </a:xfrm>
        <a:prstGeom prst="line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oval"/>
          <a:tailEnd type="oval"/>
        </a:ln>
        <a:effectLst/>
      </xdr:spPr>
    </xdr:cxnSp>
    <xdr:clientData/>
  </xdr:twoCellAnchor>
  <xdr:twoCellAnchor>
    <xdr:from>
      <xdr:col>7</xdr:col>
      <xdr:colOff>750794</xdr:colOff>
      <xdr:row>66</xdr:row>
      <xdr:rowOff>156883</xdr:rowOff>
    </xdr:from>
    <xdr:to>
      <xdr:col>7</xdr:col>
      <xdr:colOff>752383</xdr:colOff>
      <xdr:row>70</xdr:row>
      <xdr:rowOff>11207</xdr:rowOff>
    </xdr:to>
    <xdr:cxnSp macro="">
      <xdr:nvCxnSpPr>
        <xdr:cNvPr id="109" name="Connecteur droit 108"/>
        <xdr:cNvCxnSpPr/>
      </xdr:nvCxnSpPr>
      <xdr:spPr>
        <a:xfrm flipH="1">
          <a:off x="4964206" y="12819530"/>
          <a:ext cx="1589" cy="616324"/>
        </a:xfrm>
        <a:prstGeom prst="line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oval"/>
          <a:tailEnd type="none"/>
        </a:ln>
        <a:effectLst/>
      </xdr:spPr>
    </xdr:cxnSp>
    <xdr:clientData/>
  </xdr:twoCellAnchor>
  <xdr:twoCellAnchor>
    <xdr:from>
      <xdr:col>10</xdr:col>
      <xdr:colOff>0</xdr:colOff>
      <xdr:row>66</xdr:row>
      <xdr:rowOff>168088</xdr:rowOff>
    </xdr:from>
    <xdr:to>
      <xdr:col>10</xdr:col>
      <xdr:colOff>1589</xdr:colOff>
      <xdr:row>70</xdr:row>
      <xdr:rowOff>22412</xdr:rowOff>
    </xdr:to>
    <xdr:cxnSp macro="">
      <xdr:nvCxnSpPr>
        <xdr:cNvPr id="110" name="Connecteur droit 109"/>
        <xdr:cNvCxnSpPr/>
      </xdr:nvCxnSpPr>
      <xdr:spPr>
        <a:xfrm flipH="1">
          <a:off x="6499412" y="12830735"/>
          <a:ext cx="1589" cy="616324"/>
        </a:xfrm>
        <a:prstGeom prst="line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oval"/>
          <a:tailEnd type="oval"/>
        </a:ln>
        <a:effectLst/>
      </xdr:spPr>
    </xdr:cxnSp>
    <xdr:clientData/>
  </xdr:twoCellAnchor>
  <xdr:twoCellAnchor>
    <xdr:from>
      <xdr:col>10</xdr:col>
      <xdr:colOff>537882</xdr:colOff>
      <xdr:row>66</xdr:row>
      <xdr:rowOff>168089</xdr:rowOff>
    </xdr:from>
    <xdr:to>
      <xdr:col>10</xdr:col>
      <xdr:colOff>539471</xdr:colOff>
      <xdr:row>70</xdr:row>
      <xdr:rowOff>22413</xdr:rowOff>
    </xdr:to>
    <xdr:cxnSp macro="">
      <xdr:nvCxnSpPr>
        <xdr:cNvPr id="112" name="Connecteur droit 111"/>
        <xdr:cNvCxnSpPr/>
      </xdr:nvCxnSpPr>
      <xdr:spPr>
        <a:xfrm flipH="1">
          <a:off x="7037294" y="12830736"/>
          <a:ext cx="1589" cy="616324"/>
        </a:xfrm>
        <a:prstGeom prst="line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oval"/>
          <a:tailEnd type="oval"/>
        </a:ln>
        <a:effectLst/>
      </xdr:spPr>
    </xdr:cxnSp>
    <xdr:clientData/>
  </xdr:twoCellAnchor>
  <xdr:twoCellAnchor>
    <xdr:from>
      <xdr:col>7</xdr:col>
      <xdr:colOff>750797</xdr:colOff>
      <xdr:row>70</xdr:row>
      <xdr:rowOff>11206</xdr:rowOff>
    </xdr:from>
    <xdr:to>
      <xdr:col>10</xdr:col>
      <xdr:colOff>537882</xdr:colOff>
      <xdr:row>70</xdr:row>
      <xdr:rowOff>11208</xdr:rowOff>
    </xdr:to>
    <xdr:cxnSp macro="">
      <xdr:nvCxnSpPr>
        <xdr:cNvPr id="113" name="Connecteur droit 112"/>
        <xdr:cNvCxnSpPr/>
      </xdr:nvCxnSpPr>
      <xdr:spPr>
        <a:xfrm flipH="1">
          <a:off x="4964209" y="13435853"/>
          <a:ext cx="2073085" cy="2"/>
        </a:xfrm>
        <a:prstGeom prst="line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none"/>
          <a:tailEnd type="none"/>
        </a:ln>
        <a:effectLst/>
      </xdr:spPr>
    </xdr:cxnSp>
    <xdr:clientData/>
  </xdr:twoCellAnchor>
  <xdr:twoCellAnchor>
    <xdr:from>
      <xdr:col>8</xdr:col>
      <xdr:colOff>347382</xdr:colOff>
      <xdr:row>70</xdr:row>
      <xdr:rowOff>11206</xdr:rowOff>
    </xdr:from>
    <xdr:to>
      <xdr:col>8</xdr:col>
      <xdr:colOff>348972</xdr:colOff>
      <xdr:row>71</xdr:row>
      <xdr:rowOff>179294</xdr:rowOff>
    </xdr:to>
    <xdr:cxnSp macro="">
      <xdr:nvCxnSpPr>
        <xdr:cNvPr id="114" name="Connecteur droit 113"/>
        <xdr:cNvCxnSpPr/>
      </xdr:nvCxnSpPr>
      <xdr:spPr>
        <a:xfrm flipH="1">
          <a:off x="5322794" y="13435853"/>
          <a:ext cx="1590" cy="358588"/>
        </a:xfrm>
        <a:prstGeom prst="line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oval"/>
          <a:tailEnd type="none"/>
        </a:ln>
        <a:effectLst/>
      </xdr:spPr>
    </xdr:cxnSp>
    <xdr:clientData/>
  </xdr:twoCellAnchor>
  <xdr:twoCellAnchor>
    <xdr:from>
      <xdr:col>6</xdr:col>
      <xdr:colOff>717176</xdr:colOff>
      <xdr:row>72</xdr:row>
      <xdr:rowOff>0</xdr:rowOff>
    </xdr:from>
    <xdr:to>
      <xdr:col>8</xdr:col>
      <xdr:colOff>347382</xdr:colOff>
      <xdr:row>72</xdr:row>
      <xdr:rowOff>0</xdr:rowOff>
    </xdr:to>
    <xdr:cxnSp macro="">
      <xdr:nvCxnSpPr>
        <xdr:cNvPr id="115" name="Connecteur droit 114"/>
        <xdr:cNvCxnSpPr/>
      </xdr:nvCxnSpPr>
      <xdr:spPr>
        <a:xfrm flipH="1">
          <a:off x="4168588" y="13805647"/>
          <a:ext cx="1154206" cy="0"/>
        </a:xfrm>
        <a:prstGeom prst="line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none"/>
          <a:tailEnd type="none"/>
        </a:ln>
        <a:effectLst/>
      </xdr:spPr>
    </xdr:cxnSp>
    <xdr:clientData/>
  </xdr:twoCellAnchor>
  <xdr:twoCellAnchor>
    <xdr:from>
      <xdr:col>9</xdr:col>
      <xdr:colOff>11206</xdr:colOff>
      <xdr:row>63</xdr:row>
      <xdr:rowOff>112059</xdr:rowOff>
    </xdr:from>
    <xdr:to>
      <xdr:col>9</xdr:col>
      <xdr:colOff>12795</xdr:colOff>
      <xdr:row>66</xdr:row>
      <xdr:rowOff>156883</xdr:rowOff>
    </xdr:to>
    <xdr:cxnSp macro="">
      <xdr:nvCxnSpPr>
        <xdr:cNvPr id="116" name="Connecteur droit 115"/>
        <xdr:cNvCxnSpPr/>
      </xdr:nvCxnSpPr>
      <xdr:spPr>
        <a:xfrm flipH="1">
          <a:off x="5748618" y="12203206"/>
          <a:ext cx="1589" cy="616324"/>
        </a:xfrm>
        <a:prstGeom prst="line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oval"/>
          <a:tailEnd type="oval"/>
        </a:ln>
        <a:effectLst/>
      </xdr:spPr>
    </xdr:cxnSp>
    <xdr:clientData/>
  </xdr:twoCellAnchor>
  <xdr:twoCellAnchor>
    <xdr:from>
      <xdr:col>8</xdr:col>
      <xdr:colOff>0</xdr:colOff>
      <xdr:row>63</xdr:row>
      <xdr:rowOff>112059</xdr:rowOff>
    </xdr:from>
    <xdr:to>
      <xdr:col>8</xdr:col>
      <xdr:colOff>1589</xdr:colOff>
      <xdr:row>66</xdr:row>
      <xdr:rowOff>156883</xdr:rowOff>
    </xdr:to>
    <xdr:cxnSp macro="">
      <xdr:nvCxnSpPr>
        <xdr:cNvPr id="117" name="Connecteur droit 116"/>
        <xdr:cNvCxnSpPr/>
      </xdr:nvCxnSpPr>
      <xdr:spPr>
        <a:xfrm flipH="1">
          <a:off x="4975412" y="12203206"/>
          <a:ext cx="1589" cy="616324"/>
        </a:xfrm>
        <a:prstGeom prst="line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oval"/>
          <a:tailEnd type="oval"/>
        </a:ln>
        <a:effectLst/>
      </xdr:spPr>
    </xdr:cxnSp>
    <xdr:clientData/>
  </xdr:twoCellAnchor>
  <xdr:twoCellAnchor>
    <xdr:from>
      <xdr:col>10</xdr:col>
      <xdr:colOff>0</xdr:colOff>
      <xdr:row>63</xdr:row>
      <xdr:rowOff>123264</xdr:rowOff>
    </xdr:from>
    <xdr:to>
      <xdr:col>10</xdr:col>
      <xdr:colOff>1589</xdr:colOff>
      <xdr:row>66</xdr:row>
      <xdr:rowOff>168088</xdr:rowOff>
    </xdr:to>
    <xdr:cxnSp macro="">
      <xdr:nvCxnSpPr>
        <xdr:cNvPr id="118" name="Connecteur droit 117"/>
        <xdr:cNvCxnSpPr/>
      </xdr:nvCxnSpPr>
      <xdr:spPr>
        <a:xfrm flipH="1">
          <a:off x="6499412" y="12214411"/>
          <a:ext cx="1589" cy="616324"/>
        </a:xfrm>
        <a:prstGeom prst="line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oval"/>
          <a:tailEnd type="oval"/>
        </a:ln>
        <a:effectLst/>
      </xdr:spPr>
    </xdr:cxnSp>
    <xdr:clientData/>
  </xdr:twoCellAnchor>
  <xdr:twoCellAnchor>
    <xdr:from>
      <xdr:col>10</xdr:col>
      <xdr:colOff>537882</xdr:colOff>
      <xdr:row>63</xdr:row>
      <xdr:rowOff>134470</xdr:rowOff>
    </xdr:from>
    <xdr:to>
      <xdr:col>10</xdr:col>
      <xdr:colOff>539471</xdr:colOff>
      <xdr:row>66</xdr:row>
      <xdr:rowOff>179294</xdr:rowOff>
    </xdr:to>
    <xdr:cxnSp macro="">
      <xdr:nvCxnSpPr>
        <xdr:cNvPr id="119" name="Connecteur droit 118"/>
        <xdr:cNvCxnSpPr/>
      </xdr:nvCxnSpPr>
      <xdr:spPr>
        <a:xfrm flipH="1">
          <a:off x="7037294" y="12225617"/>
          <a:ext cx="1589" cy="616324"/>
        </a:xfrm>
        <a:prstGeom prst="line">
          <a:avLst/>
        </a:prstGeom>
        <a:noFill/>
        <a:ln w="9525" cap="flat" cmpd="sng" algn="ctr">
          <a:solidFill>
            <a:sysClr val="windowText" lastClr="000000"/>
          </a:solidFill>
          <a:prstDash val="solid"/>
          <a:headEnd type="oval"/>
          <a:tailEnd type="oval"/>
        </a:ln>
        <a:effectLst/>
      </xdr:spPr>
    </xdr:cxnSp>
    <xdr:clientData/>
  </xdr:twoCellAnchor>
  <xdr:twoCellAnchor>
    <xdr:from>
      <xdr:col>6</xdr:col>
      <xdr:colOff>425823</xdr:colOff>
      <xdr:row>71</xdr:row>
      <xdr:rowOff>33618</xdr:rowOff>
    </xdr:from>
    <xdr:to>
      <xdr:col>6</xdr:col>
      <xdr:colOff>711573</xdr:colOff>
      <xdr:row>72</xdr:row>
      <xdr:rowOff>157443</xdr:rowOff>
    </xdr:to>
    <xdr:sp macro="" textlink="">
      <xdr:nvSpPr>
        <xdr:cNvPr id="121" name="ZoneTexte 120"/>
        <xdr:cNvSpPr txBox="1"/>
      </xdr:nvSpPr>
      <xdr:spPr>
        <a:xfrm>
          <a:off x="3877235" y="13648765"/>
          <a:ext cx="285750" cy="314325"/>
        </a:xfrm>
        <a:prstGeom prst="rect">
          <a:avLst/>
        </a:prstGeom>
        <a:noFill/>
        <a:ln w="9525" cmpd="sng">
          <a:noFill/>
        </a:ln>
        <a:effectLst/>
      </xdr:spPr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</a:t>
          </a:r>
        </a:p>
      </xdr:txBody>
    </xdr:sp>
    <xdr:clientData/>
  </xdr:twoCellAnchor>
  <xdr:twoCellAnchor>
    <xdr:from>
      <xdr:col>8</xdr:col>
      <xdr:colOff>208429</xdr:colOff>
      <xdr:row>68</xdr:row>
      <xdr:rowOff>118783</xdr:rowOff>
    </xdr:from>
    <xdr:to>
      <xdr:col>8</xdr:col>
      <xdr:colOff>494179</xdr:colOff>
      <xdr:row>70</xdr:row>
      <xdr:rowOff>52108</xdr:rowOff>
    </xdr:to>
    <xdr:sp macro="" textlink="">
      <xdr:nvSpPr>
        <xdr:cNvPr id="122" name="ZoneTexte 121"/>
        <xdr:cNvSpPr txBox="1"/>
      </xdr:nvSpPr>
      <xdr:spPr>
        <a:xfrm>
          <a:off x="5183841" y="13162430"/>
          <a:ext cx="285750" cy="314325"/>
        </a:xfrm>
        <a:prstGeom prst="rect">
          <a:avLst/>
        </a:prstGeom>
        <a:noFill/>
        <a:ln w="9525" cmpd="sng">
          <a:noFill/>
        </a:ln>
        <a:effectLst/>
      </xdr:spPr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B</a:t>
          </a:r>
        </a:p>
      </xdr:txBody>
    </xdr:sp>
    <xdr:clientData/>
  </xdr:twoCellAnchor>
  <xdr:twoCellAnchor>
    <xdr:from>
      <xdr:col>7</xdr:col>
      <xdr:colOff>515472</xdr:colOff>
      <xdr:row>69</xdr:row>
      <xdr:rowOff>89646</xdr:rowOff>
    </xdr:from>
    <xdr:to>
      <xdr:col>8</xdr:col>
      <xdr:colOff>39222</xdr:colOff>
      <xdr:row>71</xdr:row>
      <xdr:rowOff>22971</xdr:rowOff>
    </xdr:to>
    <xdr:sp macro="" textlink="">
      <xdr:nvSpPr>
        <xdr:cNvPr id="123" name="ZoneTexte 122"/>
        <xdr:cNvSpPr txBox="1"/>
      </xdr:nvSpPr>
      <xdr:spPr>
        <a:xfrm>
          <a:off x="4728884" y="13323793"/>
          <a:ext cx="285750" cy="314325"/>
        </a:xfrm>
        <a:prstGeom prst="rect">
          <a:avLst/>
        </a:prstGeom>
        <a:noFill/>
        <a:ln w="9525" cmpd="sng">
          <a:noFill/>
        </a:ln>
        <a:effectLst/>
      </xdr:spPr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C</a:t>
          </a:r>
        </a:p>
      </xdr:txBody>
    </xdr:sp>
    <xdr:clientData/>
  </xdr:twoCellAnchor>
  <xdr:twoCellAnchor>
    <xdr:from>
      <xdr:col>8</xdr:col>
      <xdr:colOff>683558</xdr:colOff>
      <xdr:row>70</xdr:row>
      <xdr:rowOff>11206</xdr:rowOff>
    </xdr:from>
    <xdr:to>
      <xdr:col>9</xdr:col>
      <xdr:colOff>207308</xdr:colOff>
      <xdr:row>71</xdr:row>
      <xdr:rowOff>135031</xdr:rowOff>
    </xdr:to>
    <xdr:sp macro="" textlink="">
      <xdr:nvSpPr>
        <xdr:cNvPr id="125" name="ZoneTexte 124"/>
        <xdr:cNvSpPr txBox="1"/>
      </xdr:nvSpPr>
      <xdr:spPr>
        <a:xfrm>
          <a:off x="5658970" y="13435853"/>
          <a:ext cx="285750" cy="314325"/>
        </a:xfrm>
        <a:prstGeom prst="rect">
          <a:avLst/>
        </a:prstGeom>
        <a:noFill/>
        <a:ln w="9525" cmpd="sng">
          <a:noFill/>
        </a:ln>
        <a:effectLst/>
      </xdr:spPr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D</a:t>
          </a:r>
        </a:p>
      </xdr:txBody>
    </xdr:sp>
    <xdr:clientData/>
  </xdr:twoCellAnchor>
  <xdr:twoCellAnchor>
    <xdr:from>
      <xdr:col>7</xdr:col>
      <xdr:colOff>493058</xdr:colOff>
      <xdr:row>66</xdr:row>
      <xdr:rowOff>44824</xdr:rowOff>
    </xdr:from>
    <xdr:to>
      <xdr:col>8</xdr:col>
      <xdr:colOff>16808</xdr:colOff>
      <xdr:row>67</xdr:row>
      <xdr:rowOff>168649</xdr:rowOff>
    </xdr:to>
    <xdr:sp macro="" textlink="">
      <xdr:nvSpPr>
        <xdr:cNvPr id="126" name="ZoneTexte 125"/>
        <xdr:cNvSpPr txBox="1"/>
      </xdr:nvSpPr>
      <xdr:spPr>
        <a:xfrm>
          <a:off x="4706470" y="12707471"/>
          <a:ext cx="285750" cy="314325"/>
        </a:xfrm>
        <a:prstGeom prst="rect">
          <a:avLst/>
        </a:prstGeom>
        <a:noFill/>
        <a:ln w="9525" cmpd="sng">
          <a:noFill/>
        </a:ln>
        <a:effectLst/>
      </xdr:spPr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F</a:t>
          </a:r>
        </a:p>
      </xdr:txBody>
    </xdr:sp>
    <xdr:clientData/>
  </xdr:twoCellAnchor>
  <xdr:twoCellAnchor>
    <xdr:from>
      <xdr:col>9</xdr:col>
      <xdr:colOff>605118</xdr:colOff>
      <xdr:row>70</xdr:row>
      <xdr:rowOff>22412</xdr:rowOff>
    </xdr:from>
    <xdr:to>
      <xdr:col>10</xdr:col>
      <xdr:colOff>128868</xdr:colOff>
      <xdr:row>71</xdr:row>
      <xdr:rowOff>146237</xdr:rowOff>
    </xdr:to>
    <xdr:sp macro="" textlink="">
      <xdr:nvSpPr>
        <xdr:cNvPr id="127" name="ZoneTexte 126"/>
        <xdr:cNvSpPr txBox="1"/>
      </xdr:nvSpPr>
      <xdr:spPr>
        <a:xfrm>
          <a:off x="6342530" y="13447059"/>
          <a:ext cx="285750" cy="314325"/>
        </a:xfrm>
        <a:prstGeom prst="rect">
          <a:avLst/>
        </a:prstGeom>
        <a:noFill/>
        <a:ln w="9525" cmpd="sng">
          <a:noFill/>
        </a:ln>
        <a:effectLst/>
      </xdr:spPr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</a:t>
          </a:r>
        </a:p>
      </xdr:txBody>
    </xdr:sp>
    <xdr:clientData/>
  </xdr:twoCellAnchor>
  <xdr:twoCellAnchor>
    <xdr:from>
      <xdr:col>8</xdr:col>
      <xdr:colOff>415176</xdr:colOff>
      <xdr:row>66</xdr:row>
      <xdr:rowOff>22412</xdr:rowOff>
    </xdr:from>
    <xdr:to>
      <xdr:col>9</xdr:col>
      <xdr:colOff>246530</xdr:colOff>
      <xdr:row>67</xdr:row>
      <xdr:rowOff>145677</xdr:rowOff>
    </xdr:to>
    <xdr:sp macro="" textlink="">
      <xdr:nvSpPr>
        <xdr:cNvPr id="128" name="ZoneTexte 127"/>
        <xdr:cNvSpPr txBox="1"/>
      </xdr:nvSpPr>
      <xdr:spPr>
        <a:xfrm>
          <a:off x="5390588" y="12685059"/>
          <a:ext cx="257177" cy="313765"/>
        </a:xfrm>
        <a:prstGeom prst="rect">
          <a:avLst/>
        </a:prstGeom>
        <a:noFill/>
        <a:ln w="9525" cmpd="sng">
          <a:noFill/>
        </a:ln>
        <a:effectLst/>
      </xdr:spPr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G</a:t>
          </a:r>
        </a:p>
      </xdr:txBody>
    </xdr:sp>
    <xdr:clientData/>
  </xdr:twoCellAnchor>
  <xdr:twoCellAnchor>
    <xdr:from>
      <xdr:col>9</xdr:col>
      <xdr:colOff>493059</xdr:colOff>
      <xdr:row>66</xdr:row>
      <xdr:rowOff>0</xdr:rowOff>
    </xdr:from>
    <xdr:to>
      <xdr:col>10</xdr:col>
      <xdr:colOff>16809</xdr:colOff>
      <xdr:row>67</xdr:row>
      <xdr:rowOff>123825</xdr:rowOff>
    </xdr:to>
    <xdr:sp macro="" textlink="">
      <xdr:nvSpPr>
        <xdr:cNvPr id="129" name="ZoneTexte 128"/>
        <xdr:cNvSpPr txBox="1"/>
      </xdr:nvSpPr>
      <xdr:spPr>
        <a:xfrm>
          <a:off x="6230471" y="12662647"/>
          <a:ext cx="285750" cy="314325"/>
        </a:xfrm>
        <a:prstGeom prst="rect">
          <a:avLst/>
        </a:prstGeom>
        <a:noFill/>
        <a:ln w="9525" cmpd="sng">
          <a:noFill/>
        </a:ln>
        <a:effectLst/>
      </xdr:spPr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H</a:t>
          </a:r>
        </a:p>
      </xdr:txBody>
    </xdr:sp>
    <xdr:clientData/>
  </xdr:twoCellAnchor>
  <xdr:twoCellAnchor>
    <xdr:from>
      <xdr:col>10</xdr:col>
      <xdr:colOff>280147</xdr:colOff>
      <xdr:row>66</xdr:row>
      <xdr:rowOff>11205</xdr:rowOff>
    </xdr:from>
    <xdr:to>
      <xdr:col>11</xdr:col>
      <xdr:colOff>16809</xdr:colOff>
      <xdr:row>67</xdr:row>
      <xdr:rowOff>135030</xdr:rowOff>
    </xdr:to>
    <xdr:sp macro="" textlink="">
      <xdr:nvSpPr>
        <xdr:cNvPr id="130" name="ZoneTexte 129"/>
        <xdr:cNvSpPr txBox="1"/>
      </xdr:nvSpPr>
      <xdr:spPr>
        <a:xfrm>
          <a:off x="6779559" y="12673852"/>
          <a:ext cx="285750" cy="314325"/>
        </a:xfrm>
        <a:prstGeom prst="rect">
          <a:avLst/>
        </a:prstGeom>
        <a:noFill/>
        <a:ln w="9525" cmpd="sng">
          <a:noFill/>
        </a:ln>
        <a:effectLst/>
      </xdr:spPr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I</a:t>
          </a:r>
        </a:p>
      </xdr:txBody>
    </xdr:sp>
    <xdr:clientData/>
  </xdr:twoCellAnchor>
  <xdr:twoCellAnchor>
    <xdr:from>
      <xdr:col>7</xdr:col>
      <xdr:colOff>515470</xdr:colOff>
      <xdr:row>62</xdr:row>
      <xdr:rowOff>134471</xdr:rowOff>
    </xdr:from>
    <xdr:to>
      <xdr:col>8</xdr:col>
      <xdr:colOff>39220</xdr:colOff>
      <xdr:row>64</xdr:row>
      <xdr:rowOff>67796</xdr:rowOff>
    </xdr:to>
    <xdr:sp macro="" textlink="">
      <xdr:nvSpPr>
        <xdr:cNvPr id="131" name="ZoneTexte 130"/>
        <xdr:cNvSpPr txBox="1"/>
      </xdr:nvSpPr>
      <xdr:spPr>
        <a:xfrm>
          <a:off x="4728882" y="12035118"/>
          <a:ext cx="285750" cy="314325"/>
        </a:xfrm>
        <a:prstGeom prst="rect">
          <a:avLst/>
        </a:prstGeom>
        <a:noFill/>
        <a:ln w="9525" cmpd="sng">
          <a:noFill/>
        </a:ln>
        <a:effectLst/>
      </xdr:spPr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J</a:t>
          </a:r>
        </a:p>
      </xdr:txBody>
    </xdr:sp>
    <xdr:clientData/>
  </xdr:twoCellAnchor>
  <xdr:twoCellAnchor>
    <xdr:from>
      <xdr:col>9</xdr:col>
      <xdr:colOff>515470</xdr:colOff>
      <xdr:row>62</xdr:row>
      <xdr:rowOff>156882</xdr:rowOff>
    </xdr:from>
    <xdr:to>
      <xdr:col>10</xdr:col>
      <xdr:colOff>39220</xdr:colOff>
      <xdr:row>64</xdr:row>
      <xdr:rowOff>90207</xdr:rowOff>
    </xdr:to>
    <xdr:sp macro="" textlink="">
      <xdr:nvSpPr>
        <xdr:cNvPr id="132" name="ZoneTexte 131"/>
        <xdr:cNvSpPr txBox="1"/>
      </xdr:nvSpPr>
      <xdr:spPr>
        <a:xfrm>
          <a:off x="6252882" y="12057529"/>
          <a:ext cx="285750" cy="314325"/>
        </a:xfrm>
        <a:prstGeom prst="rect">
          <a:avLst/>
        </a:prstGeom>
        <a:noFill/>
        <a:ln w="9525" cmpd="sng">
          <a:noFill/>
        </a:ln>
        <a:effectLst/>
      </xdr:spPr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L</a:t>
          </a:r>
        </a:p>
      </xdr:txBody>
    </xdr:sp>
    <xdr:clientData/>
  </xdr:twoCellAnchor>
  <xdr:twoCellAnchor>
    <xdr:from>
      <xdr:col>8</xdr:col>
      <xdr:colOff>409014</xdr:colOff>
      <xdr:row>62</xdr:row>
      <xdr:rowOff>168089</xdr:rowOff>
    </xdr:from>
    <xdr:to>
      <xdr:col>9</xdr:col>
      <xdr:colOff>257734</xdr:colOff>
      <xdr:row>64</xdr:row>
      <xdr:rowOff>89647</xdr:rowOff>
    </xdr:to>
    <xdr:sp macro="" textlink="">
      <xdr:nvSpPr>
        <xdr:cNvPr id="133" name="ZoneTexte 132"/>
        <xdr:cNvSpPr txBox="1"/>
      </xdr:nvSpPr>
      <xdr:spPr>
        <a:xfrm>
          <a:off x="5384426" y="12068736"/>
          <a:ext cx="274543" cy="302558"/>
        </a:xfrm>
        <a:prstGeom prst="rect">
          <a:avLst/>
        </a:prstGeom>
        <a:noFill/>
        <a:ln w="9525" cmpd="sng">
          <a:noFill/>
        </a:ln>
        <a:effectLst/>
      </xdr:spPr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K</a:t>
          </a:r>
        </a:p>
      </xdr:txBody>
    </xdr:sp>
    <xdr:clientData/>
  </xdr:twoCellAnchor>
  <xdr:twoCellAnchor>
    <xdr:from>
      <xdr:col>10</xdr:col>
      <xdr:colOff>280147</xdr:colOff>
      <xdr:row>62</xdr:row>
      <xdr:rowOff>156882</xdr:rowOff>
    </xdr:from>
    <xdr:to>
      <xdr:col>11</xdr:col>
      <xdr:colOff>16809</xdr:colOff>
      <xdr:row>64</xdr:row>
      <xdr:rowOff>90207</xdr:rowOff>
    </xdr:to>
    <xdr:sp macro="" textlink="">
      <xdr:nvSpPr>
        <xdr:cNvPr id="135" name="ZoneTexte 134"/>
        <xdr:cNvSpPr txBox="1"/>
      </xdr:nvSpPr>
      <xdr:spPr>
        <a:xfrm>
          <a:off x="6779559" y="12057529"/>
          <a:ext cx="285750" cy="314325"/>
        </a:xfrm>
        <a:prstGeom prst="rect">
          <a:avLst/>
        </a:prstGeom>
        <a:noFill/>
        <a:ln w="9525" cmpd="sng">
          <a:noFill/>
        </a:ln>
        <a:effectLst/>
      </xdr:spPr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M</a:t>
          </a:r>
        </a:p>
      </xdr:txBody>
    </xdr:sp>
    <xdr:clientData/>
  </xdr:twoCellAnchor>
  <xdr:twoCellAnchor>
    <xdr:from>
      <xdr:col>3</xdr:col>
      <xdr:colOff>112060</xdr:colOff>
      <xdr:row>61</xdr:row>
      <xdr:rowOff>33618</xdr:rowOff>
    </xdr:from>
    <xdr:to>
      <xdr:col>10</xdr:col>
      <xdr:colOff>168089</xdr:colOff>
      <xdr:row>62</xdr:row>
      <xdr:rowOff>100853</xdr:rowOff>
    </xdr:to>
    <xdr:sp macro="" textlink="">
      <xdr:nvSpPr>
        <xdr:cNvPr id="136" name="ZoneTexte 135"/>
        <xdr:cNvSpPr txBox="1"/>
      </xdr:nvSpPr>
      <xdr:spPr>
        <a:xfrm>
          <a:off x="1277472" y="11743765"/>
          <a:ext cx="5053852" cy="257735"/>
        </a:xfrm>
        <a:prstGeom prst="rect">
          <a:avLst/>
        </a:prstGeom>
        <a:solidFill>
          <a:sysClr val="window" lastClr="FFFFFF"/>
        </a:solidFill>
        <a:ln w="9525" cmpd="sng">
          <a:solidFill>
            <a:srgbClr val="0070C0"/>
          </a:solidFill>
        </a:ln>
        <a:effectLst/>
      </xdr:spPr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Reprendre uniquement </a:t>
          </a:r>
          <a:r>
            <a:rPr kumimoji="0" lang="fr-FR" sz="1100" b="0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les  voies des tronçons 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faisant apparaître l'indication 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colonne</a:t>
          </a:r>
        </a:p>
      </xdr:txBody>
    </xdr:sp>
    <xdr:clientData/>
  </xdr:twoCellAnchor>
  <xdr:twoCellAnchor>
    <xdr:from>
      <xdr:col>12</xdr:col>
      <xdr:colOff>168087</xdr:colOff>
      <xdr:row>64</xdr:row>
      <xdr:rowOff>33618</xdr:rowOff>
    </xdr:from>
    <xdr:to>
      <xdr:col>12</xdr:col>
      <xdr:colOff>291352</xdr:colOff>
      <xdr:row>64</xdr:row>
      <xdr:rowOff>179294</xdr:rowOff>
    </xdr:to>
    <xdr:sp macro="" textlink="">
      <xdr:nvSpPr>
        <xdr:cNvPr id="138" name="Ellipse 137"/>
        <xdr:cNvSpPr/>
      </xdr:nvSpPr>
      <xdr:spPr>
        <a:xfrm>
          <a:off x="8045822" y="12315265"/>
          <a:ext cx="123265" cy="145676"/>
        </a:xfrm>
        <a:prstGeom prst="ellipse">
          <a:avLst/>
        </a:prstGeom>
        <a:noFill/>
        <a:ln w="25400" cap="flat" cmpd="sng" algn="ctr">
          <a:solidFill>
            <a:srgbClr val="FF0000"/>
          </a:solidFill>
          <a:prstDash val="solid"/>
        </a:ln>
        <a:effectLst/>
      </xdr:spPr>
      <xdr:txBody>
        <a:bodyPr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257735</xdr:colOff>
      <xdr:row>65</xdr:row>
      <xdr:rowOff>44823</xdr:rowOff>
    </xdr:from>
    <xdr:to>
      <xdr:col>12</xdr:col>
      <xdr:colOff>381000</xdr:colOff>
      <xdr:row>65</xdr:row>
      <xdr:rowOff>190499</xdr:rowOff>
    </xdr:to>
    <xdr:sp macro="" textlink="">
      <xdr:nvSpPr>
        <xdr:cNvPr id="140" name="Ellipse 139"/>
        <xdr:cNvSpPr/>
      </xdr:nvSpPr>
      <xdr:spPr>
        <a:xfrm>
          <a:off x="8135470" y="12516970"/>
          <a:ext cx="123265" cy="145676"/>
        </a:xfrm>
        <a:prstGeom prst="ellipse">
          <a:avLst/>
        </a:prstGeom>
        <a:noFill/>
        <a:ln w="25400" cap="flat" cmpd="sng" algn="ctr">
          <a:solidFill>
            <a:srgbClr val="FF0000"/>
          </a:solidFill>
          <a:prstDash val="solid"/>
        </a:ln>
        <a:effectLst/>
      </xdr:spPr>
      <xdr:txBody>
        <a:bodyPr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414617</xdr:colOff>
      <xdr:row>66</xdr:row>
      <xdr:rowOff>33618</xdr:rowOff>
    </xdr:from>
    <xdr:to>
      <xdr:col>12</xdr:col>
      <xdr:colOff>537882</xdr:colOff>
      <xdr:row>66</xdr:row>
      <xdr:rowOff>179294</xdr:rowOff>
    </xdr:to>
    <xdr:sp macro="" textlink="">
      <xdr:nvSpPr>
        <xdr:cNvPr id="141" name="Ellipse 140"/>
        <xdr:cNvSpPr/>
      </xdr:nvSpPr>
      <xdr:spPr>
        <a:xfrm>
          <a:off x="8292352" y="12696265"/>
          <a:ext cx="123265" cy="145676"/>
        </a:xfrm>
        <a:prstGeom prst="ellipse">
          <a:avLst/>
        </a:prstGeom>
        <a:noFill/>
        <a:ln w="25400" cap="flat" cmpd="sng" algn="ctr">
          <a:solidFill>
            <a:srgbClr val="FF0000"/>
          </a:solidFill>
          <a:prstDash val="solid"/>
        </a:ln>
        <a:effectLst/>
      </xdr:spPr>
      <xdr:txBody>
        <a:bodyPr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549088</xdr:colOff>
      <xdr:row>67</xdr:row>
      <xdr:rowOff>44824</xdr:rowOff>
    </xdr:from>
    <xdr:to>
      <xdr:col>12</xdr:col>
      <xdr:colOff>672353</xdr:colOff>
      <xdr:row>68</xdr:row>
      <xdr:rowOff>0</xdr:rowOff>
    </xdr:to>
    <xdr:sp macro="" textlink="">
      <xdr:nvSpPr>
        <xdr:cNvPr id="142" name="Ellipse 141"/>
        <xdr:cNvSpPr/>
      </xdr:nvSpPr>
      <xdr:spPr>
        <a:xfrm>
          <a:off x="8426823" y="12897971"/>
          <a:ext cx="123265" cy="145676"/>
        </a:xfrm>
        <a:prstGeom prst="ellipse">
          <a:avLst/>
        </a:prstGeom>
        <a:noFill/>
        <a:ln w="25400" cap="flat" cmpd="sng" algn="ctr">
          <a:solidFill>
            <a:srgbClr val="FF0000"/>
          </a:solidFill>
          <a:prstDash val="solid"/>
        </a:ln>
        <a:effectLst/>
      </xdr:spPr>
      <xdr:txBody>
        <a:bodyPr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647700</xdr:colOff>
          <xdr:row>75</xdr:row>
          <xdr:rowOff>114300</xdr:rowOff>
        </xdr:from>
        <xdr:to>
          <xdr:col>5</xdr:col>
          <xdr:colOff>0</xdr:colOff>
          <xdr:row>76</xdr:row>
          <xdr:rowOff>180975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hors parcours</a:t>
              </a: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657225</xdr:colOff>
          <xdr:row>76</xdr:row>
          <xdr:rowOff>180975</xdr:rowOff>
        </xdr:from>
        <xdr:to>
          <xdr:col>5</xdr:col>
          <xdr:colOff>19050</xdr:colOff>
          <xdr:row>78</xdr:row>
          <xdr:rowOff>47625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hors parcours</a:t>
              </a: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619125</xdr:colOff>
          <xdr:row>78</xdr:row>
          <xdr:rowOff>47625</xdr:rowOff>
        </xdr:from>
        <xdr:to>
          <xdr:col>4</xdr:col>
          <xdr:colOff>742950</xdr:colOff>
          <xdr:row>79</xdr:row>
          <xdr:rowOff>152400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hors parcours</a:t>
              </a: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619125</xdr:colOff>
          <xdr:row>79</xdr:row>
          <xdr:rowOff>123825</xdr:rowOff>
        </xdr:from>
        <xdr:to>
          <xdr:col>4</xdr:col>
          <xdr:colOff>742950</xdr:colOff>
          <xdr:row>81</xdr:row>
          <xdr:rowOff>57150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hors parcours</a:t>
              </a:r>
              <a:endParaRPr lang="fr-FR"/>
            </a:p>
          </xdr:txBody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aël" refreshedDate="41573.903127314814" createdVersion="4" refreshedVersion="4" minRefreshableVersion="3" recordCount="6">
  <cacheSource type="worksheet">
    <worksheetSource ref="I45:I51" sheet="Feuil1"/>
  </cacheSource>
  <cacheFields count="1">
    <cacheField name="liste1" numFmtId="0">
      <sharedItems containsBlank="1" count="5">
        <s v="BC"/>
        <m/>
        <s v="DE"/>
        <s v="FH"/>
        <s v="JK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</r>
  <r>
    <x v="1"/>
  </r>
  <r>
    <x v="2"/>
  </r>
  <r>
    <x v="1"/>
  </r>
  <r>
    <x v="3"/>
  </r>
  <r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9" firstHeaderRow="1" firstDataRow="1" firstDataCol="1"/>
  <pivotFields count="1">
    <pivotField axis="axisRow" dataField="1" showAll="0">
      <items count="6">
        <item x="0"/>
        <item x="2"/>
        <item x="3"/>
        <item x="4"/>
        <item x="1"/>
        <item t="default"/>
      </items>
    </pivotField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Nombre de liste1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B9"/>
  <sheetViews>
    <sheetView workbookViewId="0">
      <selection activeCell="B12" sqref="B12"/>
    </sheetView>
  </sheetViews>
  <sheetFormatPr baseColWidth="10" defaultRowHeight="15" x14ac:dyDescent="0.25"/>
  <cols>
    <col min="1" max="1" width="21" bestFit="1" customWidth="1"/>
    <col min="2" max="2" width="16.42578125" bestFit="1" customWidth="1"/>
  </cols>
  <sheetData>
    <row r="3" spans="1:2" x14ac:dyDescent="0.25">
      <c r="A3" s="47" t="s">
        <v>43</v>
      </c>
      <c r="B3" t="s">
        <v>52</v>
      </c>
    </row>
    <row r="4" spans="1:2" x14ac:dyDescent="0.25">
      <c r="A4" s="48" t="s">
        <v>8</v>
      </c>
      <c r="B4" s="49">
        <v>1</v>
      </c>
    </row>
    <row r="5" spans="1:2" x14ac:dyDescent="0.25">
      <c r="A5" s="48" t="s">
        <v>10</v>
      </c>
      <c r="B5" s="49">
        <v>1</v>
      </c>
    </row>
    <row r="6" spans="1:2" x14ac:dyDescent="0.25">
      <c r="A6" s="48" t="s">
        <v>40</v>
      </c>
      <c r="B6" s="49">
        <v>1</v>
      </c>
    </row>
    <row r="7" spans="1:2" x14ac:dyDescent="0.25">
      <c r="A7" s="48" t="s">
        <v>18</v>
      </c>
      <c r="B7" s="49">
        <v>1</v>
      </c>
    </row>
    <row r="8" spans="1:2" x14ac:dyDescent="0.25">
      <c r="A8" s="48" t="s">
        <v>44</v>
      </c>
      <c r="B8" s="49"/>
    </row>
    <row r="9" spans="1:2" x14ac:dyDescent="0.25">
      <c r="A9" s="48" t="s">
        <v>45</v>
      </c>
      <c r="B9" s="49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Y103"/>
  <sheetViews>
    <sheetView tabSelected="1" topLeftCell="J26" zoomScale="85" zoomScaleNormal="85" workbookViewId="0">
      <selection activeCell="X33" sqref="X33"/>
    </sheetView>
  </sheetViews>
  <sheetFormatPr baseColWidth="10" defaultRowHeight="15" x14ac:dyDescent="0.25"/>
  <cols>
    <col min="1" max="1" width="2.28515625" bestFit="1" customWidth="1"/>
    <col min="2" max="2" width="2.7109375" bestFit="1" customWidth="1"/>
    <col min="3" max="3" width="12.42578125" customWidth="1"/>
    <col min="9" max="9" width="7.140625" bestFit="1" customWidth="1"/>
    <col min="11" max="11" width="8.7109375" bestFit="1" customWidth="1"/>
    <col min="12" max="12" width="12.85546875" bestFit="1" customWidth="1"/>
    <col min="14" max="16" width="13.140625" bestFit="1" customWidth="1"/>
    <col min="17" max="17" width="11.7109375" bestFit="1" customWidth="1"/>
    <col min="18" max="19" width="14.42578125" bestFit="1" customWidth="1"/>
    <col min="20" max="21" width="13.140625" bestFit="1" customWidth="1"/>
    <col min="22" max="22" width="14" bestFit="1" customWidth="1"/>
    <col min="23" max="23" width="25.140625" bestFit="1" customWidth="1"/>
    <col min="24" max="24" width="15" bestFit="1" customWidth="1"/>
    <col min="25" max="25" width="13.28515625" bestFit="1" customWidth="1"/>
  </cols>
  <sheetData>
    <row r="1" spans="5:77" ht="15.75" thickBot="1" x14ac:dyDescent="0.3">
      <c r="W1" s="76" t="s">
        <v>100</v>
      </c>
      <c r="X1" s="77"/>
      <c r="Y1" s="77"/>
      <c r="Z1" s="77"/>
      <c r="AA1" s="78"/>
      <c r="AB1" s="76" t="s">
        <v>101</v>
      </c>
      <c r="AC1" s="77"/>
      <c r="AD1" s="77"/>
      <c r="AE1" s="77"/>
      <c r="AF1" s="78"/>
      <c r="AG1" s="76" t="s">
        <v>102</v>
      </c>
      <c r="AH1" s="77"/>
      <c r="AI1" s="77"/>
      <c r="AJ1" s="77"/>
      <c r="AK1" s="78"/>
      <c r="AL1" s="79" t="s">
        <v>88</v>
      </c>
      <c r="AM1" s="80"/>
      <c r="AN1" s="80"/>
      <c r="AO1" s="80"/>
      <c r="AP1" s="81"/>
      <c r="AQ1" s="79" t="s">
        <v>89</v>
      </c>
      <c r="AR1" s="80"/>
      <c r="AS1" s="80"/>
      <c r="AT1" s="80"/>
      <c r="AU1" s="81"/>
      <c r="AV1" s="76" t="s">
        <v>90</v>
      </c>
      <c r="AW1" s="77"/>
      <c r="AX1" s="77"/>
      <c r="AY1" s="77"/>
      <c r="AZ1" s="78"/>
      <c r="BA1" s="76" t="s">
        <v>103</v>
      </c>
      <c r="BB1" s="77"/>
      <c r="BC1" s="77"/>
      <c r="BD1" s="77"/>
      <c r="BE1" s="78"/>
      <c r="BF1" s="79" t="s">
        <v>104</v>
      </c>
      <c r="BG1" s="80"/>
      <c r="BH1" s="80"/>
      <c r="BI1" s="80"/>
      <c r="BJ1" s="81"/>
      <c r="BK1" s="79" t="s">
        <v>105</v>
      </c>
      <c r="BL1" s="80"/>
      <c r="BM1" s="80"/>
      <c r="BN1" s="80"/>
      <c r="BO1" s="81"/>
      <c r="BP1" s="79" t="s">
        <v>106</v>
      </c>
      <c r="BQ1" s="80"/>
      <c r="BR1" s="80"/>
      <c r="BS1" s="80"/>
      <c r="BT1" s="81"/>
      <c r="BU1" s="82" t="s">
        <v>107</v>
      </c>
      <c r="BV1" s="83"/>
      <c r="BW1" s="83"/>
      <c r="BX1" s="82"/>
      <c r="BY1" s="84"/>
    </row>
    <row r="2" spans="5:77" ht="45" x14ac:dyDescent="0.25">
      <c r="W2" s="85" t="s">
        <v>108</v>
      </c>
      <c r="X2" s="86" t="s">
        <v>109</v>
      </c>
      <c r="Y2" s="86" t="s">
        <v>110</v>
      </c>
      <c r="Z2" s="86" t="s">
        <v>111</v>
      </c>
      <c r="AA2" s="87" t="s">
        <v>112</v>
      </c>
      <c r="AB2" s="85" t="s">
        <v>108</v>
      </c>
      <c r="AC2" s="86" t="s">
        <v>109</v>
      </c>
      <c r="AD2" s="86" t="s">
        <v>110</v>
      </c>
      <c r="AE2" s="86" t="s">
        <v>111</v>
      </c>
      <c r="AF2" s="87" t="s">
        <v>112</v>
      </c>
      <c r="AG2" s="88" t="s">
        <v>108</v>
      </c>
      <c r="AH2" s="86" t="s">
        <v>109</v>
      </c>
      <c r="AI2" s="86" t="s">
        <v>110</v>
      </c>
      <c r="AJ2" s="86" t="s">
        <v>111</v>
      </c>
      <c r="AK2" s="87" t="s">
        <v>112</v>
      </c>
      <c r="AL2" s="89" t="s">
        <v>108</v>
      </c>
      <c r="AM2" s="90" t="s">
        <v>109</v>
      </c>
      <c r="AN2" s="86" t="s">
        <v>110</v>
      </c>
      <c r="AO2" s="90" t="s">
        <v>111</v>
      </c>
      <c r="AP2" s="91" t="s">
        <v>112</v>
      </c>
      <c r="AQ2" s="89" t="s">
        <v>108</v>
      </c>
      <c r="AR2" s="90" t="s">
        <v>109</v>
      </c>
      <c r="AS2" s="86" t="s">
        <v>110</v>
      </c>
      <c r="AT2" s="90" t="s">
        <v>111</v>
      </c>
      <c r="AU2" s="91" t="s">
        <v>112</v>
      </c>
      <c r="AV2" s="85" t="s">
        <v>108</v>
      </c>
      <c r="AW2" s="86" t="s">
        <v>109</v>
      </c>
      <c r="AX2" s="86" t="s">
        <v>110</v>
      </c>
      <c r="AY2" s="86" t="s">
        <v>111</v>
      </c>
      <c r="AZ2" s="87" t="s">
        <v>112</v>
      </c>
      <c r="BA2" s="85" t="s">
        <v>108</v>
      </c>
      <c r="BB2" s="86" t="s">
        <v>109</v>
      </c>
      <c r="BC2" s="86" t="s">
        <v>110</v>
      </c>
      <c r="BD2" s="86" t="s">
        <v>111</v>
      </c>
      <c r="BE2" s="88" t="s">
        <v>112</v>
      </c>
      <c r="BF2" s="89" t="s">
        <v>108</v>
      </c>
      <c r="BG2" s="90" t="s">
        <v>109</v>
      </c>
      <c r="BH2" s="86" t="s">
        <v>110</v>
      </c>
      <c r="BI2" s="90" t="s">
        <v>111</v>
      </c>
      <c r="BJ2" s="91" t="s">
        <v>112</v>
      </c>
      <c r="BK2" s="89" t="s">
        <v>108</v>
      </c>
      <c r="BL2" s="90" t="s">
        <v>109</v>
      </c>
      <c r="BM2" s="86" t="s">
        <v>110</v>
      </c>
      <c r="BN2" s="90" t="s">
        <v>111</v>
      </c>
      <c r="BO2" s="91" t="s">
        <v>112</v>
      </c>
      <c r="BP2" s="89" t="s">
        <v>108</v>
      </c>
      <c r="BQ2" s="90" t="s">
        <v>109</v>
      </c>
      <c r="BR2" s="86" t="s">
        <v>110</v>
      </c>
      <c r="BS2" s="90" t="s">
        <v>111</v>
      </c>
      <c r="BT2" s="91" t="s">
        <v>112</v>
      </c>
      <c r="BU2" s="89" t="s">
        <v>108</v>
      </c>
      <c r="BV2" s="90" t="s">
        <v>109</v>
      </c>
      <c r="BW2" s="86" t="s">
        <v>110</v>
      </c>
      <c r="BX2" s="90" t="s">
        <v>113</v>
      </c>
      <c r="BY2" s="91" t="s">
        <v>112</v>
      </c>
    </row>
    <row r="3" spans="5:77" ht="15.75" thickBot="1" x14ac:dyDescent="0.3">
      <c r="R3" s="65"/>
      <c r="W3" s="92">
        <v>8</v>
      </c>
      <c r="X3" s="93" t="s">
        <v>114</v>
      </c>
      <c r="Y3" s="40">
        <v>12</v>
      </c>
      <c r="Z3" s="93">
        <v>10</v>
      </c>
      <c r="AA3" s="94">
        <v>0.08</v>
      </c>
      <c r="AB3" s="92">
        <v>8</v>
      </c>
      <c r="AC3" s="93" t="s">
        <v>114</v>
      </c>
      <c r="AD3" s="40">
        <v>12</v>
      </c>
      <c r="AE3" s="93">
        <v>10</v>
      </c>
      <c r="AF3" s="94">
        <v>0.08</v>
      </c>
      <c r="AG3" s="95">
        <v>8</v>
      </c>
      <c r="AH3" s="93" t="s">
        <v>115</v>
      </c>
      <c r="AI3" s="40">
        <v>10</v>
      </c>
      <c r="AJ3" s="93">
        <v>10</v>
      </c>
      <c r="AK3" s="94">
        <v>0.05</v>
      </c>
      <c r="AL3" s="92">
        <v>9.5</v>
      </c>
      <c r="AM3" s="53" t="s">
        <v>116</v>
      </c>
      <c r="AN3" s="40">
        <v>17.2</v>
      </c>
      <c r="AO3" s="96">
        <v>13.2</v>
      </c>
      <c r="AP3" s="97">
        <v>7.0000000000000007E-2</v>
      </c>
      <c r="AQ3" s="92">
        <v>12.6</v>
      </c>
      <c r="AR3" s="53" t="s">
        <v>116</v>
      </c>
      <c r="AS3" s="40">
        <v>17.2</v>
      </c>
      <c r="AT3" s="98">
        <v>12.6</v>
      </c>
      <c r="AU3" s="99">
        <v>0.12</v>
      </c>
      <c r="AV3" s="100">
        <v>29.1</v>
      </c>
      <c r="AW3" s="93" t="s">
        <v>117</v>
      </c>
      <c r="AX3" s="93">
        <v>33.700000000000003</v>
      </c>
      <c r="AY3" s="98">
        <v>29.1</v>
      </c>
      <c r="AZ3" s="94">
        <v>0.66</v>
      </c>
      <c r="BA3" s="101">
        <v>9.1999999999999993</v>
      </c>
      <c r="BB3" s="93" t="s">
        <v>118</v>
      </c>
      <c r="BC3" s="93">
        <v>12</v>
      </c>
      <c r="BD3" s="93">
        <v>9.1999999999999993</v>
      </c>
      <c r="BE3" s="94">
        <f t="shared" ref="BE3:BE17" si="0">((3.14*(BD3/100)^2)/4)*10</f>
        <v>6.6442399999999999E-2</v>
      </c>
      <c r="BF3" s="101">
        <v>21.2</v>
      </c>
      <c r="BG3" s="93" t="s">
        <v>119</v>
      </c>
      <c r="BH3" s="93">
        <v>25</v>
      </c>
      <c r="BI3" s="93">
        <v>21.2</v>
      </c>
      <c r="BJ3" s="94">
        <f t="shared" ref="BJ3:BJ33" si="1">((3.14*(BI3/100)^2)/4)*10</f>
        <v>0.35281039999999997</v>
      </c>
      <c r="BK3" s="101">
        <v>57</v>
      </c>
      <c r="BL3" s="93" t="s">
        <v>120</v>
      </c>
      <c r="BM3" s="93">
        <v>63</v>
      </c>
      <c r="BN3" s="93">
        <v>57</v>
      </c>
      <c r="BO3" s="94">
        <f t="shared" ref="BO3:BO24" si="2">((3.14*(BN3/100)^2)/4)*10</f>
        <v>2.550465</v>
      </c>
      <c r="BP3" s="101">
        <v>103.6</v>
      </c>
      <c r="BQ3" s="93" t="s">
        <v>121</v>
      </c>
      <c r="BR3" s="93">
        <v>110</v>
      </c>
      <c r="BS3" s="93">
        <v>103.6</v>
      </c>
      <c r="BT3" s="94">
        <f t="shared" ref="BT3:BT19" si="3">((3.14*(BS3/100)^2)/4)*10</f>
        <v>8.4253736000000004</v>
      </c>
      <c r="BU3" s="39">
        <v>11.5</v>
      </c>
      <c r="BV3" s="40" t="s">
        <v>122</v>
      </c>
      <c r="BW3" s="40">
        <v>16</v>
      </c>
      <c r="BX3" s="40">
        <v>11.5</v>
      </c>
      <c r="BY3" s="102">
        <f>((3.14*(BX3/100)^2)/4)*10</f>
        <v>0.10381625</v>
      </c>
    </row>
    <row r="4" spans="5:77" ht="15.75" thickBot="1" x14ac:dyDescent="0.3">
      <c r="K4" s="3" t="s">
        <v>20</v>
      </c>
      <c r="L4" s="3" t="s">
        <v>21</v>
      </c>
      <c r="M4" s="3" t="s">
        <v>83</v>
      </c>
      <c r="N4">
        <f>SUM(M8,M9,M10)</f>
        <v>7</v>
      </c>
      <c r="R4" s="53" t="s">
        <v>84</v>
      </c>
      <c r="S4" s="64"/>
      <c r="T4" s="130" t="s">
        <v>96</v>
      </c>
      <c r="U4" s="131"/>
      <c r="V4" s="3" t="s">
        <v>99</v>
      </c>
      <c r="W4" s="92">
        <v>8.1</v>
      </c>
      <c r="X4" s="93" t="s">
        <v>114</v>
      </c>
      <c r="Y4" s="40">
        <v>12</v>
      </c>
      <c r="Z4" s="93">
        <v>10</v>
      </c>
      <c r="AA4" s="94">
        <v>0.11</v>
      </c>
      <c r="AB4" s="92">
        <v>8.1</v>
      </c>
      <c r="AC4" s="93" t="s">
        <v>114</v>
      </c>
      <c r="AD4" s="40">
        <v>12</v>
      </c>
      <c r="AE4" s="93">
        <v>10</v>
      </c>
      <c r="AF4" s="94">
        <v>0.11</v>
      </c>
      <c r="AG4" s="95">
        <v>8.1</v>
      </c>
      <c r="AH4" s="93" t="s">
        <v>115</v>
      </c>
      <c r="AI4" s="40">
        <v>10</v>
      </c>
      <c r="AJ4" s="93">
        <v>10</v>
      </c>
      <c r="AK4" s="94">
        <v>0.08</v>
      </c>
      <c r="AL4" s="92">
        <v>9.6</v>
      </c>
      <c r="AM4" s="53" t="s">
        <v>116</v>
      </c>
      <c r="AN4" s="40">
        <v>17.2</v>
      </c>
      <c r="AO4" s="96">
        <v>13.2</v>
      </c>
      <c r="AP4" s="97">
        <v>0.14000000000000001</v>
      </c>
      <c r="AQ4" s="92">
        <v>12.7</v>
      </c>
      <c r="AR4" s="53" t="s">
        <v>123</v>
      </c>
      <c r="AS4" s="40">
        <v>21.3</v>
      </c>
      <c r="AT4" s="98">
        <v>16.100000000000001</v>
      </c>
      <c r="AU4" s="99">
        <v>0.2</v>
      </c>
      <c r="AV4" s="92">
        <v>29.2</v>
      </c>
      <c r="AW4" s="93" t="s">
        <v>124</v>
      </c>
      <c r="AX4" s="93">
        <v>42.4</v>
      </c>
      <c r="AY4" s="95">
        <v>37.200000000000003</v>
      </c>
      <c r="AZ4" s="94">
        <v>1.0900000000000001</v>
      </c>
      <c r="BA4" s="101">
        <v>9.3000000000000007</v>
      </c>
      <c r="BB4" s="93" t="s">
        <v>125</v>
      </c>
      <c r="BC4" s="93">
        <v>16</v>
      </c>
      <c r="BD4" s="93">
        <v>12.4</v>
      </c>
      <c r="BE4" s="94">
        <f t="shared" si="0"/>
        <v>0.12070159999999999</v>
      </c>
      <c r="BF4" s="101">
        <v>21.3</v>
      </c>
      <c r="BG4" s="93" t="s">
        <v>126</v>
      </c>
      <c r="BH4" s="93">
        <v>32</v>
      </c>
      <c r="BI4" s="93">
        <v>27.2</v>
      </c>
      <c r="BJ4" s="94">
        <f t="shared" si="1"/>
        <v>0.58077440000000013</v>
      </c>
      <c r="BK4" s="101">
        <v>57.1</v>
      </c>
      <c r="BL4" s="93" t="s">
        <v>127</v>
      </c>
      <c r="BM4" s="93">
        <v>75</v>
      </c>
      <c r="BN4" s="93">
        <v>67.8</v>
      </c>
      <c r="BO4" s="94">
        <f t="shared" si="2"/>
        <v>3.6085193999999996</v>
      </c>
      <c r="BP4" s="101">
        <v>103.7</v>
      </c>
      <c r="BQ4" s="93" t="s">
        <v>128</v>
      </c>
      <c r="BR4" s="93">
        <v>125</v>
      </c>
      <c r="BS4" s="93">
        <v>117.6</v>
      </c>
      <c r="BT4" s="94">
        <f t="shared" si="3"/>
        <v>10.8563616</v>
      </c>
      <c r="BU4" s="39">
        <v>11.6</v>
      </c>
      <c r="BV4" s="40" t="s">
        <v>122</v>
      </c>
      <c r="BW4" s="40">
        <v>16</v>
      </c>
      <c r="BX4" s="40">
        <v>11.5</v>
      </c>
      <c r="BY4" s="102">
        <f t="shared" ref="BY4" si="4">((3.14*(BX4/100)^2)/4)*10</f>
        <v>0.10381625</v>
      </c>
    </row>
    <row r="5" spans="5:77" ht="15.75" thickBot="1" x14ac:dyDescent="0.3">
      <c r="J5" s="4" t="s">
        <v>7</v>
      </c>
      <c r="K5" s="8">
        <v>2.46</v>
      </c>
      <c r="L5" s="8">
        <f>K5*0.32</f>
        <v>0.78720000000000001</v>
      </c>
      <c r="R5" s="53" t="s">
        <v>85</v>
      </c>
      <c r="T5" s="66"/>
      <c r="U5" s="67"/>
      <c r="V5" s="3">
        <v>13</v>
      </c>
      <c r="W5" s="92">
        <v>10</v>
      </c>
      <c r="X5" s="93" t="s">
        <v>114</v>
      </c>
      <c r="Y5" s="40">
        <v>12</v>
      </c>
      <c r="Z5" s="93">
        <v>10</v>
      </c>
      <c r="AA5" s="94">
        <v>0.11</v>
      </c>
      <c r="AB5" s="92">
        <v>10</v>
      </c>
      <c r="AC5" s="93" t="s">
        <v>114</v>
      </c>
      <c r="AD5" s="40">
        <v>12</v>
      </c>
      <c r="AE5" s="93">
        <v>10</v>
      </c>
      <c r="AF5" s="94">
        <v>0.11</v>
      </c>
      <c r="AG5" s="95">
        <v>10</v>
      </c>
      <c r="AH5" s="93" t="s">
        <v>115</v>
      </c>
      <c r="AI5" s="40">
        <v>10</v>
      </c>
      <c r="AJ5" s="93">
        <v>10</v>
      </c>
      <c r="AK5" s="94">
        <v>0.08</v>
      </c>
      <c r="AL5" s="92">
        <v>13.2</v>
      </c>
      <c r="AM5" s="53" t="s">
        <v>116</v>
      </c>
      <c r="AN5" s="40">
        <v>17.2</v>
      </c>
      <c r="AO5" s="96">
        <v>13.2</v>
      </c>
      <c r="AP5" s="97">
        <v>0.14000000000000001</v>
      </c>
      <c r="AQ5" s="92">
        <v>16.100000000000001</v>
      </c>
      <c r="AR5" s="53" t="s">
        <v>123</v>
      </c>
      <c r="AS5" s="40">
        <v>21.3</v>
      </c>
      <c r="AT5" s="98">
        <v>16.100000000000001</v>
      </c>
      <c r="AU5" s="99">
        <v>0.2</v>
      </c>
      <c r="AV5" s="92">
        <v>37.200000000000003</v>
      </c>
      <c r="AW5" s="93" t="s">
        <v>124</v>
      </c>
      <c r="AX5" s="93">
        <v>42.4</v>
      </c>
      <c r="AY5" s="95">
        <v>37.200000000000003</v>
      </c>
      <c r="AZ5" s="94">
        <v>1.0900000000000001</v>
      </c>
      <c r="BA5" s="101">
        <v>12.4</v>
      </c>
      <c r="BB5" s="93" t="s">
        <v>125</v>
      </c>
      <c r="BC5" s="93">
        <v>16</v>
      </c>
      <c r="BD5" s="93">
        <v>12.4</v>
      </c>
      <c r="BE5" s="94">
        <f t="shared" si="0"/>
        <v>0.12070159999999999</v>
      </c>
      <c r="BF5" s="101">
        <v>27.2</v>
      </c>
      <c r="BG5" s="93" t="s">
        <v>126</v>
      </c>
      <c r="BH5" s="93">
        <v>32</v>
      </c>
      <c r="BI5" s="93">
        <v>27.2</v>
      </c>
      <c r="BJ5" s="94">
        <f t="shared" si="1"/>
        <v>0.58077440000000013</v>
      </c>
      <c r="BK5" s="101">
        <v>67.8</v>
      </c>
      <c r="BL5" s="93" t="s">
        <v>127</v>
      </c>
      <c r="BM5" s="93">
        <v>75</v>
      </c>
      <c r="BN5" s="93">
        <v>67.8</v>
      </c>
      <c r="BO5" s="94">
        <f t="shared" si="2"/>
        <v>3.6085193999999996</v>
      </c>
      <c r="BP5" s="101">
        <v>117.6</v>
      </c>
      <c r="BQ5" s="93" t="s">
        <v>128</v>
      </c>
      <c r="BR5" s="93">
        <v>125</v>
      </c>
      <c r="BS5" s="93">
        <v>117.6</v>
      </c>
      <c r="BT5" s="94">
        <f t="shared" si="3"/>
        <v>10.8563616</v>
      </c>
      <c r="BU5" s="39">
        <v>11.7</v>
      </c>
      <c r="BV5" s="40" t="s">
        <v>129</v>
      </c>
      <c r="BW5" s="40">
        <v>20</v>
      </c>
      <c r="BX5" s="40">
        <v>15</v>
      </c>
      <c r="BY5" s="102">
        <v>0.18</v>
      </c>
    </row>
    <row r="6" spans="5:77" ht="15.75" thickBot="1" x14ac:dyDescent="0.3">
      <c r="G6" s="1"/>
      <c r="J6" s="4" t="s">
        <v>8</v>
      </c>
      <c r="K6" s="8">
        <v>1.23</v>
      </c>
      <c r="L6" s="8">
        <f>K6*0.5</f>
        <v>0.61499999999999999</v>
      </c>
      <c r="R6" s="53" t="s">
        <v>86</v>
      </c>
      <c r="T6" s="68" t="s">
        <v>83</v>
      </c>
      <c r="U6" s="68" t="s">
        <v>97</v>
      </c>
      <c r="V6" s="3">
        <f>VLOOKUP(V5,T7:U19,2,TRUE)</f>
        <v>18</v>
      </c>
      <c r="W6" s="92">
        <v>10.1</v>
      </c>
      <c r="X6" s="93" t="s">
        <v>130</v>
      </c>
      <c r="Y6" s="40">
        <v>14</v>
      </c>
      <c r="Z6" s="93">
        <v>12</v>
      </c>
      <c r="AA6" s="94">
        <v>0.15</v>
      </c>
      <c r="AB6" s="92">
        <v>10.1</v>
      </c>
      <c r="AC6" s="93" t="s">
        <v>130</v>
      </c>
      <c r="AD6" s="40">
        <v>14</v>
      </c>
      <c r="AE6" s="93">
        <v>12</v>
      </c>
      <c r="AF6" s="94">
        <v>0.15</v>
      </c>
      <c r="AG6" s="95">
        <v>10.1</v>
      </c>
      <c r="AH6" s="93" t="s">
        <v>131</v>
      </c>
      <c r="AI6" s="40">
        <v>13</v>
      </c>
      <c r="AJ6" s="93">
        <v>13</v>
      </c>
      <c r="AK6" s="94">
        <v>0.13</v>
      </c>
      <c r="AL6" s="92">
        <v>13.3</v>
      </c>
      <c r="AM6" s="53" t="s">
        <v>123</v>
      </c>
      <c r="AN6" s="40">
        <v>21.3</v>
      </c>
      <c r="AO6" s="96">
        <v>16.7</v>
      </c>
      <c r="AP6" s="97">
        <v>0.22</v>
      </c>
      <c r="AQ6" s="92">
        <v>16.2</v>
      </c>
      <c r="AR6" s="53" t="s">
        <v>132</v>
      </c>
      <c r="AS6" s="40">
        <v>26.9</v>
      </c>
      <c r="AT6" s="98">
        <v>21.7</v>
      </c>
      <c r="AU6" s="99">
        <v>0.37</v>
      </c>
      <c r="AV6" s="92">
        <v>37.299999999999997</v>
      </c>
      <c r="AW6" s="93" t="s">
        <v>133</v>
      </c>
      <c r="AX6" s="93">
        <v>48.4</v>
      </c>
      <c r="AY6" s="95">
        <v>43.1</v>
      </c>
      <c r="AZ6" s="94">
        <v>1.46</v>
      </c>
      <c r="BA6" s="101">
        <v>12.5</v>
      </c>
      <c r="BB6" s="93" t="s">
        <v>134</v>
      </c>
      <c r="BC6" s="93">
        <v>20</v>
      </c>
      <c r="BD6" s="93">
        <v>15.4</v>
      </c>
      <c r="BE6" s="94">
        <f t="shared" si="0"/>
        <v>0.18617060000000002</v>
      </c>
      <c r="BF6" s="101">
        <v>27.3</v>
      </c>
      <c r="BG6" s="93" t="s">
        <v>135</v>
      </c>
      <c r="BH6" s="93">
        <v>40</v>
      </c>
      <c r="BI6" s="93">
        <v>34</v>
      </c>
      <c r="BJ6" s="94">
        <f t="shared" si="1"/>
        <v>0.90746000000000016</v>
      </c>
      <c r="BK6" s="101">
        <v>67.900000000000006</v>
      </c>
      <c r="BL6" s="93" t="s">
        <v>136</v>
      </c>
      <c r="BM6" s="93">
        <v>90</v>
      </c>
      <c r="BN6" s="93">
        <v>81.400000000000006</v>
      </c>
      <c r="BO6" s="94">
        <f t="shared" si="2"/>
        <v>5.2013786000000009</v>
      </c>
      <c r="BP6" s="101">
        <v>117.7</v>
      </c>
      <c r="BQ6" s="93" t="s">
        <v>137</v>
      </c>
      <c r="BR6" s="93">
        <v>140</v>
      </c>
      <c r="BS6" s="93">
        <v>132.6</v>
      </c>
      <c r="BT6" s="94">
        <f t="shared" si="3"/>
        <v>13.802466599999995</v>
      </c>
      <c r="BU6" s="39">
        <v>15</v>
      </c>
      <c r="BV6" s="40" t="s">
        <v>129</v>
      </c>
      <c r="BW6" s="40">
        <v>20</v>
      </c>
      <c r="BX6" s="40">
        <v>15</v>
      </c>
      <c r="BY6" s="102">
        <f t="shared" ref="BY6:BY19" si="5">((3.14*(BX6/100)^2)/4)*10</f>
        <v>0.176625</v>
      </c>
    </row>
    <row r="7" spans="5:77" x14ac:dyDescent="0.25">
      <c r="J7" s="4" t="s">
        <v>9</v>
      </c>
      <c r="K7" s="8">
        <v>0.5</v>
      </c>
      <c r="L7" s="9"/>
      <c r="O7" s="18" t="s">
        <v>31</v>
      </c>
      <c r="P7" s="19" t="s">
        <v>32</v>
      </c>
      <c r="R7" s="53" t="s">
        <v>87</v>
      </c>
      <c r="T7" s="69">
        <v>0</v>
      </c>
      <c r="U7" s="70" t="s">
        <v>98</v>
      </c>
      <c r="V7" s="3" t="str">
        <f>IFERROR(IF(V4="CuEcroui",VLOOKUP(V6,W3:AA25,2,TRUE),IF(V4=CuRecuit,VLOOKUP(V6,AB3:AF13,2,TRUE))),"/")</f>
        <v>CU 22 x 1</v>
      </c>
      <c r="W7" s="92">
        <v>12</v>
      </c>
      <c r="X7" s="93" t="s">
        <v>130</v>
      </c>
      <c r="Y7" s="40">
        <v>14</v>
      </c>
      <c r="Z7" s="93">
        <v>12</v>
      </c>
      <c r="AA7" s="94">
        <v>0.15</v>
      </c>
      <c r="AB7" s="92">
        <v>12</v>
      </c>
      <c r="AC7" s="93" t="s">
        <v>130</v>
      </c>
      <c r="AD7" s="40">
        <v>14</v>
      </c>
      <c r="AE7" s="93">
        <v>12</v>
      </c>
      <c r="AF7" s="94">
        <v>0.15</v>
      </c>
      <c r="AG7" s="95">
        <v>13</v>
      </c>
      <c r="AH7" s="93" t="s">
        <v>131</v>
      </c>
      <c r="AI7" s="40">
        <v>13</v>
      </c>
      <c r="AJ7" s="93">
        <v>13</v>
      </c>
      <c r="AK7" s="94">
        <v>0.13</v>
      </c>
      <c r="AL7" s="92">
        <v>16.7</v>
      </c>
      <c r="AM7" s="53" t="s">
        <v>123</v>
      </c>
      <c r="AN7" s="40">
        <v>21.3</v>
      </c>
      <c r="AO7" s="96">
        <v>16.7</v>
      </c>
      <c r="AP7" s="97">
        <v>0.22</v>
      </c>
      <c r="AQ7" s="92">
        <v>21.7</v>
      </c>
      <c r="AR7" s="53" t="s">
        <v>132</v>
      </c>
      <c r="AS7" s="40">
        <v>26.9</v>
      </c>
      <c r="AT7" s="98">
        <v>21.7</v>
      </c>
      <c r="AU7" s="99">
        <v>0.37</v>
      </c>
      <c r="AV7" s="92">
        <v>43.1</v>
      </c>
      <c r="AW7" s="93" t="s">
        <v>133</v>
      </c>
      <c r="AX7" s="93">
        <v>48.3</v>
      </c>
      <c r="AY7" s="95">
        <v>43.1</v>
      </c>
      <c r="AZ7" s="94">
        <v>1.46</v>
      </c>
      <c r="BA7" s="101">
        <v>15.4</v>
      </c>
      <c r="BB7" s="93" t="s">
        <v>134</v>
      </c>
      <c r="BC7" s="93">
        <v>20</v>
      </c>
      <c r="BD7" s="93">
        <v>15.4</v>
      </c>
      <c r="BE7" s="94">
        <f t="shared" si="0"/>
        <v>0.18617060000000002</v>
      </c>
      <c r="BF7" s="101">
        <v>34</v>
      </c>
      <c r="BG7" s="93" t="s">
        <v>135</v>
      </c>
      <c r="BH7" s="93">
        <v>40</v>
      </c>
      <c r="BI7" s="93">
        <v>34</v>
      </c>
      <c r="BJ7" s="94">
        <f t="shared" si="1"/>
        <v>0.90746000000000016</v>
      </c>
      <c r="BK7" s="101">
        <v>81.400000000000006</v>
      </c>
      <c r="BL7" s="93" t="s">
        <v>136</v>
      </c>
      <c r="BM7" s="93">
        <v>90</v>
      </c>
      <c r="BN7" s="93">
        <v>81.400000000000006</v>
      </c>
      <c r="BO7" s="94">
        <f t="shared" si="2"/>
        <v>5.2013786000000009</v>
      </c>
      <c r="BP7" s="101">
        <v>132.6</v>
      </c>
      <c r="BQ7" s="93" t="s">
        <v>137</v>
      </c>
      <c r="BR7" s="93">
        <v>140</v>
      </c>
      <c r="BS7" s="93">
        <v>132.6</v>
      </c>
      <c r="BT7" s="94">
        <f t="shared" si="3"/>
        <v>13.802466599999995</v>
      </c>
      <c r="BU7" s="39">
        <v>15.1</v>
      </c>
      <c r="BV7" s="40" t="s">
        <v>129</v>
      </c>
      <c r="BW7" s="40">
        <v>20</v>
      </c>
      <c r="BX7" s="40">
        <v>15</v>
      </c>
      <c r="BY7" s="102">
        <f t="shared" si="5"/>
        <v>0.176625</v>
      </c>
    </row>
    <row r="8" spans="5:77" x14ac:dyDescent="0.25">
      <c r="J8" s="4" t="s">
        <v>10</v>
      </c>
      <c r="K8" s="8">
        <v>0.3</v>
      </c>
      <c r="L8" s="9"/>
      <c r="M8">
        <v>3</v>
      </c>
      <c r="O8" s="20">
        <v>1</v>
      </c>
      <c r="P8" s="21">
        <v>7</v>
      </c>
      <c r="R8" s="62" t="s">
        <v>88</v>
      </c>
      <c r="T8" s="71">
        <v>0.1</v>
      </c>
      <c r="U8" s="70">
        <v>10</v>
      </c>
      <c r="W8" s="92">
        <v>12.1</v>
      </c>
      <c r="X8" s="93" t="s">
        <v>138</v>
      </c>
      <c r="Y8" s="40">
        <v>16</v>
      </c>
      <c r="Z8" s="93">
        <v>14</v>
      </c>
      <c r="AA8" s="97">
        <v>0.2</v>
      </c>
      <c r="AB8" s="92">
        <v>12.1</v>
      </c>
      <c r="AC8" s="93" t="s">
        <v>138</v>
      </c>
      <c r="AD8" s="40">
        <v>16</v>
      </c>
      <c r="AE8" s="93">
        <v>14</v>
      </c>
      <c r="AF8" s="97">
        <v>0.2</v>
      </c>
      <c r="AG8" s="95">
        <v>13.1</v>
      </c>
      <c r="AH8" s="93" t="s">
        <v>139</v>
      </c>
      <c r="AI8" s="40">
        <v>16</v>
      </c>
      <c r="AJ8" s="93">
        <v>16.2</v>
      </c>
      <c r="AK8" s="94">
        <v>0.2</v>
      </c>
      <c r="AL8" s="92">
        <v>16.8</v>
      </c>
      <c r="AM8" s="53" t="s">
        <v>140</v>
      </c>
      <c r="AN8" s="40">
        <v>26.9</v>
      </c>
      <c r="AO8" s="96">
        <v>22.3</v>
      </c>
      <c r="AP8" s="97">
        <v>0.39</v>
      </c>
      <c r="AQ8" s="100">
        <v>21.8</v>
      </c>
      <c r="AR8" s="62" t="s">
        <v>117</v>
      </c>
      <c r="AS8" s="103">
        <v>33.700000000000003</v>
      </c>
      <c r="AT8" s="98">
        <v>27.3</v>
      </c>
      <c r="AU8" s="99">
        <v>0.59</v>
      </c>
      <c r="AV8" s="92">
        <v>43.2</v>
      </c>
      <c r="AW8" s="93" t="s">
        <v>141</v>
      </c>
      <c r="AX8" s="93">
        <v>60.3</v>
      </c>
      <c r="AY8" s="95">
        <v>54.5</v>
      </c>
      <c r="AZ8" s="94">
        <v>2.33</v>
      </c>
      <c r="BA8" s="101">
        <v>15.5</v>
      </c>
      <c r="BB8" s="93" t="s">
        <v>142</v>
      </c>
      <c r="BC8" s="93">
        <v>25</v>
      </c>
      <c r="BD8" s="93">
        <v>19.399999999999999</v>
      </c>
      <c r="BE8" s="94">
        <f t="shared" si="0"/>
        <v>0.29544259999999994</v>
      </c>
      <c r="BF8" s="101">
        <v>34.1</v>
      </c>
      <c r="BG8" s="93" t="s">
        <v>143</v>
      </c>
      <c r="BH8" s="93">
        <v>50</v>
      </c>
      <c r="BI8" s="93">
        <v>42.6</v>
      </c>
      <c r="BJ8" s="94">
        <f t="shared" si="1"/>
        <v>1.4245866</v>
      </c>
      <c r="BK8" s="101">
        <v>81.5</v>
      </c>
      <c r="BL8" s="93" t="s">
        <v>144</v>
      </c>
      <c r="BM8" s="93">
        <v>110</v>
      </c>
      <c r="BN8" s="93">
        <v>99.4</v>
      </c>
      <c r="BO8" s="94">
        <f t="shared" si="2"/>
        <v>7.7560826000000027</v>
      </c>
      <c r="BP8" s="101">
        <v>132.69999999999999</v>
      </c>
      <c r="BQ8" s="93" t="s">
        <v>145</v>
      </c>
      <c r="BR8" s="93">
        <v>160</v>
      </c>
      <c r="BS8" s="93">
        <v>152.4</v>
      </c>
      <c r="BT8" s="94">
        <f t="shared" si="3"/>
        <v>18.232221600000003</v>
      </c>
      <c r="BU8" s="104">
        <v>20</v>
      </c>
      <c r="BV8" s="40" t="s">
        <v>146</v>
      </c>
      <c r="BW8" s="40">
        <v>26</v>
      </c>
      <c r="BX8" s="40">
        <v>20</v>
      </c>
      <c r="BY8" s="102">
        <f t="shared" si="5"/>
        <v>0.31400000000000006</v>
      </c>
    </row>
    <row r="9" spans="5:77" x14ac:dyDescent="0.25">
      <c r="H9" s="7"/>
      <c r="J9" s="4" t="s">
        <v>11</v>
      </c>
      <c r="K9" s="8">
        <v>0.2</v>
      </c>
      <c r="L9" s="9"/>
      <c r="M9">
        <v>2</v>
      </c>
      <c r="O9" s="20">
        <v>2</v>
      </c>
      <c r="P9" s="21">
        <v>9</v>
      </c>
      <c r="R9" s="62" t="s">
        <v>89</v>
      </c>
      <c r="T9" s="72">
        <v>2.8</v>
      </c>
      <c r="U9" s="70">
        <v>10</v>
      </c>
      <c r="W9" s="92">
        <v>14</v>
      </c>
      <c r="X9" s="93" t="s">
        <v>138</v>
      </c>
      <c r="Y9" s="40">
        <v>16</v>
      </c>
      <c r="Z9" s="93">
        <v>14</v>
      </c>
      <c r="AA9" s="97">
        <v>0.2</v>
      </c>
      <c r="AB9" s="92">
        <v>14</v>
      </c>
      <c r="AC9" s="93" t="s">
        <v>138</v>
      </c>
      <c r="AD9" s="40">
        <v>16</v>
      </c>
      <c r="AE9" s="93">
        <v>14</v>
      </c>
      <c r="AF9" s="97">
        <v>0.2</v>
      </c>
      <c r="AG9" s="95">
        <v>16</v>
      </c>
      <c r="AH9" s="93" t="s">
        <v>139</v>
      </c>
      <c r="AI9" s="40">
        <v>16</v>
      </c>
      <c r="AJ9" s="93">
        <v>16.2</v>
      </c>
      <c r="AK9" s="94">
        <v>0.2</v>
      </c>
      <c r="AL9" s="92">
        <v>22.3</v>
      </c>
      <c r="AM9" s="53" t="s">
        <v>140</v>
      </c>
      <c r="AN9" s="40">
        <v>26.9</v>
      </c>
      <c r="AO9" s="96">
        <v>22.3</v>
      </c>
      <c r="AP9" s="97">
        <v>0.39</v>
      </c>
      <c r="AQ9" s="92">
        <v>27.3</v>
      </c>
      <c r="AR9" s="62" t="s">
        <v>117</v>
      </c>
      <c r="AS9" s="103">
        <v>33.700000000000003</v>
      </c>
      <c r="AT9" s="98">
        <v>27.3</v>
      </c>
      <c r="AU9" s="99">
        <v>0.59</v>
      </c>
      <c r="AV9" s="92">
        <v>54.5</v>
      </c>
      <c r="AW9" s="93" t="s">
        <v>141</v>
      </c>
      <c r="AX9" s="93">
        <v>60.3</v>
      </c>
      <c r="AY9" s="95">
        <v>54.5</v>
      </c>
      <c r="AZ9" s="94">
        <v>2.33</v>
      </c>
      <c r="BA9" s="101">
        <v>19.399999999999999</v>
      </c>
      <c r="BB9" s="93" t="s">
        <v>142</v>
      </c>
      <c r="BC9" s="93">
        <v>25</v>
      </c>
      <c r="BD9" s="93">
        <v>19.399999999999999</v>
      </c>
      <c r="BE9" s="94">
        <f t="shared" si="0"/>
        <v>0.29544259999999994</v>
      </c>
      <c r="BF9" s="101">
        <v>42.6</v>
      </c>
      <c r="BG9" s="93" t="s">
        <v>143</v>
      </c>
      <c r="BH9" s="93">
        <v>50</v>
      </c>
      <c r="BI9" s="93">
        <v>42.6</v>
      </c>
      <c r="BJ9" s="94">
        <f t="shared" si="1"/>
        <v>1.4245866</v>
      </c>
      <c r="BK9" s="101">
        <v>99.4</v>
      </c>
      <c r="BL9" s="93" t="s">
        <v>144</v>
      </c>
      <c r="BM9" s="93">
        <v>110</v>
      </c>
      <c r="BN9" s="93">
        <v>99.4</v>
      </c>
      <c r="BO9" s="94">
        <f t="shared" si="2"/>
        <v>7.7560826000000027</v>
      </c>
      <c r="BP9" s="101">
        <v>152.4</v>
      </c>
      <c r="BQ9" s="93" t="s">
        <v>145</v>
      </c>
      <c r="BR9" s="93">
        <v>160</v>
      </c>
      <c r="BS9" s="93">
        <v>152.4</v>
      </c>
      <c r="BT9" s="94">
        <f t="shared" si="3"/>
        <v>18.232221600000003</v>
      </c>
      <c r="BU9" s="39">
        <v>20.100000000000001</v>
      </c>
      <c r="BV9" s="40" t="s">
        <v>146</v>
      </c>
      <c r="BW9" s="40">
        <v>26</v>
      </c>
      <c r="BX9" s="40">
        <v>20</v>
      </c>
      <c r="BY9" s="102">
        <f t="shared" si="5"/>
        <v>0.31400000000000006</v>
      </c>
    </row>
    <row r="10" spans="5:77" x14ac:dyDescent="0.25">
      <c r="J10" s="11" t="s">
        <v>12</v>
      </c>
      <c r="K10" s="8">
        <v>0.1</v>
      </c>
      <c r="L10" s="9"/>
      <c r="M10">
        <v>2</v>
      </c>
      <c r="O10" s="20">
        <v>3</v>
      </c>
      <c r="P10" s="21">
        <v>11</v>
      </c>
      <c r="R10" s="62" t="s">
        <v>90</v>
      </c>
      <c r="T10" s="72">
        <v>2.9</v>
      </c>
      <c r="U10" s="70">
        <v>12</v>
      </c>
      <c r="W10" s="92">
        <v>14.1</v>
      </c>
      <c r="X10" s="93" t="s">
        <v>147</v>
      </c>
      <c r="Y10" s="40">
        <v>18</v>
      </c>
      <c r="Z10" s="93">
        <v>16</v>
      </c>
      <c r="AA10" s="97">
        <v>0.25</v>
      </c>
      <c r="AB10" s="92">
        <v>14.1</v>
      </c>
      <c r="AC10" s="93" t="s">
        <v>147</v>
      </c>
      <c r="AD10" s="40">
        <v>18</v>
      </c>
      <c r="AE10" s="93">
        <v>16</v>
      </c>
      <c r="AF10" s="97">
        <v>0.25</v>
      </c>
      <c r="AG10" s="95">
        <v>16.100000000000001</v>
      </c>
      <c r="AH10" s="93" t="s">
        <v>148</v>
      </c>
      <c r="AI10" s="40">
        <v>20</v>
      </c>
      <c r="AJ10" s="93">
        <v>20.399999999999999</v>
      </c>
      <c r="AK10" s="94">
        <v>0.31</v>
      </c>
      <c r="AL10" s="100">
        <v>22.4</v>
      </c>
      <c r="AM10" s="53" t="s">
        <v>149</v>
      </c>
      <c r="AN10" s="40">
        <v>33.700000000000003</v>
      </c>
      <c r="AO10" s="96">
        <v>27.9</v>
      </c>
      <c r="AP10" s="97">
        <v>0.61</v>
      </c>
      <c r="AQ10" s="92">
        <v>27.4</v>
      </c>
      <c r="AR10" s="62" t="s">
        <v>150</v>
      </c>
      <c r="AS10" s="103">
        <v>42.4</v>
      </c>
      <c r="AT10" s="98">
        <v>36</v>
      </c>
      <c r="AU10" s="99">
        <v>1.02</v>
      </c>
      <c r="AV10" s="92">
        <v>54.6</v>
      </c>
      <c r="AW10" s="93" t="s">
        <v>151</v>
      </c>
      <c r="AX10" s="93">
        <v>76.099999999999994</v>
      </c>
      <c r="AY10" s="95">
        <v>70.3</v>
      </c>
      <c r="AZ10" s="94">
        <v>3.88</v>
      </c>
      <c r="BA10" s="101">
        <v>19.5</v>
      </c>
      <c r="BB10" s="93" t="s">
        <v>152</v>
      </c>
      <c r="BC10" s="93">
        <v>32</v>
      </c>
      <c r="BD10" s="93">
        <v>24.8</v>
      </c>
      <c r="BE10" s="94">
        <f t="shared" si="0"/>
        <v>0.48280639999999997</v>
      </c>
      <c r="BF10" s="101">
        <v>42.7</v>
      </c>
      <c r="BG10" s="93" t="s">
        <v>153</v>
      </c>
      <c r="BH10" s="93">
        <v>63</v>
      </c>
      <c r="BI10" s="93">
        <v>53.6</v>
      </c>
      <c r="BJ10" s="94">
        <f t="shared" si="1"/>
        <v>2.2552736000000002</v>
      </c>
      <c r="BK10" s="101">
        <v>99.5</v>
      </c>
      <c r="BL10" s="93" t="s">
        <v>154</v>
      </c>
      <c r="BM10" s="93">
        <v>125</v>
      </c>
      <c r="BN10" s="93">
        <v>113</v>
      </c>
      <c r="BO10" s="94">
        <f t="shared" si="2"/>
        <v>10.023664999999998</v>
      </c>
      <c r="BP10" s="101">
        <v>152.5</v>
      </c>
      <c r="BQ10" s="93" t="s">
        <v>155</v>
      </c>
      <c r="BR10" s="93">
        <v>200</v>
      </c>
      <c r="BS10" s="93">
        <v>190.6</v>
      </c>
      <c r="BT10" s="94">
        <f t="shared" si="3"/>
        <v>28.517762599999998</v>
      </c>
      <c r="BU10" s="104">
        <v>26</v>
      </c>
      <c r="BV10" s="40" t="s">
        <v>156</v>
      </c>
      <c r="BW10" s="40">
        <v>32</v>
      </c>
      <c r="BX10" s="40">
        <v>26</v>
      </c>
      <c r="BY10" s="102">
        <f t="shared" si="5"/>
        <v>0.53066000000000013</v>
      </c>
    </row>
    <row r="11" spans="5:77" x14ac:dyDescent="0.25">
      <c r="I11" s="6"/>
      <c r="J11" s="4" t="s">
        <v>22</v>
      </c>
      <c r="K11" s="8">
        <v>0.2</v>
      </c>
      <c r="L11" s="9"/>
      <c r="O11" s="20">
        <v>4</v>
      </c>
      <c r="P11" s="21">
        <v>13</v>
      </c>
      <c r="R11" s="62" t="s">
        <v>91</v>
      </c>
      <c r="T11" s="72">
        <v>4.3</v>
      </c>
      <c r="U11" s="70">
        <v>12</v>
      </c>
      <c r="W11" s="92">
        <v>16</v>
      </c>
      <c r="X11" s="93" t="s">
        <v>147</v>
      </c>
      <c r="Y11" s="40">
        <v>18</v>
      </c>
      <c r="Z11" s="93">
        <v>16</v>
      </c>
      <c r="AA11" s="97">
        <v>0.25</v>
      </c>
      <c r="AB11" s="92">
        <v>16</v>
      </c>
      <c r="AC11" s="93" t="s">
        <v>147</v>
      </c>
      <c r="AD11" s="40">
        <v>18</v>
      </c>
      <c r="AE11" s="93">
        <v>16</v>
      </c>
      <c r="AF11" s="97">
        <v>0.25</v>
      </c>
      <c r="AG11" s="95">
        <v>20</v>
      </c>
      <c r="AH11" s="93" t="s">
        <v>148</v>
      </c>
      <c r="AI11" s="40">
        <v>20</v>
      </c>
      <c r="AJ11" s="93">
        <v>20.399999999999999</v>
      </c>
      <c r="AK11" s="94">
        <v>0.31</v>
      </c>
      <c r="AL11" s="92">
        <v>27.9</v>
      </c>
      <c r="AM11" s="53" t="s">
        <v>149</v>
      </c>
      <c r="AN11" s="40">
        <v>33.700000000000003</v>
      </c>
      <c r="AO11" s="96">
        <v>27.9</v>
      </c>
      <c r="AP11" s="97">
        <v>0.61</v>
      </c>
      <c r="AQ11" s="100">
        <v>36</v>
      </c>
      <c r="AR11" s="62" t="s">
        <v>150</v>
      </c>
      <c r="AS11" s="103">
        <v>42.4</v>
      </c>
      <c r="AT11" s="98">
        <v>36</v>
      </c>
      <c r="AU11" s="99">
        <v>1.02</v>
      </c>
      <c r="AV11" s="92">
        <v>70.3</v>
      </c>
      <c r="AW11" s="93" t="s">
        <v>151</v>
      </c>
      <c r="AX11" s="93">
        <v>76.099999999999994</v>
      </c>
      <c r="AY11" s="95">
        <v>70.3</v>
      </c>
      <c r="AZ11" s="94">
        <v>3.88</v>
      </c>
      <c r="BA11" s="101">
        <v>24.8</v>
      </c>
      <c r="BB11" s="93" t="s">
        <v>152</v>
      </c>
      <c r="BC11" s="93">
        <v>36</v>
      </c>
      <c r="BD11" s="93">
        <v>24.8</v>
      </c>
      <c r="BE11" s="94">
        <f t="shared" si="0"/>
        <v>0.48280639999999997</v>
      </c>
      <c r="BF11" s="101">
        <v>53.6</v>
      </c>
      <c r="BG11" s="93" t="s">
        <v>153</v>
      </c>
      <c r="BH11" s="93">
        <v>63</v>
      </c>
      <c r="BI11" s="93">
        <v>53.6</v>
      </c>
      <c r="BJ11" s="94">
        <f t="shared" si="1"/>
        <v>2.2552736000000002</v>
      </c>
      <c r="BK11" s="101">
        <v>113</v>
      </c>
      <c r="BL11" s="93" t="s">
        <v>154</v>
      </c>
      <c r="BM11" s="93">
        <v>125</v>
      </c>
      <c r="BN11" s="93">
        <v>113</v>
      </c>
      <c r="BO11" s="94">
        <f t="shared" si="2"/>
        <v>10.023664999999998</v>
      </c>
      <c r="BP11" s="101">
        <v>190.6</v>
      </c>
      <c r="BQ11" s="93" t="s">
        <v>155</v>
      </c>
      <c r="BR11" s="93">
        <v>200</v>
      </c>
      <c r="BS11" s="93">
        <v>190.6</v>
      </c>
      <c r="BT11" s="94">
        <f t="shared" si="3"/>
        <v>28.517762599999998</v>
      </c>
      <c r="BU11" s="39">
        <v>26.1</v>
      </c>
      <c r="BV11" s="40" t="s">
        <v>156</v>
      </c>
      <c r="BW11" s="40">
        <v>32</v>
      </c>
      <c r="BX11" s="40">
        <v>26</v>
      </c>
      <c r="BY11" s="102">
        <f t="shared" si="5"/>
        <v>0.53066000000000013</v>
      </c>
    </row>
    <row r="12" spans="5:77" ht="15.75" thickBot="1" x14ac:dyDescent="0.3">
      <c r="J12" s="4" t="s">
        <v>13</v>
      </c>
      <c r="K12" s="8">
        <v>0.73</v>
      </c>
      <c r="L12" s="9"/>
      <c r="O12" s="22">
        <v>5</v>
      </c>
      <c r="P12" s="23">
        <v>15</v>
      </c>
      <c r="R12" s="62" t="s">
        <v>92</v>
      </c>
      <c r="T12" s="72">
        <v>4.4000000000000004</v>
      </c>
      <c r="U12" s="70">
        <v>14</v>
      </c>
      <c r="W12" s="92">
        <v>16.100000000000001</v>
      </c>
      <c r="X12" s="93" t="s">
        <v>157</v>
      </c>
      <c r="Y12" s="40">
        <v>22</v>
      </c>
      <c r="Z12" s="93">
        <v>20</v>
      </c>
      <c r="AA12" s="97">
        <v>0.38</v>
      </c>
      <c r="AB12" s="92">
        <v>16.100000000000001</v>
      </c>
      <c r="AC12" s="93" t="s">
        <v>157</v>
      </c>
      <c r="AD12" s="40">
        <v>22</v>
      </c>
      <c r="AE12" s="93">
        <v>20</v>
      </c>
      <c r="AF12" s="105">
        <v>0.38</v>
      </c>
      <c r="AG12" s="101">
        <v>20.100000000000001</v>
      </c>
      <c r="AH12" s="93" t="s">
        <v>158</v>
      </c>
      <c r="AI12" s="40">
        <v>26</v>
      </c>
      <c r="AJ12" s="93">
        <v>26.2</v>
      </c>
      <c r="AK12" s="94">
        <f>((3.14*(AJ12/100)^2)/4)*10</f>
        <v>0.5388554000000001</v>
      </c>
      <c r="AL12" s="92">
        <v>28</v>
      </c>
      <c r="AM12" s="53" t="s">
        <v>159</v>
      </c>
      <c r="AN12" s="40">
        <v>42.4</v>
      </c>
      <c r="AO12" s="96">
        <v>36.6</v>
      </c>
      <c r="AP12" s="97">
        <v>1.05</v>
      </c>
      <c r="AQ12" s="92">
        <v>36.1</v>
      </c>
      <c r="AR12" s="62" t="s">
        <v>160</v>
      </c>
      <c r="AS12" s="103">
        <v>48.3</v>
      </c>
      <c r="AT12" s="98">
        <v>41.9</v>
      </c>
      <c r="AU12" s="99">
        <v>1.38</v>
      </c>
      <c r="AV12" s="92">
        <v>70.400000000000006</v>
      </c>
      <c r="AW12" s="93" t="s">
        <v>161</v>
      </c>
      <c r="AX12" s="93">
        <v>88.9</v>
      </c>
      <c r="AY12" s="95">
        <v>82.5</v>
      </c>
      <c r="AZ12" s="94">
        <v>5.34</v>
      </c>
      <c r="BA12" s="101">
        <v>24.9</v>
      </c>
      <c r="BB12" s="93" t="s">
        <v>162</v>
      </c>
      <c r="BC12" s="93">
        <v>40</v>
      </c>
      <c r="BD12" s="93">
        <v>31</v>
      </c>
      <c r="BE12" s="94">
        <f t="shared" si="0"/>
        <v>0.75438500000000008</v>
      </c>
      <c r="BF12" s="101">
        <v>53.7</v>
      </c>
      <c r="BG12" s="93" t="s">
        <v>163</v>
      </c>
      <c r="BH12" s="93">
        <v>75</v>
      </c>
      <c r="BI12" s="93">
        <v>64</v>
      </c>
      <c r="BJ12" s="94">
        <f t="shared" si="1"/>
        <v>3.2153600000000004</v>
      </c>
      <c r="BK12" s="101">
        <v>113.1</v>
      </c>
      <c r="BL12" s="93" t="s">
        <v>164</v>
      </c>
      <c r="BM12" s="93">
        <v>140</v>
      </c>
      <c r="BN12" s="93">
        <v>127.8</v>
      </c>
      <c r="BO12" s="94">
        <f t="shared" si="2"/>
        <v>12.821279400000002</v>
      </c>
      <c r="BP12" s="101">
        <v>190.7</v>
      </c>
      <c r="BQ12" s="93" t="s">
        <v>165</v>
      </c>
      <c r="BR12" s="93">
        <v>225</v>
      </c>
      <c r="BS12" s="93">
        <v>214.4</v>
      </c>
      <c r="BT12" s="94">
        <f t="shared" si="3"/>
        <v>36.084377600000003</v>
      </c>
      <c r="BU12" s="104">
        <v>33</v>
      </c>
      <c r="BV12" s="40" t="s">
        <v>166</v>
      </c>
      <c r="BW12" s="40">
        <v>40</v>
      </c>
      <c r="BX12" s="40">
        <v>33</v>
      </c>
      <c r="BY12" s="102">
        <f t="shared" si="5"/>
        <v>0.8548650000000001</v>
      </c>
    </row>
    <row r="13" spans="5:77" ht="15.75" thickBot="1" x14ac:dyDescent="0.3">
      <c r="J13" s="4" t="s">
        <v>15</v>
      </c>
      <c r="K13" s="8">
        <v>0.2</v>
      </c>
      <c r="L13" s="9"/>
      <c r="M13">
        <v>2</v>
      </c>
      <c r="R13" s="62" t="s">
        <v>93</v>
      </c>
      <c r="T13" s="72">
        <v>6.6</v>
      </c>
      <c r="U13" s="70">
        <v>14</v>
      </c>
      <c r="W13" s="92">
        <v>20</v>
      </c>
      <c r="X13" s="93" t="s">
        <v>157</v>
      </c>
      <c r="Y13" s="40">
        <v>22</v>
      </c>
      <c r="Z13" s="93">
        <v>20</v>
      </c>
      <c r="AA13" s="97">
        <v>0.38</v>
      </c>
      <c r="AB13" s="106">
        <v>20</v>
      </c>
      <c r="AC13" s="107" t="s">
        <v>157</v>
      </c>
      <c r="AD13" s="44">
        <v>22</v>
      </c>
      <c r="AE13" s="107">
        <v>20</v>
      </c>
      <c r="AF13" s="108">
        <v>0.38</v>
      </c>
      <c r="AG13" s="109">
        <v>26.2</v>
      </c>
      <c r="AH13" s="93" t="s">
        <v>158</v>
      </c>
      <c r="AI13" s="40">
        <v>26</v>
      </c>
      <c r="AJ13" s="93">
        <v>26.2</v>
      </c>
      <c r="AK13" s="94">
        <f t="shared" ref="AK13:AK23" si="6">((3.14*(AJ13/100)^2)/4)*10</f>
        <v>0.5388554000000001</v>
      </c>
      <c r="AL13" s="100">
        <v>36.6</v>
      </c>
      <c r="AM13" s="53" t="s">
        <v>159</v>
      </c>
      <c r="AN13" s="40">
        <v>42.4</v>
      </c>
      <c r="AO13" s="96">
        <v>36.6</v>
      </c>
      <c r="AP13" s="97">
        <v>1.05</v>
      </c>
      <c r="AQ13" s="92">
        <v>41.9</v>
      </c>
      <c r="AR13" s="62" t="s">
        <v>160</v>
      </c>
      <c r="AS13" s="103">
        <v>48.3</v>
      </c>
      <c r="AT13" s="98">
        <v>41.9</v>
      </c>
      <c r="AU13" s="99">
        <v>1.38</v>
      </c>
      <c r="AV13" s="92">
        <v>82.5</v>
      </c>
      <c r="AW13" s="93" t="s">
        <v>161</v>
      </c>
      <c r="AX13" s="93">
        <v>88.9</v>
      </c>
      <c r="AY13" s="95">
        <v>82.5</v>
      </c>
      <c r="AZ13" s="94">
        <v>5.34</v>
      </c>
      <c r="BA13" s="101">
        <v>31</v>
      </c>
      <c r="BB13" s="93" t="s">
        <v>162</v>
      </c>
      <c r="BC13" s="93">
        <v>40</v>
      </c>
      <c r="BD13" s="93">
        <v>31</v>
      </c>
      <c r="BE13" s="94">
        <f t="shared" si="0"/>
        <v>0.75438500000000008</v>
      </c>
      <c r="BF13" s="101">
        <v>64</v>
      </c>
      <c r="BG13" s="93" t="s">
        <v>163</v>
      </c>
      <c r="BH13" s="93">
        <v>75</v>
      </c>
      <c r="BI13" s="93">
        <v>64</v>
      </c>
      <c r="BJ13" s="94">
        <f t="shared" si="1"/>
        <v>3.2153600000000004</v>
      </c>
      <c r="BK13" s="101">
        <v>127.8</v>
      </c>
      <c r="BL13" s="93" t="s">
        <v>164</v>
      </c>
      <c r="BM13" s="93">
        <v>140</v>
      </c>
      <c r="BN13" s="93">
        <v>127.8</v>
      </c>
      <c r="BO13" s="94">
        <f t="shared" si="2"/>
        <v>12.821279400000002</v>
      </c>
      <c r="BP13" s="101">
        <v>214.4</v>
      </c>
      <c r="BQ13" s="93" t="s">
        <v>165</v>
      </c>
      <c r="BR13" s="93">
        <v>225</v>
      </c>
      <c r="BS13" s="93">
        <v>214.4</v>
      </c>
      <c r="BT13" s="94">
        <f t="shared" si="3"/>
        <v>36.084377600000003</v>
      </c>
      <c r="BU13" s="39">
        <v>33.1</v>
      </c>
      <c r="BV13" s="40" t="s">
        <v>166</v>
      </c>
      <c r="BW13" s="40">
        <v>40</v>
      </c>
      <c r="BX13" s="40">
        <v>33</v>
      </c>
      <c r="BY13" s="102">
        <f t="shared" si="5"/>
        <v>0.8548650000000001</v>
      </c>
    </row>
    <row r="14" spans="5:77" x14ac:dyDescent="0.25">
      <c r="J14" s="4" t="s">
        <v>16</v>
      </c>
      <c r="K14" s="8">
        <v>0.53</v>
      </c>
      <c r="L14" s="9"/>
      <c r="O14" s="3">
        <f t="array" ref="O14">LINEST(P8:P12,O8:O12,,TRUE)</f>
        <v>1.9999999999999998</v>
      </c>
      <c r="R14" s="62" t="s">
        <v>94</v>
      </c>
      <c r="T14" s="72">
        <v>6.7</v>
      </c>
      <c r="U14" s="73">
        <v>16</v>
      </c>
      <c r="W14" s="92">
        <v>20.100000000000001</v>
      </c>
      <c r="X14" s="93" t="s">
        <v>167</v>
      </c>
      <c r="Y14" s="40">
        <v>28</v>
      </c>
      <c r="Z14" s="93">
        <v>26</v>
      </c>
      <c r="AA14" s="97">
        <v>0.62</v>
      </c>
      <c r="AB14" s="110"/>
      <c r="AC14" s="110"/>
      <c r="AD14" s="110"/>
      <c r="AE14" s="110"/>
      <c r="AF14" s="110"/>
      <c r="AG14" s="100">
        <v>26.3</v>
      </c>
      <c r="AH14" s="93" t="s">
        <v>168</v>
      </c>
      <c r="AI14" s="40">
        <v>32</v>
      </c>
      <c r="AJ14" s="93">
        <v>32.6</v>
      </c>
      <c r="AK14" s="94">
        <f t="shared" si="6"/>
        <v>0.83426660000000008</v>
      </c>
      <c r="AL14" s="92">
        <v>36.700000000000003</v>
      </c>
      <c r="AM14" s="53" t="s">
        <v>169</v>
      </c>
      <c r="AN14" s="40">
        <v>48.3</v>
      </c>
      <c r="AO14" s="96">
        <v>42.5</v>
      </c>
      <c r="AP14" s="97">
        <v>1.42</v>
      </c>
      <c r="AQ14" s="100">
        <v>42</v>
      </c>
      <c r="AR14" s="62" t="s">
        <v>170</v>
      </c>
      <c r="AS14" s="103">
        <v>60.3</v>
      </c>
      <c r="AT14" s="98">
        <v>53.1</v>
      </c>
      <c r="AU14" s="99">
        <v>2.21</v>
      </c>
      <c r="AV14" s="92">
        <v>82.6</v>
      </c>
      <c r="AW14" s="93" t="s">
        <v>171</v>
      </c>
      <c r="AX14" s="93">
        <v>101.6</v>
      </c>
      <c r="AY14" s="95">
        <v>94.4</v>
      </c>
      <c r="AZ14" s="94">
        <v>7</v>
      </c>
      <c r="BA14" s="101">
        <v>31.1</v>
      </c>
      <c r="BB14" s="93" t="s">
        <v>172</v>
      </c>
      <c r="BC14" s="93">
        <v>50</v>
      </c>
      <c r="BD14" s="93">
        <v>38.799999999999997</v>
      </c>
      <c r="BE14" s="94">
        <f t="shared" si="0"/>
        <v>1.1817703999999998</v>
      </c>
      <c r="BF14" s="101">
        <v>64.099999999999994</v>
      </c>
      <c r="BG14" s="93" t="s">
        <v>173</v>
      </c>
      <c r="BH14" s="93">
        <v>90</v>
      </c>
      <c r="BI14" s="93">
        <v>76.8</v>
      </c>
      <c r="BJ14" s="94">
        <f t="shared" si="1"/>
        <v>4.6301183999999997</v>
      </c>
      <c r="BK14" s="101">
        <v>127.9</v>
      </c>
      <c r="BL14" s="93" t="s">
        <v>174</v>
      </c>
      <c r="BM14" s="93">
        <v>160</v>
      </c>
      <c r="BN14" s="93">
        <v>147.6</v>
      </c>
      <c r="BO14" s="94">
        <f t="shared" si="2"/>
        <v>17.101821600000001</v>
      </c>
      <c r="BP14" s="101">
        <v>214.5</v>
      </c>
      <c r="BQ14" s="93" t="s">
        <v>175</v>
      </c>
      <c r="BR14" s="93">
        <v>250</v>
      </c>
      <c r="BS14" s="93">
        <v>238.2</v>
      </c>
      <c r="BT14" s="94">
        <f t="shared" si="3"/>
        <v>44.540303399999992</v>
      </c>
      <c r="BU14" s="104">
        <v>42</v>
      </c>
      <c r="BV14" s="40" t="s">
        <v>176</v>
      </c>
      <c r="BW14" s="40">
        <v>50</v>
      </c>
      <c r="BX14" s="103">
        <v>42</v>
      </c>
      <c r="BY14" s="111">
        <f t="shared" si="5"/>
        <v>1.3847399999999999</v>
      </c>
    </row>
    <row r="15" spans="5:77" x14ac:dyDescent="0.25">
      <c r="J15" s="4" t="s">
        <v>17</v>
      </c>
      <c r="K15" s="8">
        <v>0.2</v>
      </c>
      <c r="L15" s="9"/>
      <c r="O15" s="3"/>
      <c r="R15" s="62" t="s">
        <v>95</v>
      </c>
      <c r="T15" s="72">
        <v>9.9</v>
      </c>
      <c r="U15" s="73">
        <v>16</v>
      </c>
      <c r="W15" s="92">
        <v>26</v>
      </c>
      <c r="X15" s="93" t="s">
        <v>167</v>
      </c>
      <c r="Y15" s="40">
        <v>28</v>
      </c>
      <c r="Z15" s="93">
        <v>26</v>
      </c>
      <c r="AA15" s="97">
        <v>0.62</v>
      </c>
      <c r="AB15" s="110"/>
      <c r="AC15" s="110"/>
      <c r="AD15" s="110"/>
      <c r="AE15" s="110"/>
      <c r="AF15" s="110"/>
      <c r="AG15" s="101">
        <v>32.6</v>
      </c>
      <c r="AH15" s="93" t="s">
        <v>168</v>
      </c>
      <c r="AI15" s="40">
        <v>32</v>
      </c>
      <c r="AJ15" s="93">
        <v>32.6</v>
      </c>
      <c r="AK15" s="94">
        <f t="shared" si="6"/>
        <v>0.83426660000000008</v>
      </c>
      <c r="AL15" s="92">
        <v>42.5</v>
      </c>
      <c r="AM15" s="53" t="s">
        <v>169</v>
      </c>
      <c r="AN15" s="40">
        <v>48.3</v>
      </c>
      <c r="AO15" s="96">
        <v>42.5</v>
      </c>
      <c r="AP15" s="97">
        <v>1.42</v>
      </c>
      <c r="AQ15" s="100">
        <v>53.1</v>
      </c>
      <c r="AR15" s="62" t="s">
        <v>170</v>
      </c>
      <c r="AS15" s="103">
        <v>60.3</v>
      </c>
      <c r="AT15" s="98">
        <v>53.1</v>
      </c>
      <c r="AU15" s="99">
        <v>2.21</v>
      </c>
      <c r="AV15" s="92">
        <v>94.4</v>
      </c>
      <c r="AW15" s="93" t="s">
        <v>171</v>
      </c>
      <c r="AX15" s="93">
        <v>101.6</v>
      </c>
      <c r="AY15" s="95">
        <v>94.4</v>
      </c>
      <c r="AZ15" s="94">
        <v>7</v>
      </c>
      <c r="BA15" s="101">
        <v>38.799999999999997</v>
      </c>
      <c r="BB15" s="93" t="s">
        <v>172</v>
      </c>
      <c r="BC15" s="93">
        <v>50</v>
      </c>
      <c r="BD15" s="93">
        <v>38.799999999999997</v>
      </c>
      <c r="BE15" s="94">
        <f t="shared" si="0"/>
        <v>1.1817703999999998</v>
      </c>
      <c r="BF15" s="101">
        <v>76.8</v>
      </c>
      <c r="BG15" s="93" t="s">
        <v>173</v>
      </c>
      <c r="BH15" s="93">
        <v>90</v>
      </c>
      <c r="BI15" s="93">
        <v>76.8</v>
      </c>
      <c r="BJ15" s="94">
        <f t="shared" si="1"/>
        <v>4.6301183999999997</v>
      </c>
      <c r="BK15" s="101">
        <v>147.6</v>
      </c>
      <c r="BL15" s="93" t="s">
        <v>174</v>
      </c>
      <c r="BM15" s="93">
        <v>160</v>
      </c>
      <c r="BN15" s="93">
        <v>147.6</v>
      </c>
      <c r="BO15" s="94">
        <f t="shared" si="2"/>
        <v>17.101821600000001</v>
      </c>
      <c r="BP15" s="101">
        <v>238.2</v>
      </c>
      <c r="BQ15" s="93" t="s">
        <v>175</v>
      </c>
      <c r="BR15" s="93">
        <v>250</v>
      </c>
      <c r="BS15" s="93">
        <v>238.2</v>
      </c>
      <c r="BT15" s="94">
        <f t="shared" si="3"/>
        <v>44.540303399999992</v>
      </c>
      <c r="BU15" s="39">
        <v>42.1</v>
      </c>
      <c r="BV15" s="40" t="s">
        <v>176</v>
      </c>
      <c r="BW15" s="40">
        <v>50</v>
      </c>
      <c r="BX15" s="103">
        <v>42</v>
      </c>
      <c r="BY15" s="111">
        <f t="shared" si="5"/>
        <v>1.3847399999999999</v>
      </c>
    </row>
    <row r="16" spans="5:77" x14ac:dyDescent="0.25">
      <c r="E16" s="2" t="s">
        <v>4</v>
      </c>
      <c r="F16" s="4" t="s">
        <v>3</v>
      </c>
      <c r="G16" s="5" t="s">
        <v>2</v>
      </c>
      <c r="J16" s="4" t="s">
        <v>18</v>
      </c>
      <c r="K16" s="8">
        <v>0.33</v>
      </c>
      <c r="L16" s="9"/>
      <c r="T16" s="72">
        <v>10</v>
      </c>
      <c r="U16" s="73">
        <v>18</v>
      </c>
      <c r="W16" s="92">
        <v>26.1</v>
      </c>
      <c r="X16" s="93" t="s">
        <v>177</v>
      </c>
      <c r="Y16" s="40">
        <v>32</v>
      </c>
      <c r="Z16" s="93">
        <v>30</v>
      </c>
      <c r="AA16" s="97">
        <v>0.8</v>
      </c>
      <c r="AB16" s="132" t="s">
        <v>178</v>
      </c>
      <c r="AC16" s="133"/>
      <c r="AD16" s="133"/>
      <c r="AE16" s="133"/>
      <c r="AF16" s="134"/>
      <c r="AG16" s="112">
        <v>32.700000000000003</v>
      </c>
      <c r="AH16" s="93" t="s">
        <v>179</v>
      </c>
      <c r="AI16" s="40">
        <v>40</v>
      </c>
      <c r="AJ16" s="93">
        <v>40.799999999999997</v>
      </c>
      <c r="AK16" s="94">
        <f t="shared" si="6"/>
        <v>1.3067424000000001</v>
      </c>
      <c r="AL16" s="100">
        <v>42.6</v>
      </c>
      <c r="AM16" s="53" t="s">
        <v>180</v>
      </c>
      <c r="AN16" s="40">
        <v>60.3</v>
      </c>
      <c r="AO16" s="96">
        <v>53.9</v>
      </c>
      <c r="AP16" s="97">
        <v>2.2799999999999998</v>
      </c>
      <c r="AQ16" s="100">
        <v>53.2</v>
      </c>
      <c r="AR16" s="62" t="s">
        <v>181</v>
      </c>
      <c r="AS16" s="103">
        <v>76.099999999999994</v>
      </c>
      <c r="AT16" s="98">
        <v>68.900000000000006</v>
      </c>
      <c r="AU16" s="99">
        <v>3.73</v>
      </c>
      <c r="AV16" s="92">
        <v>94.5</v>
      </c>
      <c r="AW16" s="93" t="s">
        <v>182</v>
      </c>
      <c r="AX16" s="93">
        <v>114.3</v>
      </c>
      <c r="AY16" s="95">
        <v>107.1</v>
      </c>
      <c r="AZ16" s="94">
        <v>9</v>
      </c>
      <c r="BA16" s="101">
        <v>38.9</v>
      </c>
      <c r="BB16" s="93" t="s">
        <v>183</v>
      </c>
      <c r="BC16" s="93">
        <v>63</v>
      </c>
      <c r="BD16" s="93">
        <v>48.8</v>
      </c>
      <c r="BE16" s="94">
        <f t="shared" si="0"/>
        <v>1.8694304000000002</v>
      </c>
      <c r="BF16" s="101">
        <v>76.900000000000006</v>
      </c>
      <c r="BG16" s="93" t="s">
        <v>184</v>
      </c>
      <c r="BH16" s="93">
        <v>110</v>
      </c>
      <c r="BI16" s="93">
        <v>93.8</v>
      </c>
      <c r="BJ16" s="94">
        <f t="shared" si="1"/>
        <v>6.906775399999999</v>
      </c>
      <c r="BK16" s="101">
        <v>147.69999999999999</v>
      </c>
      <c r="BL16" s="93" t="s">
        <v>185</v>
      </c>
      <c r="BM16" s="93">
        <v>200</v>
      </c>
      <c r="BN16" s="93">
        <v>184.6</v>
      </c>
      <c r="BO16" s="94">
        <f t="shared" si="2"/>
        <v>26.750570599999996</v>
      </c>
      <c r="BP16" s="101">
        <v>238.3</v>
      </c>
      <c r="BQ16" s="93" t="s">
        <v>186</v>
      </c>
      <c r="BR16" s="93">
        <v>315</v>
      </c>
      <c r="BS16" s="93">
        <v>300.2</v>
      </c>
      <c r="BT16" s="94">
        <f t="shared" si="3"/>
        <v>70.74423139999999</v>
      </c>
      <c r="BU16" s="39">
        <v>54</v>
      </c>
      <c r="BV16" s="40" t="s">
        <v>187</v>
      </c>
      <c r="BW16" s="40">
        <v>63</v>
      </c>
      <c r="BX16" s="103">
        <v>54</v>
      </c>
      <c r="BY16" s="111">
        <f t="shared" si="5"/>
        <v>2.2890600000000001</v>
      </c>
    </row>
    <row r="17" spans="1:77" ht="15.75" thickBot="1" x14ac:dyDescent="0.3">
      <c r="G17" s="2" t="s">
        <v>1</v>
      </c>
      <c r="J17" s="4" t="s">
        <v>19</v>
      </c>
      <c r="K17" s="8">
        <v>1.23</v>
      </c>
      <c r="L17" s="10">
        <f>K17*0.5</f>
        <v>0.61499999999999999</v>
      </c>
      <c r="T17" s="72">
        <v>13.7</v>
      </c>
      <c r="U17" s="73">
        <v>18</v>
      </c>
      <c r="W17" s="92">
        <v>30</v>
      </c>
      <c r="X17" s="93" t="s">
        <v>177</v>
      </c>
      <c r="Y17" s="40">
        <v>32</v>
      </c>
      <c r="Z17" s="93">
        <v>30</v>
      </c>
      <c r="AA17" s="97">
        <v>0.8</v>
      </c>
      <c r="AB17" s="132"/>
      <c r="AC17" s="133"/>
      <c r="AD17" s="133"/>
      <c r="AE17" s="133"/>
      <c r="AF17" s="134"/>
      <c r="AG17" s="109">
        <v>40.799999999999997</v>
      </c>
      <c r="AH17" s="93" t="s">
        <v>179</v>
      </c>
      <c r="AI17" s="40">
        <v>40</v>
      </c>
      <c r="AJ17" s="93">
        <v>40.799999999999997</v>
      </c>
      <c r="AK17" s="94">
        <f t="shared" si="6"/>
        <v>1.3067424000000001</v>
      </c>
      <c r="AL17" s="100">
        <v>53.9</v>
      </c>
      <c r="AM17" s="53" t="s">
        <v>180</v>
      </c>
      <c r="AN17" s="40">
        <v>60.3</v>
      </c>
      <c r="AO17" s="96">
        <v>53.9</v>
      </c>
      <c r="AP17" s="97">
        <v>2.2799999999999998</v>
      </c>
      <c r="AQ17" s="92">
        <v>68.900000000000006</v>
      </c>
      <c r="AR17" s="62" t="s">
        <v>181</v>
      </c>
      <c r="AS17" s="103">
        <v>76.099999999999994</v>
      </c>
      <c r="AT17" s="98">
        <v>68.900000000000006</v>
      </c>
      <c r="AU17" s="99">
        <v>3.73</v>
      </c>
      <c r="AV17" s="92">
        <v>107.1</v>
      </c>
      <c r="AW17" s="93" t="s">
        <v>182</v>
      </c>
      <c r="AX17" s="93">
        <v>114.3</v>
      </c>
      <c r="AY17" s="95">
        <v>107.1</v>
      </c>
      <c r="AZ17" s="94">
        <v>9</v>
      </c>
      <c r="BA17" s="113">
        <v>48.8</v>
      </c>
      <c r="BB17" s="107" t="s">
        <v>183</v>
      </c>
      <c r="BC17" s="107">
        <v>63</v>
      </c>
      <c r="BD17" s="107">
        <v>48.8</v>
      </c>
      <c r="BE17" s="114">
        <f t="shared" si="0"/>
        <v>1.8694304000000002</v>
      </c>
      <c r="BF17" s="101">
        <v>93.8</v>
      </c>
      <c r="BG17" s="93" t="s">
        <v>184</v>
      </c>
      <c r="BH17" s="93">
        <v>110</v>
      </c>
      <c r="BI17" s="93">
        <v>93.8</v>
      </c>
      <c r="BJ17" s="94">
        <f t="shared" si="1"/>
        <v>6.906775399999999</v>
      </c>
      <c r="BK17" s="101">
        <v>184.6</v>
      </c>
      <c r="BL17" s="93" t="s">
        <v>185</v>
      </c>
      <c r="BM17" s="93">
        <v>200</v>
      </c>
      <c r="BN17" s="93">
        <v>184.6</v>
      </c>
      <c r="BO17" s="94">
        <f t="shared" si="2"/>
        <v>26.750570599999996</v>
      </c>
      <c r="BP17" s="101">
        <v>300.2</v>
      </c>
      <c r="BQ17" s="93" t="s">
        <v>186</v>
      </c>
      <c r="BR17" s="93">
        <v>315</v>
      </c>
      <c r="BS17" s="93">
        <v>300.2</v>
      </c>
      <c r="BT17" s="94">
        <f t="shared" si="3"/>
        <v>70.74423139999999</v>
      </c>
      <c r="BU17" s="39">
        <v>54.1</v>
      </c>
      <c r="BV17" s="40" t="s">
        <v>187</v>
      </c>
      <c r="BW17" s="40">
        <v>63</v>
      </c>
      <c r="BX17" s="103">
        <v>54</v>
      </c>
      <c r="BY17" s="111">
        <f t="shared" si="5"/>
        <v>2.2890600000000001</v>
      </c>
    </row>
    <row r="18" spans="1:77" x14ac:dyDescent="0.25">
      <c r="I18" s="5"/>
      <c r="M18">
        <f>MATCH(INDEX($A:$B,MATCH(B25,$A:$A,0),1),$A:$A,0)</f>
        <v>26</v>
      </c>
      <c r="N18" t="str">
        <f>INDEX($A:$B,MATCH(B25,$A:$A,0),1)</f>
        <v>B</v>
      </c>
      <c r="T18" s="72">
        <v>13.8</v>
      </c>
      <c r="U18" s="73">
        <v>20</v>
      </c>
      <c r="W18" s="92">
        <v>30.1</v>
      </c>
      <c r="X18" s="93" t="s">
        <v>188</v>
      </c>
      <c r="Y18" s="40">
        <v>36</v>
      </c>
      <c r="Z18" s="93">
        <v>34</v>
      </c>
      <c r="AA18" s="97">
        <v>1.02</v>
      </c>
      <c r="AB18" s="110"/>
      <c r="AC18" s="110"/>
      <c r="AD18" s="110"/>
      <c r="AE18" s="110"/>
      <c r="AF18" s="110"/>
      <c r="AG18" s="115">
        <v>40.9</v>
      </c>
      <c r="AH18" s="93" t="s">
        <v>189</v>
      </c>
      <c r="AI18" s="40">
        <v>50</v>
      </c>
      <c r="AJ18" s="93">
        <v>51.6</v>
      </c>
      <c r="AK18" s="94">
        <f t="shared" si="6"/>
        <v>2.0901095999999999</v>
      </c>
      <c r="AL18" s="100">
        <v>54</v>
      </c>
      <c r="AM18" s="53" t="s">
        <v>190</v>
      </c>
      <c r="AN18" s="40">
        <v>76.099999999999994</v>
      </c>
      <c r="AO18" s="96">
        <v>69.7</v>
      </c>
      <c r="AP18" s="97">
        <v>3.81</v>
      </c>
      <c r="AQ18" s="92">
        <v>69</v>
      </c>
      <c r="AR18" s="62" t="s">
        <v>191</v>
      </c>
      <c r="AS18" s="103">
        <v>88.9</v>
      </c>
      <c r="AT18" s="98">
        <v>81.7</v>
      </c>
      <c r="AU18" s="116">
        <v>5.24</v>
      </c>
      <c r="AV18" s="92">
        <v>107.2</v>
      </c>
      <c r="AW18" s="93" t="s">
        <v>192</v>
      </c>
      <c r="AX18" s="93">
        <v>133</v>
      </c>
      <c r="AY18" s="95">
        <v>125</v>
      </c>
      <c r="AZ18" s="94">
        <v>12.27</v>
      </c>
      <c r="BA18" s="63"/>
      <c r="BB18" s="63"/>
      <c r="BC18" s="63"/>
      <c r="BD18" s="63"/>
      <c r="BE18" s="63"/>
      <c r="BF18" s="101">
        <v>93.9</v>
      </c>
      <c r="BG18" s="93" t="s">
        <v>193</v>
      </c>
      <c r="BH18" s="93">
        <v>125</v>
      </c>
      <c r="BI18" s="93">
        <v>106.6</v>
      </c>
      <c r="BJ18" s="94">
        <f t="shared" si="1"/>
        <v>8.9203945999999981</v>
      </c>
      <c r="BK18" s="101">
        <v>184.7</v>
      </c>
      <c r="BL18" s="93" t="s">
        <v>194</v>
      </c>
      <c r="BM18" s="93">
        <v>225</v>
      </c>
      <c r="BN18" s="93">
        <v>207.8</v>
      </c>
      <c r="BO18" s="94">
        <f t="shared" si="2"/>
        <v>33.896959400000014</v>
      </c>
      <c r="BP18" s="101">
        <v>300.3</v>
      </c>
      <c r="BQ18" s="93" t="s">
        <v>195</v>
      </c>
      <c r="BR18" s="93">
        <v>400</v>
      </c>
      <c r="BS18" s="93">
        <v>381.2</v>
      </c>
      <c r="BT18" s="94">
        <f t="shared" si="3"/>
        <v>114.07105039999999</v>
      </c>
      <c r="BU18" s="39">
        <v>65.8</v>
      </c>
      <c r="BV18" s="40" t="s">
        <v>196</v>
      </c>
      <c r="BW18" s="40">
        <v>75</v>
      </c>
      <c r="BX18" s="103">
        <v>65.8</v>
      </c>
      <c r="BY18" s="111">
        <f t="shared" si="5"/>
        <v>3.3987673999999997</v>
      </c>
    </row>
    <row r="19" spans="1:77" ht="15.75" thickBot="1" x14ac:dyDescent="0.3">
      <c r="T19" s="74">
        <v>15</v>
      </c>
      <c r="U19" s="75">
        <v>20</v>
      </c>
      <c r="W19" s="92">
        <v>34</v>
      </c>
      <c r="X19" s="93" t="s">
        <v>188</v>
      </c>
      <c r="Y19" s="40">
        <v>36</v>
      </c>
      <c r="Z19" s="93">
        <v>34</v>
      </c>
      <c r="AA19" s="97">
        <v>1.02</v>
      </c>
      <c r="AB19" s="110"/>
      <c r="AC19" s="110"/>
      <c r="AD19" s="110"/>
      <c r="AE19" s="110"/>
      <c r="AF19" s="110"/>
      <c r="AG19" s="115">
        <v>51.6</v>
      </c>
      <c r="AH19" s="93" t="s">
        <v>189</v>
      </c>
      <c r="AI19" s="40">
        <v>50</v>
      </c>
      <c r="AJ19" s="93">
        <v>51.6</v>
      </c>
      <c r="AK19" s="94">
        <f t="shared" si="6"/>
        <v>2.0901095999999999</v>
      </c>
      <c r="AL19" s="92">
        <v>69.7</v>
      </c>
      <c r="AM19" s="53" t="s">
        <v>190</v>
      </c>
      <c r="AN19" s="40">
        <v>76.099999999999994</v>
      </c>
      <c r="AO19" s="96">
        <v>69.7</v>
      </c>
      <c r="AP19" s="97">
        <v>3.81</v>
      </c>
      <c r="AQ19" s="100">
        <v>81.7</v>
      </c>
      <c r="AR19" s="62" t="s">
        <v>191</v>
      </c>
      <c r="AS19" s="103">
        <v>88.9</v>
      </c>
      <c r="AT19" s="98">
        <v>81.7</v>
      </c>
      <c r="AU19" s="116">
        <v>5.24</v>
      </c>
      <c r="AV19" s="92">
        <v>125</v>
      </c>
      <c r="AW19" s="93" t="s">
        <v>192</v>
      </c>
      <c r="AX19" s="93">
        <v>133</v>
      </c>
      <c r="AY19" s="95">
        <v>125</v>
      </c>
      <c r="AZ19" s="94">
        <v>12.27</v>
      </c>
      <c r="BA19" s="63"/>
      <c r="BB19" s="63"/>
      <c r="BC19" s="63"/>
      <c r="BD19" s="63"/>
      <c r="BE19" s="63"/>
      <c r="BF19" s="101">
        <v>106.6</v>
      </c>
      <c r="BG19" s="93" t="s">
        <v>193</v>
      </c>
      <c r="BH19" s="93">
        <v>125</v>
      </c>
      <c r="BI19" s="93">
        <v>106.6</v>
      </c>
      <c r="BJ19" s="94">
        <f t="shared" si="1"/>
        <v>8.9203945999999981</v>
      </c>
      <c r="BK19" s="101">
        <v>207.8</v>
      </c>
      <c r="BL19" s="93" t="s">
        <v>194</v>
      </c>
      <c r="BM19" s="93">
        <v>225</v>
      </c>
      <c r="BN19" s="93">
        <v>207.8</v>
      </c>
      <c r="BO19" s="94">
        <f t="shared" si="2"/>
        <v>33.896959400000014</v>
      </c>
      <c r="BP19" s="113">
        <v>381.2</v>
      </c>
      <c r="BQ19" s="107" t="s">
        <v>195</v>
      </c>
      <c r="BR19" s="107">
        <v>400</v>
      </c>
      <c r="BS19" s="107">
        <v>381.2</v>
      </c>
      <c r="BT19" s="114">
        <f t="shared" si="3"/>
        <v>114.07105039999999</v>
      </c>
      <c r="BU19" s="43">
        <v>65.900000000000006</v>
      </c>
      <c r="BV19" s="44" t="s">
        <v>196</v>
      </c>
      <c r="BW19" s="44">
        <v>75</v>
      </c>
      <c r="BX19" s="117">
        <v>65.8</v>
      </c>
      <c r="BY19" s="118">
        <f t="shared" si="5"/>
        <v>3.3987673999999997</v>
      </c>
    </row>
    <row r="20" spans="1:77" x14ac:dyDescent="0.25">
      <c r="W20" s="100">
        <v>34.1</v>
      </c>
      <c r="X20" s="96" t="s">
        <v>197</v>
      </c>
      <c r="Y20" s="103">
        <v>40</v>
      </c>
      <c r="Z20" s="96">
        <v>38</v>
      </c>
      <c r="AA20" s="97">
        <v>1.26</v>
      </c>
      <c r="AB20" s="53"/>
      <c r="AC20" s="53"/>
      <c r="AD20" s="53"/>
      <c r="AE20" s="135" t="s">
        <v>198</v>
      </c>
      <c r="AF20" s="135"/>
      <c r="AG20" s="109">
        <v>51.7</v>
      </c>
      <c r="AH20" s="93" t="s">
        <v>199</v>
      </c>
      <c r="AI20" s="40">
        <v>63</v>
      </c>
      <c r="AJ20" s="93">
        <v>61.4</v>
      </c>
      <c r="AK20" s="94">
        <f t="shared" si="6"/>
        <v>2.9594186000000002</v>
      </c>
      <c r="AL20" s="92">
        <v>70</v>
      </c>
      <c r="AM20" s="62" t="s">
        <v>161</v>
      </c>
      <c r="AN20" s="103">
        <v>88.9</v>
      </c>
      <c r="AO20" s="96">
        <v>82.5</v>
      </c>
      <c r="AP20" s="94">
        <v>5.34</v>
      </c>
      <c r="AQ20" s="100">
        <v>81.8</v>
      </c>
      <c r="AR20" s="62" t="s">
        <v>200</v>
      </c>
      <c r="AS20" s="103">
        <v>101.6</v>
      </c>
      <c r="AT20" s="98">
        <v>93.6</v>
      </c>
      <c r="AU20" s="116">
        <v>6.88</v>
      </c>
      <c r="AV20" s="92">
        <v>125.1</v>
      </c>
      <c r="AW20" s="93" t="s">
        <v>201</v>
      </c>
      <c r="AX20" s="93">
        <v>139.69999999999999</v>
      </c>
      <c r="AY20" s="95">
        <v>131.69999999999999</v>
      </c>
      <c r="AZ20" s="94">
        <v>13.62</v>
      </c>
      <c r="BA20" s="63"/>
      <c r="BB20" s="63"/>
      <c r="BC20" s="63"/>
      <c r="BD20" s="63"/>
      <c r="BE20" s="63"/>
      <c r="BF20" s="101">
        <v>106.7</v>
      </c>
      <c r="BG20" s="93" t="s">
        <v>202</v>
      </c>
      <c r="BH20" s="93">
        <v>140</v>
      </c>
      <c r="BI20" s="93">
        <v>121.4</v>
      </c>
      <c r="BJ20" s="94">
        <f t="shared" si="1"/>
        <v>11.5692986</v>
      </c>
      <c r="BK20" s="101">
        <v>207.9</v>
      </c>
      <c r="BL20" s="93" t="s">
        <v>203</v>
      </c>
      <c r="BM20" s="93">
        <v>250</v>
      </c>
      <c r="BN20" s="93">
        <v>230.8</v>
      </c>
      <c r="BO20" s="94">
        <f t="shared" si="2"/>
        <v>41.815882400000007</v>
      </c>
    </row>
    <row r="21" spans="1:77" x14ac:dyDescent="0.25">
      <c r="G21" s="2" t="s">
        <v>0</v>
      </c>
      <c r="W21" s="100">
        <v>38</v>
      </c>
      <c r="X21" s="96" t="s">
        <v>197</v>
      </c>
      <c r="Y21" s="103">
        <v>40</v>
      </c>
      <c r="Z21" s="96">
        <v>38</v>
      </c>
      <c r="AA21" s="97">
        <v>1.26</v>
      </c>
      <c r="AB21" s="53"/>
      <c r="AC21" s="53"/>
      <c r="AD21" s="53"/>
      <c r="AE21" s="53" t="s">
        <v>84</v>
      </c>
      <c r="AF21" s="53"/>
      <c r="AG21" s="109">
        <v>61.4</v>
      </c>
      <c r="AH21" s="93" t="s">
        <v>199</v>
      </c>
      <c r="AI21" s="40">
        <v>63</v>
      </c>
      <c r="AJ21" s="93">
        <v>61.4</v>
      </c>
      <c r="AK21" s="94">
        <f t="shared" si="6"/>
        <v>2.9594186000000002</v>
      </c>
      <c r="AL21" s="100">
        <v>82.5</v>
      </c>
      <c r="AM21" s="62" t="s">
        <v>161</v>
      </c>
      <c r="AN21" s="103">
        <v>88.9</v>
      </c>
      <c r="AO21" s="96">
        <v>82.5</v>
      </c>
      <c r="AP21" s="94">
        <v>5.34</v>
      </c>
      <c r="AQ21" s="100">
        <v>93.6</v>
      </c>
      <c r="AR21" s="62" t="s">
        <v>200</v>
      </c>
      <c r="AS21" s="103">
        <v>101.6</v>
      </c>
      <c r="AT21" s="98">
        <v>93.6</v>
      </c>
      <c r="AU21" s="116">
        <v>6.88</v>
      </c>
      <c r="AV21" s="92">
        <v>131.69999999999999</v>
      </c>
      <c r="AW21" s="93" t="s">
        <v>201</v>
      </c>
      <c r="AX21" s="93">
        <v>139.69999999999999</v>
      </c>
      <c r="AY21" s="95">
        <v>131.69999999999999</v>
      </c>
      <c r="AZ21" s="94">
        <v>13.62</v>
      </c>
      <c r="BA21" s="63"/>
      <c r="BB21" s="63"/>
      <c r="BC21" s="63"/>
      <c r="BD21" s="63"/>
      <c r="BE21" s="63"/>
      <c r="BF21" s="101">
        <v>121.4</v>
      </c>
      <c r="BG21" s="93" t="s">
        <v>202</v>
      </c>
      <c r="BH21" s="93">
        <v>140</v>
      </c>
      <c r="BI21" s="93">
        <v>121.4</v>
      </c>
      <c r="BJ21" s="94">
        <f t="shared" si="1"/>
        <v>11.5692986</v>
      </c>
      <c r="BK21" s="101">
        <v>230.8</v>
      </c>
      <c r="BL21" s="93" t="s">
        <v>203</v>
      </c>
      <c r="BM21" s="93">
        <v>250</v>
      </c>
      <c r="BN21" s="93">
        <v>230.8</v>
      </c>
      <c r="BO21" s="94">
        <f t="shared" si="2"/>
        <v>41.815882400000007</v>
      </c>
    </row>
    <row r="22" spans="1:77" ht="15.75" thickBot="1" x14ac:dyDescent="0.3">
      <c r="W22" s="100">
        <v>38.1</v>
      </c>
      <c r="X22" s="96" t="s">
        <v>204</v>
      </c>
      <c r="Y22" s="103">
        <v>42</v>
      </c>
      <c r="Z22" s="96">
        <v>40</v>
      </c>
      <c r="AA22" s="97">
        <v>1.38</v>
      </c>
      <c r="AB22" s="53"/>
      <c r="AC22" s="53"/>
      <c r="AD22" s="53"/>
      <c r="AE22" s="53" t="s">
        <v>85</v>
      </c>
      <c r="AF22" s="53"/>
      <c r="AG22" s="109">
        <v>61.5</v>
      </c>
      <c r="AH22" s="93" t="s">
        <v>205</v>
      </c>
      <c r="AI22" s="40">
        <v>75</v>
      </c>
      <c r="AJ22" s="93">
        <v>73.599999999999994</v>
      </c>
      <c r="AK22" s="94">
        <f t="shared" si="6"/>
        <v>4.2523135999999999</v>
      </c>
      <c r="AL22" s="100">
        <v>82.6</v>
      </c>
      <c r="AM22" s="62" t="s">
        <v>171</v>
      </c>
      <c r="AN22" s="103">
        <v>101.6</v>
      </c>
      <c r="AO22" s="96">
        <v>94.4</v>
      </c>
      <c r="AP22" s="94">
        <v>7</v>
      </c>
      <c r="AQ22" s="92">
        <v>93.7</v>
      </c>
      <c r="AR22" s="62" t="s">
        <v>206</v>
      </c>
      <c r="AS22" s="103">
        <v>114.3</v>
      </c>
      <c r="AT22" s="98">
        <v>106.3</v>
      </c>
      <c r="AU22" s="116">
        <v>8.8699999999999992</v>
      </c>
      <c r="AV22" s="92">
        <v>131.80000000000001</v>
      </c>
      <c r="AW22" s="93" t="s">
        <v>207</v>
      </c>
      <c r="AX22" s="93">
        <v>159</v>
      </c>
      <c r="AY22" s="95">
        <v>150</v>
      </c>
      <c r="AZ22" s="94">
        <v>17.66</v>
      </c>
      <c r="BA22" s="63"/>
      <c r="BB22" s="63"/>
      <c r="BC22" s="63"/>
      <c r="BD22" s="63"/>
      <c r="BE22" s="63"/>
      <c r="BF22" s="101">
        <v>121.5</v>
      </c>
      <c r="BG22" s="93" t="s">
        <v>208</v>
      </c>
      <c r="BH22" s="93">
        <v>160</v>
      </c>
      <c r="BI22" s="93">
        <v>141</v>
      </c>
      <c r="BJ22" s="94">
        <f t="shared" si="1"/>
        <v>15.606584999999999</v>
      </c>
      <c r="BK22" s="101">
        <v>230.9</v>
      </c>
      <c r="BL22" s="93" t="s">
        <v>209</v>
      </c>
      <c r="BM22" s="93">
        <v>315</v>
      </c>
      <c r="BN22" s="93">
        <v>290.8</v>
      </c>
      <c r="BO22" s="94">
        <f t="shared" si="2"/>
        <v>66.3832424</v>
      </c>
      <c r="BT22" s="53"/>
      <c r="BU22" s="40"/>
      <c r="BV22" s="40"/>
      <c r="BW22" s="40"/>
      <c r="BX22" s="40"/>
      <c r="BY22" s="119"/>
    </row>
    <row r="23" spans="1:77" ht="15.75" thickBot="1" x14ac:dyDescent="0.3">
      <c r="O23" s="28" t="str">
        <f>"A"&amp;MATCH(INDEX($A:$B,MATCH(B25,$A:$A,0),1),$A:$A,0)+1&amp;":"&amp;"A"&amp;37</f>
        <v>A27:A37</v>
      </c>
      <c r="W23" s="100">
        <v>40</v>
      </c>
      <c r="X23" s="96" t="s">
        <v>204</v>
      </c>
      <c r="Y23" s="103">
        <v>42</v>
      </c>
      <c r="Z23" s="96">
        <v>40</v>
      </c>
      <c r="AA23" s="97">
        <v>1.38</v>
      </c>
      <c r="AB23" s="53"/>
      <c r="AC23" s="53"/>
      <c r="AD23" s="53"/>
      <c r="AE23" s="53" t="s">
        <v>86</v>
      </c>
      <c r="AF23" s="53"/>
      <c r="AG23" s="120">
        <v>73.599999999999994</v>
      </c>
      <c r="AH23" s="107" t="s">
        <v>205</v>
      </c>
      <c r="AI23" s="44">
        <v>75</v>
      </c>
      <c r="AJ23" s="107">
        <v>73.599999999999994</v>
      </c>
      <c r="AK23" s="114">
        <f t="shared" si="6"/>
        <v>4.2523135999999999</v>
      </c>
      <c r="AL23" s="100">
        <v>94.4</v>
      </c>
      <c r="AM23" s="62" t="s">
        <v>171</v>
      </c>
      <c r="AN23" s="103">
        <v>101.6</v>
      </c>
      <c r="AO23" s="96">
        <v>94.4</v>
      </c>
      <c r="AP23" s="94">
        <v>7</v>
      </c>
      <c r="AQ23" s="121">
        <v>106.3</v>
      </c>
      <c r="AR23" s="56" t="s">
        <v>206</v>
      </c>
      <c r="AS23" s="44">
        <v>114.3</v>
      </c>
      <c r="AT23" s="122">
        <v>106.3</v>
      </c>
      <c r="AU23" s="123">
        <v>8.8699999999999992</v>
      </c>
      <c r="AV23" s="92">
        <v>150</v>
      </c>
      <c r="AW23" s="93" t="s">
        <v>207</v>
      </c>
      <c r="AX23" s="93">
        <v>159</v>
      </c>
      <c r="AY23" s="95">
        <v>150</v>
      </c>
      <c r="AZ23" s="94">
        <v>17.66</v>
      </c>
      <c r="BA23" s="63"/>
      <c r="BB23" s="63"/>
      <c r="BC23" s="63"/>
      <c r="BD23" s="63"/>
      <c r="BE23" s="63"/>
      <c r="BF23" s="101">
        <v>141</v>
      </c>
      <c r="BG23" s="93" t="s">
        <v>208</v>
      </c>
      <c r="BH23" s="93">
        <v>160</v>
      </c>
      <c r="BI23" s="93">
        <v>141</v>
      </c>
      <c r="BJ23" s="94">
        <f t="shared" si="1"/>
        <v>15.606584999999999</v>
      </c>
      <c r="BK23" s="101">
        <v>290.8</v>
      </c>
      <c r="BL23" s="93" t="s">
        <v>209</v>
      </c>
      <c r="BM23" s="93">
        <v>315</v>
      </c>
      <c r="BN23" s="93">
        <v>290.8</v>
      </c>
      <c r="BO23" s="94">
        <f t="shared" si="2"/>
        <v>66.3832424</v>
      </c>
      <c r="BT23" s="53"/>
      <c r="BU23" s="40"/>
      <c r="BV23" s="40"/>
      <c r="BW23" s="40"/>
      <c r="BX23" s="40"/>
      <c r="BY23" s="119"/>
    </row>
    <row r="24" spans="1:77" ht="15.75" thickBot="1" x14ac:dyDescent="0.3">
      <c r="C24" s="4"/>
      <c r="T24" s="24" t="s">
        <v>33</v>
      </c>
      <c r="W24" s="100">
        <v>40.1</v>
      </c>
      <c r="X24" s="96" t="s">
        <v>210</v>
      </c>
      <c r="Y24" s="103">
        <v>52</v>
      </c>
      <c r="Z24" s="96">
        <v>50</v>
      </c>
      <c r="AA24" s="97">
        <v>2.12</v>
      </c>
      <c r="AB24" s="53"/>
      <c r="AC24" s="53"/>
      <c r="AD24" s="53"/>
      <c r="AE24" s="53" t="s">
        <v>87</v>
      </c>
      <c r="AF24" s="53"/>
      <c r="AG24" s="93"/>
      <c r="AH24" s="93"/>
      <c r="AI24" s="93"/>
      <c r="AJ24" s="93"/>
      <c r="AK24" s="93"/>
      <c r="AL24" s="92">
        <v>94.5</v>
      </c>
      <c r="AM24" s="62" t="s">
        <v>182</v>
      </c>
      <c r="AN24" s="103">
        <v>114.3</v>
      </c>
      <c r="AO24" s="96">
        <v>107.1</v>
      </c>
      <c r="AP24" s="94">
        <v>9</v>
      </c>
      <c r="AV24" s="92">
        <v>150.1</v>
      </c>
      <c r="AW24" s="93" t="s">
        <v>211</v>
      </c>
      <c r="AX24" s="93">
        <v>168.3</v>
      </c>
      <c r="AY24" s="95">
        <v>159.30000000000001</v>
      </c>
      <c r="AZ24" s="94">
        <v>19.920000000000002</v>
      </c>
      <c r="BA24" s="63"/>
      <c r="BB24" s="63"/>
      <c r="BC24" s="63"/>
      <c r="BD24" s="63"/>
      <c r="BE24" s="63"/>
      <c r="BF24" s="101">
        <v>141.1</v>
      </c>
      <c r="BG24" s="93" t="s">
        <v>212</v>
      </c>
      <c r="BH24" s="93">
        <v>200</v>
      </c>
      <c r="BI24" s="93">
        <v>176.2</v>
      </c>
      <c r="BJ24" s="94">
        <f t="shared" si="1"/>
        <v>24.371455399999995</v>
      </c>
      <c r="BK24" s="113">
        <v>369.4</v>
      </c>
      <c r="BL24" s="107" t="s">
        <v>213</v>
      </c>
      <c r="BM24" s="107">
        <v>400</v>
      </c>
      <c r="BN24" s="107">
        <v>369.4</v>
      </c>
      <c r="BO24" s="114">
        <f t="shared" si="2"/>
        <v>107.1182426</v>
      </c>
      <c r="BT24" s="53"/>
      <c r="BU24" s="103"/>
      <c r="BV24" s="40"/>
      <c r="BW24" s="40"/>
      <c r="BX24" s="40"/>
      <c r="BY24" s="119"/>
    </row>
    <row r="25" spans="1:77" ht="15.75" thickBot="1" x14ac:dyDescent="0.3">
      <c r="A25" t="s">
        <v>0</v>
      </c>
      <c r="B25" t="s">
        <v>1</v>
      </c>
      <c r="C25" s="4">
        <f>VLOOKUP(A25,Feuil2!$A$1:$B$16,2,FALSE)</f>
        <v>1</v>
      </c>
      <c r="D25" s="4">
        <f>VLOOKUP(B25,Feuil2!$A$1:$B$16,2,FALSE)</f>
        <v>2</v>
      </c>
      <c r="E25">
        <f>IFERROR(IF(INDEX($A:$B,MATCH(B25,$A:$A,0),1)&lt;&gt;0,1,0),"point d'eau")</f>
        <v>1</v>
      </c>
      <c r="F25" s="17">
        <v>2.46</v>
      </c>
      <c r="G25" t="str">
        <f>IFERROR(INDEX($A:$B,MATCH(B25,$A:$A,0),1),"point d'eau")</f>
        <v>B</v>
      </c>
      <c r="H25" s="15" t="s">
        <v>1</v>
      </c>
      <c r="I25" s="15" t="s">
        <v>0</v>
      </c>
      <c r="J25" s="15" t="str">
        <f>IFERROR(VLOOKUP(H25,$I:$I,1,FALSE),"point d'eau")</f>
        <v>B</v>
      </c>
      <c r="K25">
        <f>COUNTIF($A:$A,INDEX($A:$B,MATCH(B25,$A:$A,0),1))</f>
        <v>3</v>
      </c>
      <c r="L25" t="str">
        <f>IFERROR(ADDRESS(MATCH(INDEX($A:$B,MATCH(B25,$A:$A,0),1),$A:$A,0),1,1),"point d'eau")</f>
        <v>$A$26</v>
      </c>
      <c r="M25" s="3" t="str">
        <f ca="1">IFERROR(INDIRECT(L25),"point d'eau")</f>
        <v>B</v>
      </c>
      <c r="N25" s="8">
        <f>IFERROR(INDEX($A:$F,MATCH(O25,$A:$A,0),6),"point d'eau")</f>
        <v>1.23</v>
      </c>
      <c r="O25" s="3" t="str">
        <f>IFERROR(INDEX(A:A,MATCH(INDEX($A:$B,MATCH(B25,$A:$A,0),1),$A:$A,0)),"point d'eau")</f>
        <v>B</v>
      </c>
      <c r="P25" s="3">
        <f>IFERROR(MATCH(INDEX($A:$B,MATCH(B25,$A:$A,0),1),$A:$A,0),"point d'eau")</f>
        <v>26</v>
      </c>
      <c r="Q25" s="25" t="str">
        <f ca="1">IFERROR(INDEX(OFFSET($A$1,CELL("contenu",P25),0,11),MATCH(INDIRECT(L25),OFFSET($A$1,CELL("contenu",P25),0,11),0),1),"point d'eau")</f>
        <v>B</v>
      </c>
      <c r="R25" s="25">
        <f ca="1">IFERROR(MATCH(INDEX(OFFSET($A$1,CELL("contenu",P25),0,11),MATCH(INDIRECT(L25),OFFSET($A$1,CELL("contenu",P25),0,11),0),1),OFFSET($A$1,CELL("contenu",P25),0,11),0),"point d'eau")</f>
        <v>11</v>
      </c>
      <c r="S25" s="8">
        <f ca="1">IFERROR(INDEX(OFFSET($A$1,CELL("contenu",P25),0,11,6),MATCH(Q25,OFFSET($A$1,CELL("contenu",P25),0,11),0),6),"point d'eau")</f>
        <v>1.23</v>
      </c>
      <c r="T25" s="26">
        <f ca="1">SUM(N25,S25)</f>
        <v>2.46</v>
      </c>
      <c r="W25" s="121">
        <v>50</v>
      </c>
      <c r="X25" s="124" t="s">
        <v>210</v>
      </c>
      <c r="Y25" s="117">
        <v>52</v>
      </c>
      <c r="Z25" s="124">
        <v>50</v>
      </c>
      <c r="AA25" s="125">
        <v>2.12</v>
      </c>
      <c r="AB25" s="53"/>
      <c r="AC25" s="53"/>
      <c r="AD25" s="53"/>
      <c r="AE25" s="62" t="s">
        <v>88</v>
      </c>
      <c r="AF25" s="53"/>
      <c r="AG25" s="126"/>
      <c r="AH25" s="93"/>
      <c r="AI25" s="93"/>
      <c r="AJ25" s="93"/>
      <c r="AK25" s="93"/>
      <c r="AL25" s="121">
        <v>107.1</v>
      </c>
      <c r="AM25" s="56" t="s">
        <v>182</v>
      </c>
      <c r="AN25" s="44">
        <v>114.3</v>
      </c>
      <c r="AO25" s="124">
        <v>107.1</v>
      </c>
      <c r="AP25" s="114">
        <v>9</v>
      </c>
      <c r="AV25" s="92">
        <v>159.30000000000001</v>
      </c>
      <c r="AW25" s="93" t="s">
        <v>211</v>
      </c>
      <c r="AX25" s="93">
        <v>168.3</v>
      </c>
      <c r="AY25" s="95">
        <v>159.30000000000001</v>
      </c>
      <c r="AZ25" s="94">
        <v>19.920000000000002</v>
      </c>
      <c r="BA25" s="63"/>
      <c r="BB25" s="63"/>
      <c r="BC25" s="63"/>
      <c r="BD25" s="63"/>
      <c r="BE25" s="63"/>
      <c r="BF25" s="101">
        <v>176.2</v>
      </c>
      <c r="BG25" s="93" t="s">
        <v>212</v>
      </c>
      <c r="BH25" s="93">
        <v>200</v>
      </c>
      <c r="BI25" s="93">
        <v>176.2</v>
      </c>
      <c r="BJ25" s="94">
        <f t="shared" si="1"/>
        <v>24.371455399999995</v>
      </c>
      <c r="BK25" s="63"/>
      <c r="BL25" s="63"/>
      <c r="BM25" s="63"/>
      <c r="BN25" s="63"/>
      <c r="BO25" s="63"/>
      <c r="BT25" s="53"/>
      <c r="BU25" s="40"/>
      <c r="BV25" s="40"/>
      <c r="BW25" s="40"/>
      <c r="BX25" s="40"/>
      <c r="BY25" s="119"/>
    </row>
    <row r="26" spans="1:77" x14ac:dyDescent="0.25">
      <c r="A26" t="s">
        <v>1</v>
      </c>
      <c r="B26" t="s">
        <v>2</v>
      </c>
      <c r="C26" s="4">
        <f>VLOOKUP(A26,Feuil2!$A$1:$B$16,2,FALSE)</f>
        <v>2</v>
      </c>
      <c r="D26" s="4">
        <f>VLOOKUP(B26,Feuil2!$A$1:$B$16,2,FALSE)</f>
        <v>3</v>
      </c>
      <c r="E26">
        <f t="shared" ref="E26:E38" si="7">IFERROR(IF(INDEX($A:$B,MATCH(B26,$A:$A,0),1)&lt;&gt;0,1,0),"point d'eau")</f>
        <v>1</v>
      </c>
      <c r="F26" s="17">
        <v>1.23</v>
      </c>
      <c r="G26" t="str">
        <f>IFERROR(INDEX($A:$B,MATCH(B26,B:B,0),1),"point d'eau")</f>
        <v>B</v>
      </c>
      <c r="H26" s="15" t="s">
        <v>2</v>
      </c>
      <c r="I26" s="15" t="s">
        <v>1</v>
      </c>
      <c r="J26" s="15" t="str">
        <f t="shared" ref="J26:J36" si="8">IFERROR(VLOOKUP(H26,$I:$I,1,FALSE),"point d'eau")</f>
        <v>C</v>
      </c>
      <c r="K26">
        <f t="shared" ref="K26:K38" si="9">COUNTIF($A:$A,INDEX($A:$B,MATCH(B26,$A:$A,0),1))</f>
        <v>2</v>
      </c>
      <c r="L26" t="str">
        <f t="shared" ref="L26:L38" si="10">IFERROR(ADDRESS(MATCH(INDEX($A:$B,MATCH(B26,$A:$A,0),1),$A:$A,0),1,1),"point d'eau")</f>
        <v>$A$27</v>
      </c>
      <c r="M26" s="3" t="str">
        <f t="shared" ref="M26:M38" ca="1" si="11">IFERROR(INDIRECT(L26),"point d'eau")</f>
        <v>C</v>
      </c>
      <c r="N26" s="8">
        <f t="shared" ref="N26:N38" si="12">IFERROR(INDEX($A:$F,MATCH(O26,$A:$A,0),6),"point d'eau")</f>
        <v>0.5</v>
      </c>
      <c r="O26" s="3" t="str">
        <f t="shared" ref="O26:O38" si="13">IFERROR(INDEX(A:A,MATCH(INDEX($A:$B,MATCH(B26,$A:$A,0),1),$A:$A,0)),"point d'eau")</f>
        <v>C</v>
      </c>
      <c r="P26" s="3">
        <f t="shared" ref="P26:P38" si="14">IFERROR(MATCH(INDEX($A:$B,MATCH(B26,$A:$A,0),1),$A:$A,0),"point d'eau")</f>
        <v>27</v>
      </c>
      <c r="Q26" s="25" t="str">
        <f t="shared" ref="Q26:Q38" ca="1" si="15">IFERROR(INDEX(OFFSET($A$1,CELL("contenu",P26),0,11),MATCH(INDIRECT(L26),OFFSET($A$1,CELL("contenu",P26),0,11),0),1),"point d'eau")</f>
        <v>C</v>
      </c>
      <c r="R26" s="25">
        <f t="shared" ref="R26:R38" ca="1" si="16">IFERROR(MATCH(INDEX(OFFSET($A$1,CELL("contenu",P26),0,11),MATCH(INDIRECT(L26),OFFSET($A$1,CELL("contenu",P26),0,11),0),1),OFFSET($A$1,CELL("contenu",P26),0,11),0),"point d'eau")</f>
        <v>5</v>
      </c>
      <c r="S26" s="8">
        <f t="shared" ref="S26:S38" ca="1" si="17">IFERROR(INDEX(OFFSET($A$1,CELL("contenu",P26),0,11,6),MATCH(Q26,OFFSET($A$1,CELL("contenu",P26),0,11),0),6),"point d'eau")</f>
        <v>0.73</v>
      </c>
      <c r="T26" s="27">
        <f ca="1">SUM(N26,S26)</f>
        <v>1.23</v>
      </c>
      <c r="W26" s="63"/>
      <c r="X26" s="63"/>
      <c r="Y26" s="63"/>
      <c r="Z26" s="63"/>
      <c r="AA26" s="63"/>
      <c r="AB26" s="53"/>
      <c r="AC26" s="53"/>
      <c r="AD26" s="53"/>
      <c r="AE26" s="62" t="s">
        <v>89</v>
      </c>
      <c r="AF26" s="53"/>
      <c r="AG26" s="126"/>
      <c r="AH26" s="93"/>
      <c r="AI26" s="93"/>
      <c r="AJ26" s="93"/>
      <c r="AK26" s="93"/>
      <c r="AL26" s="127"/>
      <c r="AV26" s="92">
        <v>159.4</v>
      </c>
      <c r="AW26" s="93" t="s">
        <v>214</v>
      </c>
      <c r="AX26" s="93">
        <v>193.7</v>
      </c>
      <c r="AY26" s="95">
        <v>182.9</v>
      </c>
      <c r="AZ26" s="94">
        <v>26.26</v>
      </c>
      <c r="BA26" s="63"/>
      <c r="BB26" s="63"/>
      <c r="BC26" s="63"/>
      <c r="BD26" s="63"/>
      <c r="BE26" s="63"/>
      <c r="BF26" s="101">
        <v>176.3</v>
      </c>
      <c r="BG26" s="93" t="s">
        <v>215</v>
      </c>
      <c r="BH26" s="93">
        <v>225</v>
      </c>
      <c r="BI26" s="93">
        <v>198.2</v>
      </c>
      <c r="BJ26" s="94">
        <f t="shared" si="1"/>
        <v>30.837343399999998</v>
      </c>
      <c r="BK26" s="63"/>
      <c r="BL26" s="63"/>
      <c r="BM26" s="63"/>
      <c r="BN26" s="63"/>
      <c r="BO26" s="63"/>
      <c r="BT26" s="53"/>
      <c r="BU26" s="103"/>
      <c r="BV26" s="40"/>
      <c r="BW26" s="40"/>
      <c r="BX26" s="40"/>
      <c r="BY26" s="119"/>
    </row>
    <row r="27" spans="1:77" x14ac:dyDescent="0.25">
      <c r="A27" t="s">
        <v>2</v>
      </c>
      <c r="B27" t="s">
        <v>3</v>
      </c>
      <c r="C27" s="4">
        <f>VLOOKUP(A27,Feuil2!$A$1:$B$16,2,FALSE)</f>
        <v>3</v>
      </c>
      <c r="D27" s="4">
        <f>VLOOKUP(B27,Feuil2!$A$1:$B$16,2,FALSE)</f>
        <v>4</v>
      </c>
      <c r="E27">
        <f t="shared" si="7"/>
        <v>1</v>
      </c>
      <c r="F27" s="17">
        <v>0.5</v>
      </c>
      <c r="G27" t="str">
        <f t="shared" ref="G27:G38" si="18">IFERROR(INDEX($A:$B,MATCH(B27,B:B,0),1),"point d'eau")</f>
        <v>C</v>
      </c>
      <c r="H27" s="15" t="s">
        <v>3</v>
      </c>
      <c r="I27" s="15" t="s">
        <v>2</v>
      </c>
      <c r="J27" s="15" t="str">
        <f t="shared" si="8"/>
        <v>D</v>
      </c>
      <c r="K27">
        <f t="shared" si="9"/>
        <v>2</v>
      </c>
      <c r="L27" t="str">
        <f t="shared" si="10"/>
        <v>$A$28</v>
      </c>
      <c r="M27" s="3" t="str">
        <f t="shared" ca="1" si="11"/>
        <v>D</v>
      </c>
      <c r="N27" s="8">
        <f t="shared" si="12"/>
        <v>0.3</v>
      </c>
      <c r="O27" s="3" t="str">
        <f t="shared" si="13"/>
        <v>D</v>
      </c>
      <c r="P27" s="3">
        <f t="shared" si="14"/>
        <v>28</v>
      </c>
      <c r="Q27" s="25" t="str">
        <f t="shared" ca="1" si="15"/>
        <v>D</v>
      </c>
      <c r="R27" s="25">
        <f t="shared" ca="1" si="16"/>
        <v>3</v>
      </c>
      <c r="S27" s="8">
        <f t="shared" ca="1" si="17"/>
        <v>0.2</v>
      </c>
      <c r="T27" s="27">
        <f ca="1">SUM(N27,S27)</f>
        <v>0.5</v>
      </c>
      <c r="W27" s="32" t="s">
        <v>84</v>
      </c>
      <c r="X27" s="63"/>
      <c r="Y27" s="63"/>
      <c r="Z27" s="63"/>
      <c r="AA27" s="63"/>
      <c r="AB27" s="53"/>
      <c r="AC27" s="53"/>
      <c r="AD27" s="53"/>
      <c r="AE27" s="62" t="s">
        <v>90</v>
      </c>
      <c r="AF27" s="53"/>
      <c r="AG27" s="126"/>
      <c r="AH27" s="93"/>
      <c r="AI27" s="93"/>
      <c r="AJ27" s="93"/>
      <c r="AK27" s="93"/>
      <c r="AL27" s="98"/>
      <c r="AV27" s="92">
        <v>182.9</v>
      </c>
      <c r="AW27" s="93" t="s">
        <v>214</v>
      </c>
      <c r="AX27" s="93">
        <v>193.7</v>
      </c>
      <c r="AY27" s="95">
        <v>182.9</v>
      </c>
      <c r="AZ27" s="94">
        <v>26.26</v>
      </c>
      <c r="BA27" s="63"/>
      <c r="BB27" s="63"/>
      <c r="BC27" s="63"/>
      <c r="BD27" s="63"/>
      <c r="BE27" s="63"/>
      <c r="BF27" s="101">
        <v>198.2</v>
      </c>
      <c r="BG27" s="93" t="s">
        <v>215</v>
      </c>
      <c r="BH27" s="93">
        <v>225</v>
      </c>
      <c r="BI27" s="93">
        <v>198.2</v>
      </c>
      <c r="BJ27" s="94">
        <f t="shared" si="1"/>
        <v>30.837343399999998</v>
      </c>
      <c r="BK27" s="63"/>
      <c r="BL27" s="63"/>
      <c r="BM27" s="63"/>
      <c r="BN27" s="63"/>
      <c r="BO27" s="63"/>
      <c r="BT27" s="53"/>
      <c r="BU27" s="40"/>
      <c r="BV27" s="40"/>
      <c r="BW27" s="40"/>
      <c r="BX27" s="40"/>
      <c r="BY27" s="119"/>
    </row>
    <row r="28" spans="1:77" x14ac:dyDescent="0.25">
      <c r="A28" s="15" t="s">
        <v>3</v>
      </c>
      <c r="B28" s="14" t="s">
        <v>4</v>
      </c>
      <c r="C28" s="12">
        <f>VLOOKUP(A28,Feuil2!$A$1:$B$16,2,FALSE)</f>
        <v>4</v>
      </c>
      <c r="D28" s="12">
        <f>VLOOKUP(B28,Feuil2!$A$1:$B$16,2,FALSE)</f>
        <v>5</v>
      </c>
      <c r="E28">
        <f t="shared" si="7"/>
        <v>1</v>
      </c>
      <c r="F28" s="16">
        <v>0.3</v>
      </c>
      <c r="G28" t="str">
        <f t="shared" si="18"/>
        <v>D</v>
      </c>
      <c r="H28" s="15" t="s">
        <v>4</v>
      </c>
      <c r="I28" s="15" t="s">
        <v>3</v>
      </c>
      <c r="J28" s="15" t="str">
        <f t="shared" si="8"/>
        <v>E</v>
      </c>
      <c r="K28">
        <f t="shared" si="9"/>
        <v>2</v>
      </c>
      <c r="L28" t="str">
        <f t="shared" si="10"/>
        <v>$A$29</v>
      </c>
      <c r="M28" s="3" t="str">
        <f t="shared" ca="1" si="11"/>
        <v>E</v>
      </c>
      <c r="N28" s="8">
        <f t="shared" si="12"/>
        <v>0.2</v>
      </c>
      <c r="O28" s="3" t="str">
        <f t="shared" si="13"/>
        <v>E</v>
      </c>
      <c r="P28" s="3">
        <f t="shared" si="14"/>
        <v>29</v>
      </c>
      <c r="Q28" s="25" t="str">
        <f t="shared" ca="1" si="15"/>
        <v>E</v>
      </c>
      <c r="R28" s="25">
        <f t="shared" ca="1" si="16"/>
        <v>1</v>
      </c>
      <c r="S28" s="8">
        <f t="shared" ca="1" si="17"/>
        <v>0.1</v>
      </c>
      <c r="T28" s="27">
        <f ca="1">SUM(N28,S28)</f>
        <v>0.30000000000000004</v>
      </c>
      <c r="W28" s="32" t="s">
        <v>225</v>
      </c>
      <c r="X28" s="63" t="s">
        <v>247</v>
      </c>
      <c r="Y28" s="63">
        <f>IF(AND(X28&lt;&gt;"Bac à laver",X28&lt;&gt;"Baignoire 150l",X28&lt;&gt;"Baignoire 160l",X28&lt;&gt;"Baignoire 170l",X28&lt;&gt;"Baignoire 180l",X28&lt;&gt;"Baignoire 190l",X28&lt;&gt;"Baignoire 200l",X28&lt;&gt;"Baignoire 210l",X28&lt;&gt;"Baignoire 220l",X28&lt;&gt;"Baignoire 230l",X28&lt;&gt;"Baignoire 240l",X28&lt;&gt;"Baignoire 250l",X28&lt;&gt;"Bidet",X28&lt;&gt;"Douche",X28&lt;&gt;"Evier",X28&lt;&gt;"L.L.",X28&lt;&gt;"L.V.",X28&lt;&gt;"Lavabo",X28&lt;&gt;"Lavabo collectif",X28&lt;&gt;"Lave-mains",X28&lt;&gt;"Poste 1/2",X28&lt;&gt;"Poste 3/4",X28&lt;&gt;"Timbre d'office",X28&lt;&gt;"Urinoir action siphonique",X28&lt;&gt;"Urinoir robinet indiv.",X28&lt;&gt;"WC chasse (1 à 3)",X28&lt;&gt;"WC chasse (4 à 12)",X28&lt;&gt;"WC chasse (13 à 24)",X28&lt;&gt;"WC chasse (25 à 50)",X28&lt;&gt;"WC chasse ( + de 50)",X28&lt;&gt;"WC réservoir"),X28,1)</f>
        <v>1</v>
      </c>
      <c r="Z28" s="63" t="b">
        <f>ISNUMBER(X28)</f>
        <v>0</v>
      </c>
      <c r="AA28" s="63"/>
      <c r="AB28" s="53"/>
      <c r="AC28" s="53"/>
      <c r="AD28" s="53"/>
      <c r="AE28" s="62" t="s">
        <v>91</v>
      </c>
      <c r="AF28" s="53"/>
      <c r="AG28" s="93"/>
      <c r="AH28" s="93"/>
      <c r="AI28" s="93"/>
      <c r="AJ28" s="93"/>
      <c r="AK28" s="93"/>
      <c r="AL28" s="98"/>
      <c r="AV28" s="92">
        <v>183</v>
      </c>
      <c r="AW28" s="93" t="s">
        <v>216</v>
      </c>
      <c r="AX28" s="93">
        <v>219.1</v>
      </c>
      <c r="AY28" s="95">
        <v>207.3</v>
      </c>
      <c r="AZ28" s="94">
        <v>33.729999999999997</v>
      </c>
      <c r="BA28" s="63"/>
      <c r="BB28" s="63"/>
      <c r="BC28" s="63"/>
      <c r="BD28" s="63"/>
      <c r="BE28" s="63"/>
      <c r="BF28" s="101">
        <v>198.3</v>
      </c>
      <c r="BG28" s="93" t="s">
        <v>217</v>
      </c>
      <c r="BH28" s="93">
        <v>250</v>
      </c>
      <c r="BI28" s="93">
        <v>220.4</v>
      </c>
      <c r="BJ28" s="94">
        <f t="shared" si="1"/>
        <v>38.13228560000001</v>
      </c>
      <c r="BK28" s="63"/>
      <c r="BL28" s="63"/>
      <c r="BM28" s="63"/>
      <c r="BN28" s="63"/>
      <c r="BO28" s="63"/>
      <c r="BT28" s="53"/>
      <c r="BU28" s="103"/>
      <c r="BV28" s="40"/>
      <c r="BW28" s="40"/>
      <c r="BX28" s="40"/>
      <c r="BY28" s="119"/>
    </row>
    <row r="29" spans="1:77" x14ac:dyDescent="0.25">
      <c r="A29" s="15" t="s">
        <v>4</v>
      </c>
      <c r="B29" s="14" t="s">
        <v>5</v>
      </c>
      <c r="C29" s="13">
        <f>VLOOKUP(A29,Feuil2!$A$1:$B$16,2,FALSE)</f>
        <v>5</v>
      </c>
      <c r="D29" s="13">
        <f>VLOOKUP(B29,Feuil2!$A$1:$B$16,2,FALSE)</f>
        <v>6</v>
      </c>
      <c r="E29" t="str">
        <f t="shared" si="7"/>
        <v>point d'eau</v>
      </c>
      <c r="F29" s="8">
        <v>0.2</v>
      </c>
      <c r="G29" t="str">
        <f t="shared" si="18"/>
        <v>E</v>
      </c>
      <c r="H29" s="15" t="s">
        <v>5</v>
      </c>
      <c r="I29" s="15" t="s">
        <v>4</v>
      </c>
      <c r="J29" s="15" t="str">
        <f>IFERROR(VLOOKUP(H29,$I:$I,1,FALSE),"point d'eau")</f>
        <v>F</v>
      </c>
      <c r="K29">
        <f t="shared" si="9"/>
        <v>0</v>
      </c>
      <c r="L29" t="str">
        <f t="shared" si="10"/>
        <v>point d'eau</v>
      </c>
      <c r="M29" s="3" t="str">
        <f t="shared" ca="1" si="11"/>
        <v>point d'eau</v>
      </c>
      <c r="N29" s="8" t="str">
        <f t="shared" si="12"/>
        <v>point d'eau</v>
      </c>
      <c r="O29" s="3" t="str">
        <f t="shared" si="13"/>
        <v>point d'eau</v>
      </c>
      <c r="P29" s="3" t="str">
        <f t="shared" si="14"/>
        <v>point d'eau</v>
      </c>
      <c r="Q29" s="25" t="str">
        <f t="shared" ca="1" si="15"/>
        <v>point d'eau</v>
      </c>
      <c r="R29" s="25" t="str">
        <f t="shared" ca="1" si="16"/>
        <v>point d'eau</v>
      </c>
      <c r="S29" s="8" t="str">
        <f t="shared" ca="1" si="17"/>
        <v>point d'eau</v>
      </c>
      <c r="T29" s="27">
        <f t="shared" ref="T29:T38" ca="1" si="19">SUM(N29,S29)</f>
        <v>0</v>
      </c>
      <c r="W29" s="32" t="s">
        <v>226</v>
      </c>
      <c r="X29" s="63" t="s">
        <v>226</v>
      </c>
      <c r="Y29" s="63">
        <f>IF(AND(X29&lt;&gt;"Bac à laver",X29&lt;&gt;"Baignoire 150l",X29&lt;&gt;"Baignoire 160l",X29&lt;&gt;"Baignoire 170l",X29&lt;&gt;"Baignoire 180l",X29&lt;&gt;"Baignoire 190l",X29&lt;&gt;"Baignoire 200l",X29&lt;&gt;"Baignoire 210l",X29&lt;&gt;"Baignoire 220l",X29&lt;&gt;"Baignoire 230l",X29&lt;&gt;"Baignoire 240l",X29&lt;&gt;"Baignoire 250l",X29&lt;&gt;"Bidet",X29&lt;&gt;"Douche",X29&lt;&gt;"Evier",X29&lt;&gt;"L.L.",X29&lt;&gt;"L.V.",X29&lt;&gt;"Lavabo",X29&lt;&gt;"Lavabo collectif",X29&lt;&gt;"Lave-mains",X29&lt;&gt;"Poste 1/2",X29&lt;&gt;"Poste 3/4",X29&lt;&gt;"Timbre d'office",X29&lt;&gt;"Urinoir action siphonique",X29&lt;&gt;"Urinoir robinet indiv.",X29&lt;&gt;"WC chasse (1 à 3)",X29&lt;&gt;"WC chasse (4 à 12)",X29&lt;&gt;"WC chasse (13 à 24)",X29&lt;&gt;"WC chasse (25 à 50)",X29&lt;&gt;"WC chasse ( + de 50)",X29&lt;&gt;"WC réservoir"),X29,1)</f>
        <v>1</v>
      </c>
      <c r="Z29" s="63" t="b">
        <f t="shared" ref="Z29:Z58" si="20">ISNUMBER(X29)</f>
        <v>0</v>
      </c>
      <c r="AA29" s="63"/>
      <c r="AB29" s="53"/>
      <c r="AC29" s="53"/>
      <c r="AD29" s="53"/>
      <c r="AE29" s="62" t="s">
        <v>92</v>
      </c>
      <c r="AF29" s="53"/>
      <c r="AG29" s="63"/>
      <c r="AH29" s="63"/>
      <c r="AI29" s="63"/>
      <c r="AJ29" s="63"/>
      <c r="AK29" s="63"/>
      <c r="AL29" s="98"/>
      <c r="AV29" s="92">
        <v>207.3</v>
      </c>
      <c r="AW29" s="93" t="s">
        <v>216</v>
      </c>
      <c r="AX29" s="93">
        <v>219.1</v>
      </c>
      <c r="AY29" s="95">
        <v>207.3</v>
      </c>
      <c r="AZ29" s="94">
        <v>33.729999999999997</v>
      </c>
      <c r="BA29" s="63"/>
      <c r="BB29" s="63"/>
      <c r="BC29" s="63"/>
      <c r="BD29" s="63"/>
      <c r="BE29" s="63"/>
      <c r="BF29" s="101">
        <v>220.4</v>
      </c>
      <c r="BG29" s="93" t="s">
        <v>217</v>
      </c>
      <c r="BH29" s="93">
        <v>250</v>
      </c>
      <c r="BI29" s="93">
        <v>220.4</v>
      </c>
      <c r="BJ29" s="94">
        <f t="shared" si="1"/>
        <v>38.13228560000001</v>
      </c>
      <c r="BK29" s="63"/>
      <c r="BL29" s="63"/>
      <c r="BM29" s="63"/>
      <c r="BN29" s="63"/>
      <c r="BO29" s="63"/>
      <c r="BT29" s="53"/>
      <c r="BU29" s="40"/>
      <c r="BV29" s="40"/>
      <c r="BW29" s="40"/>
      <c r="BX29" s="40"/>
      <c r="BY29" s="119"/>
    </row>
    <row r="30" spans="1:77" x14ac:dyDescent="0.25">
      <c r="A30" s="15" t="s">
        <v>4</v>
      </c>
      <c r="B30" s="14" t="s">
        <v>23</v>
      </c>
      <c r="C30" s="4">
        <f>VLOOKUP(A30,Feuil2!$A$1:$B$16,2,FALSE)</f>
        <v>5</v>
      </c>
      <c r="D30" s="4">
        <f>VLOOKUP(B30,Feuil2!$A$1:$B$16,2,FALSE)</f>
        <v>7</v>
      </c>
      <c r="E30" t="str">
        <f t="shared" si="7"/>
        <v>point d'eau</v>
      </c>
      <c r="F30" s="8">
        <v>0.1</v>
      </c>
      <c r="G30" t="str">
        <f t="shared" si="18"/>
        <v>E</v>
      </c>
      <c r="H30" s="15" t="s">
        <v>23</v>
      </c>
      <c r="I30" s="15" t="s">
        <v>4</v>
      </c>
      <c r="J30" s="15" t="str">
        <f t="shared" si="8"/>
        <v>point d'eau</v>
      </c>
      <c r="K30">
        <f t="shared" si="9"/>
        <v>0</v>
      </c>
      <c r="L30" t="str">
        <f t="shared" si="10"/>
        <v>point d'eau</v>
      </c>
      <c r="M30" s="3" t="str">
        <f t="shared" ca="1" si="11"/>
        <v>point d'eau</v>
      </c>
      <c r="N30" s="8" t="str">
        <f t="shared" si="12"/>
        <v>point d'eau</v>
      </c>
      <c r="O30" s="3" t="str">
        <f t="shared" si="13"/>
        <v>point d'eau</v>
      </c>
      <c r="P30" s="3" t="str">
        <f t="shared" si="14"/>
        <v>point d'eau</v>
      </c>
      <c r="Q30" s="25" t="str">
        <f t="shared" ca="1" si="15"/>
        <v>point d'eau</v>
      </c>
      <c r="R30" s="25" t="str">
        <f t="shared" ca="1" si="16"/>
        <v>point d'eau</v>
      </c>
      <c r="S30" s="8" t="str">
        <f t="shared" ca="1" si="17"/>
        <v>point d'eau</v>
      </c>
      <c r="T30" s="27">
        <f t="shared" ca="1" si="19"/>
        <v>0</v>
      </c>
      <c r="W30" s="32" t="s">
        <v>227</v>
      </c>
      <c r="X30" s="63" t="s">
        <v>238</v>
      </c>
      <c r="Y30" s="63">
        <f t="shared" ref="Y30:Y53" si="21">IF(AND(X30&lt;&gt;"Bac à laver",X30&lt;&gt;"Baignoire 150l",X30&lt;&gt;"Baignoire 160l",X30&lt;&gt;"Baignoire 170l",X30&lt;&gt;"Baignoire 180l",X30&lt;&gt;"Baignoire 190l",X30&lt;&gt;"Baignoire 200l",X30&lt;&gt;"Baignoire 210l",X30&lt;&gt;"Baignoire 220l",X30&lt;&gt;"Baignoire 230l",X30&lt;&gt;"Baignoire 240l",X30&lt;&gt;"Baignoire 250l",X30&lt;&gt;"Bidet",X30&lt;&gt;"Douche",X30&lt;&gt;"Evier",X30&lt;&gt;"L.L.",X30&lt;&gt;"L.V.",X30&lt;&gt;"Lavabo",X30&lt;&gt;"Lavabo collectif",X30&lt;&gt;"Lave-mains",X30&lt;&gt;"Poste 1/2",X30&lt;&gt;"Poste 3/4",X30&lt;&gt;"Timbre d'office",X30&lt;&gt;"Urinoir action siphonique",X30&lt;&gt;"Urinoir robinet indiv.",X30&lt;&gt;"WC chasse (1 à 3)",X30&lt;&gt;"WC chasse (4 à 12)",X30&lt;&gt;"WC chasse (13 à 24)",X30&lt;&gt;"WC chasse (25 à 50)",X30&lt;&gt;"WC chasse ( + de 50)",X30&lt;&gt;"WC réservoir"),X30,1)</f>
        <v>1</v>
      </c>
      <c r="Z30" s="63" t="b">
        <f t="shared" si="20"/>
        <v>0</v>
      </c>
      <c r="AA30" s="63"/>
      <c r="AB30" s="53"/>
      <c r="AC30" s="53"/>
      <c r="AD30" s="53"/>
      <c r="AE30" s="62" t="s">
        <v>93</v>
      </c>
      <c r="AF30" s="53"/>
      <c r="AG30" s="63"/>
      <c r="AH30" s="63"/>
      <c r="AI30" s="63"/>
      <c r="AJ30" s="63"/>
      <c r="AK30" s="63"/>
      <c r="AL30" s="98"/>
      <c r="AV30" s="92">
        <v>207.4</v>
      </c>
      <c r="AW30" s="93" t="s">
        <v>218</v>
      </c>
      <c r="AX30" s="93">
        <v>244.5</v>
      </c>
      <c r="AY30" s="95">
        <v>231.9</v>
      </c>
      <c r="AZ30" s="94">
        <v>42.22</v>
      </c>
      <c r="BA30" s="63"/>
      <c r="BB30" s="63"/>
      <c r="BC30" s="63"/>
      <c r="BD30" s="63"/>
      <c r="BE30" s="63"/>
      <c r="BF30" s="101">
        <v>220.5</v>
      </c>
      <c r="BG30" s="93" t="s">
        <v>219</v>
      </c>
      <c r="BH30" s="93">
        <v>315</v>
      </c>
      <c r="BI30" s="93">
        <v>277.60000000000002</v>
      </c>
      <c r="BJ30" s="94">
        <f t="shared" si="1"/>
        <v>60.49348160000001</v>
      </c>
      <c r="BK30" s="63"/>
      <c r="BL30" s="63"/>
      <c r="BM30" s="63"/>
      <c r="BN30" s="63"/>
      <c r="BO30" s="63"/>
      <c r="BT30" s="53"/>
      <c r="BU30" s="103"/>
      <c r="BV30" s="40"/>
      <c r="BW30" s="40"/>
      <c r="BX30" s="103"/>
      <c r="BY30" s="128"/>
    </row>
    <row r="31" spans="1:77" x14ac:dyDescent="0.25">
      <c r="A31" s="15" t="s">
        <v>3</v>
      </c>
      <c r="B31" s="14" t="s">
        <v>24</v>
      </c>
      <c r="C31" s="4">
        <f>VLOOKUP(A31,Feuil2!$A$1:$B$16,2,FALSE)</f>
        <v>4</v>
      </c>
      <c r="D31" s="4">
        <f>VLOOKUP(B31,Feuil2!$A$1:$B$16,2,FALSE)</f>
        <v>8</v>
      </c>
      <c r="E31" t="str">
        <f t="shared" si="7"/>
        <v>point d'eau</v>
      </c>
      <c r="F31" s="8">
        <v>0.2</v>
      </c>
      <c r="G31" t="str">
        <f t="shared" si="18"/>
        <v>D</v>
      </c>
      <c r="H31" s="15" t="s">
        <v>24</v>
      </c>
      <c r="I31" s="15" t="s">
        <v>3</v>
      </c>
      <c r="J31" s="15" t="str">
        <f t="shared" si="8"/>
        <v>point d'eau</v>
      </c>
      <c r="K31">
        <f t="shared" si="9"/>
        <v>0</v>
      </c>
      <c r="L31" t="str">
        <f t="shared" si="10"/>
        <v>point d'eau</v>
      </c>
      <c r="M31" s="3" t="str">
        <f t="shared" ca="1" si="11"/>
        <v>point d'eau</v>
      </c>
      <c r="N31" s="8" t="str">
        <f t="shared" si="12"/>
        <v>point d'eau</v>
      </c>
      <c r="O31" s="3" t="str">
        <f t="shared" si="13"/>
        <v>point d'eau</v>
      </c>
      <c r="P31" s="3" t="str">
        <f t="shared" si="14"/>
        <v>point d'eau</v>
      </c>
      <c r="Q31" s="25" t="str">
        <f t="shared" ca="1" si="15"/>
        <v>point d'eau</v>
      </c>
      <c r="R31" s="25" t="str">
        <f t="shared" ca="1" si="16"/>
        <v>point d'eau</v>
      </c>
      <c r="S31" s="8" t="str">
        <f t="shared" ca="1" si="17"/>
        <v>point d'eau</v>
      </c>
      <c r="T31" s="27">
        <f t="shared" ca="1" si="19"/>
        <v>0</v>
      </c>
      <c r="W31" s="32" t="s">
        <v>228</v>
      </c>
      <c r="X31" s="63" t="s">
        <v>84</v>
      </c>
      <c r="Y31" s="63" t="str">
        <f t="shared" si="21"/>
        <v>A renseigner</v>
      </c>
      <c r="Z31" s="63" t="b">
        <f t="shared" si="20"/>
        <v>0</v>
      </c>
      <c r="AA31" s="63"/>
      <c r="AB31" s="62"/>
      <c r="AC31" s="62"/>
      <c r="AD31" s="62"/>
      <c r="AE31" s="62" t="s">
        <v>94</v>
      </c>
      <c r="AF31" s="62"/>
      <c r="AG31" s="63"/>
      <c r="AH31" s="63"/>
      <c r="AI31" s="63"/>
      <c r="AJ31" s="63"/>
      <c r="AK31" s="63"/>
      <c r="AL31" s="98"/>
      <c r="AV31" s="92">
        <v>231.9</v>
      </c>
      <c r="AW31" s="93" t="s">
        <v>218</v>
      </c>
      <c r="AX31" s="93">
        <v>244.5</v>
      </c>
      <c r="AY31" s="95">
        <v>231.9</v>
      </c>
      <c r="AZ31" s="94">
        <v>42.22</v>
      </c>
      <c r="BA31" s="63"/>
      <c r="BB31" s="63"/>
      <c r="BC31" s="63"/>
      <c r="BD31" s="63"/>
      <c r="BE31" s="63"/>
      <c r="BF31" s="101">
        <v>277.60000000000002</v>
      </c>
      <c r="BG31" s="93" t="s">
        <v>219</v>
      </c>
      <c r="BH31" s="93">
        <v>315</v>
      </c>
      <c r="BI31" s="93">
        <v>277.60000000000002</v>
      </c>
      <c r="BJ31" s="94">
        <f t="shared" si="1"/>
        <v>60.49348160000001</v>
      </c>
      <c r="BK31" s="63"/>
      <c r="BL31" s="63"/>
      <c r="BM31" s="63"/>
      <c r="BN31" s="63"/>
      <c r="BO31" s="63"/>
      <c r="BT31" s="53"/>
      <c r="BU31" s="40"/>
      <c r="BV31" s="40"/>
      <c r="BW31" s="40"/>
      <c r="BX31" s="103"/>
      <c r="BY31" s="128"/>
    </row>
    <row r="32" spans="1:77" x14ac:dyDescent="0.25">
      <c r="A32" t="s">
        <v>2</v>
      </c>
      <c r="B32" t="s">
        <v>25</v>
      </c>
      <c r="C32" s="4">
        <f>VLOOKUP(A32,Feuil2!$A$1:$B$16,2,FALSE)</f>
        <v>3</v>
      </c>
      <c r="D32" s="4">
        <f>VLOOKUP(B32,Feuil2!$A$1:$B$16,2,FALSE)</f>
        <v>9</v>
      </c>
      <c r="E32">
        <f t="shared" si="7"/>
        <v>1</v>
      </c>
      <c r="F32" s="17">
        <v>0.73</v>
      </c>
      <c r="G32" t="str">
        <f t="shared" si="18"/>
        <v>C</v>
      </c>
      <c r="H32" s="15" t="s">
        <v>25</v>
      </c>
      <c r="I32" s="15" t="s">
        <v>2</v>
      </c>
      <c r="J32" s="15" t="str">
        <f t="shared" si="8"/>
        <v>I</v>
      </c>
      <c r="K32">
        <f t="shared" si="9"/>
        <v>2</v>
      </c>
      <c r="L32" t="str">
        <f t="shared" si="10"/>
        <v>$A$33</v>
      </c>
      <c r="M32" s="3" t="str">
        <f t="shared" ca="1" si="11"/>
        <v>I</v>
      </c>
      <c r="N32" s="8">
        <f t="shared" si="12"/>
        <v>0.2</v>
      </c>
      <c r="O32" s="3" t="str">
        <f t="shared" si="13"/>
        <v>I</v>
      </c>
      <c r="P32" s="3">
        <f t="shared" si="14"/>
        <v>33</v>
      </c>
      <c r="Q32" s="25" t="str">
        <f t="shared" ca="1" si="15"/>
        <v>I</v>
      </c>
      <c r="R32" s="25">
        <f t="shared" ca="1" si="16"/>
        <v>1</v>
      </c>
      <c r="S32" s="8">
        <f t="shared" ca="1" si="17"/>
        <v>0.53</v>
      </c>
      <c r="T32" s="27">
        <f t="shared" ca="1" si="19"/>
        <v>0.73</v>
      </c>
      <c r="W32" s="32" t="s">
        <v>229</v>
      </c>
      <c r="X32" s="63">
        <v>6.5</v>
      </c>
      <c r="Y32" s="63">
        <f t="shared" si="21"/>
        <v>6.5</v>
      </c>
      <c r="Z32" s="63" t="b">
        <f t="shared" si="20"/>
        <v>1</v>
      </c>
      <c r="AA32" s="63"/>
      <c r="AB32" s="62"/>
      <c r="AC32" s="62"/>
      <c r="AD32" s="62"/>
      <c r="AE32" s="62" t="s">
        <v>95</v>
      </c>
      <c r="AF32" s="62"/>
      <c r="AG32" s="63"/>
      <c r="AH32" s="63"/>
      <c r="AI32" s="63"/>
      <c r="AJ32" s="63"/>
      <c r="AK32" s="63"/>
      <c r="AL32" s="98"/>
      <c r="AV32" s="92">
        <v>232</v>
      </c>
      <c r="AW32" s="93" t="s">
        <v>220</v>
      </c>
      <c r="AX32" s="93">
        <v>273</v>
      </c>
      <c r="AY32" s="95">
        <v>260.39999999999998</v>
      </c>
      <c r="AZ32" s="94">
        <v>53.23</v>
      </c>
      <c r="BA32" s="63"/>
      <c r="BB32" s="63"/>
      <c r="BC32" s="63"/>
      <c r="BD32" s="63"/>
      <c r="BE32" s="63"/>
      <c r="BF32" s="101">
        <v>277.7</v>
      </c>
      <c r="BG32" s="93" t="s">
        <v>221</v>
      </c>
      <c r="BH32" s="93">
        <v>400</v>
      </c>
      <c r="BI32" s="93">
        <v>352.6</v>
      </c>
      <c r="BJ32" s="94">
        <f t="shared" si="1"/>
        <v>97.596506600000026</v>
      </c>
      <c r="BK32" s="63"/>
      <c r="BL32" s="63"/>
      <c r="BM32" s="63"/>
      <c r="BN32" s="63"/>
      <c r="BO32" s="63"/>
      <c r="BT32" s="53"/>
      <c r="BU32" s="40"/>
      <c r="BV32" s="40"/>
      <c r="BW32" s="40"/>
      <c r="BX32" s="103"/>
      <c r="BY32" s="128"/>
    </row>
    <row r="33" spans="1:77" ht="15.75" thickBot="1" x14ac:dyDescent="0.3">
      <c r="A33" t="s">
        <v>25</v>
      </c>
      <c r="B33" t="s">
        <v>26</v>
      </c>
      <c r="C33" s="4">
        <f>VLOOKUP(A33,Feuil2!$A$1:$B$16,2,FALSE)</f>
        <v>9</v>
      </c>
      <c r="D33" s="4">
        <f>VLOOKUP(B33,Feuil2!$A$1:$B$16,2,FALSE)</f>
        <v>13</v>
      </c>
      <c r="E33" t="str">
        <f t="shared" si="7"/>
        <v>point d'eau</v>
      </c>
      <c r="F33" s="8">
        <v>0.2</v>
      </c>
      <c r="G33" t="str">
        <f t="shared" si="18"/>
        <v>I</v>
      </c>
      <c r="H33" s="15" t="s">
        <v>26</v>
      </c>
      <c r="I33" s="15" t="s">
        <v>25</v>
      </c>
      <c r="J33" s="15" t="str">
        <f t="shared" si="8"/>
        <v>point d'eau</v>
      </c>
      <c r="K33">
        <f t="shared" si="9"/>
        <v>0</v>
      </c>
      <c r="L33" t="str">
        <f t="shared" si="10"/>
        <v>point d'eau</v>
      </c>
      <c r="M33" s="3" t="str">
        <f t="shared" ca="1" si="11"/>
        <v>point d'eau</v>
      </c>
      <c r="N33" s="8" t="str">
        <f t="shared" si="12"/>
        <v>point d'eau</v>
      </c>
      <c r="O33" s="3" t="str">
        <f t="shared" si="13"/>
        <v>point d'eau</v>
      </c>
      <c r="P33" s="3" t="str">
        <f t="shared" si="14"/>
        <v>point d'eau</v>
      </c>
      <c r="Q33" s="25" t="str">
        <f t="shared" ca="1" si="15"/>
        <v>point d'eau</v>
      </c>
      <c r="R33" s="25" t="str">
        <f t="shared" ca="1" si="16"/>
        <v>point d'eau</v>
      </c>
      <c r="S33" s="8" t="str">
        <f t="shared" ca="1" si="17"/>
        <v>point d'eau</v>
      </c>
      <c r="T33" s="27">
        <f t="shared" ca="1" si="19"/>
        <v>0</v>
      </c>
      <c r="W33" t="s">
        <v>230</v>
      </c>
      <c r="X33" s="63" t="s">
        <v>84</v>
      </c>
      <c r="Y33" s="63" t="str">
        <f t="shared" si="21"/>
        <v>A renseigner</v>
      </c>
      <c r="Z33" s="63" t="b">
        <f t="shared" si="20"/>
        <v>0</v>
      </c>
      <c r="AB33" s="62"/>
      <c r="AC33" s="62"/>
      <c r="AD33" s="62"/>
      <c r="AE33" s="62"/>
      <c r="AF33" s="62"/>
      <c r="AG33" s="63"/>
      <c r="AH33" s="63"/>
      <c r="AI33" s="63"/>
      <c r="AJ33" s="63"/>
      <c r="AK33" s="63"/>
      <c r="AL33" s="126"/>
      <c r="AV33" s="92">
        <v>260.39999999999998</v>
      </c>
      <c r="AW33" s="93" t="s">
        <v>220</v>
      </c>
      <c r="AX33" s="93">
        <v>273</v>
      </c>
      <c r="AY33" s="95">
        <v>260.39999999999998</v>
      </c>
      <c r="AZ33" s="94">
        <v>53.23</v>
      </c>
      <c r="BA33" s="63"/>
      <c r="BB33" s="63"/>
      <c r="BC33" s="63"/>
      <c r="BD33" s="63"/>
      <c r="BE33" s="63"/>
      <c r="BF33" s="113">
        <v>352.6</v>
      </c>
      <c r="BG33" s="107" t="s">
        <v>221</v>
      </c>
      <c r="BH33" s="107">
        <v>400</v>
      </c>
      <c r="BI33" s="107">
        <v>352.6</v>
      </c>
      <c r="BJ33" s="114">
        <f t="shared" si="1"/>
        <v>97.596506600000026</v>
      </c>
      <c r="BK33" s="63"/>
      <c r="BL33" s="63"/>
      <c r="BM33" s="63"/>
      <c r="BN33" s="63"/>
      <c r="BO33" s="63"/>
      <c r="BT33" s="53"/>
      <c r="BU33" s="40"/>
      <c r="BV33" s="40"/>
      <c r="BW33" s="40"/>
      <c r="BX33" s="103"/>
      <c r="BY33" s="128"/>
    </row>
    <row r="34" spans="1:77" x14ac:dyDescent="0.25">
      <c r="A34" t="s">
        <v>25</v>
      </c>
      <c r="B34" t="s">
        <v>27</v>
      </c>
      <c r="C34" s="4">
        <f>VLOOKUP(A34,Feuil2!$A$1:$B$16,2,FALSE)</f>
        <v>9</v>
      </c>
      <c r="D34" s="4">
        <f>VLOOKUP(B34,Feuil2!$A$1:$B$16,2,FALSE)</f>
        <v>10</v>
      </c>
      <c r="E34">
        <f t="shared" si="7"/>
        <v>1</v>
      </c>
      <c r="F34" s="17">
        <v>0.53</v>
      </c>
      <c r="G34" t="str">
        <f t="shared" si="18"/>
        <v>I</v>
      </c>
      <c r="H34" s="15" t="s">
        <v>27</v>
      </c>
      <c r="I34" s="15" t="s">
        <v>25</v>
      </c>
      <c r="J34" s="15" t="str">
        <f t="shared" si="8"/>
        <v>J</v>
      </c>
      <c r="K34">
        <f t="shared" si="9"/>
        <v>2</v>
      </c>
      <c r="L34" t="str">
        <f t="shared" si="10"/>
        <v>$A$35</v>
      </c>
      <c r="M34" s="3" t="str">
        <f t="shared" ca="1" si="11"/>
        <v>J</v>
      </c>
      <c r="N34" s="8">
        <f t="shared" si="12"/>
        <v>0.2</v>
      </c>
      <c r="O34" s="3" t="str">
        <f t="shared" si="13"/>
        <v>J</v>
      </c>
      <c r="P34" s="3">
        <f t="shared" si="14"/>
        <v>35</v>
      </c>
      <c r="Q34" s="25" t="str">
        <f t="shared" ca="1" si="15"/>
        <v>J</v>
      </c>
      <c r="R34" s="25">
        <f t="shared" ca="1" si="16"/>
        <v>1</v>
      </c>
      <c r="S34" s="8">
        <f t="shared" ca="1" si="17"/>
        <v>0.33</v>
      </c>
      <c r="T34" s="27">
        <f t="shared" ca="1" si="19"/>
        <v>0.53</v>
      </c>
      <c r="W34" t="s">
        <v>231</v>
      </c>
      <c r="X34" s="63" t="s">
        <v>225</v>
      </c>
      <c r="Y34" s="63">
        <f t="shared" si="21"/>
        <v>1</v>
      </c>
      <c r="Z34" s="63" t="b">
        <f t="shared" si="20"/>
        <v>0</v>
      </c>
      <c r="AB34" s="62"/>
      <c r="AC34" s="62"/>
      <c r="AD34" s="62"/>
      <c r="AE34" s="62"/>
      <c r="AF34" s="62"/>
      <c r="AG34" s="63"/>
      <c r="AH34" s="63"/>
      <c r="AI34" s="63"/>
      <c r="AJ34" s="63"/>
      <c r="AK34" s="63"/>
      <c r="AL34" s="126"/>
      <c r="AV34" s="92">
        <v>260.5</v>
      </c>
      <c r="AW34" s="93" t="s">
        <v>222</v>
      </c>
      <c r="AX34" s="93">
        <v>323.89999999999998</v>
      </c>
      <c r="AY34" s="95">
        <v>309.7</v>
      </c>
      <c r="AZ34" s="94">
        <v>75.290000000000006</v>
      </c>
      <c r="BA34" s="63"/>
      <c r="BB34" s="63"/>
      <c r="BC34" s="63"/>
      <c r="BD34" s="63"/>
      <c r="BE34" s="63"/>
      <c r="BF34" s="63"/>
      <c r="BG34" s="63"/>
      <c r="BH34" s="63"/>
      <c r="BI34" s="63"/>
      <c r="BJ34" s="63"/>
      <c r="BK34" s="63"/>
      <c r="BL34" s="63"/>
      <c r="BM34" s="63"/>
      <c r="BN34" s="63"/>
      <c r="BO34" s="63"/>
      <c r="BT34" s="53"/>
      <c r="BU34" s="40"/>
      <c r="BV34" s="40"/>
      <c r="BW34" s="40"/>
      <c r="BX34" s="103"/>
      <c r="BY34" s="128"/>
    </row>
    <row r="35" spans="1:77" x14ac:dyDescent="0.25">
      <c r="A35" t="s">
        <v>27</v>
      </c>
      <c r="B35" t="s">
        <v>28</v>
      </c>
      <c r="C35" s="4">
        <f>VLOOKUP(A35,Feuil2!$A$1:$B$16,2,FALSE)</f>
        <v>10</v>
      </c>
      <c r="D35" s="4">
        <f>VLOOKUP(B35,Feuil2!$A$1:$B$16,2,FALSE)</f>
        <v>12</v>
      </c>
      <c r="E35" t="str">
        <f t="shared" si="7"/>
        <v>point d'eau</v>
      </c>
      <c r="F35" s="8">
        <v>0.2</v>
      </c>
      <c r="G35" t="str">
        <f t="shared" si="18"/>
        <v>J</v>
      </c>
      <c r="H35" s="15" t="s">
        <v>28</v>
      </c>
      <c r="I35" s="15" t="s">
        <v>27</v>
      </c>
      <c r="J35" s="15" t="str">
        <f t="shared" si="8"/>
        <v>point d'eau</v>
      </c>
      <c r="K35">
        <f t="shared" si="9"/>
        <v>0</v>
      </c>
      <c r="L35" t="str">
        <f t="shared" si="10"/>
        <v>point d'eau</v>
      </c>
      <c r="M35" s="3" t="str">
        <f t="shared" ca="1" si="11"/>
        <v>point d'eau</v>
      </c>
      <c r="N35" s="8" t="str">
        <f t="shared" si="12"/>
        <v>point d'eau</v>
      </c>
      <c r="O35" s="3" t="str">
        <f t="shared" si="13"/>
        <v>point d'eau</v>
      </c>
      <c r="P35" s="3" t="str">
        <f t="shared" si="14"/>
        <v>point d'eau</v>
      </c>
      <c r="Q35" s="25" t="str">
        <f t="shared" ca="1" si="15"/>
        <v>point d'eau</v>
      </c>
      <c r="R35" s="25" t="str">
        <f t="shared" ca="1" si="16"/>
        <v>point d'eau</v>
      </c>
      <c r="S35" s="8" t="str">
        <f t="shared" ca="1" si="17"/>
        <v>point d'eau</v>
      </c>
      <c r="T35" s="27">
        <f t="shared" ca="1" si="19"/>
        <v>0</v>
      </c>
      <c r="W35" t="s">
        <v>232</v>
      </c>
      <c r="X35" s="63" t="s">
        <v>84</v>
      </c>
      <c r="Y35" s="63" t="str">
        <f t="shared" si="21"/>
        <v>A renseigner</v>
      </c>
      <c r="Z35" s="63" t="b">
        <f t="shared" si="20"/>
        <v>0</v>
      </c>
      <c r="AB35" s="62"/>
      <c r="AC35" s="62"/>
      <c r="AD35" s="62"/>
      <c r="AE35" s="62"/>
      <c r="AF35" s="62"/>
      <c r="AG35" s="63"/>
      <c r="AH35" s="63"/>
      <c r="AI35" s="63"/>
      <c r="AJ35" s="63"/>
      <c r="AK35" s="63"/>
      <c r="AL35" s="126"/>
      <c r="AV35" s="92">
        <v>309.7</v>
      </c>
      <c r="AW35" s="93" t="s">
        <v>222</v>
      </c>
      <c r="AX35" s="93">
        <v>323.89999999999998</v>
      </c>
      <c r="AY35" s="95">
        <v>309.7</v>
      </c>
      <c r="AZ35" s="94">
        <v>75.290000000000006</v>
      </c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  <c r="BM35" s="63"/>
      <c r="BN35" s="63"/>
      <c r="BO35" s="63"/>
      <c r="BT35" s="53"/>
      <c r="BU35" s="40"/>
      <c r="BV35" s="40"/>
      <c r="BW35" s="40"/>
      <c r="BX35" s="103"/>
      <c r="BY35" s="128"/>
    </row>
    <row r="36" spans="1:77" x14ac:dyDescent="0.25">
      <c r="A36" t="s">
        <v>27</v>
      </c>
      <c r="B36" t="s">
        <v>29</v>
      </c>
      <c r="C36" s="4">
        <f>VLOOKUP(A36,Feuil2!$A$1:$B$16,2,FALSE)</f>
        <v>10</v>
      </c>
      <c r="D36" s="4">
        <f>VLOOKUP(B36,Feuil2!$A$1:$B$16,2,FALSE)</f>
        <v>11</v>
      </c>
      <c r="E36" t="str">
        <f t="shared" si="7"/>
        <v>point d'eau</v>
      </c>
      <c r="F36" s="8">
        <v>0.33</v>
      </c>
      <c r="G36" t="str">
        <f t="shared" si="18"/>
        <v>J</v>
      </c>
      <c r="H36" s="15" t="s">
        <v>29</v>
      </c>
      <c r="I36" s="15" t="s">
        <v>27</v>
      </c>
      <c r="J36" s="15" t="str">
        <f t="shared" si="8"/>
        <v>point d'eau</v>
      </c>
      <c r="K36">
        <f t="shared" si="9"/>
        <v>0</v>
      </c>
      <c r="L36" t="str">
        <f t="shared" si="10"/>
        <v>point d'eau</v>
      </c>
      <c r="M36" s="3" t="str">
        <f t="shared" ca="1" si="11"/>
        <v>point d'eau</v>
      </c>
      <c r="N36" s="8" t="str">
        <f t="shared" si="12"/>
        <v>point d'eau</v>
      </c>
      <c r="O36" s="3" t="str">
        <f t="shared" si="13"/>
        <v>point d'eau</v>
      </c>
      <c r="P36" s="3" t="str">
        <f t="shared" si="14"/>
        <v>point d'eau</v>
      </c>
      <c r="Q36" s="25" t="str">
        <f t="shared" ca="1" si="15"/>
        <v>point d'eau</v>
      </c>
      <c r="R36" s="25" t="str">
        <f t="shared" ca="1" si="16"/>
        <v>point d'eau</v>
      </c>
      <c r="S36" s="8" t="str">
        <f t="shared" ca="1" si="17"/>
        <v>point d'eau</v>
      </c>
      <c r="T36" s="27">
        <f t="shared" ca="1" si="19"/>
        <v>0</v>
      </c>
      <c r="W36" t="s">
        <v>233</v>
      </c>
      <c r="X36" s="63" t="s">
        <v>225</v>
      </c>
      <c r="Y36" s="63">
        <f t="shared" si="21"/>
        <v>1</v>
      </c>
      <c r="Z36" s="63" t="b">
        <f t="shared" si="20"/>
        <v>0</v>
      </c>
      <c r="AB36" s="62"/>
      <c r="AC36" s="62"/>
      <c r="AD36" s="62"/>
      <c r="AE36" s="62"/>
      <c r="AF36" s="62"/>
      <c r="AG36" s="63"/>
      <c r="AH36" s="63"/>
      <c r="AI36" s="63"/>
      <c r="AJ36" s="63"/>
      <c r="AK36" s="63"/>
      <c r="AL36" s="126"/>
      <c r="AV36" s="92">
        <v>309.8</v>
      </c>
      <c r="AW36" s="93" t="s">
        <v>223</v>
      </c>
      <c r="AX36" s="93">
        <v>355.6</v>
      </c>
      <c r="AY36" s="95">
        <v>339.6</v>
      </c>
      <c r="AZ36" s="94">
        <v>90.53</v>
      </c>
      <c r="BA36" s="63"/>
      <c r="BB36" s="63"/>
      <c r="BC36" s="63"/>
      <c r="BD36" s="63"/>
      <c r="BE36" s="63"/>
      <c r="BF36" s="63"/>
      <c r="BG36" s="63"/>
      <c r="BH36" s="63"/>
      <c r="BI36" s="63"/>
      <c r="BJ36" s="63"/>
      <c r="BK36" s="63"/>
      <c r="BL36" s="63"/>
      <c r="BM36" s="63"/>
      <c r="BN36" s="63"/>
      <c r="BO36" s="63"/>
      <c r="BT36" s="53"/>
      <c r="BU36" s="53"/>
      <c r="BV36" s="53"/>
      <c r="BW36" s="53"/>
      <c r="BX36" s="53"/>
      <c r="BY36" s="53"/>
    </row>
    <row r="37" spans="1:77" x14ac:dyDescent="0.25">
      <c r="A37" t="s">
        <v>1</v>
      </c>
      <c r="B37" t="s">
        <v>14</v>
      </c>
      <c r="C37" s="4">
        <f>VLOOKUP(A37,Feuil2!$A$1:$B$16,2,FALSE)</f>
        <v>2</v>
      </c>
      <c r="D37" s="4">
        <f>VLOOKUP(B37,Feuil2!$A$1:$B$16,2,FALSE)</f>
        <v>14</v>
      </c>
      <c r="E37" t="str">
        <f t="shared" si="7"/>
        <v>point d'eau</v>
      </c>
      <c r="F37" s="8">
        <v>1.23</v>
      </c>
      <c r="G37" t="str">
        <f t="shared" si="18"/>
        <v>B</v>
      </c>
      <c r="H37" s="15" t="s">
        <v>14</v>
      </c>
      <c r="I37" s="15" t="s">
        <v>1</v>
      </c>
      <c r="J37" s="15" t="str">
        <f>IFERROR(VLOOKUP(H37,$I:$I,1,FALSE),"point d'eau")</f>
        <v>point d'eau</v>
      </c>
      <c r="K37">
        <f t="shared" si="9"/>
        <v>0</v>
      </c>
      <c r="L37" t="str">
        <f t="shared" si="10"/>
        <v>point d'eau</v>
      </c>
      <c r="M37" s="3" t="str">
        <f t="shared" ca="1" si="11"/>
        <v>point d'eau</v>
      </c>
      <c r="N37" s="8" t="str">
        <f t="shared" si="12"/>
        <v>point d'eau</v>
      </c>
      <c r="O37" s="3" t="str">
        <f t="shared" si="13"/>
        <v>point d'eau</v>
      </c>
      <c r="P37" s="3" t="str">
        <f t="shared" si="14"/>
        <v>point d'eau</v>
      </c>
      <c r="Q37" s="25" t="str">
        <f t="shared" ca="1" si="15"/>
        <v>point d'eau</v>
      </c>
      <c r="R37" s="25" t="str">
        <f t="shared" ca="1" si="16"/>
        <v>point d'eau</v>
      </c>
      <c r="S37" s="8" t="str">
        <f t="shared" ca="1" si="17"/>
        <v>point d'eau</v>
      </c>
      <c r="T37" s="27">
        <f t="shared" ca="1" si="19"/>
        <v>0</v>
      </c>
      <c r="W37" t="s">
        <v>234</v>
      </c>
      <c r="X37" s="63" t="s">
        <v>84</v>
      </c>
      <c r="Y37" s="63" t="str">
        <f t="shared" si="21"/>
        <v>A renseigner</v>
      </c>
      <c r="Z37" s="63" t="b">
        <f t="shared" si="20"/>
        <v>0</v>
      </c>
      <c r="AB37" s="62"/>
      <c r="AC37" s="62"/>
      <c r="AD37" s="62"/>
      <c r="AE37" s="62"/>
      <c r="AF37" s="62"/>
      <c r="AG37" s="63"/>
      <c r="AH37" s="63"/>
      <c r="AI37" s="63"/>
      <c r="AJ37" s="63"/>
      <c r="AK37" s="63"/>
      <c r="AL37" s="126"/>
      <c r="AV37" s="92">
        <v>339.6</v>
      </c>
      <c r="AW37" s="93" t="s">
        <v>223</v>
      </c>
      <c r="AX37" s="93">
        <v>355.6</v>
      </c>
      <c r="AY37" s="95">
        <v>339.6</v>
      </c>
      <c r="AZ37" s="94">
        <v>90.53</v>
      </c>
      <c r="BA37" s="63"/>
      <c r="BB37" s="63"/>
      <c r="BC37" s="63"/>
      <c r="BD37" s="63"/>
      <c r="BE37" s="63"/>
      <c r="BF37" s="63"/>
      <c r="BG37" s="63"/>
      <c r="BH37" s="63"/>
      <c r="BI37" s="63"/>
      <c r="BJ37" s="63"/>
      <c r="BK37" s="63"/>
      <c r="BL37" s="63"/>
      <c r="BM37" s="63"/>
      <c r="BN37" s="63"/>
      <c r="BO37" s="63"/>
    </row>
    <row r="38" spans="1:77" ht="15.75" thickBot="1" x14ac:dyDescent="0.3">
      <c r="A38" t="s">
        <v>1</v>
      </c>
      <c r="B38" t="s">
        <v>6</v>
      </c>
      <c r="E38" t="str">
        <f t="shared" si="7"/>
        <v>point d'eau</v>
      </c>
      <c r="G38" t="str">
        <f t="shared" si="18"/>
        <v>B</v>
      </c>
      <c r="K38">
        <f t="shared" si="9"/>
        <v>0</v>
      </c>
      <c r="L38" t="str">
        <f t="shared" si="10"/>
        <v>point d'eau</v>
      </c>
      <c r="M38" s="3" t="str">
        <f t="shared" ca="1" si="11"/>
        <v>point d'eau</v>
      </c>
      <c r="N38" s="8" t="str">
        <f t="shared" si="12"/>
        <v>point d'eau</v>
      </c>
      <c r="O38" s="3" t="str">
        <f t="shared" si="13"/>
        <v>point d'eau</v>
      </c>
      <c r="P38" s="3" t="str">
        <f t="shared" si="14"/>
        <v>point d'eau</v>
      </c>
      <c r="Q38" s="25" t="str">
        <f t="shared" ca="1" si="15"/>
        <v>point d'eau</v>
      </c>
      <c r="R38" s="25" t="str">
        <f t="shared" ca="1" si="16"/>
        <v>point d'eau</v>
      </c>
      <c r="S38" s="8" t="str">
        <f t="shared" ca="1" si="17"/>
        <v>point d'eau</v>
      </c>
      <c r="T38" s="31">
        <f t="shared" ca="1" si="19"/>
        <v>0</v>
      </c>
      <c r="U38" s="30"/>
      <c r="V38" s="30"/>
      <c r="W38" t="s">
        <v>235</v>
      </c>
      <c r="X38" s="63" t="s">
        <v>225</v>
      </c>
      <c r="Y38" s="63">
        <f t="shared" si="21"/>
        <v>1</v>
      </c>
      <c r="Z38" s="63" t="b">
        <f t="shared" si="20"/>
        <v>0</v>
      </c>
      <c r="AB38" s="62"/>
      <c r="AC38" s="62"/>
      <c r="AD38" s="62"/>
      <c r="AE38" s="62"/>
      <c r="AF38" s="62"/>
      <c r="AG38" s="63"/>
      <c r="AH38" s="63"/>
      <c r="AI38" s="63"/>
      <c r="AJ38" s="63"/>
      <c r="AK38" s="63"/>
      <c r="AL38" s="126"/>
      <c r="AV38" s="92">
        <v>339.7</v>
      </c>
      <c r="AW38" s="93" t="s">
        <v>224</v>
      </c>
      <c r="AX38" s="93">
        <v>406.4</v>
      </c>
      <c r="AY38" s="95">
        <v>388.8</v>
      </c>
      <c r="AZ38" s="94">
        <v>118.66</v>
      </c>
      <c r="BA38" s="63"/>
      <c r="BB38" s="63"/>
      <c r="BC38" s="63"/>
      <c r="BD38" s="63"/>
      <c r="BE38" s="63"/>
      <c r="BF38" s="63"/>
      <c r="BG38" s="63"/>
      <c r="BH38" s="63"/>
      <c r="BI38" s="63"/>
      <c r="BJ38" s="63"/>
      <c r="BK38" s="63"/>
      <c r="BL38" s="63"/>
      <c r="BM38" s="63"/>
      <c r="BN38" s="63"/>
      <c r="BO38" s="63"/>
    </row>
    <row r="39" spans="1:77" ht="15.75" thickBot="1" x14ac:dyDescent="0.3">
      <c r="C39" s="4" t="s">
        <v>34</v>
      </c>
      <c r="D39" t="s">
        <v>36</v>
      </c>
      <c r="E39" s="33" t="s">
        <v>37</v>
      </c>
      <c r="N39" s="29"/>
      <c r="O39" s="3"/>
      <c r="P39" s="3"/>
      <c r="W39" t="s">
        <v>236</v>
      </c>
      <c r="X39" s="63" t="s">
        <v>84</v>
      </c>
      <c r="Y39" s="63" t="str">
        <f t="shared" si="21"/>
        <v>A renseigner</v>
      </c>
      <c r="Z39" s="63" t="b">
        <f t="shared" si="20"/>
        <v>0</v>
      </c>
      <c r="AB39" s="62"/>
      <c r="AC39" s="62"/>
      <c r="AD39" s="62"/>
      <c r="AE39" s="62"/>
      <c r="AF39" s="62"/>
      <c r="AG39" s="63"/>
      <c r="AH39" s="63"/>
      <c r="AI39" s="63"/>
      <c r="AJ39" s="63"/>
      <c r="AK39" s="63"/>
      <c r="AL39" s="126"/>
      <c r="AV39" s="106">
        <v>388.8</v>
      </c>
      <c r="AW39" s="107" t="s">
        <v>224</v>
      </c>
      <c r="AX39" s="107">
        <v>406.4</v>
      </c>
      <c r="AY39" s="129">
        <v>388.8</v>
      </c>
      <c r="AZ39" s="114">
        <v>118.66</v>
      </c>
      <c r="BA39" s="63"/>
      <c r="BB39" s="63"/>
      <c r="BC39" s="63"/>
      <c r="BD39" s="63"/>
      <c r="BE39" s="63"/>
      <c r="BF39" s="63"/>
      <c r="BG39" s="63"/>
      <c r="BH39" s="63"/>
      <c r="BI39" s="63"/>
      <c r="BJ39" s="63"/>
      <c r="BK39" s="63"/>
      <c r="BL39" s="63"/>
      <c r="BM39" s="63"/>
      <c r="BN39" s="63"/>
      <c r="BO39" s="63"/>
    </row>
    <row r="40" spans="1:77" x14ac:dyDescent="0.25">
      <c r="B40" t="s">
        <v>35</v>
      </c>
      <c r="C40" s="32">
        <f ca="1">IFERROR(MATCH(INDEX(OFFSET($A$1,SUM(CELL("contenu",P25),CELL("contenu",R25)),0,11),MATCH(INDIRECT(L25),OFFSET($A$1,SUM(CELL("contenu",P25),CELL("contenu",R25)),0,11),0),1),OFFSET($A$1,SUM(CELL("contenu",P25),CELL("contenu",R25)),0,11),0),"point d'eau")</f>
        <v>1</v>
      </c>
      <c r="E40" s="3">
        <f>COUNTIF(L25:L38,"point d'eau")</f>
        <v>8</v>
      </c>
      <c r="F40" s="3"/>
      <c r="N40" s="29"/>
      <c r="O40" s="3"/>
      <c r="P40" s="3"/>
      <c r="W40" t="s">
        <v>237</v>
      </c>
      <c r="X40" s="63" t="s">
        <v>225</v>
      </c>
      <c r="Y40" s="63">
        <f t="shared" si="21"/>
        <v>1</v>
      </c>
      <c r="Z40" s="63" t="b">
        <f t="shared" si="20"/>
        <v>0</v>
      </c>
    </row>
    <row r="41" spans="1:77" x14ac:dyDescent="0.25">
      <c r="E41" s="3"/>
      <c r="F41" s="3"/>
      <c r="N41" s="29"/>
      <c r="O41" s="3"/>
      <c r="P41" s="3"/>
      <c r="W41" t="s">
        <v>238</v>
      </c>
      <c r="X41" s="63" t="s">
        <v>84</v>
      </c>
      <c r="Y41" s="63" t="str">
        <f t="shared" si="21"/>
        <v>A renseigner</v>
      </c>
      <c r="Z41" s="63" t="b">
        <f t="shared" si="20"/>
        <v>0</v>
      </c>
    </row>
    <row r="42" spans="1:77" x14ac:dyDescent="0.25">
      <c r="E42" s="3"/>
      <c r="F42" s="3"/>
      <c r="N42" s="29"/>
      <c r="O42" s="3"/>
      <c r="P42" s="3"/>
      <c r="W42" t="s">
        <v>239</v>
      </c>
      <c r="X42" s="63" t="s">
        <v>225</v>
      </c>
      <c r="Y42" s="63">
        <f t="shared" si="21"/>
        <v>1</v>
      </c>
      <c r="Z42" s="63" t="b">
        <f t="shared" si="20"/>
        <v>0</v>
      </c>
    </row>
    <row r="43" spans="1:77" x14ac:dyDescent="0.25">
      <c r="E43" s="3"/>
      <c r="F43" s="3"/>
      <c r="N43" s="29"/>
      <c r="O43" s="3"/>
      <c r="P43" s="3"/>
      <c r="W43" t="s">
        <v>240</v>
      </c>
      <c r="X43" s="63" t="s">
        <v>84</v>
      </c>
      <c r="Y43" s="63" t="str">
        <f t="shared" si="21"/>
        <v>A renseigner</v>
      </c>
      <c r="Z43" s="63" t="b">
        <f t="shared" si="20"/>
        <v>0</v>
      </c>
    </row>
    <row r="44" spans="1:77" x14ac:dyDescent="0.25">
      <c r="N44" s="29"/>
      <c r="O44" s="3"/>
      <c r="P44" s="3"/>
      <c r="W44" t="s">
        <v>241</v>
      </c>
      <c r="X44" s="63" t="s">
        <v>225</v>
      </c>
      <c r="Y44" s="63">
        <f t="shared" si="21"/>
        <v>1</v>
      </c>
      <c r="Z44" s="63" t="b">
        <f t="shared" si="20"/>
        <v>0</v>
      </c>
    </row>
    <row r="45" spans="1:77" ht="15.75" thickBot="1" x14ac:dyDescent="0.3">
      <c r="I45" s="3" t="s">
        <v>49</v>
      </c>
      <c r="J45" s="3" t="s">
        <v>50</v>
      </c>
      <c r="K45" s="3" t="s">
        <v>51</v>
      </c>
      <c r="L45" s="3" t="s">
        <v>53</v>
      </c>
      <c r="M45" s="3" t="s">
        <v>54</v>
      </c>
      <c r="N45" s="3" t="s">
        <v>55</v>
      </c>
      <c r="O45" s="3" t="s">
        <v>56</v>
      </c>
      <c r="P45" s="3" t="s">
        <v>57</v>
      </c>
      <c r="W45" t="s">
        <v>242</v>
      </c>
      <c r="X45" s="63">
        <v>0.65</v>
      </c>
      <c r="Y45" s="63">
        <f t="shared" si="21"/>
        <v>0.65</v>
      </c>
      <c r="Z45" s="63" t="b">
        <f t="shared" si="20"/>
        <v>1</v>
      </c>
    </row>
    <row r="46" spans="1:77" x14ac:dyDescent="0.25">
      <c r="A46">
        <v>1</v>
      </c>
      <c r="B46">
        <v>1</v>
      </c>
      <c r="C46" t="str">
        <f t="array" ref="C46:C53">TRANSPOSE(I46:P46)</f>
        <v>BC</v>
      </c>
      <c r="D46" s="3">
        <f>COUNTIF($C$46:$C$93,F46)</f>
        <v>4</v>
      </c>
      <c r="F46" s="3" t="s">
        <v>7</v>
      </c>
      <c r="G46" s="3"/>
      <c r="H46" s="3" t="s">
        <v>46</v>
      </c>
      <c r="I46" s="34" t="s">
        <v>8</v>
      </c>
      <c r="J46" s="35" t="s">
        <v>7</v>
      </c>
      <c r="K46" s="36"/>
      <c r="L46" s="36"/>
      <c r="M46" s="36"/>
      <c r="N46" s="37"/>
      <c r="O46" s="35"/>
      <c r="P46" s="38"/>
      <c r="Q46" s="3">
        <f>COUNTA(I46:P46)</f>
        <v>2</v>
      </c>
      <c r="R46" t="str">
        <f>MID(S46,1,COUNTA(I46:P46)*2)</f>
        <v>ABBC</v>
      </c>
      <c r="S46" t="str">
        <f>CONCATENATE(P46)&amp;CONCATENATE(O46)&amp;CONCATENATE(N46)&amp;CONCATENATE(M46)&amp;CONCATENATE(L46)&amp;CONCATENATE(K46)&amp;CONCATENATE(J46)&amp;CONCATENATE(I46)</f>
        <v>ABBC</v>
      </c>
      <c r="W46" t="s">
        <v>243</v>
      </c>
      <c r="X46" s="63" t="s">
        <v>225</v>
      </c>
      <c r="Y46" s="63">
        <f t="shared" si="21"/>
        <v>1</v>
      </c>
      <c r="Z46" s="63" t="b">
        <f t="shared" si="20"/>
        <v>0</v>
      </c>
    </row>
    <row r="47" spans="1:77" x14ac:dyDescent="0.25">
      <c r="A47">
        <v>2</v>
      </c>
      <c r="B47">
        <v>2</v>
      </c>
      <c r="C47" t="str">
        <v>AB</v>
      </c>
      <c r="D47" s="3">
        <f t="shared" ref="D47:D58" si="22">COUNTIF($C$46:$C$93,F47)</f>
        <v>1</v>
      </c>
      <c r="F47" s="3" t="s">
        <v>8</v>
      </c>
      <c r="G47" s="3"/>
      <c r="H47" s="3" t="s">
        <v>47</v>
      </c>
      <c r="I47" s="39"/>
      <c r="J47" s="40"/>
      <c r="K47" s="40"/>
      <c r="L47" s="40"/>
      <c r="M47" s="40"/>
      <c r="N47" s="41"/>
      <c r="O47" s="40"/>
      <c r="P47" s="42"/>
      <c r="Q47" s="3">
        <f t="shared" ref="Q47:Q51" si="23">COUNTA(I47:P47)</f>
        <v>0</v>
      </c>
      <c r="R47" t="str">
        <f t="shared" ref="R47:R51" si="24">MID(S47,1,COUNTA(I47:P47)*2)</f>
        <v/>
      </c>
      <c r="S47" t="str">
        <f t="shared" ref="S47:S51" si="25">CONCATENATE(P47)&amp;CONCATENATE(O47)&amp;CONCATENATE(N47)&amp;CONCATENATE(M47)&amp;CONCATENATE(L47)&amp;CONCATENATE(K47)&amp;CONCATENATE(J47)&amp;CONCATENATE(I47)</f>
        <v/>
      </c>
      <c r="W47" t="s">
        <v>244</v>
      </c>
      <c r="X47" s="63" t="s">
        <v>84</v>
      </c>
      <c r="Y47" s="63" t="str">
        <f t="shared" si="21"/>
        <v>A renseigner</v>
      </c>
      <c r="Z47" s="63" t="b">
        <f t="shared" si="20"/>
        <v>0</v>
      </c>
    </row>
    <row r="48" spans="1:77" x14ac:dyDescent="0.25">
      <c r="A48">
        <v>3</v>
      </c>
      <c r="B48">
        <v>3</v>
      </c>
      <c r="C48">
        <v>0</v>
      </c>
      <c r="D48" s="3">
        <f t="shared" si="22"/>
        <v>0</v>
      </c>
      <c r="F48" s="3" t="s">
        <v>9</v>
      </c>
      <c r="G48" s="3"/>
      <c r="H48" s="3" t="s">
        <v>48</v>
      </c>
      <c r="I48" s="39" t="s">
        <v>10</v>
      </c>
      <c r="J48" s="40" t="s">
        <v>38</v>
      </c>
      <c r="K48" s="40" t="s">
        <v>7</v>
      </c>
      <c r="L48" s="40"/>
      <c r="M48" s="40"/>
      <c r="N48" s="41"/>
      <c r="O48" s="40"/>
      <c r="P48" s="42"/>
      <c r="Q48" s="3">
        <f t="shared" si="23"/>
        <v>3</v>
      </c>
      <c r="R48" t="str">
        <f t="shared" si="24"/>
        <v>ABBDDE</v>
      </c>
      <c r="S48" t="str">
        <f t="shared" si="25"/>
        <v>ABBDDE</v>
      </c>
      <c r="W48" t="s">
        <v>245</v>
      </c>
      <c r="X48" s="63" t="s">
        <v>225</v>
      </c>
      <c r="Y48" s="63">
        <f t="shared" si="21"/>
        <v>1</v>
      </c>
      <c r="Z48" s="63" t="b">
        <f t="shared" si="20"/>
        <v>0</v>
      </c>
    </row>
    <row r="49" spans="1:26" x14ac:dyDescent="0.25">
      <c r="A49">
        <v>4</v>
      </c>
      <c r="B49">
        <v>4</v>
      </c>
      <c r="C49">
        <v>0</v>
      </c>
      <c r="D49" s="3">
        <f t="shared" si="22"/>
        <v>1</v>
      </c>
      <c r="F49" s="3" t="s">
        <v>10</v>
      </c>
      <c r="H49" s="3" t="s">
        <v>58</v>
      </c>
      <c r="I49" s="39"/>
      <c r="J49" s="40"/>
      <c r="K49" s="40"/>
      <c r="L49" s="40"/>
      <c r="M49" s="40"/>
      <c r="N49" s="41"/>
      <c r="O49" s="40"/>
      <c r="P49" s="42"/>
      <c r="Q49" s="3">
        <f t="shared" si="23"/>
        <v>0</v>
      </c>
      <c r="R49" t="str">
        <f t="shared" si="24"/>
        <v/>
      </c>
      <c r="S49" t="str">
        <f t="shared" si="25"/>
        <v/>
      </c>
      <c r="W49" t="s">
        <v>246</v>
      </c>
      <c r="X49" s="63" t="s">
        <v>84</v>
      </c>
      <c r="Y49" s="63" t="str">
        <f t="shared" si="21"/>
        <v>A renseigner</v>
      </c>
      <c r="Z49" s="63" t="b">
        <f t="shared" si="20"/>
        <v>0</v>
      </c>
    </row>
    <row r="50" spans="1:26" x14ac:dyDescent="0.25">
      <c r="A50">
        <v>5</v>
      </c>
      <c r="B50">
        <v>5</v>
      </c>
      <c r="C50">
        <v>0</v>
      </c>
      <c r="D50" s="3">
        <f t="shared" si="22"/>
        <v>0</v>
      </c>
      <c r="F50" s="3" t="s">
        <v>11</v>
      </c>
      <c r="H50" s="3" t="s">
        <v>59</v>
      </c>
      <c r="I50" s="39" t="s">
        <v>40</v>
      </c>
      <c r="J50" s="40" t="s">
        <v>39</v>
      </c>
      <c r="K50" s="40" t="s">
        <v>38</v>
      </c>
      <c r="L50" s="40" t="s">
        <v>7</v>
      </c>
      <c r="M50" s="40"/>
      <c r="N50" s="41"/>
      <c r="O50" s="40"/>
      <c r="P50" s="42"/>
      <c r="Q50" s="3">
        <f t="shared" si="23"/>
        <v>4</v>
      </c>
      <c r="R50" t="str">
        <f t="shared" si="24"/>
        <v>ABBDDFFH</v>
      </c>
      <c r="S50" t="str">
        <f t="shared" si="25"/>
        <v>ABBDDFFH</v>
      </c>
      <c r="W50" t="s">
        <v>247</v>
      </c>
      <c r="X50" s="63" t="s">
        <v>225</v>
      </c>
      <c r="Y50" s="63">
        <f t="shared" si="21"/>
        <v>1</v>
      </c>
      <c r="Z50" s="63" t="b">
        <f t="shared" si="20"/>
        <v>0</v>
      </c>
    </row>
    <row r="51" spans="1:26" ht="15.75" thickBot="1" x14ac:dyDescent="0.3">
      <c r="A51">
        <v>6</v>
      </c>
      <c r="B51">
        <v>6</v>
      </c>
      <c r="C51">
        <v>0</v>
      </c>
      <c r="D51" s="3">
        <f t="shared" si="22"/>
        <v>0</v>
      </c>
      <c r="F51" s="3" t="s">
        <v>12</v>
      </c>
      <c r="H51" s="3" t="s">
        <v>60</v>
      </c>
      <c r="I51" s="43" t="s">
        <v>18</v>
      </c>
      <c r="J51" s="44" t="s">
        <v>42</v>
      </c>
      <c r="K51" s="44" t="s">
        <v>41</v>
      </c>
      <c r="L51" s="44" t="s">
        <v>39</v>
      </c>
      <c r="M51" s="44" t="s">
        <v>38</v>
      </c>
      <c r="N51" s="45" t="s">
        <v>7</v>
      </c>
      <c r="O51" s="44"/>
      <c r="P51" s="46"/>
      <c r="Q51" s="3">
        <f t="shared" si="23"/>
        <v>6</v>
      </c>
      <c r="R51" t="str">
        <f t="shared" si="24"/>
        <v>ABBDDFFGGJJK</v>
      </c>
      <c r="S51" t="str">
        <f t="shared" si="25"/>
        <v>ABBDDFFGGJJK</v>
      </c>
      <c r="W51" t="s">
        <v>248</v>
      </c>
      <c r="X51" s="63" t="s">
        <v>84</v>
      </c>
      <c r="Y51" s="63" t="str">
        <f t="shared" si="21"/>
        <v>A renseigner</v>
      </c>
      <c r="Z51" s="63" t="b">
        <f t="shared" si="20"/>
        <v>0</v>
      </c>
    </row>
    <row r="52" spans="1:26" x14ac:dyDescent="0.25">
      <c r="A52">
        <v>7</v>
      </c>
      <c r="B52">
        <v>7</v>
      </c>
      <c r="C52">
        <v>0</v>
      </c>
      <c r="D52" s="3">
        <f t="shared" si="22"/>
        <v>0</v>
      </c>
      <c r="F52" s="3" t="s">
        <v>22</v>
      </c>
      <c r="I52" s="3"/>
      <c r="J52" s="3"/>
      <c r="K52" s="3"/>
      <c r="L52" s="3"/>
      <c r="M52" s="3"/>
      <c r="W52" t="s">
        <v>249</v>
      </c>
      <c r="X52" s="63" t="s">
        <v>225</v>
      </c>
      <c r="Y52" s="63">
        <f t="shared" si="21"/>
        <v>1</v>
      </c>
      <c r="Z52" s="63" t="b">
        <f t="shared" si="20"/>
        <v>0</v>
      </c>
    </row>
    <row r="53" spans="1:26" x14ac:dyDescent="0.25">
      <c r="A53">
        <v>8</v>
      </c>
      <c r="B53">
        <v>8</v>
      </c>
      <c r="C53">
        <v>0</v>
      </c>
      <c r="D53" s="3">
        <f t="shared" si="22"/>
        <v>0</v>
      </c>
      <c r="F53" s="3" t="s">
        <v>13</v>
      </c>
      <c r="I53" s="3"/>
      <c r="J53" s="3"/>
      <c r="K53" s="3"/>
      <c r="L53" s="3"/>
      <c r="M53" s="3"/>
      <c r="W53" t="s">
        <v>250</v>
      </c>
      <c r="X53" s="63" t="s">
        <v>84</v>
      </c>
      <c r="Y53" s="63" t="str">
        <f t="shared" si="21"/>
        <v>A renseigner</v>
      </c>
      <c r="Z53" s="63" t="b">
        <f t="shared" si="20"/>
        <v>0</v>
      </c>
    </row>
    <row r="54" spans="1:26" x14ac:dyDescent="0.25">
      <c r="A54">
        <v>1</v>
      </c>
      <c r="B54">
        <v>9</v>
      </c>
      <c r="C54">
        <f t="array" ref="C54:C61">TRANSPOSE(I47:P47)</f>
        <v>0</v>
      </c>
      <c r="D54" s="3">
        <f t="shared" si="22"/>
        <v>0</v>
      </c>
      <c r="F54" s="3" t="s">
        <v>15</v>
      </c>
      <c r="W54" t="s">
        <v>251</v>
      </c>
      <c r="Z54" s="63"/>
    </row>
    <row r="55" spans="1:26" x14ac:dyDescent="0.25">
      <c r="A55">
        <v>2</v>
      </c>
      <c r="B55">
        <v>10</v>
      </c>
      <c r="C55">
        <v>0</v>
      </c>
      <c r="D55" s="3">
        <f t="shared" si="22"/>
        <v>0</v>
      </c>
      <c r="F55" s="3" t="s">
        <v>16</v>
      </c>
      <c r="J55" s="3" t="s">
        <v>7</v>
      </c>
      <c r="K55" s="3" t="str">
        <f>LEFT(J55,1)</f>
        <v>A</v>
      </c>
      <c r="L55" s="3" t="str">
        <f>RIGHT(J55,1)</f>
        <v>B</v>
      </c>
      <c r="W55" t="s">
        <v>252</v>
      </c>
      <c r="Z55" s="63"/>
    </row>
    <row r="56" spans="1:26" x14ac:dyDescent="0.25">
      <c r="A56">
        <v>3</v>
      </c>
      <c r="B56">
        <v>11</v>
      </c>
      <c r="C56">
        <v>0</v>
      </c>
      <c r="D56" s="3">
        <f t="shared" si="22"/>
        <v>0</v>
      </c>
      <c r="F56" s="3" t="s">
        <v>17</v>
      </c>
      <c r="J56" s="3">
        <f ca="1">IF(AND(COUNTA(I46:P46)&gt;=1,COUNTA(I46:P46)&lt;201),IF(OFFSET(H46,0,COUNTA(I46:P46))="AB",1,0),0)</f>
        <v>1</v>
      </c>
      <c r="W56" t="s">
        <v>253</v>
      </c>
      <c r="Z56" s="63"/>
    </row>
    <row r="57" spans="1:26" x14ac:dyDescent="0.25">
      <c r="A57">
        <v>4</v>
      </c>
      <c r="B57">
        <v>12</v>
      </c>
      <c r="C57">
        <v>0</v>
      </c>
      <c r="D57" s="3">
        <f t="shared" si="22"/>
        <v>1</v>
      </c>
      <c r="F57" s="3" t="s">
        <v>18</v>
      </c>
      <c r="J57" s="3">
        <f t="shared" ref="J57:J61" ca="1" si="26">IF(AND(COUNTA(I47:P47)&gt;=1,COUNTA(I47:P47)&lt;201),IF(OFFSET(H47,0,COUNTA(I47:P47))="AB",1,0),0)</f>
        <v>0</v>
      </c>
      <c r="W57" t="s">
        <v>254</v>
      </c>
      <c r="Z57" s="63"/>
    </row>
    <row r="58" spans="1:26" x14ac:dyDescent="0.25">
      <c r="A58">
        <v>5</v>
      </c>
      <c r="B58">
        <v>13</v>
      </c>
      <c r="C58">
        <v>0</v>
      </c>
      <c r="D58" s="3">
        <f t="shared" si="22"/>
        <v>0</v>
      </c>
      <c r="F58" s="3" t="s">
        <v>19</v>
      </c>
      <c r="J58" s="3">
        <f t="shared" ca="1" si="26"/>
        <v>1</v>
      </c>
      <c r="W58" t="s">
        <v>255</v>
      </c>
      <c r="Z58" s="63"/>
    </row>
    <row r="59" spans="1:26" x14ac:dyDescent="0.25">
      <c r="A59">
        <v>6</v>
      </c>
      <c r="B59">
        <v>14</v>
      </c>
      <c r="C59">
        <v>0</v>
      </c>
      <c r="J59" s="3">
        <f t="shared" ca="1" si="26"/>
        <v>0</v>
      </c>
    </row>
    <row r="60" spans="1:26" x14ac:dyDescent="0.25">
      <c r="A60">
        <v>7</v>
      </c>
      <c r="B60">
        <v>15</v>
      </c>
      <c r="C60">
        <v>0</v>
      </c>
      <c r="J60" s="3">
        <f t="shared" ca="1" si="26"/>
        <v>1</v>
      </c>
    </row>
    <row r="61" spans="1:26" x14ac:dyDescent="0.25">
      <c r="A61">
        <v>8</v>
      </c>
      <c r="B61">
        <v>16</v>
      </c>
      <c r="C61">
        <v>0</v>
      </c>
      <c r="J61" s="3">
        <f t="shared" ca="1" si="26"/>
        <v>1</v>
      </c>
    </row>
    <row r="62" spans="1:26" x14ac:dyDescent="0.25">
      <c r="A62">
        <v>1</v>
      </c>
      <c r="B62">
        <v>17</v>
      </c>
      <c r="C62" t="str">
        <f t="array" ref="C62:C69">TRANSPOSE(I48:P48)</f>
        <v>DE</v>
      </c>
      <c r="J62" s="3"/>
    </row>
    <row r="63" spans="1:26" x14ac:dyDescent="0.25">
      <c r="A63">
        <v>2</v>
      </c>
      <c r="B63">
        <v>18</v>
      </c>
      <c r="C63" t="str">
        <v>BD</v>
      </c>
      <c r="E63" s="3"/>
    </row>
    <row r="64" spans="1:26" x14ac:dyDescent="0.25">
      <c r="A64">
        <v>3</v>
      </c>
      <c r="B64">
        <v>19</v>
      </c>
      <c r="C64" t="str">
        <v>AB</v>
      </c>
      <c r="E64" s="3"/>
    </row>
    <row r="65" spans="1:23" x14ac:dyDescent="0.25">
      <c r="A65">
        <v>4</v>
      </c>
      <c r="B65">
        <v>20</v>
      </c>
      <c r="C65">
        <v>0</v>
      </c>
      <c r="E65" s="3"/>
      <c r="M65" t="s">
        <v>61</v>
      </c>
      <c r="Q65" t="s">
        <v>81</v>
      </c>
    </row>
    <row r="66" spans="1:23" x14ac:dyDescent="0.25">
      <c r="A66">
        <v>5</v>
      </c>
      <c r="B66">
        <v>21</v>
      </c>
      <c r="C66">
        <v>0</v>
      </c>
      <c r="E66" s="3"/>
      <c r="M66" t="s">
        <v>62</v>
      </c>
      <c r="Q66" t="str">
        <f>IFERROR(ROW(IF(J77&lt;&gt;"",J77,"")),"vide")</f>
        <v>vide</v>
      </c>
      <c r="R66">
        <f>COUNTA(J77:P77)</f>
        <v>7</v>
      </c>
      <c r="S66">
        <f>COUNTBLANK(J77:P77)</f>
        <v>7</v>
      </c>
      <c r="T66">
        <f>R66-S66</f>
        <v>0</v>
      </c>
      <c r="U66" s="3" t="str">
        <f ca="1">IFERROR(OFFSET($I$1,$Q66-1,$T66),"")</f>
        <v/>
      </c>
      <c r="V66" s="3" t="str">
        <f ca="1">IFERROR(OFFSET($I$1,$Q66-1,$T66-1),"")</f>
        <v/>
      </c>
      <c r="W66" s="3" t="str">
        <f ca="1">IFERROR(OFFSET($I$1,$Q66-1,$T66-2),"")</f>
        <v/>
      </c>
    </row>
    <row r="67" spans="1:23" x14ac:dyDescent="0.25">
      <c r="A67">
        <v>6</v>
      </c>
      <c r="B67">
        <v>22</v>
      </c>
      <c r="C67">
        <v>0</v>
      </c>
      <c r="E67" s="3"/>
      <c r="M67" t="s">
        <v>63</v>
      </c>
      <c r="Q67" t="str">
        <f t="shared" ref="Q67:Q78" si="27">IFERROR(ROW(IF(J78&lt;&gt;"",J78,"")),"vide")</f>
        <v>vide</v>
      </c>
      <c r="R67">
        <f t="shared" ref="R67:R78" si="28">COUNTA(J78:P78)</f>
        <v>7</v>
      </c>
      <c r="S67">
        <f t="shared" ref="S67:S78" si="29">COUNTBLANK(J78:P78)</f>
        <v>7</v>
      </c>
      <c r="T67">
        <f t="shared" ref="T67:T78" si="30">R67-S67</f>
        <v>0</v>
      </c>
      <c r="U67" s="3" t="str">
        <f t="shared" ref="U67:U78" ca="1" si="31">IFERROR(OFFSET($I$1,Q67-1,T67),"")</f>
        <v/>
      </c>
      <c r="V67" s="3" t="str">
        <f t="shared" ref="V67:V78" ca="1" si="32">IFERROR(OFFSET($I$1,$Q67-1,$T67-1),"")</f>
        <v/>
      </c>
      <c r="W67" s="3" t="str">
        <f t="shared" ref="W67:W78" ca="1" si="33">IFERROR(OFFSET($I$1,$Q67-1,$T67-2),"")</f>
        <v/>
      </c>
    </row>
    <row r="68" spans="1:23" x14ac:dyDescent="0.25">
      <c r="A68">
        <v>7</v>
      </c>
      <c r="B68">
        <v>23</v>
      </c>
      <c r="C68">
        <v>0</v>
      </c>
      <c r="E68" s="3"/>
      <c r="M68" t="s">
        <v>64</v>
      </c>
      <c r="Q68" t="str">
        <f t="shared" si="27"/>
        <v>vide</v>
      </c>
      <c r="R68">
        <f t="shared" si="28"/>
        <v>7</v>
      </c>
      <c r="S68">
        <f t="shared" si="29"/>
        <v>7</v>
      </c>
      <c r="T68">
        <f t="shared" si="30"/>
        <v>0</v>
      </c>
      <c r="U68" s="3" t="str">
        <f t="shared" ca="1" si="31"/>
        <v/>
      </c>
      <c r="V68" s="3" t="str">
        <f t="shared" ca="1" si="32"/>
        <v/>
      </c>
      <c r="W68" s="3" t="str">
        <f t="shared" ca="1" si="33"/>
        <v/>
      </c>
    </row>
    <row r="69" spans="1:23" x14ac:dyDescent="0.25">
      <c r="A69">
        <v>8</v>
      </c>
      <c r="B69">
        <v>24</v>
      </c>
      <c r="C69">
        <v>0</v>
      </c>
      <c r="Q69" t="str">
        <f t="shared" si="27"/>
        <v>vide</v>
      </c>
      <c r="R69">
        <f t="shared" si="28"/>
        <v>7</v>
      </c>
      <c r="S69">
        <f t="shared" si="29"/>
        <v>7</v>
      </c>
      <c r="T69">
        <f t="shared" si="30"/>
        <v>0</v>
      </c>
      <c r="U69" s="3" t="str">
        <f t="shared" ca="1" si="31"/>
        <v/>
      </c>
      <c r="V69" s="3" t="str">
        <f t="shared" ca="1" si="32"/>
        <v/>
      </c>
      <c r="W69" s="3" t="str">
        <f t="shared" ca="1" si="33"/>
        <v/>
      </c>
    </row>
    <row r="70" spans="1:23" x14ac:dyDescent="0.25">
      <c r="A70">
        <v>1</v>
      </c>
      <c r="B70">
        <v>25</v>
      </c>
      <c r="C70">
        <f t="array" ref="C70:C77">TRANSPOSE(I49:P49)</f>
        <v>0</v>
      </c>
      <c r="Q70" t="str">
        <f t="shared" si="27"/>
        <v>vide</v>
      </c>
      <c r="R70">
        <f t="shared" si="28"/>
        <v>7</v>
      </c>
      <c r="S70">
        <f t="shared" si="29"/>
        <v>7</v>
      </c>
      <c r="T70">
        <f t="shared" si="30"/>
        <v>0</v>
      </c>
      <c r="U70" s="3" t="str">
        <f t="shared" ca="1" si="31"/>
        <v/>
      </c>
      <c r="V70" s="3" t="str">
        <f t="shared" ca="1" si="32"/>
        <v/>
      </c>
      <c r="W70" s="3" t="str">
        <f t="shared" ca="1" si="33"/>
        <v/>
      </c>
    </row>
    <row r="71" spans="1:23" x14ac:dyDescent="0.25">
      <c r="A71">
        <v>2</v>
      </c>
      <c r="B71">
        <v>26</v>
      </c>
      <c r="C71">
        <v>0</v>
      </c>
      <c r="E71" s="3"/>
      <c r="Q71" t="str">
        <f t="shared" si="27"/>
        <v>vide</v>
      </c>
      <c r="R71">
        <f t="shared" si="28"/>
        <v>7</v>
      </c>
      <c r="S71">
        <f t="shared" si="29"/>
        <v>7</v>
      </c>
      <c r="T71">
        <f t="shared" si="30"/>
        <v>0</v>
      </c>
      <c r="U71" s="3" t="str">
        <f t="shared" ca="1" si="31"/>
        <v/>
      </c>
      <c r="V71" s="3" t="str">
        <f t="shared" ca="1" si="32"/>
        <v/>
      </c>
      <c r="W71" s="3" t="str">
        <f t="shared" ca="1" si="33"/>
        <v/>
      </c>
    </row>
    <row r="72" spans="1:23" x14ac:dyDescent="0.25">
      <c r="A72">
        <v>3</v>
      </c>
      <c r="B72">
        <v>27</v>
      </c>
      <c r="C72">
        <v>0</v>
      </c>
      <c r="E72" s="3"/>
      <c r="Q72">
        <f t="shared" si="27"/>
        <v>83</v>
      </c>
      <c r="R72">
        <f t="shared" si="28"/>
        <v>7</v>
      </c>
      <c r="S72">
        <f t="shared" si="29"/>
        <v>1</v>
      </c>
      <c r="T72">
        <f t="shared" si="30"/>
        <v>6</v>
      </c>
      <c r="U72" s="3" t="str">
        <f t="shared" ca="1" si="31"/>
        <v>A</v>
      </c>
      <c r="V72" s="3" t="str">
        <f t="shared" ca="1" si="32"/>
        <v>B</v>
      </c>
      <c r="W72" s="3" t="str">
        <f t="shared" ca="1" si="33"/>
        <v>C</v>
      </c>
    </row>
    <row r="73" spans="1:23" x14ac:dyDescent="0.25">
      <c r="A73">
        <v>4</v>
      </c>
      <c r="B73">
        <v>28</v>
      </c>
      <c r="C73">
        <v>0</v>
      </c>
      <c r="E73" s="3"/>
      <c r="Q73" t="str">
        <f t="shared" si="27"/>
        <v>vide</v>
      </c>
      <c r="R73">
        <f t="shared" si="28"/>
        <v>7</v>
      </c>
      <c r="S73">
        <f t="shared" si="29"/>
        <v>7</v>
      </c>
      <c r="T73">
        <f t="shared" si="30"/>
        <v>0</v>
      </c>
      <c r="U73" s="3" t="str">
        <f t="shared" ca="1" si="31"/>
        <v/>
      </c>
      <c r="V73" s="3" t="str">
        <f t="shared" ca="1" si="32"/>
        <v/>
      </c>
      <c r="W73" s="3" t="str">
        <f t="shared" ca="1" si="33"/>
        <v/>
      </c>
    </row>
    <row r="74" spans="1:23" x14ac:dyDescent="0.25">
      <c r="A74">
        <v>5</v>
      </c>
      <c r="B74">
        <v>29</v>
      </c>
      <c r="C74">
        <v>0</v>
      </c>
      <c r="E74" s="3"/>
      <c r="Q74" t="str">
        <f t="shared" si="27"/>
        <v>vide</v>
      </c>
      <c r="R74">
        <f t="shared" si="28"/>
        <v>7</v>
      </c>
      <c r="S74">
        <f t="shared" si="29"/>
        <v>7</v>
      </c>
      <c r="T74">
        <f t="shared" si="30"/>
        <v>0</v>
      </c>
      <c r="U74" s="3" t="str">
        <f t="shared" ca="1" si="31"/>
        <v/>
      </c>
      <c r="V74" s="3" t="str">
        <f t="shared" ca="1" si="32"/>
        <v/>
      </c>
      <c r="W74" s="3" t="str">
        <f t="shared" ca="1" si="33"/>
        <v/>
      </c>
    </row>
    <row r="75" spans="1:23" x14ac:dyDescent="0.25">
      <c r="A75">
        <v>6</v>
      </c>
      <c r="B75">
        <v>30</v>
      </c>
      <c r="C75">
        <v>0</v>
      </c>
      <c r="E75" s="3"/>
      <c r="Q75">
        <f t="shared" si="27"/>
        <v>86</v>
      </c>
      <c r="R75">
        <f t="shared" si="28"/>
        <v>7</v>
      </c>
      <c r="S75">
        <f t="shared" si="29"/>
        <v>1</v>
      </c>
      <c r="T75">
        <f t="shared" si="30"/>
        <v>6</v>
      </c>
      <c r="U75" s="3" t="str">
        <f t="shared" ca="1" si="31"/>
        <v>A</v>
      </c>
      <c r="V75" s="3" t="str">
        <f t="shared" ca="1" si="32"/>
        <v>B</v>
      </c>
      <c r="W75" s="3" t="str">
        <f t="shared" ca="1" si="33"/>
        <v>D</v>
      </c>
    </row>
    <row r="76" spans="1:23" ht="15.75" thickBot="1" x14ac:dyDescent="0.3">
      <c r="A76">
        <v>7</v>
      </c>
      <c r="B76">
        <v>31</v>
      </c>
      <c r="C76">
        <v>0</v>
      </c>
      <c r="E76" s="3"/>
      <c r="J76" s="30" t="s">
        <v>80</v>
      </c>
      <c r="Q76" t="str">
        <f t="shared" si="27"/>
        <v>vide</v>
      </c>
      <c r="R76">
        <f t="shared" si="28"/>
        <v>7</v>
      </c>
      <c r="S76">
        <f t="shared" si="29"/>
        <v>7</v>
      </c>
      <c r="T76">
        <f t="shared" si="30"/>
        <v>0</v>
      </c>
      <c r="U76" s="3" t="str">
        <f t="shared" ca="1" si="31"/>
        <v/>
      </c>
      <c r="V76" s="3" t="str">
        <f t="shared" ca="1" si="32"/>
        <v/>
      </c>
      <c r="W76" s="3" t="str">
        <f t="shared" ca="1" si="33"/>
        <v/>
      </c>
    </row>
    <row r="77" spans="1:23" ht="15.75" thickBot="1" x14ac:dyDescent="0.3">
      <c r="A77">
        <v>8</v>
      </c>
      <c r="B77">
        <v>32</v>
      </c>
      <c r="C77">
        <v>0</v>
      </c>
      <c r="D77" t="b">
        <v>0</v>
      </c>
      <c r="F77" s="50" t="str">
        <f>IF(D77=TRUE,"","AB")</f>
        <v>AB</v>
      </c>
      <c r="G77" s="36" t="str">
        <f>LEFT(F77,1)</f>
        <v>A</v>
      </c>
      <c r="H77" s="36" t="str">
        <f>RIGHT(F77,1)</f>
        <v>B</v>
      </c>
      <c r="I77" s="36" t="str">
        <f>IFERROR(INDEX($G$77:$G$89,MATCH(H77,$G$77:$G$89,0),1),"fin")</f>
        <v>B</v>
      </c>
      <c r="J77" s="36" t="str">
        <f>IF(I77="fin",H77,"")</f>
        <v/>
      </c>
      <c r="K77" s="36" t="str">
        <f>IFERROR(INDEX($G$77:$H$89,MATCH(J77,$H$77:$H$89,0),1),"")</f>
        <v/>
      </c>
      <c r="L77" s="36" t="str">
        <f>IFERROR(INDEX($G$77:$H$89,MATCH(K77,$H$77:$H$89,0),1),"")</f>
        <v/>
      </c>
      <c r="M77" s="36" t="str">
        <f>IFERROR(INDEX($G$77:$H$89,MATCH(L77,$H$77:$H$89,0),1),"")</f>
        <v/>
      </c>
      <c r="N77" s="36" t="str">
        <f t="shared" ref="N77:P77" si="34">IFERROR(INDEX($G$77:$H$89,MATCH(M77,$H$77:$H$89,0),1),"")</f>
        <v/>
      </c>
      <c r="O77" s="36" t="str">
        <f t="shared" si="34"/>
        <v/>
      </c>
      <c r="P77" s="51" t="str">
        <f t="shared" si="34"/>
        <v/>
      </c>
      <c r="Q77" t="str">
        <f t="shared" si="27"/>
        <v>vide</v>
      </c>
      <c r="R77">
        <f t="shared" si="28"/>
        <v>7</v>
      </c>
      <c r="S77">
        <f t="shared" si="29"/>
        <v>7</v>
      </c>
      <c r="T77">
        <f t="shared" si="30"/>
        <v>0</v>
      </c>
      <c r="U77" s="3" t="str">
        <f t="shared" ca="1" si="31"/>
        <v/>
      </c>
      <c r="V77" s="3" t="str">
        <f t="shared" ca="1" si="32"/>
        <v/>
      </c>
      <c r="W77" s="3" t="str">
        <f t="shared" ca="1" si="33"/>
        <v/>
      </c>
    </row>
    <row r="78" spans="1:23" ht="15.75" thickBot="1" x14ac:dyDescent="0.3">
      <c r="A78">
        <v>1</v>
      </c>
      <c r="B78">
        <v>33</v>
      </c>
      <c r="C78" t="str">
        <f t="array" ref="C78:C85">TRANSPOSE(I50:P50)</f>
        <v>FH</v>
      </c>
      <c r="D78" t="b">
        <v>0</v>
      </c>
      <c r="F78" s="52" t="str">
        <f>IF(D78=TRUE,"","BC")</f>
        <v>BC</v>
      </c>
      <c r="G78" s="36" t="str">
        <f t="shared" ref="G78:G80" si="35">LEFT(F78,1)</f>
        <v>B</v>
      </c>
      <c r="H78" s="36" t="str">
        <f t="shared" ref="H78:H80" si="36">RIGHT(F78,1)</f>
        <v>C</v>
      </c>
      <c r="I78" s="53" t="str">
        <f t="shared" ref="I78:I89" si="37">IFERROR(INDEX($G$77:$G$89,MATCH(H78,$G$77:$G$89,0),1),"fin")</f>
        <v>C</v>
      </c>
      <c r="J78" s="53" t="str">
        <f t="shared" ref="J78:J89" si="38">IF(I78="fin",H78,"")</f>
        <v/>
      </c>
      <c r="K78" s="53" t="str">
        <f t="shared" ref="K78:P89" si="39">IFERROR(INDEX($G$77:$H$89,MATCH(J78,$H$77:$H$89,0),1),"")</f>
        <v/>
      </c>
      <c r="L78" s="53" t="str">
        <f t="shared" si="39"/>
        <v/>
      </c>
      <c r="M78" s="53" t="str">
        <f t="shared" si="39"/>
        <v/>
      </c>
      <c r="N78" s="53" t="str">
        <f t="shared" si="39"/>
        <v/>
      </c>
      <c r="O78" s="53" t="str">
        <f t="shared" si="39"/>
        <v/>
      </c>
      <c r="P78" s="54" t="str">
        <f t="shared" si="39"/>
        <v/>
      </c>
      <c r="Q78">
        <f t="shared" si="27"/>
        <v>89</v>
      </c>
      <c r="R78">
        <f t="shared" si="28"/>
        <v>7</v>
      </c>
      <c r="S78">
        <f t="shared" si="29"/>
        <v>0</v>
      </c>
      <c r="T78">
        <f t="shared" si="30"/>
        <v>7</v>
      </c>
      <c r="U78" s="3" t="str">
        <f t="shared" ca="1" si="31"/>
        <v>A</v>
      </c>
      <c r="V78" s="3" t="str">
        <f t="shared" ca="1" si="32"/>
        <v>B</v>
      </c>
      <c r="W78" s="3" t="str">
        <f t="shared" ca="1" si="33"/>
        <v>D</v>
      </c>
    </row>
    <row r="79" spans="1:23" ht="15.75" thickBot="1" x14ac:dyDescent="0.3">
      <c r="A79">
        <v>2</v>
      </c>
      <c r="B79">
        <v>34</v>
      </c>
      <c r="C79" t="str">
        <v>DF</v>
      </c>
      <c r="D79" t="b">
        <v>0</v>
      </c>
      <c r="F79" s="52" t="str">
        <f>IF(D79=TRUE,"","BD")</f>
        <v>BD</v>
      </c>
      <c r="G79" s="36" t="str">
        <f t="shared" si="35"/>
        <v>B</v>
      </c>
      <c r="H79" s="36" t="str">
        <f t="shared" si="36"/>
        <v>D</v>
      </c>
      <c r="I79" s="53" t="str">
        <f t="shared" si="37"/>
        <v>D</v>
      </c>
      <c r="J79" s="53" t="str">
        <f t="shared" si="38"/>
        <v/>
      </c>
      <c r="K79" s="53" t="str">
        <f t="shared" si="39"/>
        <v/>
      </c>
      <c r="L79" s="53" t="str">
        <f t="shared" si="39"/>
        <v/>
      </c>
      <c r="M79" s="53" t="str">
        <f t="shared" si="39"/>
        <v/>
      </c>
      <c r="N79" s="53" t="str">
        <f t="shared" si="39"/>
        <v/>
      </c>
      <c r="O79" s="53" t="str">
        <f t="shared" si="39"/>
        <v/>
      </c>
      <c r="P79" s="54" t="str">
        <f t="shared" si="39"/>
        <v/>
      </c>
    </row>
    <row r="80" spans="1:23" x14ac:dyDescent="0.25">
      <c r="A80">
        <v>3</v>
      </c>
      <c r="B80">
        <v>35</v>
      </c>
      <c r="C80" t="str">
        <v>BD</v>
      </c>
      <c r="D80" t="b">
        <v>0</v>
      </c>
      <c r="F80" s="52" t="str">
        <f>IF(D80=TRUE,"","DE")</f>
        <v>DE</v>
      </c>
      <c r="G80" s="36" t="str">
        <f t="shared" si="35"/>
        <v>D</v>
      </c>
      <c r="H80" s="36" t="str">
        <f t="shared" si="36"/>
        <v>E</v>
      </c>
      <c r="I80" s="53" t="str">
        <f t="shared" si="37"/>
        <v>E</v>
      </c>
      <c r="J80" s="53" t="str">
        <f t="shared" si="38"/>
        <v/>
      </c>
      <c r="K80" s="53" t="str">
        <f t="shared" si="39"/>
        <v/>
      </c>
      <c r="L80" s="53" t="str">
        <f t="shared" si="39"/>
        <v/>
      </c>
      <c r="M80" s="53" t="str">
        <f t="shared" si="39"/>
        <v/>
      </c>
      <c r="N80" s="53" t="str">
        <f t="shared" si="39"/>
        <v/>
      </c>
      <c r="O80" s="53" t="str">
        <f t="shared" si="39"/>
        <v/>
      </c>
      <c r="P80" s="54" t="str">
        <f t="shared" si="39"/>
        <v/>
      </c>
    </row>
    <row r="81" spans="1:28" x14ac:dyDescent="0.25">
      <c r="A81">
        <v>4</v>
      </c>
      <c r="B81">
        <v>36</v>
      </c>
      <c r="C81" t="str">
        <v>AB</v>
      </c>
      <c r="F81" s="52" t="s">
        <v>65</v>
      </c>
      <c r="G81" s="53" t="s">
        <v>2</v>
      </c>
      <c r="H81" s="53" t="s">
        <v>5</v>
      </c>
      <c r="I81" s="53" t="str">
        <f t="shared" si="37"/>
        <v>F</v>
      </c>
      <c r="J81" s="53" t="str">
        <f t="shared" si="38"/>
        <v/>
      </c>
      <c r="K81" s="53" t="str">
        <f t="shared" si="39"/>
        <v/>
      </c>
      <c r="L81" s="53" t="str">
        <f t="shared" si="39"/>
        <v/>
      </c>
      <c r="M81" s="53" t="str">
        <f t="shared" si="39"/>
        <v/>
      </c>
      <c r="N81" s="53" t="str">
        <f t="shared" si="39"/>
        <v/>
      </c>
      <c r="O81" s="53" t="str">
        <f t="shared" si="39"/>
        <v/>
      </c>
      <c r="P81" s="54" t="str">
        <f t="shared" si="39"/>
        <v/>
      </c>
    </row>
    <row r="82" spans="1:28" x14ac:dyDescent="0.25">
      <c r="A82">
        <v>5</v>
      </c>
      <c r="B82">
        <v>37</v>
      </c>
      <c r="C82">
        <v>0</v>
      </c>
      <c r="F82" s="52" t="s">
        <v>66</v>
      </c>
      <c r="G82" s="53" t="s">
        <v>5</v>
      </c>
      <c r="H82" s="53" t="s">
        <v>27</v>
      </c>
      <c r="I82" s="53" t="str">
        <f t="shared" si="37"/>
        <v>J</v>
      </c>
      <c r="J82" s="53" t="str">
        <f t="shared" si="38"/>
        <v/>
      </c>
      <c r="K82" s="53" t="str">
        <f t="shared" si="39"/>
        <v/>
      </c>
      <c r="L82" s="53" t="str">
        <f t="shared" si="39"/>
        <v/>
      </c>
      <c r="M82" s="53" t="str">
        <f t="shared" si="39"/>
        <v/>
      </c>
      <c r="N82" s="53" t="str">
        <f t="shared" si="39"/>
        <v/>
      </c>
      <c r="O82" s="53" t="str">
        <f t="shared" si="39"/>
        <v/>
      </c>
      <c r="P82" s="54" t="str">
        <f t="shared" si="39"/>
        <v/>
      </c>
    </row>
    <row r="83" spans="1:28" x14ac:dyDescent="0.25">
      <c r="A83">
        <v>6</v>
      </c>
      <c r="B83">
        <v>38</v>
      </c>
      <c r="C83">
        <v>0</v>
      </c>
      <c r="F83" s="52" t="s">
        <v>67</v>
      </c>
      <c r="G83" s="53" t="s">
        <v>27</v>
      </c>
      <c r="H83" s="53" t="s">
        <v>14</v>
      </c>
      <c r="I83" s="53" t="str">
        <f t="shared" si="37"/>
        <v>fin</v>
      </c>
      <c r="J83" s="53" t="str">
        <f t="shared" si="38"/>
        <v>N</v>
      </c>
      <c r="K83" s="53" t="str">
        <f t="shared" si="39"/>
        <v>J</v>
      </c>
      <c r="L83" s="53" t="str">
        <f t="shared" si="39"/>
        <v>F</v>
      </c>
      <c r="M83" s="53" t="str">
        <f t="shared" si="39"/>
        <v>C</v>
      </c>
      <c r="N83" s="57" t="str">
        <f t="shared" si="39"/>
        <v>B</v>
      </c>
      <c r="O83" s="57" t="str">
        <f t="shared" si="39"/>
        <v>A</v>
      </c>
      <c r="P83" s="54" t="str">
        <f t="shared" si="39"/>
        <v/>
      </c>
      <c r="Q83" s="60" t="s">
        <v>7</v>
      </c>
      <c r="R83" s="61" t="s">
        <v>8</v>
      </c>
      <c r="S83" s="14" t="s">
        <v>65</v>
      </c>
      <c r="T83" s="14" t="s">
        <v>66</v>
      </c>
      <c r="U83" s="14" t="s">
        <v>67</v>
      </c>
    </row>
    <row r="84" spans="1:28" x14ac:dyDescent="0.25">
      <c r="A84">
        <v>7</v>
      </c>
      <c r="B84">
        <v>39</v>
      </c>
      <c r="C84">
        <v>0</v>
      </c>
      <c r="F84" s="52" t="s">
        <v>68</v>
      </c>
      <c r="G84" s="53" t="s">
        <v>3</v>
      </c>
      <c r="H84" s="53" t="s">
        <v>74</v>
      </c>
      <c r="I84" s="53" t="str">
        <f t="shared" si="37"/>
        <v>S</v>
      </c>
      <c r="J84" s="53" t="str">
        <f t="shared" si="38"/>
        <v/>
      </c>
      <c r="K84" s="53" t="str">
        <f t="shared" si="39"/>
        <v/>
      </c>
      <c r="L84" s="53" t="str">
        <f t="shared" si="39"/>
        <v/>
      </c>
      <c r="M84" s="53" t="str">
        <f t="shared" si="39"/>
        <v/>
      </c>
      <c r="N84" s="53" t="str">
        <f t="shared" si="39"/>
        <v/>
      </c>
      <c r="O84" s="53" t="str">
        <f t="shared" si="39"/>
        <v/>
      </c>
      <c r="P84" s="54" t="str">
        <f t="shared" si="39"/>
        <v/>
      </c>
    </row>
    <row r="85" spans="1:28" x14ac:dyDescent="0.25">
      <c r="A85">
        <v>8</v>
      </c>
      <c r="B85">
        <v>40</v>
      </c>
      <c r="C85">
        <v>0</v>
      </c>
      <c r="F85" s="52" t="s">
        <v>69</v>
      </c>
      <c r="G85" s="53" t="s">
        <v>74</v>
      </c>
      <c r="H85" s="53" t="s">
        <v>75</v>
      </c>
      <c r="I85" s="53" t="str">
        <f t="shared" si="37"/>
        <v>W</v>
      </c>
      <c r="J85" s="53" t="str">
        <f t="shared" si="38"/>
        <v/>
      </c>
      <c r="K85" s="53" t="str">
        <f t="shared" si="39"/>
        <v/>
      </c>
      <c r="L85" s="53" t="str">
        <f t="shared" si="39"/>
        <v/>
      </c>
      <c r="M85" s="53" t="str">
        <f t="shared" si="39"/>
        <v/>
      </c>
      <c r="N85" s="53" t="str">
        <f t="shared" si="39"/>
        <v/>
      </c>
      <c r="O85" s="53" t="str">
        <f t="shared" si="39"/>
        <v/>
      </c>
      <c r="P85" s="54" t="str">
        <f t="shared" si="39"/>
        <v/>
      </c>
    </row>
    <row r="86" spans="1:28" x14ac:dyDescent="0.25">
      <c r="A86">
        <v>1</v>
      </c>
      <c r="B86">
        <v>41</v>
      </c>
      <c r="C86" t="str">
        <f t="array" ref="C86:C93">TRANSPOSE(I51:P51)</f>
        <v>JK</v>
      </c>
      <c r="F86" s="52" t="s">
        <v>70</v>
      </c>
      <c r="G86" s="53" t="s">
        <v>75</v>
      </c>
      <c r="H86" s="53" t="s">
        <v>76</v>
      </c>
      <c r="I86" s="53" t="str">
        <f t="shared" si="37"/>
        <v>fin</v>
      </c>
      <c r="J86" s="53" t="str">
        <f t="shared" si="38"/>
        <v>A'</v>
      </c>
      <c r="K86" s="53" t="str">
        <f t="shared" si="39"/>
        <v>W</v>
      </c>
      <c r="L86" s="53" t="str">
        <f t="shared" si="39"/>
        <v>S</v>
      </c>
      <c r="M86" s="53" t="str">
        <f t="shared" si="39"/>
        <v>D</v>
      </c>
      <c r="N86" s="57" t="str">
        <f t="shared" si="39"/>
        <v>B</v>
      </c>
      <c r="O86" s="57" t="str">
        <f t="shared" si="39"/>
        <v>A</v>
      </c>
      <c r="P86" s="54" t="str">
        <f t="shared" si="39"/>
        <v/>
      </c>
      <c r="Q86" s="61" t="s">
        <v>7</v>
      </c>
      <c r="R86" s="61" t="s">
        <v>38</v>
      </c>
      <c r="S86" s="14" t="s">
        <v>68</v>
      </c>
      <c r="T86" s="14" t="s">
        <v>69</v>
      </c>
      <c r="U86" s="14" t="s">
        <v>70</v>
      </c>
      <c r="Y86" s="3"/>
      <c r="AB86" s="3"/>
    </row>
    <row r="87" spans="1:28" x14ac:dyDescent="0.25">
      <c r="A87">
        <v>2</v>
      </c>
      <c r="B87">
        <v>42</v>
      </c>
      <c r="C87" t="str">
        <v>GJ</v>
      </c>
      <c r="F87" s="52" t="s">
        <v>71</v>
      </c>
      <c r="G87" s="53" t="s">
        <v>4</v>
      </c>
      <c r="H87" s="53" t="s">
        <v>77</v>
      </c>
      <c r="I87" s="53" t="str">
        <f t="shared" si="37"/>
        <v>F'</v>
      </c>
      <c r="J87" s="53" t="str">
        <f t="shared" si="38"/>
        <v/>
      </c>
      <c r="K87" s="53" t="str">
        <f t="shared" si="39"/>
        <v/>
      </c>
      <c r="L87" s="53" t="str">
        <f t="shared" si="39"/>
        <v/>
      </c>
      <c r="M87" s="53" t="str">
        <f t="shared" si="39"/>
        <v/>
      </c>
      <c r="N87" s="53" t="str">
        <f t="shared" si="39"/>
        <v/>
      </c>
      <c r="O87" s="53" t="str">
        <f t="shared" si="39"/>
        <v/>
      </c>
      <c r="P87" s="54" t="str">
        <f t="shared" si="39"/>
        <v/>
      </c>
      <c r="Q87" s="61"/>
      <c r="R87" s="61"/>
    </row>
    <row r="88" spans="1:28" x14ac:dyDescent="0.25">
      <c r="A88">
        <v>3</v>
      </c>
      <c r="B88">
        <v>43</v>
      </c>
      <c r="C88" t="str">
        <v>FG</v>
      </c>
      <c r="F88" s="52" t="s">
        <v>72</v>
      </c>
      <c r="G88" s="53" t="s">
        <v>77</v>
      </c>
      <c r="H88" s="53" t="s">
        <v>78</v>
      </c>
      <c r="I88" s="53" t="str">
        <f t="shared" si="37"/>
        <v>J'</v>
      </c>
      <c r="J88" s="53" t="str">
        <f t="shared" si="38"/>
        <v/>
      </c>
      <c r="K88" s="53" t="str">
        <f t="shared" si="39"/>
        <v/>
      </c>
      <c r="L88" s="53" t="str">
        <f t="shared" si="39"/>
        <v/>
      </c>
      <c r="M88" s="53" t="str">
        <f t="shared" si="39"/>
        <v/>
      </c>
      <c r="N88" s="53" t="str">
        <f t="shared" si="39"/>
        <v/>
      </c>
      <c r="O88" s="53" t="str">
        <f t="shared" si="39"/>
        <v/>
      </c>
      <c r="P88" s="54" t="str">
        <f t="shared" si="39"/>
        <v/>
      </c>
      <c r="Q88" s="61"/>
      <c r="R88" s="61"/>
    </row>
    <row r="89" spans="1:28" ht="15.75" thickBot="1" x14ac:dyDescent="0.3">
      <c r="A89">
        <v>4</v>
      </c>
      <c r="B89">
        <v>44</v>
      </c>
      <c r="C89" t="str">
        <v>DF</v>
      </c>
      <c r="F89" s="55" t="s">
        <v>73</v>
      </c>
      <c r="G89" s="56" t="s">
        <v>78</v>
      </c>
      <c r="H89" s="56" t="s">
        <v>79</v>
      </c>
      <c r="I89" s="56" t="str">
        <f t="shared" si="37"/>
        <v>fin</v>
      </c>
      <c r="J89" s="56" t="str">
        <f t="shared" si="38"/>
        <v>N'</v>
      </c>
      <c r="K89" s="56" t="str">
        <f t="shared" si="39"/>
        <v>J'</v>
      </c>
      <c r="L89" s="56" t="str">
        <f t="shared" si="39"/>
        <v>F'</v>
      </c>
      <c r="M89" s="56" t="str">
        <f t="shared" si="39"/>
        <v>E</v>
      </c>
      <c r="N89" s="59" t="str">
        <f t="shared" si="39"/>
        <v>D</v>
      </c>
      <c r="O89" s="59" t="str">
        <f t="shared" si="39"/>
        <v>B</v>
      </c>
      <c r="P89" s="58" t="str">
        <f t="shared" si="39"/>
        <v>A</v>
      </c>
      <c r="Q89" s="61" t="s">
        <v>7</v>
      </c>
      <c r="R89" s="61" t="s">
        <v>38</v>
      </c>
      <c r="S89" s="61" t="s">
        <v>10</v>
      </c>
      <c r="T89" s="14" t="s">
        <v>71</v>
      </c>
      <c r="U89" s="14" t="s">
        <v>72</v>
      </c>
      <c r="V89" s="14" t="s">
        <v>73</v>
      </c>
      <c r="Y89" s="3"/>
      <c r="AB89" s="3"/>
    </row>
    <row r="90" spans="1:28" x14ac:dyDescent="0.25">
      <c r="A90">
        <v>5</v>
      </c>
      <c r="B90">
        <v>45</v>
      </c>
      <c r="C90" t="str">
        <v>BD</v>
      </c>
    </row>
    <row r="91" spans="1:28" x14ac:dyDescent="0.25">
      <c r="A91">
        <v>6</v>
      </c>
      <c r="B91">
        <v>46</v>
      </c>
      <c r="C91" t="str">
        <v>AB</v>
      </c>
    </row>
    <row r="92" spans="1:28" x14ac:dyDescent="0.25">
      <c r="A92">
        <v>7</v>
      </c>
      <c r="B92">
        <v>47</v>
      </c>
      <c r="C92">
        <v>0</v>
      </c>
    </row>
    <row r="93" spans="1:28" x14ac:dyDescent="0.25">
      <c r="A93">
        <v>8</v>
      </c>
      <c r="B93">
        <v>48</v>
      </c>
      <c r="C93">
        <v>0</v>
      </c>
    </row>
    <row r="94" spans="1:28" x14ac:dyDescent="0.25">
      <c r="H94" s="3">
        <v>1</v>
      </c>
      <c r="I94" s="3">
        <v>2</v>
      </c>
      <c r="J94" s="3">
        <v>3</v>
      </c>
      <c r="K94" s="3">
        <v>4</v>
      </c>
      <c r="L94" s="3">
        <v>5</v>
      </c>
      <c r="M94" s="3">
        <v>1</v>
      </c>
      <c r="N94" s="3">
        <v>2</v>
      </c>
      <c r="O94" s="3">
        <v>3</v>
      </c>
      <c r="P94" s="3">
        <v>4</v>
      </c>
      <c r="Q94" s="3">
        <v>5</v>
      </c>
    </row>
    <row r="95" spans="1:28" x14ac:dyDescent="0.25">
      <c r="G95">
        <v>1</v>
      </c>
      <c r="H95" t="s">
        <v>7</v>
      </c>
      <c r="I95" s="30" t="s">
        <v>82</v>
      </c>
      <c r="J95" s="3">
        <v>2.7</v>
      </c>
      <c r="M95" t="s">
        <v>7</v>
      </c>
      <c r="O95" t="s">
        <v>7</v>
      </c>
    </row>
    <row r="96" spans="1:28" x14ac:dyDescent="0.25">
      <c r="G96">
        <v>2</v>
      </c>
      <c r="H96" t="s">
        <v>8</v>
      </c>
      <c r="J96" s="3">
        <v>0.3</v>
      </c>
      <c r="M96" t="s">
        <v>8</v>
      </c>
      <c r="O96" t="s">
        <v>8</v>
      </c>
    </row>
    <row r="97" spans="7:15" x14ac:dyDescent="0.25">
      <c r="G97">
        <v>3</v>
      </c>
      <c r="H97" t="s">
        <v>9</v>
      </c>
      <c r="I97" s="30" t="s">
        <v>82</v>
      </c>
      <c r="J97" s="3">
        <v>2.8</v>
      </c>
      <c r="O97" t="s">
        <v>9</v>
      </c>
    </row>
    <row r="98" spans="7:15" x14ac:dyDescent="0.25">
      <c r="G98">
        <v>4</v>
      </c>
      <c r="H98" t="s">
        <v>10</v>
      </c>
      <c r="J98" s="3">
        <v>2</v>
      </c>
      <c r="O98" t="s">
        <v>10</v>
      </c>
    </row>
    <row r="99" spans="7:15" x14ac:dyDescent="0.25">
      <c r="G99">
        <v>5</v>
      </c>
      <c r="H99" t="s">
        <v>11</v>
      </c>
      <c r="J99" s="3">
        <v>4</v>
      </c>
      <c r="O99" t="s">
        <v>11</v>
      </c>
    </row>
    <row r="100" spans="7:15" x14ac:dyDescent="0.25">
      <c r="H100" t="str">
        <f>INDEX(H95:H99,MATCH("Colonne",I95:I99,0),1)</f>
        <v>AB</v>
      </c>
      <c r="I100" s="30" t="str">
        <f>INDEX(I95:I99,MATCH(H95,H95:H99,0))</f>
        <v>Colonne</v>
      </c>
    </row>
    <row r="102" spans="7:15" x14ac:dyDescent="0.25">
      <c r="H102" t="s">
        <v>7</v>
      </c>
    </row>
    <row r="103" spans="7:15" x14ac:dyDescent="0.25">
      <c r="H103" t="s">
        <v>8</v>
      </c>
    </row>
  </sheetData>
  <mergeCells count="3">
    <mergeCell ref="T4:U4"/>
    <mergeCell ref="AB16:AF17"/>
    <mergeCell ref="AE20:AF20"/>
  </mergeCells>
  <dataValidations count="1">
    <dataValidation type="list" allowBlank="1" showInputMessage="1" sqref="X28:X53">
      <formula1>$W$27:$W$58</formula1>
    </dataValidation>
  </dataValidation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3</xdr:col>
                    <xdr:colOff>647700</xdr:colOff>
                    <xdr:row>75</xdr:row>
                    <xdr:rowOff>114300</xdr:rowOff>
                  </from>
                  <to>
                    <xdr:col>5</xdr:col>
                    <xdr:colOff>0</xdr:colOff>
                    <xdr:row>76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3</xdr:col>
                    <xdr:colOff>657225</xdr:colOff>
                    <xdr:row>76</xdr:row>
                    <xdr:rowOff>180975</xdr:rowOff>
                  </from>
                  <to>
                    <xdr:col>5</xdr:col>
                    <xdr:colOff>19050</xdr:colOff>
                    <xdr:row>78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3</xdr:col>
                    <xdr:colOff>619125</xdr:colOff>
                    <xdr:row>78</xdr:row>
                    <xdr:rowOff>47625</xdr:rowOff>
                  </from>
                  <to>
                    <xdr:col>4</xdr:col>
                    <xdr:colOff>742950</xdr:colOff>
                    <xdr:row>79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3</xdr:col>
                    <xdr:colOff>619125</xdr:colOff>
                    <xdr:row>79</xdr:row>
                    <xdr:rowOff>123825</xdr:rowOff>
                  </from>
                  <to>
                    <xdr:col>4</xdr:col>
                    <xdr:colOff>742950</xdr:colOff>
                    <xdr:row>81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6"/>
  <sheetViews>
    <sheetView workbookViewId="0">
      <selection activeCell="D22" sqref="D22"/>
    </sheetView>
  </sheetViews>
  <sheetFormatPr baseColWidth="10" defaultRowHeight="15" x14ac:dyDescent="0.25"/>
  <sheetData>
    <row r="1" spans="1:2" x14ac:dyDescent="0.25">
      <c r="A1" s="3" t="s">
        <v>0</v>
      </c>
      <c r="B1" s="3">
        <v>1</v>
      </c>
    </row>
    <row r="2" spans="1:2" x14ac:dyDescent="0.25">
      <c r="A2" s="3" t="s">
        <v>1</v>
      </c>
      <c r="B2" s="3">
        <v>2</v>
      </c>
    </row>
    <row r="3" spans="1:2" x14ac:dyDescent="0.25">
      <c r="A3" s="3" t="s">
        <v>2</v>
      </c>
      <c r="B3" s="3">
        <v>3</v>
      </c>
    </row>
    <row r="4" spans="1:2" x14ac:dyDescent="0.25">
      <c r="A4" s="3" t="s">
        <v>3</v>
      </c>
      <c r="B4" s="3">
        <v>4</v>
      </c>
    </row>
    <row r="5" spans="1:2" x14ac:dyDescent="0.25">
      <c r="A5" s="3" t="s">
        <v>4</v>
      </c>
      <c r="B5" s="3">
        <v>5</v>
      </c>
    </row>
    <row r="6" spans="1:2" x14ac:dyDescent="0.25">
      <c r="A6" s="3" t="s">
        <v>5</v>
      </c>
      <c r="B6" s="3">
        <v>6</v>
      </c>
    </row>
    <row r="7" spans="1:2" x14ac:dyDescent="0.25">
      <c r="A7" s="3" t="s">
        <v>23</v>
      </c>
      <c r="B7" s="3">
        <v>7</v>
      </c>
    </row>
    <row r="8" spans="1:2" x14ac:dyDescent="0.25">
      <c r="A8" s="3" t="s">
        <v>24</v>
      </c>
      <c r="B8" s="3">
        <v>8</v>
      </c>
    </row>
    <row r="9" spans="1:2" x14ac:dyDescent="0.25">
      <c r="A9" s="3" t="s">
        <v>25</v>
      </c>
      <c r="B9" s="3">
        <v>9</v>
      </c>
    </row>
    <row r="10" spans="1:2" x14ac:dyDescent="0.25">
      <c r="A10" s="3" t="s">
        <v>27</v>
      </c>
      <c r="B10" s="3">
        <v>10</v>
      </c>
    </row>
    <row r="11" spans="1:2" x14ac:dyDescent="0.25">
      <c r="A11" s="3" t="s">
        <v>29</v>
      </c>
      <c r="B11" s="3">
        <v>11</v>
      </c>
    </row>
    <row r="12" spans="1:2" x14ac:dyDescent="0.25">
      <c r="A12" s="3" t="s">
        <v>28</v>
      </c>
      <c r="B12" s="3">
        <v>12</v>
      </c>
    </row>
    <row r="13" spans="1:2" x14ac:dyDescent="0.25">
      <c r="A13" s="3" t="s">
        <v>26</v>
      </c>
      <c r="B13" s="3">
        <v>13</v>
      </c>
    </row>
    <row r="14" spans="1:2" x14ac:dyDescent="0.25">
      <c r="A14" s="3" t="s">
        <v>14</v>
      </c>
      <c r="B14" s="3">
        <v>14</v>
      </c>
    </row>
    <row r="15" spans="1:2" x14ac:dyDescent="0.25">
      <c r="A15" s="3" t="s">
        <v>6</v>
      </c>
      <c r="B15" s="3">
        <v>15</v>
      </c>
    </row>
    <row r="16" spans="1:2" x14ac:dyDescent="0.25">
      <c r="A16" s="3" t="s">
        <v>30</v>
      </c>
      <c r="B16" s="3">
        <v>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Feuil5</vt:lpstr>
      <vt:lpstr>Feuil1</vt:lpstr>
      <vt:lpstr>Feuil2</vt:lpstr>
      <vt:lpstr>Feuil3</vt:lpstr>
      <vt:lpstr>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benjamin.contini</dc:creator>
  <cp:lastModifiedBy>Gaël</cp:lastModifiedBy>
  <dcterms:created xsi:type="dcterms:W3CDTF">2013-10-16T11:44:57Z</dcterms:created>
  <dcterms:modified xsi:type="dcterms:W3CDTF">2014-02-13T23:04:53Z</dcterms:modified>
</cp:coreProperties>
</file>