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80" yWindow="870" windowWidth="18195" windowHeight="9900" activeTab="2"/>
  </bookViews>
  <sheets>
    <sheet name="Tableau de bord" sheetId="1" r:id="rId1"/>
    <sheet name="FACTURE" sheetId="2" r:id="rId2"/>
    <sheet name="STOCK" sheetId="3" r:id="rId3"/>
    <sheet name="Historique de factures" sheetId="4" r:id="rId4"/>
    <sheet name="Clients" sheetId="5" r:id="rId5"/>
    <sheet name="Fournisseurs" sheetId="6" r:id="rId6"/>
    <sheet name="Commandes" sheetId="7" r:id="rId7"/>
    <sheet name="Liste déroulante" sheetId="8" r:id="rId8"/>
    <sheet name="numero" sheetId="9" r:id="rId9"/>
  </sheets>
  <externalReferences>
    <externalReference r:id="rId10"/>
    <externalReference r:id="rId11"/>
    <externalReference r:id="rId12"/>
  </externalReferences>
  <definedNames>
    <definedName name="_xlnm._FilterDatabase" localSheetId="3" hidden="1">'Historique de factures'!$A$1:$M$40</definedName>
    <definedName name="CategorieClient">'Liste déroulante'!$E$1:$E$2</definedName>
    <definedName name="Civilite">'Liste déroulante'!$A$1:$A$3</definedName>
    <definedName name="CIVILITEbaseclient">OFFSET(Clients!$J$1,0,0,COUNTA(Clients!$J:$J,1))</definedName>
    <definedName name="CiviliteContact">FACTURE!$R$8</definedName>
    <definedName name="CODE">'Liste déroulante'!$C$1:$C$4</definedName>
    <definedName name="CODE_CLIENT">Clients!$A:$A</definedName>
    <definedName name="CodeProduit">STOCK!$A:$A</definedName>
    <definedName name="Designation">STOCK!$C:$C</definedName>
    <definedName name="essailistenom">OFFSET('[1]Liste Pro'!$B$2,,,COUNTA('[1]Liste Pro'!$B$2:$B$1421))</definedName>
    <definedName name="ETAT">STOCK!$M:$M</definedName>
    <definedName name="Famille">STOCK!$B:$B</definedName>
    <definedName name="FAMILLEARTICLE">'Liste déroulante'!$J:$J</definedName>
    <definedName name="Formule">SUM(IF(LEFT(NomsFeuilles,3)='[2]Recap Clients'!$K$2,N(INDIRECT("'"&amp;NomsFeuilles&amp;"'!r5"))))</definedName>
    <definedName name="FormuleAppelNom">FACTURE!$P$20</definedName>
    <definedName name="NOM">OFFSET(Clients!$K$1,,,COUNTA(Clients!$K:$K))</definedName>
    <definedName name="NomPenomBaseClient">OFFSET(Clients!$U$1,,,COUNTA(Clients!$U:$U))</definedName>
    <definedName name="NomPrenom">FACTURE!$R$5</definedName>
    <definedName name="NomsFeuilles">MID(GET.WORKBOOK(1),FIND("]",GET.WORKBOOK(1))+1,99)&amp;INDIRECT("iv65000")</definedName>
    <definedName name="Plageonglet">'[3]A laisser entre les factures:A laisser entre les factures.'!$F$11:$H$11</definedName>
    <definedName name="PRENOM">OFFSET(Clients!$L$1,0,0,COUNTA(Clients!$L:$L,1))</definedName>
    <definedName name="Reglement">'Liste déroulante'!$G$1:$G$5</definedName>
    <definedName name="SOCIETE">OFFSET(Clients!$C$1,0,0,COUNTA(Clients!$C:$C))</definedName>
  </definedNames>
  <calcPr calcId="125725"/>
</workbook>
</file>

<file path=xl/calcChain.xml><?xml version="1.0" encoding="utf-8"?>
<calcChain xmlns="http://schemas.openxmlformats.org/spreadsheetml/2006/main">
  <c r="B11" i="1" a="1"/>
  <c r="B11" s="1"/>
  <c r="B12" a="1"/>
  <c r="B12" s="1"/>
  <c r="Q2" i="4"/>
  <c r="D17" i="2"/>
  <c r="T2" i="3"/>
  <c r="N2"/>
  <c r="M2"/>
  <c r="I2"/>
  <c r="G2"/>
  <c r="N3"/>
  <c r="M3"/>
  <c r="I3"/>
  <c r="G3"/>
  <c r="U2" i="5" l="1"/>
  <c r="Q2"/>
  <c r="P2"/>
  <c r="U3"/>
  <c r="Q3"/>
  <c r="P3"/>
  <c r="U4"/>
  <c r="Q4"/>
  <c r="P4"/>
  <c r="U5"/>
  <c r="Q5"/>
  <c r="P5"/>
  <c r="U8"/>
  <c r="Q8"/>
  <c r="P8"/>
  <c r="U9"/>
  <c r="Q9"/>
  <c r="P9"/>
  <c r="U10"/>
  <c r="Q10"/>
  <c r="P10"/>
  <c r="U11"/>
  <c r="Q11"/>
  <c r="P11"/>
  <c r="U12"/>
  <c r="Q12"/>
  <c r="P12"/>
  <c r="U13"/>
  <c r="Q13"/>
  <c r="P13"/>
  <c r="U14"/>
  <c r="P14"/>
  <c r="P20"/>
  <c r="Q20"/>
  <c r="P22"/>
  <c r="Q22"/>
  <c r="P23"/>
  <c r="Q23"/>
  <c r="U15"/>
  <c r="Q15"/>
  <c r="P15"/>
  <c r="U16"/>
  <c r="Q16"/>
  <c r="P16"/>
  <c r="U18"/>
  <c r="U17"/>
  <c r="U23"/>
  <c r="Q17"/>
  <c r="P17"/>
  <c r="U19"/>
  <c r="Q14" l="1"/>
  <c r="A2" i="2"/>
  <c r="G4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17"/>
  <c r="Q2"/>
  <c r="U20" i="5"/>
  <c r="H2" i="9" l="1"/>
  <c r="B2" i="1" l="1"/>
  <c r="B4"/>
  <c r="B10" a="1"/>
  <c r="B10" s="1"/>
  <c r="B9" a="1"/>
  <c r="B9" s="1"/>
  <c r="B8"/>
  <c r="B7"/>
  <c r="B3"/>
  <c r="B20"/>
  <c r="B21"/>
  <c r="A21" i="5"/>
  <c r="U21"/>
  <c r="U22"/>
  <c r="U50"/>
  <c r="U51"/>
  <c r="U52"/>
  <c r="U53"/>
  <c r="U54"/>
  <c r="U55"/>
  <c r="U56"/>
  <c r="U57"/>
  <c r="U58"/>
  <c r="U59"/>
  <c r="U60"/>
  <c r="U61"/>
  <c r="U62"/>
  <c r="U63"/>
  <c r="U64"/>
  <c r="R5" i="2"/>
  <c r="R2" s="1"/>
  <c r="Q19" i="5" l="1"/>
  <c r="P19"/>
  <c r="Q21"/>
  <c r="P21"/>
  <c r="F9" i="2"/>
  <c r="R8"/>
  <c r="F11"/>
  <c r="C7"/>
  <c r="F12"/>
  <c r="G12"/>
  <c r="F10"/>
  <c r="B5" i="1"/>
  <c r="E18" i="2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17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F19"/>
  <c r="F17"/>
  <c r="F18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Q18" i="5" l="1"/>
  <c r="P18"/>
  <c r="I5" i="1"/>
  <c r="G17" i="2"/>
  <c r="I17" s="1"/>
  <c r="G20"/>
  <c r="G19"/>
  <c r="G18"/>
  <c r="I4" i="1"/>
  <c r="F5"/>
  <c r="O4"/>
  <c r="F4"/>
  <c r="P5"/>
  <c r="L5"/>
  <c r="P4"/>
  <c r="L4"/>
  <c r="G4"/>
  <c r="Q5"/>
  <c r="M5"/>
  <c r="H5"/>
  <c r="K4"/>
  <c r="G5"/>
  <c r="Q4"/>
  <c r="M4"/>
  <c r="H4"/>
  <c r="N5"/>
  <c r="J5"/>
  <c r="N4"/>
  <c r="J4"/>
  <c r="O5"/>
  <c r="K5"/>
  <c r="G2" i="9" l="1"/>
  <c r="F2"/>
  <c r="E2"/>
  <c r="I5" i="2"/>
  <c r="G5"/>
  <c r="I18" l="1"/>
  <c r="C46" s="1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C45" l="1"/>
  <c r="I44" s="1"/>
  <c r="I43"/>
  <c r="F2"/>
  <c r="M1" l="1"/>
  <c r="I46"/>
</calcChain>
</file>

<file path=xl/comments1.xml><?xml version="1.0" encoding="utf-8"?>
<comments xmlns="http://schemas.openxmlformats.org/spreadsheetml/2006/main">
  <authors>
    <author>Puce</author>
  </authors>
  <commentList>
    <comment ref="B9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valider par CTRL + SHIFT + Entrée</t>
        </r>
      </text>
    </comment>
    <comment ref="B10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valider par CTRL + SHIFT + Entrée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valider par CTRL + SHIFT + Entrée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valider par CTRL + SHIFT + Entrée</t>
        </r>
      </text>
    </comment>
  </commentList>
</comments>
</file>

<file path=xl/comments2.xml><?xml version="1.0" encoding="utf-8"?>
<comments xmlns="http://schemas.openxmlformats.org/spreadsheetml/2006/main">
  <authors>
    <author>Puce</author>
  </authors>
  <commentList>
    <comment ref="R5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=INDEX(CONCATENER(Clients!$J:$J&amp;" "&amp;Clients!$K:$K&amp;" "&amp;Clients!$L:$L);EQUIV(FACTURE!$F$8;SOCIETE;0))
</t>
        </r>
      </text>
    </comment>
  </commentList>
</comments>
</file>

<file path=xl/sharedStrings.xml><?xml version="1.0" encoding="utf-8"?>
<sst xmlns="http://schemas.openxmlformats.org/spreadsheetml/2006/main" count="441" uniqueCount="326">
  <si>
    <t>NOM</t>
  </si>
  <si>
    <t>PRENOM</t>
  </si>
  <si>
    <t>ADRESSE</t>
  </si>
  <si>
    <t>VILLE</t>
  </si>
  <si>
    <t>TELEPHONE</t>
  </si>
  <si>
    <t>SOCIETE</t>
  </si>
  <si>
    <t>DATE D'ENTREE</t>
  </si>
  <si>
    <t>CP</t>
  </si>
  <si>
    <t>TVA</t>
  </si>
  <si>
    <t>NB FACTURES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</si>
  <si>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</si>
  <si>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</si>
  <si>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</si>
  <si>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</si>
  <si>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</si>
  <si>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</si>
  <si>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</si>
  <si>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</si>
  <si>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</si>
  <si>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</si>
  <si>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</si>
  <si>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</si>
  <si>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 CLIENT</t>
  </si>
  <si>
    <t>CIVILITE</t>
  </si>
  <si>
    <t>TEL</t>
  </si>
  <si>
    <t>PORT</t>
  </si>
  <si>
    <t>EMAIL1</t>
  </si>
  <si>
    <t>EMAIL2</t>
  </si>
  <si>
    <t>Mme</t>
  </si>
  <si>
    <t>M.</t>
  </si>
  <si>
    <t>ADRESSE2</t>
  </si>
  <si>
    <t>Mlle</t>
  </si>
  <si>
    <t>toul</t>
  </si>
  <si>
    <t>RECAPITULATIF</t>
  </si>
  <si>
    <t>Meilleur Client</t>
  </si>
  <si>
    <t>Nb Factures</t>
  </si>
  <si>
    <t>Montant Factures</t>
  </si>
  <si>
    <t>Réf.</t>
  </si>
  <si>
    <t>Désignation</t>
  </si>
  <si>
    <t>Remise</t>
  </si>
  <si>
    <t>P.U Brut</t>
  </si>
  <si>
    <t>P.U HT</t>
  </si>
  <si>
    <t>Total HT</t>
  </si>
  <si>
    <t>Quant.</t>
  </si>
  <si>
    <t>TOTAL HT</t>
  </si>
  <si>
    <t>MONTANT TTC</t>
  </si>
  <si>
    <t>1. TVA 10%</t>
  </si>
  <si>
    <t>2. TVA 20%</t>
  </si>
  <si>
    <t>Montant TVA</t>
  </si>
  <si>
    <t>Règlement</t>
  </si>
  <si>
    <t>Exemplaire à conserver par le client</t>
  </si>
  <si>
    <t>N° :</t>
  </si>
  <si>
    <t>Date :</t>
  </si>
  <si>
    <t>CLIENTS</t>
  </si>
  <si>
    <t>Catégorie :</t>
  </si>
  <si>
    <t>Nombre de colis :</t>
  </si>
  <si>
    <t>Règlement :</t>
  </si>
  <si>
    <t>N°</t>
  </si>
  <si>
    <t>Doc</t>
  </si>
  <si>
    <t>n° F</t>
  </si>
  <si>
    <t>n°Avoir</t>
  </si>
  <si>
    <t>F</t>
  </si>
  <si>
    <t>NE PAS SUPPRIMER LA PARTIE EN COULEUR</t>
  </si>
  <si>
    <t>BL</t>
  </si>
  <si>
    <t>AVOIR</t>
  </si>
  <si>
    <t>Code Client :</t>
  </si>
  <si>
    <t>Professionnel</t>
  </si>
  <si>
    <t>Nouvelle Année</t>
  </si>
  <si>
    <t>Etape 1</t>
  </si>
  <si>
    <t>Renseigner la facture</t>
  </si>
  <si>
    <t>Etape 2</t>
  </si>
  <si>
    <t>Etape 3</t>
  </si>
  <si>
    <t>Etape 4</t>
  </si>
  <si>
    <t>D</t>
  </si>
  <si>
    <t>Avoir</t>
  </si>
  <si>
    <t>Particulier</t>
  </si>
  <si>
    <t>CATEGORIE</t>
  </si>
  <si>
    <t>DOCUMENT</t>
  </si>
  <si>
    <t>DATE</t>
  </si>
  <si>
    <t>MONTANT HT</t>
  </si>
  <si>
    <t>CODE</t>
  </si>
  <si>
    <t>DESIGNATION</t>
  </si>
  <si>
    <t>FAMILLE</t>
  </si>
  <si>
    <t>STOCK INITIAL</t>
  </si>
  <si>
    <t>MINI</t>
  </si>
  <si>
    <t>MAX</t>
  </si>
  <si>
    <t>Q. ENTREE</t>
  </si>
  <si>
    <t>Q. SORTIE</t>
  </si>
  <si>
    <t>REMISE</t>
  </si>
  <si>
    <t>VALEUR STOCK</t>
  </si>
  <si>
    <t>TVA 1</t>
  </si>
  <si>
    <t>TVA 2</t>
  </si>
  <si>
    <t>ARTICLE</t>
  </si>
  <si>
    <t>P0002</t>
  </si>
  <si>
    <t>ETAT</t>
  </si>
  <si>
    <t>EN STOCK</t>
  </si>
  <si>
    <t>mme</t>
  </si>
  <si>
    <t>Chèque</t>
  </si>
  <si>
    <t xml:space="preserve">Traite </t>
  </si>
  <si>
    <t>30 jours fin de mois</t>
  </si>
  <si>
    <t>45 jours fin de mois</t>
  </si>
  <si>
    <t>Espèces</t>
  </si>
  <si>
    <t>NE PAS EFFACER LA PARTIE ROUGE</t>
  </si>
  <si>
    <t>MOIS</t>
  </si>
  <si>
    <t>TOTAL HT/ MOIS</t>
  </si>
  <si>
    <t>TOTAL TTC/ MOIS</t>
  </si>
  <si>
    <t>CHIFFRE D'AFFAIRE HT et TTC PAR MOIS</t>
  </si>
  <si>
    <t>Frais de port</t>
  </si>
  <si>
    <t>FRAIS DE PORT</t>
  </si>
  <si>
    <t>Montant Total Factures TTC</t>
  </si>
  <si>
    <t>Montant Total TVA 1</t>
  </si>
  <si>
    <t>Montant Total TVA 2</t>
  </si>
  <si>
    <t>Frais de port à déduire si Avoir</t>
  </si>
  <si>
    <t>societe 1</t>
  </si>
  <si>
    <t>adresse 1</t>
  </si>
  <si>
    <t>adresse 2</t>
  </si>
  <si>
    <t>adresse 3</t>
  </si>
  <si>
    <t>prenom 1</t>
  </si>
  <si>
    <t>prenom 2</t>
  </si>
  <si>
    <t>NomPrenom</t>
  </si>
  <si>
    <t>angers</t>
  </si>
  <si>
    <t>pqft@yahoo.fr</t>
  </si>
  <si>
    <t>pjfguef@wanadoo.fr</t>
  </si>
  <si>
    <t>adresseb1</t>
  </si>
  <si>
    <t>adresseb 3</t>
  </si>
  <si>
    <t>m.</t>
  </si>
  <si>
    <t>epinal</t>
  </si>
  <si>
    <t>prenom3</t>
  </si>
  <si>
    <t>CivilitéContact</t>
  </si>
  <si>
    <t>Montant Max HT</t>
  </si>
  <si>
    <t>Montant Min HT</t>
  </si>
  <si>
    <t>Montant Moyen HT</t>
  </si>
  <si>
    <t>Montant Médian HT</t>
  </si>
  <si>
    <t>Nb Total Factures</t>
  </si>
  <si>
    <t>Date de règlement</t>
  </si>
  <si>
    <t>Moyen de Règlement</t>
  </si>
  <si>
    <t>Somme réglées</t>
  </si>
  <si>
    <t>Solde Restant</t>
  </si>
  <si>
    <t>Observation</t>
  </si>
  <si>
    <t>Montant Total Fact.TTC réglées</t>
  </si>
  <si>
    <t>Encours</t>
  </si>
  <si>
    <t>MONTANT TOTAL FACTURES</t>
  </si>
  <si>
    <t>N° DOCUMENT</t>
  </si>
  <si>
    <t>n° BL</t>
  </si>
  <si>
    <t>n° D</t>
  </si>
  <si>
    <t>Code Document :</t>
  </si>
  <si>
    <t/>
  </si>
  <si>
    <t>2. Cliquez dans une autre cellule</t>
  </si>
  <si>
    <t>3. Recliquez dans la cellule C8</t>
  </si>
  <si>
    <t>4. Vérifiez le n° du doc en G5</t>
  </si>
  <si>
    <t>NUMERO DU DOCUMENT :</t>
  </si>
  <si>
    <t>adresse 4</t>
  </si>
  <si>
    <t>adresseb 4</t>
  </si>
  <si>
    <t>terye</t>
  </si>
  <si>
    <t>SOCIETE3</t>
  </si>
  <si>
    <t>SOCIÉTÉ 2</t>
  </si>
  <si>
    <t>SOCIETE 1</t>
  </si>
  <si>
    <t>NOM 4</t>
  </si>
  <si>
    <t>NOM 3</t>
  </si>
  <si>
    <t>NOM 2</t>
  </si>
  <si>
    <t>NOM 1</t>
  </si>
  <si>
    <t>1. Sélectionnez le type de document (F,BL,Avoir ou D) en C8</t>
  </si>
  <si>
    <t>Nouveau Client</t>
  </si>
  <si>
    <t>Nouveau Mouvement de STOCK</t>
  </si>
  <si>
    <t>Remise à zéro
Nouvelle année</t>
  </si>
  <si>
    <t>A COMMANDER</t>
  </si>
  <si>
    <t>NE RIEN INSCRIRE</t>
  </si>
  <si>
    <t>gfrehrhyzr</t>
  </si>
  <si>
    <t>rzhyuzrtz</t>
  </si>
  <si>
    <t>rzz"-u</t>
  </si>
  <si>
    <t>(Z"-U(UHJ</t>
  </si>
  <si>
    <t>teyjetj</t>
  </si>
  <si>
    <t>TOUL</t>
  </si>
  <si>
    <t>ROBERT</t>
  </si>
  <si>
    <t>Jean</t>
  </si>
  <si>
    <t>vdb,lmfa@bgn.com</t>
  </si>
  <si>
    <t>SOCIETE 10</t>
  </si>
  <si>
    <t>dfsqg</t>
  </si>
  <si>
    <t>gser</t>
  </si>
  <si>
    <t>rzthrt</t>
  </si>
  <si>
    <t>bfsh</t>
  </si>
  <si>
    <t>RINDTEIN</t>
  </si>
  <si>
    <t>Gredulr</t>
  </si>
  <si>
    <t>bfgt</t>
  </si>
  <si>
    <t>societe 9</t>
  </si>
  <si>
    <t>cbqdf</t>
  </si>
  <si>
    <t>gfns</t>
  </si>
  <si>
    <t>gfn</t>
  </si>
  <si>
    <t>fs</t>
  </si>
  <si>
    <t>nsfg</t>
  </si>
  <si>
    <t>sfgn</t>
  </si>
  <si>
    <t>fg</t>
  </si>
  <si>
    <t>f</t>
  </si>
  <si>
    <t>sfn</t>
  </si>
  <si>
    <t>sfnsfnsfnsfn</t>
  </si>
  <si>
    <t>fgnf</t>
  </si>
  <si>
    <t>BFG</t>
  </si>
  <si>
    <t>nbfeh</t>
  </si>
  <si>
    <t>nfes</t>
  </si>
  <si>
    <t>nfe</t>
  </si>
  <si>
    <t>ytj</t>
  </si>
  <si>
    <t>YTJ</t>
  </si>
  <si>
    <t>tye</t>
  </si>
  <si>
    <t>MELINOT</t>
  </si>
  <si>
    <t>Peggy</t>
  </si>
  <si>
    <t>nfgn</t>
  </si>
  <si>
    <t>ngfn</t>
  </si>
  <si>
    <t>JUR</t>
  </si>
  <si>
    <t>dfdg</t>
  </si>
  <si>
    <t>sfd</t>
  </si>
  <si>
    <t>gdefg</t>
  </si>
  <si>
    <t>HFFH</t>
  </si>
  <si>
    <t>dhfh</t>
  </si>
  <si>
    <t>sgs</t>
  </si>
  <si>
    <t>XWVXSDB</t>
  </si>
  <si>
    <t>Dfhh</t>
  </si>
  <si>
    <t>,gh,</t>
  </si>
  <si>
    <t>DLGKJEPOZR</t>
  </si>
  <si>
    <t>hhh</t>
  </si>
  <si>
    <t>hhhpp</t>
  </si>
  <si>
    <t>VILLEY</t>
  </si>
  <si>
    <t>vdsvbsbv</t>
  </si>
  <si>
    <t>RODRIGUES</t>
  </si>
  <si>
    <t>Firmin</t>
  </si>
  <si>
    <t>fh</t>
  </si>
  <si>
    <t>10/11/2015</t>
  </si>
  <si>
    <t>54200</t>
  </si>
  <si>
    <t>406825681</t>
  </si>
  <si>
    <t>EMAIL 2 @GMAIL;COM</t>
  </si>
  <si>
    <t>0308020301</t>
  </si>
  <si>
    <t>0670682130</t>
  </si>
  <si>
    <t>EMAILB 2 @GMAIL.COM</t>
  </si>
  <si>
    <t>12/12/2016</t>
  </si>
  <si>
    <t>ccoocococ</t>
  </si>
  <si>
    <t>mompom</t>
  </si>
  <si>
    <t>203050203</t>
  </si>
  <si>
    <t>302010203</t>
  </si>
  <si>
    <t>102030100</t>
  </si>
  <si>
    <t>MALUDR</t>
  </si>
  <si>
    <t>RICHARMENIL</t>
  </si>
  <si>
    <t>Gggiiiigg</t>
  </si>
  <si>
    <t>0383562130</t>
  </si>
  <si>
    <t>0383642536</t>
  </si>
  <si>
    <t>0383645263</t>
  </si>
  <si>
    <t>03 83 64 25 36</t>
  </si>
  <si>
    <t>03 83 64 52 63</t>
  </si>
  <si>
    <t>06 70 68 21 30</t>
  </si>
  <si>
    <t>ddff</t>
  </si>
  <si>
    <t>sgezgzg</t>
  </si>
  <si>
    <t>88000</t>
  </si>
  <si>
    <t>03 53 26 35 20</t>
  </si>
  <si>
    <t>FFFFFFFF</t>
  </si>
  <si>
    <t>DFQB</t>
  </si>
  <si>
    <t>EPINAL</t>
  </si>
  <si>
    <t>Dfqbf</t>
  </si>
  <si>
    <t>trjrztjtrj</t>
  </si>
  <si>
    <t>trykiyuiopmpio</t>
  </si>
  <si>
    <t>03 83 64 56 20</t>
  </si>
  <si>
    <t>;lhrlu</t>
  </si>
  <si>
    <t>02 03 05 06 22</t>
  </si>
  <si>
    <t>CBQDHFHQAE</t>
  </si>
  <si>
    <t>HJ:F:IURI</t>
  </si>
  <si>
    <t>HGLKYRU</t>
  </si>
  <si>
    <t>kyukeeeeeuk</t>
  </si>
  <si>
    <t>yuuuuuukye</t>
  </si>
  <si>
    <t>03 83 65 12 20</t>
  </si>
  <si>
    <t>kyekleyukley</t>
  </si>
  <si>
    <t>HKYDEU</t>
  </si>
  <si>
    <t>YUKEYKU</t>
  </si>
  <si>
    <t>03 83 64 82 03</t>
  </si>
  <si>
    <t>VNQFGNN</t>
  </si>
  <si>
    <t>BN,GSDHSD</t>
  </si>
  <si>
    <t>Gdjndgh</t>
  </si>
  <si>
    <t>02 20 30 65 95</t>
  </si>
  <si>
    <t>HHHHHHH</t>
  </si>
  <si>
    <t>n,ghs</t>
  </si>
  <si>
    <t>00 00 08 70 00</t>
  </si>
  <si>
    <t>bfdqhjhjfrtrz</t>
  </si>
  <si>
    <t>JHSFGJT</t>
  </si>
  <si>
    <t>kkkkkk</t>
  </si>
  <si>
    <t>jbhnosfjnhopjto^ptr</t>
  </si>
  <si>
    <t>Modifier Client</t>
  </si>
  <si>
    <t>mompommmmme</t>
  </si>
  <si>
    <t>20/10/2015</t>
  </si>
  <si>
    <t>03 17 50 20 30</t>
  </si>
  <si>
    <t>05 20 40 26 13</t>
  </si>
  <si>
    <t>06 25 15 24 58</t>
  </si>
  <si>
    <t>:Yuyuyuyuyuyuyu</t>
  </si>
  <si>
    <t xml:space="preserve">TRANSPORTEUR </t>
  </si>
  <si>
    <t>N° BL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</si>
  <si>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</si>
  <si>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</si>
  <si>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</si>
  <si>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</si>
  <si>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</si>
  <si>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</si>
  <si>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</si>
  <si>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</si>
  <si>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</si>
  <si>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</si>
  <si>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</si>
  <si>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</si>
  <si>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</si>
  <si>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Famille 14</t>
  </si>
  <si>
    <t>Famille 15</t>
  </si>
  <si>
    <t>modification22222222222222222</t>
  </si>
  <si>
    <t>Jytek</t>
  </si>
  <si>
    <t>:Jkjkjkjkjkjkl</t>
  </si>
  <si>
    <t>P.U BRUT DE VENTE</t>
  </si>
  <si>
    <t>P.U NET
DE VENTE</t>
  </si>
  <si>
    <t>Transporteur 1</t>
  </si>
  <si>
    <t>Transporteur 2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</si>
  <si>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</si>
  <si>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</si>
  <si>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</si>
  <si>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</si>
  <si>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</si>
  <si>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</si>
  <si>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</si>
  <si>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</si>
  <si>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Transporteur 11</t>
  </si>
  <si>
    <t>Transporteur 12</t>
  </si>
  <si>
    <t>Transporteur 13</t>
  </si>
  <si>
    <t>Transporteur 14</t>
  </si>
  <si>
    <t>Transporteur 15</t>
  </si>
  <si>
    <t>Nouvel ARTICLE</t>
  </si>
</sst>
</file>

<file path=xl/styles.xml><?xml version="1.0" encoding="utf-8"?>
<styleSheet xmlns="http://schemas.openxmlformats.org/spreadsheetml/2006/main">
  <numFmts count="12">
    <numFmt numFmtId="44" formatCode="_-* #,##0.00\ &quot;€&quot;_-;\-* #,##0.00\ &quot;€&quot;_-;_-* &quot;-&quot;??\ &quot;€&quot;_-;_-@_-"/>
    <numFmt numFmtId="164" formatCode="&quot;C&quot;000"/>
    <numFmt numFmtId="165" formatCode="0#&quot; &quot;##&quot; &quot;##&quot; &quot;##&quot; &quot;##"/>
    <numFmt numFmtId="166" formatCode="yyyy"/>
    <numFmt numFmtId="167" formatCode="_(* #,##0.00_);_(* \(#,##0.00\);_(* &quot;-&quot;??_);_(@_)"/>
    <numFmt numFmtId="168" formatCode="_(&quot;€&quot;* #,##0.00_);_(&quot;€&quot;* \(#,##0.00\);_(&quot;€&quot;* &quot;-&quot;??_);_(@_)"/>
    <numFmt numFmtId="169" formatCode="0000\-\1\6"/>
    <numFmt numFmtId="170" formatCode="&quot;C&quot;0000"/>
    <numFmt numFmtId="171" formatCode="00000"/>
    <numFmt numFmtId="172" formatCode="#,##0.00\ &quot;€&quot;"/>
    <numFmt numFmtId="173" formatCode="&quot;P&quot;0000"/>
    <numFmt numFmtId="174" formatCode="#,##0.00\ \€"/>
  </numFmts>
  <fonts count="4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0"/>
      <name val="Calibri"/>
      <family val="2"/>
      <scheme val="minor"/>
    </font>
    <font>
      <b/>
      <sz val="12"/>
      <color theme="1"/>
      <name val="Times New Roman"/>
      <family val="1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color theme="0" tint="-0.499984740745262"/>
      <name val="Calibri"/>
      <family val="2"/>
      <scheme val="minor"/>
    </font>
    <font>
      <sz val="10"/>
      <color theme="1"/>
      <name val="Times New Roman"/>
      <family val="1"/>
    </font>
    <font>
      <i/>
      <sz val="10"/>
      <color theme="0" tint="-0.499984740745262"/>
      <name val="Calibri"/>
      <family val="2"/>
      <scheme val="minor"/>
    </font>
    <font>
      <sz val="11"/>
      <color theme="1"/>
      <name val="Times New Roman"/>
      <family val="1"/>
    </font>
    <font>
      <sz val="10"/>
      <name val="Arial"/>
      <family val="2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rgb="FF0066FF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0303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</font>
    <font>
      <b/>
      <sz val="9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330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7" fillId="0" borderId="0"/>
  </cellStyleXfs>
  <cellXfs count="2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2" fontId="0" fillId="0" borderId="10" xfId="0" applyNumberFormat="1" applyBorder="1" applyAlignment="1">
      <alignment vertical="center"/>
    </xf>
    <xf numFmtId="2" fontId="0" fillId="0" borderId="11" xfId="0" applyNumberFormat="1" applyBorder="1" applyAlignment="1">
      <alignment vertical="center"/>
    </xf>
    <xf numFmtId="2" fontId="0" fillId="0" borderId="12" xfId="0" applyNumberFormat="1" applyBorder="1" applyAlignment="1">
      <alignment vertical="center"/>
    </xf>
    <xf numFmtId="44" fontId="0" fillId="0" borderId="9" xfId="2" applyFont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right" vertical="center"/>
    </xf>
    <xf numFmtId="0" fontId="10" fillId="0" borderId="0" xfId="0" applyFont="1" applyBorder="1" applyAlignment="1">
      <alignment horizontal="right" vertical="center"/>
    </xf>
    <xf numFmtId="0" fontId="10" fillId="0" borderId="19" xfId="0" applyFont="1" applyBorder="1" applyAlignment="1">
      <alignment horizontal="right" vertical="center"/>
    </xf>
    <xf numFmtId="166" fontId="12" fillId="0" borderId="21" xfId="0" applyNumberFormat="1" applyFont="1" applyBorder="1" applyAlignment="1" applyProtection="1">
      <alignment horizontal="center" vertical="center"/>
    </xf>
    <xf numFmtId="0" fontId="15" fillId="0" borderId="0" xfId="0" applyFont="1" applyBorder="1" applyAlignment="1">
      <alignment horizontal="right" vertical="center"/>
    </xf>
    <xf numFmtId="0" fontId="14" fillId="0" borderId="0" xfId="0" applyFont="1" applyBorder="1" applyAlignment="1" applyProtection="1">
      <alignment vertical="center"/>
      <protection locked="0"/>
    </xf>
    <xf numFmtId="0" fontId="16" fillId="0" borderId="0" xfId="0" applyFont="1" applyBorder="1" applyAlignment="1">
      <alignment vertical="center"/>
    </xf>
    <xf numFmtId="0" fontId="1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8" fillId="6" borderId="0" xfId="0" applyFont="1" applyFill="1" applyAlignment="1">
      <alignment vertical="center"/>
    </xf>
    <xf numFmtId="0" fontId="16" fillId="0" borderId="0" xfId="0" applyFont="1" applyBorder="1" applyAlignment="1" applyProtection="1">
      <alignment horizontal="left" vertical="center"/>
      <protection locked="0"/>
    </xf>
    <xf numFmtId="16" fontId="11" fillId="0" borderId="0" xfId="0" applyNumberFormat="1" applyFont="1" applyBorder="1" applyAlignment="1" applyProtection="1">
      <alignment horizontal="center" vertical="center"/>
    </xf>
    <xf numFmtId="166" fontId="12" fillId="0" borderId="0" xfId="0" applyNumberFormat="1" applyFont="1" applyBorder="1" applyAlignment="1" applyProtection="1">
      <alignment horizontal="center" vertical="center"/>
    </xf>
    <xf numFmtId="0" fontId="0" fillId="6" borderId="0" xfId="0" applyFill="1"/>
    <xf numFmtId="0" fontId="20" fillId="6" borderId="0" xfId="0" applyFont="1" applyFill="1" applyAlignment="1">
      <alignment vertical="center"/>
    </xf>
    <xf numFmtId="0" fontId="22" fillId="6" borderId="26" xfId="0" applyFont="1" applyFill="1" applyBorder="1" applyAlignment="1">
      <alignment horizontal="right" indent="1"/>
    </xf>
    <xf numFmtId="0" fontId="20" fillId="6" borderId="27" xfId="0" applyFont="1" applyFill="1" applyBorder="1" applyAlignment="1">
      <alignment vertical="center"/>
    </xf>
    <xf numFmtId="0" fontId="22" fillId="6" borderId="24" xfId="0" applyFont="1" applyFill="1" applyBorder="1" applyAlignment="1">
      <alignment horizontal="left" vertical="center" indent="1"/>
    </xf>
    <xf numFmtId="0" fontId="22" fillId="6" borderId="26" xfId="0" applyFont="1" applyFill="1" applyBorder="1" applyAlignment="1">
      <alignment horizontal="left" indent="1"/>
    </xf>
    <xf numFmtId="0" fontId="24" fillId="6" borderId="0" xfId="0" applyFont="1" applyFill="1" applyBorder="1" applyAlignment="1">
      <alignment vertical="center"/>
    </xf>
    <xf numFmtId="0" fontId="20" fillId="6" borderId="24" xfId="0" applyFont="1" applyFill="1" applyBorder="1" applyAlignment="1">
      <alignment vertical="center"/>
    </xf>
    <xf numFmtId="0" fontId="20" fillId="6" borderId="28" xfId="0" applyFont="1" applyFill="1" applyBorder="1" applyAlignment="1">
      <alignment vertical="center"/>
    </xf>
    <xf numFmtId="0" fontId="24" fillId="6" borderId="27" xfId="0" applyFont="1" applyFill="1" applyBorder="1" applyAlignment="1">
      <alignment vertical="center"/>
    </xf>
    <xf numFmtId="0" fontId="24" fillId="6" borderId="0" xfId="0" applyFont="1" applyFill="1" applyBorder="1" applyAlignment="1">
      <alignment horizontal="left" vertical="center"/>
    </xf>
    <xf numFmtId="0" fontId="24" fillId="6" borderId="27" xfId="0" applyFont="1" applyFill="1" applyBorder="1" applyAlignment="1">
      <alignment horizontal="left" vertical="center"/>
    </xf>
    <xf numFmtId="0" fontId="20" fillId="6" borderId="0" xfId="0" applyNumberFormat="1" applyFont="1" applyFill="1" applyAlignment="1">
      <alignment horizontal="left" vertical="center"/>
    </xf>
    <xf numFmtId="0" fontId="20" fillId="6" borderId="0" xfId="0" applyFont="1" applyFill="1" applyAlignment="1">
      <alignment horizontal="left" vertical="center"/>
    </xf>
    <xf numFmtId="0" fontId="22" fillId="6" borderId="29" xfId="0" applyFont="1" applyFill="1" applyBorder="1" applyAlignment="1">
      <alignment horizontal="left" indent="1"/>
    </xf>
    <xf numFmtId="0" fontId="24" fillId="6" borderId="30" xfId="0" applyFont="1" applyFill="1" applyBorder="1" applyAlignment="1">
      <alignment vertical="center"/>
    </xf>
    <xf numFmtId="0" fontId="24" fillId="6" borderId="31" xfId="0" applyFont="1" applyFill="1" applyBorder="1" applyAlignment="1">
      <alignment vertical="center"/>
    </xf>
    <xf numFmtId="169" fontId="0" fillId="0" borderId="0" xfId="0" applyNumberFormat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0" fillId="4" borderId="0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0" fillId="0" borderId="35" xfId="0" applyFill="1" applyBorder="1"/>
    <xf numFmtId="0" fontId="0" fillId="0" borderId="0" xfId="0" applyFill="1" applyBorder="1"/>
    <xf numFmtId="0" fontId="0" fillId="0" borderId="0" xfId="0" applyFill="1"/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4" fillId="0" borderId="9" xfId="0" applyFont="1" applyBorder="1" applyAlignment="1">
      <alignment vertical="center"/>
    </xf>
    <xf numFmtId="2" fontId="4" fillId="0" borderId="9" xfId="0" applyNumberFormat="1" applyFont="1" applyBorder="1" applyAlignment="1">
      <alignment vertical="center"/>
    </xf>
    <xf numFmtId="9" fontId="0" fillId="0" borderId="0" xfId="3" applyFont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27" fillId="0" borderId="0" xfId="0" applyFont="1"/>
    <xf numFmtId="0" fontId="0" fillId="5" borderId="0" xfId="0" applyFill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9" fontId="0" fillId="0" borderId="10" xfId="3" applyFont="1" applyBorder="1" applyAlignment="1">
      <alignment vertical="center"/>
    </xf>
    <xf numFmtId="0" fontId="0" fillId="0" borderId="10" xfId="0" applyNumberFormat="1" applyBorder="1" applyAlignment="1">
      <alignment vertical="center"/>
    </xf>
    <xf numFmtId="0" fontId="0" fillId="0" borderId="11" xfId="0" applyNumberFormat="1" applyBorder="1" applyAlignment="1">
      <alignment vertical="center"/>
    </xf>
    <xf numFmtId="44" fontId="0" fillId="0" borderId="11" xfId="2" applyFont="1" applyBorder="1" applyAlignment="1">
      <alignment vertical="center"/>
    </xf>
    <xf numFmtId="0" fontId="0" fillId="0" borderId="12" xfId="0" applyBorder="1" applyAlignment="1" applyProtection="1">
      <alignment vertical="center"/>
      <protection locked="0"/>
    </xf>
    <xf numFmtId="0" fontId="4" fillId="3" borderId="12" xfId="0" applyFont="1" applyFill="1" applyBorder="1" applyAlignment="1">
      <alignment horizontal="center" vertical="center"/>
    </xf>
    <xf numFmtId="9" fontId="0" fillId="0" borderId="12" xfId="3" applyFont="1" applyBorder="1" applyAlignment="1">
      <alignment vertical="center"/>
    </xf>
    <xf numFmtId="9" fontId="0" fillId="0" borderId="11" xfId="3" applyFont="1" applyBorder="1" applyAlignment="1">
      <alignment vertical="center"/>
    </xf>
    <xf numFmtId="0" fontId="0" fillId="0" borderId="23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44" fontId="0" fillId="0" borderId="9" xfId="2" applyFont="1" applyBorder="1" applyAlignment="1">
      <alignment horizontal="center" vertical="center"/>
    </xf>
    <xf numFmtId="44" fontId="0" fillId="0" borderId="8" xfId="2" applyFont="1" applyBorder="1" applyAlignment="1">
      <alignment horizontal="center" vertical="center"/>
    </xf>
    <xf numFmtId="44" fontId="0" fillId="0" borderId="5" xfId="2" applyFont="1" applyBorder="1" applyAlignment="1">
      <alignment horizontal="center" vertical="center"/>
    </xf>
    <xf numFmtId="44" fontId="0" fillId="0" borderId="6" xfId="2" applyFont="1" applyBorder="1" applyAlignment="1">
      <alignment horizontal="center" vertical="center"/>
    </xf>
    <xf numFmtId="44" fontId="0" fillId="0" borderId="8" xfId="2" applyFont="1" applyBorder="1" applyAlignment="1">
      <alignment vertical="center"/>
    </xf>
    <xf numFmtId="44" fontId="0" fillId="0" borderId="9" xfId="2" applyFont="1" applyBorder="1" applyAlignment="1" applyProtection="1">
      <alignment vertical="center"/>
      <protection locked="0"/>
    </xf>
    <xf numFmtId="44" fontId="0" fillId="0" borderId="0" xfId="0" applyNumberFormat="1" applyFill="1"/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31" fillId="0" borderId="0" xfId="0" applyFont="1" applyAlignment="1">
      <alignment vertical="center"/>
    </xf>
    <xf numFmtId="171" fontId="14" fillId="0" borderId="19" xfId="0" applyNumberFormat="1" applyFont="1" applyBorder="1" applyAlignment="1" applyProtection="1">
      <alignment horizontal="left" vertical="center" indent="1"/>
    </xf>
    <xf numFmtId="0" fontId="32" fillId="5" borderId="0" xfId="0" applyFont="1" applyFill="1" applyAlignment="1">
      <alignment vertical="center"/>
    </xf>
    <xf numFmtId="0" fontId="0" fillId="0" borderId="22" xfId="0" applyBorder="1" applyAlignment="1" applyProtection="1">
      <alignment vertical="center"/>
    </xf>
    <xf numFmtId="172" fontId="0" fillId="0" borderId="8" xfId="0" applyNumberFormat="1" applyBorder="1" applyAlignment="1">
      <alignment vertical="center"/>
    </xf>
    <xf numFmtId="14" fontId="0" fillId="0" borderId="8" xfId="0" applyNumberFormat="1" applyBorder="1" applyAlignment="1">
      <alignment vertical="center"/>
    </xf>
    <xf numFmtId="0" fontId="0" fillId="0" borderId="8" xfId="2" applyNumberFormat="1" applyFont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7" borderId="0" xfId="0" applyFill="1" applyAlignment="1">
      <alignment vertical="center" wrapText="1"/>
    </xf>
    <xf numFmtId="0" fontId="0" fillId="7" borderId="0" xfId="0" applyNumberFormat="1" applyFill="1" applyAlignment="1">
      <alignment horizontal="center" vertical="center" wrapText="1"/>
    </xf>
    <xf numFmtId="44" fontId="31" fillId="0" borderId="8" xfId="2" applyFont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4" borderId="0" xfId="0" applyNumberFormat="1" applyFill="1" applyBorder="1"/>
    <xf numFmtId="0" fontId="26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44" fontId="0" fillId="0" borderId="0" xfId="0" applyNumberFormat="1" applyFill="1" applyAlignment="1">
      <alignment horizontal="center" vertical="center" wrapText="1"/>
    </xf>
    <xf numFmtId="44" fontId="0" fillId="7" borderId="0" xfId="0" applyNumberFormat="1" applyFill="1" applyAlignment="1">
      <alignment vertical="center" wrapText="1"/>
    </xf>
    <xf numFmtId="44" fontId="0" fillId="0" borderId="0" xfId="0" applyNumberFormat="1" applyFill="1" applyAlignment="1">
      <alignment vertical="center" wrapText="1"/>
    </xf>
    <xf numFmtId="44" fontId="0" fillId="0" borderId="0" xfId="0" applyNumberFormat="1"/>
    <xf numFmtId="0" fontId="34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8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vertical="center"/>
    </xf>
    <xf numFmtId="0" fontId="0" fillId="0" borderId="0" xfId="0" applyAlignment="1">
      <alignment wrapText="1"/>
    </xf>
    <xf numFmtId="0" fontId="0" fillId="9" borderId="0" xfId="0" applyFill="1" applyAlignment="1">
      <alignment vertical="center" wrapText="1"/>
    </xf>
    <xf numFmtId="0" fontId="0" fillId="0" borderId="0" xfId="0" applyFill="1" applyAlignment="1">
      <alignment wrapText="1"/>
    </xf>
    <xf numFmtId="0" fontId="37" fillId="0" borderId="0" xfId="0" applyFont="1" applyFill="1" applyAlignment="1">
      <alignment horizontal="left" vertical="center" wrapText="1"/>
    </xf>
    <xf numFmtId="170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171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38" fillId="0" borderId="0" xfId="1" applyFont="1" applyAlignment="1" applyProtection="1">
      <alignment horizontal="left"/>
    </xf>
    <xf numFmtId="0" fontId="4" fillId="0" borderId="0" xfId="0" applyFont="1"/>
    <xf numFmtId="0" fontId="38" fillId="0" borderId="0" xfId="1" applyFont="1" applyAlignment="1" applyProtection="1"/>
    <xf numFmtId="0" fontId="39" fillId="5" borderId="0" xfId="0" applyFont="1" applyFill="1" applyAlignment="1">
      <alignment horizontal="center" vertical="center" wrapText="1"/>
    </xf>
    <xf numFmtId="0" fontId="37" fillId="0" borderId="0" xfId="0" applyFont="1" applyFill="1" applyAlignment="1">
      <alignment vertical="center" wrapText="1"/>
    </xf>
    <xf numFmtId="0" fontId="4" fillId="0" borderId="0" xfId="0" applyFont="1" applyAlignment="1"/>
    <xf numFmtId="0" fontId="0" fillId="0" borderId="0" xfId="0" applyAlignment="1">
      <alignment horizontal="center" vertical="center"/>
    </xf>
    <xf numFmtId="164" fontId="11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0" fillId="0" borderId="0" xfId="0" applyAlignment="1"/>
    <xf numFmtId="170" fontId="37" fillId="0" borderId="0" xfId="0" applyNumberFormat="1" applyFont="1" applyFill="1" applyAlignment="1">
      <alignment horizontal="left" vertical="center"/>
    </xf>
    <xf numFmtId="14" fontId="37" fillId="0" borderId="0" xfId="0" applyNumberFormat="1" applyFont="1" applyFill="1" applyAlignment="1">
      <alignment horizontal="left" vertical="center"/>
    </xf>
    <xf numFmtId="0" fontId="37" fillId="0" borderId="0" xfId="0" applyFont="1" applyFill="1" applyAlignment="1">
      <alignment horizontal="left" vertical="center"/>
    </xf>
    <xf numFmtId="171" fontId="37" fillId="0" borderId="0" xfId="0" applyNumberFormat="1" applyFont="1" applyFill="1" applyAlignment="1">
      <alignment horizontal="left" vertical="center"/>
    </xf>
    <xf numFmtId="165" fontId="37" fillId="0" borderId="0" xfId="0" applyNumberFormat="1" applyFont="1" applyFill="1" applyAlignment="1">
      <alignment horizontal="left" vertical="center"/>
    </xf>
    <xf numFmtId="172" fontId="37" fillId="0" borderId="0" xfId="0" applyNumberFormat="1" applyFont="1" applyFill="1" applyAlignment="1">
      <alignment horizontal="right" vertical="center"/>
    </xf>
    <xf numFmtId="0" fontId="37" fillId="0" borderId="0" xfId="0" applyNumberFormat="1" applyFont="1" applyFill="1" applyAlignment="1">
      <alignment horizontal="left" vertical="center"/>
    </xf>
    <xf numFmtId="0" fontId="35" fillId="0" borderId="0" xfId="0" applyFont="1" applyFill="1" applyAlignment="1">
      <alignment horizontal="left" vertical="center"/>
    </xf>
    <xf numFmtId="0" fontId="37" fillId="0" borderId="0" xfId="0" applyFont="1" applyFill="1" applyAlignment="1">
      <alignment horizontal="right" vertical="center"/>
    </xf>
    <xf numFmtId="0" fontId="37" fillId="0" borderId="0" xfId="0" applyNumberFormat="1" applyFont="1" applyFill="1" applyAlignment="1">
      <alignment horizontal="center" vertical="center"/>
    </xf>
    <xf numFmtId="0" fontId="35" fillId="0" borderId="0" xfId="0" applyFont="1" applyFill="1" applyAlignment="1">
      <alignment horizontal="right" vertical="center"/>
    </xf>
    <xf numFmtId="165" fontId="37" fillId="0" borderId="0" xfId="2" applyNumberFormat="1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71" fontId="4" fillId="0" borderId="0" xfId="0" applyNumberFormat="1" applyFont="1" applyFill="1" applyAlignment="1">
      <alignment horizontal="left" vertical="center"/>
    </xf>
    <xf numFmtId="165" fontId="4" fillId="0" borderId="0" xfId="0" applyNumberFormat="1" applyFont="1" applyFill="1" applyAlignment="1">
      <alignment horizontal="left" vertical="center"/>
    </xf>
    <xf numFmtId="0" fontId="11" fillId="0" borderId="0" xfId="0" applyNumberFormat="1" applyFont="1" applyFill="1" applyAlignment="1">
      <alignment horizontal="center" vertical="center"/>
    </xf>
    <xf numFmtId="0" fontId="0" fillId="0" borderId="0" xfId="0" applyFill="1" applyAlignment="1"/>
    <xf numFmtId="0" fontId="4" fillId="0" borderId="0" xfId="0" applyNumberFormat="1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left"/>
    </xf>
    <xf numFmtId="170" fontId="4" fillId="0" borderId="0" xfId="0" applyNumberFormat="1" applyFont="1" applyAlignment="1"/>
    <xf numFmtId="14" fontId="4" fillId="0" borderId="0" xfId="0" applyNumberFormat="1" applyFont="1" applyAlignment="1"/>
    <xf numFmtId="171" fontId="4" fillId="0" borderId="0" xfId="0" applyNumberFormat="1" applyFont="1" applyAlignment="1"/>
    <xf numFmtId="165" fontId="4" fillId="0" borderId="0" xfId="0" applyNumberFormat="1" applyFont="1" applyAlignment="1"/>
    <xf numFmtId="164" fontId="4" fillId="0" borderId="0" xfId="0" applyNumberFormat="1" applyFont="1" applyAlignment="1"/>
    <xf numFmtId="0" fontId="0" fillId="9" borderId="0" xfId="0" applyFill="1"/>
    <xf numFmtId="0" fontId="0" fillId="12" borderId="0" xfId="0" applyFill="1" applyAlignment="1">
      <alignment vertical="center" wrapText="1"/>
    </xf>
    <xf numFmtId="0" fontId="0" fillId="12" borderId="0" xfId="0" applyFill="1"/>
    <xf numFmtId="0" fontId="0" fillId="0" borderId="0" xfId="0" applyAlignment="1">
      <alignment horizontal="center" vertical="center"/>
    </xf>
    <xf numFmtId="0" fontId="25" fillId="2" borderId="0" xfId="0" applyFont="1" applyFill="1" applyAlignment="1">
      <alignment horizontal="center" vertical="center" wrapText="1"/>
    </xf>
    <xf numFmtId="44" fontId="25" fillId="2" borderId="0" xfId="2" applyFont="1" applyFill="1" applyAlignment="1">
      <alignment horizontal="center" vertical="center" wrapText="1"/>
    </xf>
    <xf numFmtId="9" fontId="25" fillId="2" borderId="0" xfId="3" applyFont="1" applyFill="1" applyAlignment="1">
      <alignment horizontal="center" vertical="center" wrapText="1"/>
    </xf>
    <xf numFmtId="0" fontId="25" fillId="12" borderId="0" xfId="0" applyFont="1" applyFill="1" applyAlignment="1">
      <alignment horizontal="center" vertical="center" wrapText="1"/>
    </xf>
    <xf numFmtId="0" fontId="25" fillId="0" borderId="0" xfId="0" applyFont="1" applyFill="1" applyAlignment="1">
      <alignment horizontal="center" vertical="center" wrapText="1"/>
    </xf>
    <xf numFmtId="0" fontId="40" fillId="2" borderId="0" xfId="0" applyFont="1" applyFill="1" applyAlignment="1">
      <alignment horizontal="center" vertical="center" wrapText="1"/>
    </xf>
    <xf numFmtId="0" fontId="0" fillId="10" borderId="0" xfId="0" applyFill="1" applyAlignment="1">
      <alignment vertical="center" wrapText="1"/>
    </xf>
    <xf numFmtId="0" fontId="25" fillId="0" borderId="0" xfId="0" applyFont="1" applyAlignment="1">
      <alignment horizontal="center" vertical="center" wrapText="1"/>
    </xf>
    <xf numFmtId="0" fontId="40" fillId="12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174" fontId="0" fillId="0" borderId="0" xfId="2" applyNumberFormat="1" applyFont="1" applyFill="1" applyAlignment="1">
      <alignment horizontal="center" vertical="center" wrapText="1"/>
    </xf>
    <xf numFmtId="174" fontId="0" fillId="0" borderId="0" xfId="0" applyNumberFormat="1" applyFont="1" applyFill="1" applyAlignment="1">
      <alignment horizontal="center" vertical="center" wrapText="1"/>
    </xf>
    <xf numFmtId="173" fontId="0" fillId="0" borderId="0" xfId="0" applyNumberFormat="1" applyFont="1" applyFill="1" applyAlignment="1">
      <alignment horizontal="center" vertical="center" wrapText="1"/>
    </xf>
    <xf numFmtId="173" fontId="0" fillId="0" borderId="0" xfId="0" applyNumberFormat="1"/>
    <xf numFmtId="1" fontId="0" fillId="0" borderId="0" xfId="0" applyNumberFormat="1"/>
    <xf numFmtId="174" fontId="0" fillId="0" borderId="0" xfId="0" applyNumberFormat="1"/>
    <xf numFmtId="10" fontId="0" fillId="0" borderId="0" xfId="3" applyNumberFormat="1" applyFont="1" applyFill="1" applyAlignment="1">
      <alignment horizontal="center" vertical="center" wrapText="1"/>
    </xf>
    <xf numFmtId="10" fontId="0" fillId="0" borderId="0" xfId="0" applyNumberFormat="1"/>
    <xf numFmtId="173" fontId="0" fillId="0" borderId="22" xfId="0" applyNumberFormat="1" applyBorder="1" applyAlignment="1" applyProtection="1">
      <alignment horizontal="center" vertical="center"/>
      <protection locked="0"/>
    </xf>
    <xf numFmtId="173" fontId="0" fillId="0" borderId="19" xfId="0" applyNumberFormat="1" applyBorder="1" applyAlignment="1" applyProtection="1">
      <alignment horizontal="center" vertical="center"/>
      <protection locked="0"/>
    </xf>
    <xf numFmtId="0" fontId="30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6" fillId="12" borderId="0" xfId="0" applyFont="1" applyFill="1" applyAlignment="1">
      <alignment horizontal="center" vertical="center"/>
    </xf>
    <xf numFmtId="0" fontId="3" fillId="13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wrapText="1"/>
    </xf>
    <xf numFmtId="0" fontId="36" fillId="2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6" fillId="11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0" xfId="0" applyBorder="1" applyAlignment="1" applyProtection="1">
      <alignment horizontal="left" vertical="center" indent="1"/>
    </xf>
    <xf numFmtId="0" fontId="0" fillId="0" borderId="21" xfId="0" applyBorder="1" applyAlignment="1" applyProtection="1">
      <alignment horizontal="left" vertical="center" indent="1"/>
    </xf>
    <xf numFmtId="0" fontId="21" fillId="6" borderId="24" xfId="0" applyFont="1" applyFill="1" applyBorder="1" applyAlignment="1">
      <alignment horizontal="center" vertical="center"/>
    </xf>
    <xf numFmtId="0" fontId="21" fillId="6" borderId="25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left" vertical="center" indent="1"/>
    </xf>
    <xf numFmtId="169" fontId="9" fillId="0" borderId="17" xfId="0" applyNumberFormat="1" applyFont="1" applyBorder="1" applyAlignment="1" applyProtection="1">
      <alignment horizontal="center" vertical="center"/>
      <protection locked="0"/>
    </xf>
    <xf numFmtId="169" fontId="9" fillId="0" borderId="13" xfId="0" applyNumberFormat="1" applyFont="1" applyBorder="1" applyAlignment="1" applyProtection="1">
      <alignment horizontal="center" vertical="center"/>
      <protection locked="0"/>
    </xf>
    <xf numFmtId="169" fontId="9" fillId="0" borderId="18" xfId="0" applyNumberFormat="1" applyFont="1" applyBorder="1" applyAlignment="1" applyProtection="1">
      <alignment horizontal="center" vertical="center"/>
      <protection locked="0"/>
    </xf>
    <xf numFmtId="16" fontId="11" fillId="0" borderId="19" xfId="0" applyNumberFormat="1" applyFont="1" applyBorder="1" applyAlignment="1" applyProtection="1">
      <alignment horizontal="center" vertical="center"/>
    </xf>
    <xf numFmtId="16" fontId="11" fillId="0" borderId="20" xfId="0" applyNumberFormat="1" applyFont="1" applyBorder="1" applyAlignment="1" applyProtection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0" fillId="0" borderId="17" xfId="0" applyBorder="1" applyAlignment="1" applyProtection="1">
      <alignment horizontal="left" vertical="center" indent="1"/>
      <protection locked="0"/>
    </xf>
    <xf numFmtId="0" fontId="0" fillId="0" borderId="13" xfId="0" applyBorder="1" applyAlignment="1" applyProtection="1">
      <alignment horizontal="left" vertical="center" indent="1"/>
      <protection locked="0"/>
    </xf>
    <xf numFmtId="0" fontId="0" fillId="0" borderId="18" xfId="0" applyBorder="1" applyAlignment="1" applyProtection="1">
      <alignment horizontal="left" vertical="center" indent="1"/>
      <protection locked="0"/>
    </xf>
    <xf numFmtId="0" fontId="0" fillId="0" borderId="22" xfId="0" applyBorder="1" applyAlignment="1" applyProtection="1">
      <alignment horizontal="left" indent="2"/>
    </xf>
    <xf numFmtId="0" fontId="0" fillId="0" borderId="0" xfId="0" applyBorder="1" applyAlignment="1" applyProtection="1">
      <alignment horizontal="left" indent="2"/>
    </xf>
    <xf numFmtId="0" fontId="0" fillId="0" borderId="23" xfId="0" applyBorder="1" applyAlignment="1" applyProtection="1">
      <alignment horizontal="left" indent="2"/>
    </xf>
    <xf numFmtId="0" fontId="20" fillId="0" borderId="0" xfId="0" applyFont="1" applyBorder="1" applyAlignment="1" applyProtection="1">
      <alignment horizontal="left" vertical="center"/>
      <protection locked="0"/>
    </xf>
    <xf numFmtId="0" fontId="20" fillId="0" borderId="23" xfId="0" applyFont="1" applyBorder="1" applyAlignment="1" applyProtection="1">
      <alignment horizontal="left" vertical="center"/>
      <protection locked="0"/>
    </xf>
    <xf numFmtId="0" fontId="3" fillId="5" borderId="38" xfId="0" applyFont="1" applyFill="1" applyBorder="1" applyAlignment="1" applyProtection="1">
      <alignment horizontal="center"/>
      <protection locked="0"/>
    </xf>
    <xf numFmtId="0" fontId="3" fillId="5" borderId="39" xfId="0" applyFont="1" applyFill="1" applyBorder="1" applyAlignment="1" applyProtection="1">
      <alignment horizontal="center"/>
      <protection locked="0"/>
    </xf>
  </cellXfs>
  <cellStyles count="7">
    <cellStyle name="Lien hypertexte" xfId="1" builtinId="8"/>
    <cellStyle name="Milliers 2" xfId="4"/>
    <cellStyle name="Monétaire" xfId="2" builtinId="4"/>
    <cellStyle name="Monétaire 2" xfId="5"/>
    <cellStyle name="Normal" xfId="0" builtinId="0"/>
    <cellStyle name="Normal 2" xfId="6"/>
    <cellStyle name="Pourcentage" xfId="3" builtinId="5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00FFFF"/>
      <color rgb="FFFF00FF"/>
      <color rgb="FF00FF00"/>
      <color rgb="FFFF3300"/>
      <color rgb="FFFFFF66"/>
      <color rgb="FF0066FF"/>
      <color rgb="FF008000"/>
      <color rgb="FF0000CC"/>
      <color rgb="FF99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'Tableau de bord'!$E$4</c:f>
              <c:strCache>
                <c:ptCount val="1"/>
                <c:pt idx="0">
                  <c:v>TOTAL HT/ MOIS</c:v>
                </c:pt>
              </c:strCache>
            </c:strRef>
          </c:tx>
          <c:spPr>
            <a:ln cap="rnd">
              <a:gradFill>
                <a:gsLst>
                  <a:gs pos="0">
                    <a:srgbClr val="00FF00"/>
                  </a:gs>
                  <a:gs pos="50000">
                    <a:srgbClr val="0000CC"/>
                  </a:gs>
                  <a:gs pos="100000">
                    <a:srgbClr val="FF0000"/>
                  </a:gs>
                </a:gsLst>
                <a:lin ang="5400000" scaled="0"/>
              </a:gradFill>
              <a:round/>
            </a:ln>
          </c:spPr>
          <c:marker>
            <c:symbol val="none"/>
          </c:marker>
          <c:cat>
            <c:strRef>
              <c:f>'Tableau de bord'!$F$3:$Q$3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bord'!$F$4:$Q$4</c:f>
              <c:numCache>
                <c:formatCode>_-* #,##0.00\ "€"_-;\-* #,##0.00\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'Tableau de bord'!$E$5</c:f>
              <c:strCache>
                <c:ptCount val="1"/>
                <c:pt idx="0">
                  <c:v>TOTAL TTC/ MOIS</c:v>
                </c:pt>
              </c:strCache>
            </c:strRef>
          </c:tx>
          <c:spPr>
            <a:ln>
              <a:gradFill>
                <a:gsLst>
                  <a:gs pos="0">
                    <a:srgbClr val="008000">
                      <a:alpha val="30000"/>
                    </a:srgbClr>
                  </a:gs>
                  <a:gs pos="50000">
                    <a:srgbClr val="0070C0">
                      <a:alpha val="30000"/>
                    </a:srgbClr>
                  </a:gs>
                  <a:gs pos="100000">
                    <a:srgbClr val="C00000">
                      <a:alpha val="30000"/>
                    </a:srgbClr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Ref>
              <c:f>'Tableau de bord'!$F$3:$Q$3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bord'!$F$5:$Q$5</c:f>
              <c:numCache>
                <c:formatCode>_-* #,##0.00\ "€"_-;\-* #,##0.00\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marker val="1"/>
        <c:axId val="143216000"/>
        <c:axId val="143996032"/>
      </c:lineChart>
      <c:catAx>
        <c:axId val="143216000"/>
        <c:scaling>
          <c:orientation val="minMax"/>
        </c:scaling>
        <c:axPos val="b"/>
        <c:tickLblPos val="nextTo"/>
        <c:crossAx val="143996032"/>
        <c:crosses val="autoZero"/>
        <c:auto val="1"/>
        <c:lblAlgn val="ctr"/>
        <c:lblOffset val="100"/>
      </c:catAx>
      <c:valAx>
        <c:axId val="143996032"/>
        <c:scaling>
          <c:orientation val="minMax"/>
        </c:scaling>
        <c:axPos val="l"/>
        <c:majorGridlines/>
        <c:numFmt formatCode="_-* #,##0.00\ &quot;€&quot;_-;\-* #,##0.00\ &quot;€&quot;_-;_-* &quot;-&quot;??\ &quot;€&quot;_-;_-@_-" sourceLinked="1"/>
        <c:tickLblPos val="nextTo"/>
        <c:crossAx val="143216000"/>
        <c:crosses val="autoZero"/>
        <c:crossBetween val="between"/>
      </c:valAx>
    </c:plotArea>
    <c:plotVisOnly val="1"/>
  </c:chart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6</xdr:row>
      <xdr:rowOff>161925</xdr:rowOff>
    </xdr:from>
    <xdr:to>
      <xdr:col>17</xdr:col>
      <xdr:colOff>66675</xdr:colOff>
      <xdr:row>21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AICHAGE/Suivi%20Vente%20de%20plants/Pro/Plants%20PROFESSIONNEL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ARAICHAGE/Suivi%20Vente%20de%20plants/Personnel/Plants%20PERSONNE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ce/Desktop/FSL/MARAICHAGE/Suivi%20Vente%20de%20plants/Particuliers/Plants%20PARTICULIE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 ANNUEL"/>
      <sheetName val="RECAP ANNUELLE"/>
      <sheetName val="Recap Clients"/>
      <sheetName val="CAISSE"/>
      <sheetName val="TARIF"/>
      <sheetName val="Liste Pro"/>
      <sheetName val="PROFESSIONNEL"/>
      <sheetName val="A laisser entre les factures"/>
      <sheetName val="008_2"/>
      <sheetName val="004_1"/>
      <sheetName val="A laisser entre les factures."/>
    </sheetNames>
    <sheetDataSet>
      <sheetData sheetId="0" refreshError="1"/>
      <sheetData sheetId="1"/>
      <sheetData sheetId="2">
        <row r="2">
          <cell r="K2" t="str">
            <v>GOUPIL VERT</v>
          </cell>
        </row>
      </sheetData>
      <sheetData sheetId="3" refreshError="1"/>
      <sheetData sheetId="4">
        <row r="2">
          <cell r="A2" t="str">
            <v>Tomates</v>
          </cell>
        </row>
      </sheetData>
      <sheetData sheetId="5">
        <row r="2">
          <cell r="B2" t="str">
            <v>CROC'US</v>
          </cell>
        </row>
        <row r="3">
          <cell r="B3" t="str">
            <v>GAEC ROME</v>
          </cell>
        </row>
        <row r="4">
          <cell r="B4" t="str">
            <v>GOUPIL VERT</v>
          </cell>
        </row>
        <row r="5">
          <cell r="B5" t="str">
            <v>LA VIE SAINE</v>
          </cell>
        </row>
        <row r="6">
          <cell r="B6" t="str">
            <v>LE DOMAINE DES TEMPLIERS</v>
          </cell>
        </row>
        <row r="7">
          <cell r="B7" t="str">
            <v>LE POTAGER DE LA LANDRE</v>
          </cell>
        </row>
        <row r="8">
          <cell r="B8" t="str">
            <v>LEFEVRE VALERIE</v>
          </cell>
        </row>
        <row r="9">
          <cell r="B9" t="str">
            <v>ZEHNACKER</v>
          </cell>
        </row>
      </sheetData>
      <sheetData sheetId="6">
        <row r="72">
          <cell r="P72" t="str">
            <v>Nouvelle variété 17</v>
          </cell>
        </row>
      </sheetData>
      <sheetData sheetId="7">
        <row r="5">
          <cell r="R5">
            <v>0</v>
          </cell>
        </row>
      </sheetData>
      <sheetData sheetId="8">
        <row r="5">
          <cell r="Q5">
            <v>0</v>
          </cell>
        </row>
      </sheetData>
      <sheetData sheetId="9">
        <row r="5">
          <cell r="Q5">
            <v>0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ILAN ANNUEL"/>
      <sheetName val="RECAP ANNUELLE"/>
      <sheetName val="Recap Clients"/>
      <sheetName val="CAISSE"/>
      <sheetName val="TARIF"/>
      <sheetName val="Liste du personnel"/>
      <sheetName val="PERSONNEL"/>
      <sheetName val="A laisser entre les factures"/>
      <sheetName val="028_37"/>
      <sheetName val="008_36"/>
      <sheetName val="008_35"/>
      <sheetName val="022_34"/>
      <sheetName val="029_33"/>
      <sheetName val="010_32"/>
      <sheetName val="020_31"/>
      <sheetName val="028_30"/>
      <sheetName val="026_29"/>
      <sheetName val="027_28"/>
      <sheetName val="014_27"/>
      <sheetName val="007_26"/>
      <sheetName val="023_25"/>
      <sheetName val="002_24"/>
      <sheetName val="025_23"/>
      <sheetName val="024_22"/>
      <sheetName val="023_21"/>
      <sheetName val="022_20"/>
      <sheetName val="021_19"/>
      <sheetName val="020_18"/>
      <sheetName val="019_17"/>
      <sheetName val="018_16"/>
      <sheetName val="017_15"/>
      <sheetName val="016_14"/>
      <sheetName val="015_13"/>
      <sheetName val="007_12"/>
      <sheetName val="013_11"/>
      <sheetName val="012_10"/>
      <sheetName val="011_9"/>
      <sheetName val="010_8"/>
      <sheetName val="009_7"/>
      <sheetName val="008_6"/>
      <sheetName val="006_5"/>
      <sheetName val="004_4"/>
      <sheetName val="007_3"/>
      <sheetName val="004_2"/>
      <sheetName val="004_1"/>
      <sheetName val="A laisser entre les factures."/>
    </sheetNames>
    <sheetDataSet>
      <sheetData sheetId="0"/>
      <sheetData sheetId="1">
        <row r="5">
          <cell r="C5">
            <v>2</v>
          </cell>
        </row>
      </sheetData>
      <sheetData sheetId="2">
        <row r="2">
          <cell r="K2" t="str">
            <v>MOUGIN EMMANUEL</v>
          </cell>
        </row>
      </sheetData>
      <sheetData sheetId="3">
        <row r="2">
          <cell r="Q2">
            <v>0</v>
          </cell>
        </row>
      </sheetData>
      <sheetData sheetId="4">
        <row r="2">
          <cell r="A2" t="str">
            <v>Tomates</v>
          </cell>
        </row>
      </sheetData>
      <sheetData sheetId="5">
        <row r="2">
          <cell r="B2" t="str">
            <v>BRIOLAT ISABELLE</v>
          </cell>
        </row>
      </sheetData>
      <sheetData sheetId="6">
        <row r="72">
          <cell r="P72" t="str">
            <v>Nouvelle variété 17</v>
          </cell>
        </row>
      </sheetData>
      <sheetData sheetId="7">
        <row r="5">
          <cell r="R5">
            <v>0</v>
          </cell>
        </row>
      </sheetData>
      <sheetData sheetId="8">
        <row r="5">
          <cell r="R5">
            <v>0</v>
          </cell>
        </row>
      </sheetData>
      <sheetData sheetId="9">
        <row r="5">
          <cell r="R5">
            <v>0</v>
          </cell>
        </row>
      </sheetData>
      <sheetData sheetId="10">
        <row r="5">
          <cell r="R5">
            <v>0</v>
          </cell>
        </row>
      </sheetData>
      <sheetData sheetId="11">
        <row r="5">
          <cell r="R5">
            <v>0</v>
          </cell>
        </row>
      </sheetData>
      <sheetData sheetId="12">
        <row r="5">
          <cell r="R5">
            <v>0</v>
          </cell>
        </row>
      </sheetData>
      <sheetData sheetId="13">
        <row r="5">
          <cell r="R5">
            <v>0</v>
          </cell>
        </row>
      </sheetData>
      <sheetData sheetId="14">
        <row r="5">
          <cell r="R5">
            <v>0</v>
          </cell>
        </row>
      </sheetData>
      <sheetData sheetId="15">
        <row r="5">
          <cell r="R5">
            <v>0</v>
          </cell>
        </row>
      </sheetData>
      <sheetData sheetId="16">
        <row r="5">
          <cell r="R5">
            <v>0</v>
          </cell>
        </row>
      </sheetData>
      <sheetData sheetId="17">
        <row r="5">
          <cell r="R5">
            <v>0</v>
          </cell>
        </row>
      </sheetData>
      <sheetData sheetId="18">
        <row r="5">
          <cell r="R5">
            <v>0</v>
          </cell>
        </row>
      </sheetData>
      <sheetData sheetId="19">
        <row r="5">
          <cell r="R5">
            <v>0</v>
          </cell>
        </row>
      </sheetData>
      <sheetData sheetId="20">
        <row r="5">
          <cell r="R5">
            <v>0</v>
          </cell>
        </row>
      </sheetData>
      <sheetData sheetId="21">
        <row r="5">
          <cell r="R5">
            <v>0</v>
          </cell>
        </row>
      </sheetData>
      <sheetData sheetId="22">
        <row r="5">
          <cell r="R5">
            <v>0</v>
          </cell>
        </row>
      </sheetData>
      <sheetData sheetId="23">
        <row r="5">
          <cell r="R5">
            <v>0</v>
          </cell>
        </row>
      </sheetData>
      <sheetData sheetId="24">
        <row r="5">
          <cell r="R5">
            <v>0</v>
          </cell>
        </row>
      </sheetData>
      <sheetData sheetId="25">
        <row r="5">
          <cell r="R5">
            <v>0</v>
          </cell>
        </row>
      </sheetData>
      <sheetData sheetId="26">
        <row r="5">
          <cell r="R5">
            <v>0</v>
          </cell>
        </row>
      </sheetData>
      <sheetData sheetId="27">
        <row r="5">
          <cell r="R5">
            <v>0</v>
          </cell>
        </row>
      </sheetData>
      <sheetData sheetId="28">
        <row r="5">
          <cell r="R5">
            <v>0</v>
          </cell>
        </row>
      </sheetData>
      <sheetData sheetId="29">
        <row r="5">
          <cell r="R5">
            <v>0</v>
          </cell>
        </row>
      </sheetData>
      <sheetData sheetId="30">
        <row r="5">
          <cell r="R5">
            <v>0</v>
          </cell>
        </row>
      </sheetData>
      <sheetData sheetId="31">
        <row r="5">
          <cell r="R5">
            <v>0</v>
          </cell>
        </row>
      </sheetData>
      <sheetData sheetId="32">
        <row r="5">
          <cell r="R5">
            <v>0</v>
          </cell>
        </row>
      </sheetData>
      <sheetData sheetId="33">
        <row r="5">
          <cell r="R5">
            <v>0</v>
          </cell>
        </row>
      </sheetData>
      <sheetData sheetId="34">
        <row r="5">
          <cell r="R5">
            <v>0</v>
          </cell>
        </row>
      </sheetData>
      <sheetData sheetId="35">
        <row r="5">
          <cell r="R5">
            <v>0</v>
          </cell>
        </row>
      </sheetData>
      <sheetData sheetId="36">
        <row r="5">
          <cell r="R5">
            <v>0</v>
          </cell>
        </row>
      </sheetData>
      <sheetData sheetId="37">
        <row r="5">
          <cell r="R5">
            <v>0</v>
          </cell>
        </row>
      </sheetData>
      <sheetData sheetId="38">
        <row r="5">
          <cell r="R5">
            <v>0</v>
          </cell>
        </row>
      </sheetData>
      <sheetData sheetId="39">
        <row r="5">
          <cell r="R5">
            <v>0</v>
          </cell>
        </row>
      </sheetData>
      <sheetData sheetId="40">
        <row r="5">
          <cell r="R5">
            <v>0</v>
          </cell>
        </row>
      </sheetData>
      <sheetData sheetId="41">
        <row r="5">
          <cell r="R5">
            <v>0</v>
          </cell>
        </row>
      </sheetData>
      <sheetData sheetId="42">
        <row r="5">
          <cell r="R5">
            <v>0</v>
          </cell>
        </row>
      </sheetData>
      <sheetData sheetId="43">
        <row r="5">
          <cell r="R5">
            <v>0</v>
          </cell>
        </row>
      </sheetData>
      <sheetData sheetId="44">
        <row r="5">
          <cell r="R5">
            <v>0</v>
          </cell>
        </row>
      </sheetData>
      <sheetData sheetId="4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ILAN ANNUEL"/>
      <sheetName val="RECAP ANNUELLE"/>
      <sheetName val="CAISSE"/>
      <sheetName val="TARIF"/>
      <sheetName val="PARTICULIERS"/>
      <sheetName val="A laisser entre les factures"/>
      <sheetName val="A laisser entre les factures."/>
    </sheetNames>
    <sheetDataSet>
      <sheetData sheetId="0" refreshError="1"/>
      <sheetData sheetId="1"/>
      <sheetData sheetId="2" refreshError="1"/>
      <sheetData sheetId="3">
        <row r="2">
          <cell r="A2" t="str">
            <v>Tomates</v>
          </cell>
        </row>
      </sheetData>
      <sheetData sheetId="4">
        <row r="72">
          <cell r="P72" t="str">
            <v>Nouvelle variété 17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pjfguef@wanadoo.fr" TargetMode="External"/><Relationship Id="rId1" Type="http://schemas.openxmlformats.org/officeDocument/2006/relationships/hyperlink" Target="mailto:pqft@yahoo.fr" TargetMode="Externa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21"/>
  <sheetViews>
    <sheetView workbookViewId="0">
      <selection activeCell="B11" sqref="B11"/>
    </sheetView>
  </sheetViews>
  <sheetFormatPr baseColWidth="10" defaultRowHeight="15"/>
  <cols>
    <col min="1" max="1" width="24.42578125" style="2" customWidth="1"/>
    <col min="2" max="2" width="20.42578125" style="2" customWidth="1"/>
    <col min="3" max="3" width="11.42578125" style="2"/>
    <col min="4" max="4" width="2.5703125" style="2" customWidth="1"/>
    <col min="5" max="5" width="16.140625" style="1" customWidth="1"/>
    <col min="6" max="29" width="11.42578125" style="1"/>
    <col min="30" max="16384" width="11.42578125" style="2"/>
  </cols>
  <sheetData>
    <row r="1" spans="1:17" ht="18.75">
      <c r="A1" s="198" t="s">
        <v>33</v>
      </c>
      <c r="B1" s="199"/>
      <c r="E1" s="197" t="s">
        <v>106</v>
      </c>
      <c r="F1" s="197"/>
      <c r="G1" s="197"/>
      <c r="H1" s="197"/>
      <c r="I1" s="197"/>
      <c r="J1" s="197"/>
      <c r="K1" s="197"/>
      <c r="L1" s="197"/>
      <c r="M1" s="197"/>
      <c r="N1" s="197"/>
      <c r="O1" s="197"/>
      <c r="P1" s="197"/>
      <c r="Q1" s="197"/>
    </row>
    <row r="2" spans="1:17" ht="15.75" thickBot="1">
      <c r="A2" s="5" t="s">
        <v>109</v>
      </c>
      <c r="B2" s="90">
        <f>SUMIFS('Historique de factures'!$L:$L,'Historique de factures'!$A:$A,"F")</f>
        <v>0</v>
      </c>
      <c r="F2" s="72">
        <v>1</v>
      </c>
      <c r="G2" s="72">
        <v>2</v>
      </c>
      <c r="H2" s="72">
        <v>3</v>
      </c>
      <c r="I2" s="72">
        <v>4</v>
      </c>
      <c r="J2" s="72">
        <v>5</v>
      </c>
      <c r="K2" s="72">
        <v>6</v>
      </c>
      <c r="L2" s="72">
        <v>7</v>
      </c>
      <c r="M2" s="72">
        <v>8</v>
      </c>
      <c r="N2" s="72">
        <v>9</v>
      </c>
      <c r="O2" s="72">
        <v>10</v>
      </c>
      <c r="P2" s="72">
        <v>11</v>
      </c>
      <c r="Q2" s="72">
        <v>12</v>
      </c>
    </row>
    <row r="3" spans="1:17" ht="15.75" thickBot="1">
      <c r="A3" s="5" t="s">
        <v>133</v>
      </c>
      <c r="B3" s="101">
        <f>COUNTIF('Historique de factures'!$A:$A,"F")</f>
        <v>0</v>
      </c>
      <c r="E3" s="75"/>
      <c r="F3" s="73" t="s">
        <v>10</v>
      </c>
      <c r="G3" s="70" t="s">
        <v>11</v>
      </c>
      <c r="H3" s="70" t="s">
        <v>12</v>
      </c>
      <c r="I3" s="70" t="s">
        <v>13</v>
      </c>
      <c r="J3" s="70" t="s">
        <v>14</v>
      </c>
      <c r="K3" s="70" t="s">
        <v>15</v>
      </c>
      <c r="L3" s="70" t="s">
        <v>16</v>
      </c>
      <c r="M3" s="70" t="s">
        <v>17</v>
      </c>
      <c r="N3" s="70" t="s">
        <v>18</v>
      </c>
      <c r="O3" s="70" t="s">
        <v>19</v>
      </c>
      <c r="P3" s="70" t="s">
        <v>20</v>
      </c>
      <c r="Q3" s="66" t="s">
        <v>21</v>
      </c>
    </row>
    <row r="4" spans="1:17">
      <c r="A4" s="5" t="s">
        <v>139</v>
      </c>
      <c r="B4" s="90">
        <f>SUMIFS('Historique de factures'!$P:$P,'Historique de factures'!$A:$A,"F")</f>
        <v>0</v>
      </c>
      <c r="E4" s="74" t="s">
        <v>104</v>
      </c>
      <c r="F4" s="86">
        <f>SUMIFS('Historique de factures'!$H:$H,'Historique de factures'!$O:$O,F2,'Historique de factures'!$A:$A,"&lt;&gt;D")</f>
        <v>0</v>
      </c>
      <c r="G4" s="86">
        <f>SUMIFS('Historique de factures'!$H:$H,'Historique de factures'!$O:$O,G2,'Historique de factures'!$A:$A,"&lt;&gt;D")</f>
        <v>0</v>
      </c>
      <c r="H4" s="86">
        <f>SUMIFS('Historique de factures'!$H:$H,'Historique de factures'!$O:$O,H2,'Historique de factures'!$A:$A,"&lt;&gt;D")</f>
        <v>0</v>
      </c>
      <c r="I4" s="86">
        <f>SUMIFS('Historique de factures'!$H:$H,'Historique de factures'!$M:$M,I2,'Historique de factures'!$A:$A,"&lt;&gt;D")</f>
        <v>0</v>
      </c>
      <c r="J4" s="86">
        <f>SUMIFS('Historique de factures'!$H:$H,'Historique de factures'!$O:$O,J2,'Historique de factures'!$A:$A,"&lt;&gt;D")</f>
        <v>0</v>
      </c>
      <c r="K4" s="86">
        <f>SUMIFS('Historique de factures'!$H:$H,'Historique de factures'!$O:$O,K2,'Historique de factures'!$A:$A,"&lt;&gt;D")</f>
        <v>0</v>
      </c>
      <c r="L4" s="86">
        <f>SUMIFS('Historique de factures'!$H:$H,'Historique de factures'!$O:$O,L2,'Historique de factures'!$A:$A,"&lt;&gt;D")</f>
        <v>0</v>
      </c>
      <c r="M4" s="86">
        <f>SUMIFS('Historique de factures'!$H:$H,'Historique de factures'!$O:$O,M2,'Historique de factures'!$A:$A,"&lt;&gt;D")</f>
        <v>0</v>
      </c>
      <c r="N4" s="86">
        <f>SUMIFS('Historique de factures'!$H:$H,'Historique de factures'!$O:$O,N2,'Historique de factures'!$A:$A,"&lt;&gt;D")</f>
        <v>0</v>
      </c>
      <c r="O4" s="86">
        <f>SUMIFS('Historique de factures'!$H:$H,'Historique de factures'!$O:$O,O2,'Historique de factures'!$A:$A,"&lt;&gt;D")</f>
        <v>0</v>
      </c>
      <c r="P4" s="86">
        <f>SUMIFS('Historique de factures'!$H:$H,'Historique de factures'!$O:$O,P2,'Historique de factures'!$A:$A,"&lt;&gt;D")</f>
        <v>0</v>
      </c>
      <c r="Q4" s="87">
        <f>SUMIFS('Historique de factures'!$H:$H,'Historique de factures'!$O:$O,Q2,'Historique de factures'!$A:$A,"&lt;&gt;D")</f>
        <v>0</v>
      </c>
    </row>
    <row r="5" spans="1:17" ht="15.75" thickBot="1">
      <c r="A5" s="5" t="s">
        <v>140</v>
      </c>
      <c r="B5" s="107">
        <f>B2-B4</f>
        <v>0</v>
      </c>
      <c r="E5" s="71" t="s">
        <v>105</v>
      </c>
      <c r="F5" s="88">
        <f>SUMIFS('Historique de factures'!$N:$N,'Historique de factures'!$O:$O,F2,'Historique de factures'!$A:$A,"&lt;&gt;D")</f>
        <v>0</v>
      </c>
      <c r="G5" s="88">
        <f>SUMIFS('Historique de factures'!$N:$N,'Historique de factures'!$O:$O,G2,'Historique de factures'!$A:$A,"&lt;&gt;D")</f>
        <v>0</v>
      </c>
      <c r="H5" s="88">
        <f>SUMIFS('Historique de factures'!$N:$N,'Historique de factures'!$O:$O,H2,'Historique de factures'!$A:$A,"&lt;&gt;D")</f>
        <v>0</v>
      </c>
      <c r="I5" s="88">
        <f>SUMIFS('Historique de factures'!$L:$L,'Historique de factures'!$M:$M,I2,'Historique de factures'!$A:$A,"&lt;&gt;D")</f>
        <v>0</v>
      </c>
      <c r="J5" s="88">
        <f>SUMIFS('Historique de factures'!$N:$N,'Historique de factures'!$O:$O,J2,'Historique de factures'!$A:$A,"&lt;&gt;D")</f>
        <v>0</v>
      </c>
      <c r="K5" s="88">
        <f>SUMIFS('Historique de factures'!$N:$N,'Historique de factures'!$O:$O,K2,'Historique de factures'!$A:$A,"&lt;&gt;D")</f>
        <v>0</v>
      </c>
      <c r="L5" s="88">
        <f>SUMIFS('Historique de factures'!$N:$N,'Historique de factures'!$O:$O,L2,'Historique de factures'!$A:$A,"&lt;&gt;D")</f>
        <v>0</v>
      </c>
      <c r="M5" s="88">
        <f>SUMIFS('Historique de factures'!$N:$N,'Historique de factures'!$O:$O,M2,'Historique de factures'!$A:$A,"&lt;&gt;D")</f>
        <v>0</v>
      </c>
      <c r="N5" s="88">
        <f>SUMIFS('Historique de factures'!$N:$N,'Historique de factures'!$O:$O,N2,'Historique de factures'!$A:$A,"&lt;&gt;D")</f>
        <v>0</v>
      </c>
      <c r="O5" s="88">
        <f>SUMIFS('Historique de factures'!$N:$N,'Historique de factures'!$O:$O,O2,'Historique de factures'!$A:$A,"&lt;&gt;D")</f>
        <v>0</v>
      </c>
      <c r="P5" s="88">
        <f>SUMIFS('Historique de factures'!$N:$N,'Historique de factures'!$O:$O,P2,'Historique de factures'!$A:$A,"&lt;&gt;D")</f>
        <v>0</v>
      </c>
      <c r="Q5" s="89">
        <f>SUMIFS('Historique de factures'!$N:$N,'Historique de factures'!$O:$O,Q2,'Historique de factures'!$A:$A,"&lt;&gt;D")</f>
        <v>0</v>
      </c>
    </row>
    <row r="6" spans="1:17">
      <c r="A6" s="5"/>
      <c r="B6" s="101"/>
    </row>
    <row r="7" spans="1:17">
      <c r="A7" s="5" t="s">
        <v>110</v>
      </c>
      <c r="B7" s="90">
        <f>SUMIFS('Historique de factures'!$I:$I,'Historique de factures'!$A:$A,"F")</f>
        <v>0</v>
      </c>
    </row>
    <row r="8" spans="1:17">
      <c r="A8" s="5" t="s">
        <v>111</v>
      </c>
      <c r="B8" s="90">
        <f>SUMIFS('Historique de factures'!$J:$J,'Historique de factures'!$A:$A,"F")</f>
        <v>0</v>
      </c>
    </row>
    <row r="9" spans="1:17">
      <c r="A9" s="5" t="s">
        <v>129</v>
      </c>
      <c r="B9" s="99">
        <f t="array" ref="B9">MAX(IF('Historique de factures'!$A:$A="F",'Historique de factures'!$H:$H))</f>
        <v>0</v>
      </c>
    </row>
    <row r="10" spans="1:17">
      <c r="A10" s="5" t="s">
        <v>130</v>
      </c>
      <c r="B10" s="99">
        <f t="array" ref="B10">MIN(IF('Historique de factures'!$A:$A="F",'Historique de factures'!$H:$H))</f>
        <v>0</v>
      </c>
    </row>
    <row r="11" spans="1:17">
      <c r="A11" s="5" t="s">
        <v>131</v>
      </c>
      <c r="B11" s="99" t="str">
        <f t="array" ref="B11">IFERROR(AVERAGE(IF('Historique de factures'!$A:$A="F",'Historique de factures'!$H:$H)),"")</f>
        <v/>
      </c>
    </row>
    <row r="12" spans="1:17">
      <c r="A12" s="5" t="s">
        <v>132</v>
      </c>
      <c r="B12" s="99" t="str">
        <f t="array" ref="B12">IFERROR(MEDIAN(IF('Historique de factures'!$A:$A="F",'Historique de factures'!$H:$H)),"")</f>
        <v/>
      </c>
    </row>
    <row r="13" spans="1:17">
      <c r="A13" s="5"/>
      <c r="B13" s="99"/>
    </row>
    <row r="14" spans="1:17">
      <c r="A14" s="5"/>
      <c r="B14" s="99"/>
    </row>
    <row r="15" spans="1:17">
      <c r="A15" s="5"/>
      <c r="B15" s="99"/>
    </row>
    <row r="16" spans="1:17">
      <c r="A16" s="5"/>
      <c r="B16" s="99"/>
    </row>
    <row r="17" spans="1:2">
      <c r="A17" s="5"/>
      <c r="B17" s="99"/>
    </row>
    <row r="18" spans="1:2">
      <c r="A18" s="5"/>
      <c r="B18" s="99"/>
    </row>
    <row r="19" spans="1:2">
      <c r="A19" s="5" t="s">
        <v>34</v>
      </c>
      <c r="B19" s="100" t="s">
        <v>113</v>
      </c>
    </row>
    <row r="20" spans="1:2">
      <c r="A20" s="5" t="s">
        <v>35</v>
      </c>
      <c r="B20" s="6">
        <f>COUNTIF('Historique de factures'!$F:$F,'Tableau de bord'!$B$19)+COUNTIF('Historique de factures'!$G:$G,'Tableau de bord'!$B$19)</f>
        <v>0</v>
      </c>
    </row>
    <row r="21" spans="1:2" ht="15.75" thickBot="1">
      <c r="A21" s="7" t="s">
        <v>36</v>
      </c>
      <c r="B21" s="8">
        <f>(SUMIF('Historique de factures'!$F:$F,$B$19,'Historique de factures'!$H:$H)+SUMIF('Historique de factures'!$G:$G,$B$19,'Historique de factures'!$H:$H))</f>
        <v>0</v>
      </c>
    </row>
  </sheetData>
  <mergeCells count="2">
    <mergeCell ref="E1:Q1"/>
    <mergeCell ref="A1:B1"/>
  </mergeCell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00CC"/>
  </sheetPr>
  <dimension ref="A1:AM91"/>
  <sheetViews>
    <sheetView zoomScaleNormal="100" workbookViewId="0">
      <pane xSplit="11775" topLeftCell="AC1" activePane="topRight"/>
      <selection activeCell="D23" sqref="D23"/>
      <selection pane="topRight" activeCell="AG16" sqref="AG16"/>
    </sheetView>
  </sheetViews>
  <sheetFormatPr baseColWidth="10" defaultRowHeight="15"/>
  <cols>
    <col min="1" max="1" width="3.42578125" style="22" customWidth="1"/>
    <col min="2" max="2" width="10.140625" style="2" customWidth="1"/>
    <col min="3" max="3" width="6.140625" style="2" bestFit="1" customWidth="1"/>
    <col min="4" max="4" width="32" style="2" customWidth="1"/>
    <col min="5" max="5" width="8.42578125" style="2" customWidth="1"/>
    <col min="6" max="6" width="7.7109375" style="2" customWidth="1"/>
    <col min="7" max="7" width="12.140625" style="2" customWidth="1"/>
    <col min="8" max="8" width="4.7109375" style="2" customWidth="1"/>
    <col min="9" max="9" width="12.28515625" style="2" customWidth="1"/>
    <col min="10" max="12" width="11.42578125" style="2"/>
    <col min="13" max="13" width="12.42578125" style="2" customWidth="1"/>
    <col min="14" max="14" width="11.42578125" style="2"/>
    <col min="15" max="15" width="13.28515625" style="2" customWidth="1"/>
    <col min="16" max="25" width="11.42578125" style="2"/>
    <col min="26" max="34" width="8.5703125" style="2" customWidth="1"/>
    <col min="35" max="16384" width="11.42578125" style="2"/>
  </cols>
  <sheetData>
    <row r="1" spans="1:39" ht="15.75" thickTop="1">
      <c r="F1" s="219" t="s">
        <v>50</v>
      </c>
      <c r="G1" s="219"/>
      <c r="H1" s="219"/>
      <c r="I1" s="219"/>
      <c r="K1" s="30"/>
      <c r="L1" s="31"/>
      <c r="M1" s="26">
        <f>IF($F$2="FACTURE",numero!$E$2,IF($F$2="BON DE LIVRAISON",numero!$F$2,IF($F$2="AVOIR",numero!$G$2,IF($F$2="DEVIS",numero!$H$2,0))))</f>
        <v>0</v>
      </c>
      <c r="N1" s="211" t="s">
        <v>67</v>
      </c>
      <c r="O1" s="212"/>
    </row>
    <row r="2" spans="1:39" ht="21.75" thickBot="1">
      <c r="A2" s="118">
        <f>1048576:1048576-1:1</f>
        <v>0</v>
      </c>
      <c r="D2" s="47"/>
      <c r="F2" s="220" t="str">
        <f>IF($C$8="BL","BON DE LIVRAISON",IF($C$8="AVOIR","AVOIR",IF($C$8="F","FACTURE",IF($C$8="D","DEVIS",""))))</f>
        <v/>
      </c>
      <c r="G2" s="221"/>
      <c r="H2" s="221"/>
      <c r="I2" s="222"/>
      <c r="K2" s="30"/>
      <c r="L2" s="31"/>
      <c r="M2" s="30"/>
      <c r="N2" s="32"/>
      <c r="O2" s="33"/>
      <c r="Q2" s="2">
        <f>L2-P2</f>
        <v>0</v>
      </c>
      <c r="R2" s="2" t="str">
        <f ca="1">IF(ISBLANK(F8),NOM,CiviliteNomPrenom)</f>
        <v>JHSFGJT</v>
      </c>
      <c r="Z2" s="121"/>
      <c r="AA2" s="121"/>
      <c r="AB2" s="121"/>
      <c r="AC2" s="122"/>
      <c r="AD2" s="122"/>
      <c r="AE2" s="122"/>
      <c r="AG2" s="120"/>
      <c r="AH2" s="120"/>
      <c r="AJ2"/>
      <c r="AK2"/>
      <c r="AL2"/>
      <c r="AM2"/>
    </row>
    <row r="3" spans="1:39" ht="16.5" thickTop="1" thickBot="1">
      <c r="F3"/>
      <c r="G3"/>
      <c r="H3"/>
      <c r="I3"/>
      <c r="K3" s="34" t="s">
        <v>68</v>
      </c>
      <c r="L3" s="213" t="s">
        <v>69</v>
      </c>
      <c r="M3" s="213"/>
      <c r="N3" s="32"/>
      <c r="O3" s="33"/>
      <c r="Z3" s="121"/>
      <c r="AA3" s="121"/>
      <c r="AB3" s="121"/>
      <c r="AC3" s="122"/>
      <c r="AD3" s="122"/>
      <c r="AE3" s="122"/>
      <c r="AG3" s="120"/>
      <c r="AH3" s="120"/>
      <c r="AJ3"/>
      <c r="AK3"/>
      <c r="AL3"/>
      <c r="AM3"/>
    </row>
    <row r="4" spans="1:39" ht="16.5" thickTop="1">
      <c r="F4" s="14" t="s">
        <v>51</v>
      </c>
      <c r="G4" s="214">
        <f>IF($F$2="FACTURE",CONCATENATE("F",M1),IF($F$2="BON DE LIVRAISON",CONCATENATE("BL",M1),IF($F$2="AVOIR",CONCATENATE("A",M1),IF($F$2="DEVIS",CONCATENATE("D",M1),0))))</f>
        <v>0</v>
      </c>
      <c r="H4" s="215"/>
      <c r="I4" s="216"/>
      <c r="K4" s="35" t="s">
        <v>70</v>
      </c>
      <c r="L4" s="36"/>
      <c r="M4" s="36"/>
      <c r="N4" s="37"/>
      <c r="O4" s="38"/>
      <c r="R4" s="69"/>
      <c r="S4" s="69"/>
      <c r="T4" s="69"/>
      <c r="U4" s="2" t="s">
        <v>102</v>
      </c>
      <c r="Z4" s="121"/>
      <c r="AA4" s="121"/>
      <c r="AB4" s="121"/>
      <c r="AC4" s="122"/>
      <c r="AD4" s="122"/>
      <c r="AE4" s="122"/>
      <c r="AG4" s="120"/>
      <c r="AH4" s="120"/>
      <c r="AJ4"/>
      <c r="AK4"/>
      <c r="AL4"/>
      <c r="AM4"/>
    </row>
    <row r="5" spans="1:39">
      <c r="F5" s="16" t="s">
        <v>52</v>
      </c>
      <c r="G5" s="217">
        <f ca="1">TODAY()</f>
        <v>42444</v>
      </c>
      <c r="H5" s="218"/>
      <c r="I5" s="17">
        <f ca="1">TODAY()</f>
        <v>42444</v>
      </c>
      <c r="K5" s="35"/>
      <c r="L5" s="36"/>
      <c r="M5" s="39"/>
      <c r="N5" s="31"/>
      <c r="O5" s="31"/>
      <c r="R5" s="97" t="e">
        <f ca="1">INDEX(CONCATENATE(Clients!$K:$K&amp;" "&amp;Clients!$L:$L),MATCH(FACTURE!$F$8,SOCIETE,0))</f>
        <v>#N/A</v>
      </c>
      <c r="S5" s="69"/>
      <c r="T5" s="69"/>
      <c r="U5" s="2" t="s">
        <v>119</v>
      </c>
      <c r="Z5" s="121"/>
      <c r="AA5" s="121"/>
      <c r="AB5" s="121"/>
      <c r="AC5" s="122"/>
      <c r="AD5" s="122"/>
      <c r="AE5" s="122"/>
      <c r="AG5" s="120"/>
      <c r="AH5" s="120"/>
      <c r="AJ5"/>
      <c r="AK5"/>
      <c r="AL5"/>
      <c r="AM5"/>
    </row>
    <row r="6" spans="1:39">
      <c r="F6" s="15"/>
      <c r="G6" s="15"/>
      <c r="H6" s="28"/>
      <c r="I6" s="29"/>
      <c r="K6" s="35" t="s">
        <v>71</v>
      </c>
      <c r="L6" s="36"/>
      <c r="M6" s="39"/>
      <c r="N6" s="31"/>
      <c r="O6" s="31"/>
      <c r="R6" s="69"/>
      <c r="S6" s="69"/>
      <c r="T6" s="69"/>
      <c r="Z6" s="121"/>
      <c r="AA6" s="121"/>
      <c r="AB6" s="121"/>
      <c r="AC6" s="122"/>
      <c r="AD6" s="122"/>
      <c r="AE6" s="122"/>
      <c r="AG6" s="120"/>
      <c r="AH6" s="120"/>
      <c r="AJ6"/>
      <c r="AK6"/>
      <c r="AL6"/>
      <c r="AM6"/>
    </row>
    <row r="7" spans="1:39" ht="15" customHeight="1">
      <c r="B7" s="18" t="s">
        <v>65</v>
      </c>
      <c r="C7" s="67" t="str">
        <f>IFERROR(IF($F$8="",INDEX(CODE_CLIENT,MATCH(FACTURE!$G$9,Clients!$U:$U,0)),INDEX(CODE_CLIENT,MATCH($F$8,Clients!$C:$C,0))),"")</f>
        <v/>
      </c>
      <c r="F7" s="223" t="s">
        <v>53</v>
      </c>
      <c r="G7" s="224"/>
      <c r="H7" s="224"/>
      <c r="I7" s="225"/>
      <c r="K7" s="35"/>
      <c r="L7" s="36"/>
      <c r="M7" s="39"/>
      <c r="N7" s="31"/>
      <c r="O7" s="31"/>
      <c r="R7" s="69"/>
      <c r="S7" s="69"/>
      <c r="T7" s="69"/>
      <c r="Z7" s="121"/>
      <c r="AA7" s="121"/>
      <c r="AB7" s="121"/>
      <c r="AC7" s="122"/>
      <c r="AD7" s="122"/>
      <c r="AE7" s="122"/>
      <c r="AG7" s="202" t="s">
        <v>164</v>
      </c>
      <c r="AH7" s="202"/>
      <c r="AJ7"/>
      <c r="AK7"/>
      <c r="AL7"/>
      <c r="AM7"/>
    </row>
    <row r="8" spans="1:39">
      <c r="A8" s="2"/>
      <c r="B8" s="18" t="s">
        <v>145</v>
      </c>
      <c r="C8" s="27"/>
      <c r="D8"/>
      <c r="F8" s="226"/>
      <c r="G8" s="227"/>
      <c r="H8" s="227"/>
      <c r="I8" s="228"/>
      <c r="K8" s="35" t="s">
        <v>72</v>
      </c>
      <c r="L8" s="40"/>
      <c r="M8" s="41"/>
      <c r="N8" s="42"/>
      <c r="O8" s="43"/>
      <c r="R8" s="69" t="e">
        <f ca="1">INDEX(Clients!$J:$J,MATCH(FACTURE!$G$9,NomPenomBaseClient,0))</f>
        <v>#N/A</v>
      </c>
      <c r="S8" s="69"/>
      <c r="T8" s="69"/>
      <c r="U8" s="2" t="s">
        <v>128</v>
      </c>
      <c r="Z8" s="121"/>
      <c r="AA8" s="121"/>
      <c r="AB8" s="121"/>
      <c r="AC8" s="122"/>
      <c r="AD8" s="122"/>
      <c r="AE8" s="122"/>
      <c r="AG8" s="202"/>
      <c r="AH8" s="202"/>
      <c r="AJ8"/>
      <c r="AK8"/>
      <c r="AL8"/>
      <c r="AM8"/>
    </row>
    <row r="9" spans="1:39" ht="15.75" thickBot="1">
      <c r="A9" s="2"/>
      <c r="B9" s="18" t="s">
        <v>54</v>
      </c>
      <c r="C9" s="19"/>
      <c r="D9"/>
      <c r="F9" s="98" t="str">
        <f>IFERROR(IF(AND(COUNTBLANK($F$8),COUNTBLANK($G$9)),"",INDEX(Clients!$J:$J,MATCH(FACTURE!$G$9,NomPenomBaseClient,0))),"")</f>
        <v/>
      </c>
      <c r="G9" s="232"/>
      <c r="H9" s="232"/>
      <c r="I9" s="233"/>
      <c r="K9" s="44"/>
      <c r="L9" s="45"/>
      <c r="M9" s="46"/>
      <c r="N9" s="31"/>
      <c r="O9" s="31"/>
      <c r="R9" s="69"/>
      <c r="S9" s="69"/>
      <c r="T9" s="69"/>
      <c r="Z9" s="203"/>
      <c r="AA9" s="203"/>
      <c r="AB9" s="203"/>
      <c r="AC9" s="204"/>
      <c r="AD9" s="204"/>
      <c r="AE9" s="204"/>
      <c r="AG9" s="120"/>
      <c r="AH9" s="120"/>
      <c r="AJ9"/>
      <c r="AK9"/>
      <c r="AL9"/>
      <c r="AM9"/>
    </row>
    <row r="10" spans="1:39" ht="15.75" thickTop="1">
      <c r="A10" s="2"/>
      <c r="B10" s="18" t="s">
        <v>55</v>
      </c>
      <c r="C10" s="20"/>
      <c r="D10"/>
      <c r="F10" s="229" t="str">
        <f>IFERROR(IF($F$8="",INDEX(Clients!$D:$D,MATCH(FACTURE!$G$9,Clients!$U:$U,0)),VLOOKUP($F$8,Clients!C:G,2,0)),"")</f>
        <v/>
      </c>
      <c r="G10" s="230"/>
      <c r="H10" s="230"/>
      <c r="I10" s="231"/>
      <c r="Z10" s="121"/>
      <c r="AA10" s="121"/>
      <c r="AB10" s="121"/>
      <c r="AC10" s="122"/>
      <c r="AD10" s="122"/>
      <c r="AE10" s="122"/>
      <c r="AJ10"/>
      <c r="AK10"/>
      <c r="AL10"/>
      <c r="AM10"/>
    </row>
    <row r="11" spans="1:39">
      <c r="A11" s="2"/>
      <c r="B11" s="21" t="s">
        <v>56</v>
      </c>
      <c r="C11" s="27"/>
      <c r="D11"/>
      <c r="F11" s="229" t="str">
        <f>IFERROR(IF($F$8="",INDEX(Clients!$E:$E,MATCH(FACTURE!$G$9,Clients!$U:$U,0)),VLOOKUP($F$8,Clients!C:G,3,0)),"")</f>
        <v/>
      </c>
      <c r="G11" s="230"/>
      <c r="H11" s="230"/>
      <c r="I11" s="231"/>
      <c r="Z11" s="124"/>
      <c r="AA11" s="124"/>
      <c r="AB11" s="124"/>
      <c r="AC11" s="123"/>
      <c r="AD11" s="123"/>
      <c r="AE11" s="123"/>
      <c r="AJ11"/>
      <c r="AK11"/>
      <c r="AL11"/>
      <c r="AM11"/>
    </row>
    <row r="12" spans="1:39">
      <c r="A12" s="2"/>
      <c r="B12" s="21"/>
      <c r="C12"/>
      <c r="D12"/>
      <c r="F12" s="96" t="str">
        <f>IFERROR(IF($F$8="",INDEX(Clients!$F:$F,MATCH(FACTURE!$G$9,Clients!$U:$U,0)),VLOOKUP($F$8,Clients!C:G,4,0)),"")</f>
        <v/>
      </c>
      <c r="G12" s="209" t="str">
        <f>IFERROR(IF($F$8="",INDEX(Clients!$G:$G,MATCH(FACTURE!$G$9,Clients!$U:$U,0)),VLOOKUP($F$8,Clients!C:G,5,0)),"")</f>
        <v/>
      </c>
      <c r="H12" s="209"/>
      <c r="I12" s="210"/>
      <c r="Z12" s="124"/>
      <c r="AA12" s="124"/>
      <c r="AB12" s="124"/>
      <c r="AC12" s="123"/>
      <c r="AD12" s="123"/>
      <c r="AE12" s="123"/>
    </row>
    <row r="13" spans="1:39">
      <c r="K13" s="113" t="s">
        <v>150</v>
      </c>
      <c r="L13" s="112"/>
      <c r="M13" s="112"/>
      <c r="N13" s="112"/>
      <c r="O13" s="112"/>
      <c r="Z13" s="124"/>
      <c r="AA13" s="124"/>
      <c r="AB13" s="124"/>
      <c r="AC13" s="123"/>
      <c r="AD13" s="123"/>
      <c r="AE13" s="123"/>
    </row>
    <row r="14" spans="1:39">
      <c r="K14" s="113" t="s">
        <v>161</v>
      </c>
      <c r="L14" s="113"/>
      <c r="M14" s="113"/>
      <c r="N14" s="113"/>
      <c r="O14" s="113"/>
      <c r="Z14" s="124"/>
      <c r="AA14" s="124"/>
      <c r="AB14" s="124"/>
      <c r="AC14" s="123"/>
      <c r="AD14" s="123"/>
      <c r="AE14" s="123"/>
    </row>
    <row r="15" spans="1:39">
      <c r="K15" s="113" t="s">
        <v>147</v>
      </c>
      <c r="L15" s="113"/>
      <c r="M15" s="113"/>
      <c r="N15" s="113"/>
      <c r="O15" s="113"/>
      <c r="Z15" s="124"/>
      <c r="AA15" s="124"/>
      <c r="AB15" s="124"/>
      <c r="AC15" s="123"/>
      <c r="AD15" s="123"/>
      <c r="AE15" s="123"/>
    </row>
    <row r="16" spans="1:39">
      <c r="A16" s="23" t="s">
        <v>57</v>
      </c>
      <c r="B16" s="13" t="s">
        <v>37</v>
      </c>
      <c r="C16" s="81" t="s">
        <v>43</v>
      </c>
      <c r="D16" s="13" t="s">
        <v>38</v>
      </c>
      <c r="E16" s="13" t="s">
        <v>40</v>
      </c>
      <c r="F16" s="13" t="s">
        <v>39</v>
      </c>
      <c r="G16" s="13" t="s">
        <v>41</v>
      </c>
      <c r="H16" s="13" t="s">
        <v>8</v>
      </c>
      <c r="I16" s="13" t="s">
        <v>42</v>
      </c>
      <c r="K16" s="113" t="s">
        <v>148</v>
      </c>
      <c r="L16" s="113"/>
      <c r="M16" s="113"/>
      <c r="N16" s="113"/>
      <c r="O16" s="113"/>
      <c r="Z16" s="124"/>
      <c r="AA16" s="124"/>
      <c r="AB16" s="124"/>
      <c r="AC16" s="123"/>
      <c r="AD16" s="123"/>
      <c r="AE16" s="123"/>
    </row>
    <row r="17" spans="1:37">
      <c r="A17" s="24">
        <v>1</v>
      </c>
      <c r="B17" s="195"/>
      <c r="C17" s="80" t="str">
        <f>IF(B17="","",1)</f>
        <v/>
      </c>
      <c r="D17" s="84" t="str">
        <f>IF(ISBLANK(B17),"",INDEX(CONCATENATE(Famille&amp;"-"&amp;Designation),MATCH(FACTURE!B17,CodeProduit,0)))</f>
        <v/>
      </c>
      <c r="E17" s="11" t="str">
        <f>IF(B17="","",IF($C$8="Avoir",-(VLOOKUP(B17,STOCK!$A:$G,5,0)),VLOOKUP(B17,STOCK!$A:$G,5,0)))</f>
        <v/>
      </c>
      <c r="F17" s="82" t="str">
        <f>IF(B17="","",IF(VLOOKUP(B17,STOCK!$A:$G,6,0)=0,"",VLOOKUP(B17,STOCK!$A:$G,6,0)))</f>
        <v/>
      </c>
      <c r="G17" s="11" t="str">
        <f>IFERROR(IF(B17="","",E17-E17*F17),E17-0)</f>
        <v/>
      </c>
      <c r="H17" s="77" t="str">
        <f>IF(B17="","",VLOOKUP(B17,STOCK!$A:$G,4,0))</f>
        <v/>
      </c>
      <c r="I17" s="11" t="str">
        <f>IF(B17="","",G17*C17)</f>
        <v/>
      </c>
      <c r="K17" s="113" t="s">
        <v>149</v>
      </c>
      <c r="L17" s="113"/>
      <c r="M17" s="113"/>
      <c r="N17" s="113"/>
      <c r="O17" s="113"/>
      <c r="Z17" s="124"/>
      <c r="AA17" s="124"/>
      <c r="AB17" s="124"/>
      <c r="AC17" s="123"/>
      <c r="AD17" s="123"/>
      <c r="AE17" s="123"/>
      <c r="AH17"/>
      <c r="AI17"/>
      <c r="AJ17"/>
      <c r="AK17"/>
    </row>
    <row r="18" spans="1:37">
      <c r="A18" s="24">
        <v>2</v>
      </c>
      <c r="B18" s="195"/>
      <c r="C18" s="59" t="str">
        <f t="shared" ref="C18:C42" si="0">IF(B18="","",1)</f>
        <v/>
      </c>
      <c r="D18" s="84" t="str">
        <f>IF(ISBLANK(B18),"",INDEX(CONCATENATE(Famille&amp;"-"&amp;Designation),MATCH(FACTURE!B18,CodeProduit,0)))</f>
        <v/>
      </c>
      <c r="E18" s="9" t="str">
        <f>IF(B18="","",IF($C$8="Avoir",-(VLOOKUP(B18,STOCK!$A:$G,5,0)),VLOOKUP(B18,STOCK!$A:$G,5,0)))</f>
        <v/>
      </c>
      <c r="F18" s="76" t="str">
        <f>IF(B18="","",IF(VLOOKUP(B18,STOCK!$A:$G,6,0)=0,"",VLOOKUP(B18,STOCK!$A:$G,6,0)))</f>
        <v/>
      </c>
      <c r="G18" s="9" t="str">
        <f t="shared" ref="G18:G42" si="1">IFERROR(IF(B18="","",E18-E18*F18),E18-0)</f>
        <v/>
      </c>
      <c r="H18" s="77" t="str">
        <f>IF(B18="","",VLOOKUP(B18,STOCK!$A:$G,4,0))</f>
        <v/>
      </c>
      <c r="I18" s="9" t="str">
        <f t="shared" ref="I18:I42" si="2">IF(B18="","",G18*C18)</f>
        <v/>
      </c>
      <c r="Z18" s="205"/>
      <c r="AA18" s="205"/>
      <c r="AB18" s="205"/>
      <c r="AC18" s="206"/>
      <c r="AD18" s="206"/>
      <c r="AE18" s="206"/>
      <c r="AH18"/>
      <c r="AI18"/>
      <c r="AJ18"/>
      <c r="AK18"/>
    </row>
    <row r="19" spans="1:37">
      <c r="A19" s="24">
        <v>3</v>
      </c>
      <c r="B19" s="195"/>
      <c r="C19" s="59" t="str">
        <f t="shared" si="0"/>
        <v/>
      </c>
      <c r="D19" s="84" t="str">
        <f>IF(ISBLANK(B19),"",INDEX(CONCATENATE(Famille&amp;"-"&amp;Designation),MATCH(FACTURE!B19,CodeProduit,0)))</f>
        <v/>
      </c>
      <c r="E19" s="9" t="str">
        <f>IF(B19="","",IF($C$8="Avoir",-(VLOOKUP(B19,STOCK!$A:$G,5,0)),VLOOKUP(B19,STOCK!$A:$G,5,0)))</f>
        <v/>
      </c>
      <c r="F19" s="76" t="str">
        <f>IF(B19="","",IF(VLOOKUP(B19,STOCK!$A:$G,6,0)=0,"",VLOOKUP(B19,STOCK!$A:$G,6,0)))</f>
        <v/>
      </c>
      <c r="G19" s="9" t="str">
        <f t="shared" si="1"/>
        <v/>
      </c>
      <c r="H19" s="77" t="str">
        <f>IF(B19="","",VLOOKUP(B19,STOCK!$A:$G,4,0))</f>
        <v/>
      </c>
      <c r="I19" s="9" t="str">
        <f t="shared" si="2"/>
        <v/>
      </c>
      <c r="Z19" s="124"/>
      <c r="AA19" s="124"/>
      <c r="AB19" s="124"/>
      <c r="AC19" s="206"/>
      <c r="AD19" s="206"/>
      <c r="AE19" s="206"/>
      <c r="AH19"/>
      <c r="AI19"/>
      <c r="AJ19"/>
      <c r="AK19"/>
    </row>
    <row r="20" spans="1:37">
      <c r="A20" s="24">
        <v>4</v>
      </c>
      <c r="B20" s="195"/>
      <c r="C20" s="59" t="str">
        <f t="shared" si="0"/>
        <v/>
      </c>
      <c r="D20" s="84" t="str">
        <f>IF(ISBLANK(B20),"",INDEX(CONCATENATE(Famille&amp;"-"&amp;Designation),MATCH(FACTURE!B20,CodeProduit,0)))</f>
        <v/>
      </c>
      <c r="E20" s="9" t="str">
        <f>IF(B20="","",IF($C$8="Avoir",-(VLOOKUP(B20,STOCK!$A:$G,5,0)),VLOOKUP(B20,STOCK!$A:$G,5,0)))</f>
        <v/>
      </c>
      <c r="F20" s="76" t="str">
        <f>IF(B20="","",IF(VLOOKUP(B20,STOCK!$A:$G,6,0)=0,"",VLOOKUP(B20,STOCK!$A:$G,6,0)))</f>
        <v/>
      </c>
      <c r="G20" s="9" t="str">
        <f t="shared" si="1"/>
        <v/>
      </c>
      <c r="H20" s="77" t="str">
        <f>IF(B20="","",VLOOKUP(B20,STOCK!$A:$G,4,0))</f>
        <v/>
      </c>
      <c r="I20" s="9" t="str">
        <f t="shared" si="2"/>
        <v/>
      </c>
      <c r="Z20" s="125"/>
      <c r="AA20" s="125"/>
      <c r="AB20" s="125"/>
      <c r="AC20" s="126"/>
      <c r="AD20" s="126"/>
      <c r="AE20" s="126"/>
      <c r="AH20"/>
      <c r="AI20"/>
      <c r="AJ20"/>
      <c r="AK20"/>
    </row>
    <row r="21" spans="1:37">
      <c r="A21" s="24">
        <v>5</v>
      </c>
      <c r="B21" s="195"/>
      <c r="C21" s="59" t="str">
        <f t="shared" si="0"/>
        <v/>
      </c>
      <c r="D21" s="84" t="str">
        <f>IF(ISBLANK(B21),"",INDEX(CONCATENATE(Famille&amp;"-"&amp;Designation),MATCH(FACTURE!B21,CodeProduit,0)))</f>
        <v/>
      </c>
      <c r="E21" s="9" t="str">
        <f>IF(B21="","",IF($C$8="Avoir",-(VLOOKUP(B21,STOCK!$A:$G,5,0)),VLOOKUP(B21,STOCK!$A:$G,5,0)))</f>
        <v/>
      </c>
      <c r="F21" s="76" t="str">
        <f>IF(B21="","",IF(VLOOKUP(B21,STOCK!$A:$G,6,0)=0,"",VLOOKUP(B21,STOCK!$A:$G,6,0)))</f>
        <v/>
      </c>
      <c r="G21" s="9" t="str">
        <f t="shared" si="1"/>
        <v/>
      </c>
      <c r="H21" s="77" t="str">
        <f>IF(B21="","",VLOOKUP(B21,STOCK!$A:$G,4,0))</f>
        <v/>
      </c>
      <c r="I21" s="9" t="str">
        <f t="shared" si="2"/>
        <v/>
      </c>
      <c r="Z21" s="125"/>
      <c r="AA21" s="125"/>
      <c r="AB21" s="125"/>
      <c r="AC21" s="126"/>
      <c r="AD21" s="126"/>
      <c r="AE21" s="126"/>
      <c r="AH21"/>
      <c r="AI21"/>
      <c r="AJ21"/>
      <c r="AK21"/>
    </row>
    <row r="22" spans="1:37">
      <c r="A22" s="24">
        <v>6</v>
      </c>
      <c r="B22" s="195"/>
      <c r="C22" s="59" t="str">
        <f t="shared" si="0"/>
        <v/>
      </c>
      <c r="D22" s="84" t="str">
        <f>IF(ISBLANK(B22),"",INDEX(CONCATENATE(Famille&amp;"-"&amp;Designation),MATCH(FACTURE!B22,CodeProduit,0)))</f>
        <v/>
      </c>
      <c r="E22" s="9" t="str">
        <f>IF(B22="","",IF($C$8="Avoir",-(VLOOKUP(B22,STOCK!$A:$G,5,0)),VLOOKUP(B22,STOCK!$A:$G,5,0)))</f>
        <v/>
      </c>
      <c r="F22" s="76" t="str">
        <f>IF(B22="","",IF(VLOOKUP(B22,STOCK!$A:$G,6,0)=0,"",VLOOKUP(B22,STOCK!$A:$G,6,0)))</f>
        <v/>
      </c>
      <c r="G22" s="9" t="str">
        <f t="shared" si="1"/>
        <v/>
      </c>
      <c r="H22" s="77" t="str">
        <f>IF(B22="","",VLOOKUP(B22,STOCK!$A:$G,4,0))</f>
        <v/>
      </c>
      <c r="I22" s="9" t="str">
        <f t="shared" si="2"/>
        <v/>
      </c>
      <c r="Z22" s="125"/>
      <c r="AA22" s="125"/>
      <c r="AB22" s="125"/>
      <c r="AC22" s="126"/>
      <c r="AD22" s="126"/>
      <c r="AE22" s="126"/>
      <c r="AH22"/>
      <c r="AI22"/>
      <c r="AJ22"/>
      <c r="AK22"/>
    </row>
    <row r="23" spans="1:37">
      <c r="A23" s="24">
        <v>7</v>
      </c>
      <c r="B23" s="195"/>
      <c r="C23" s="59" t="str">
        <f t="shared" si="0"/>
        <v/>
      </c>
      <c r="D23" s="84" t="str">
        <f>IF(ISBLANK(B23),"",INDEX(CONCATENATE(Famille&amp;"-"&amp;Designation),MATCH(FACTURE!B23,CodeProduit,0)))</f>
        <v/>
      </c>
      <c r="E23" s="9" t="str">
        <f>IF(B23="","",IF($C$8="Avoir",-(VLOOKUP(B23,STOCK!$A:$G,5,0)),VLOOKUP(B23,STOCK!$A:$G,5,0)))</f>
        <v/>
      </c>
      <c r="F23" s="76" t="str">
        <f>IF(B23="","",IF(VLOOKUP(B23,STOCK!$A:$G,6,0)=0,"",VLOOKUP(B23,STOCK!$A:$G,6,0)))</f>
        <v/>
      </c>
      <c r="G23" s="9" t="str">
        <f t="shared" si="1"/>
        <v/>
      </c>
      <c r="H23" s="77" t="str">
        <f>IF(B23="","",VLOOKUP(B23,STOCK!$A:$G,4,0))</f>
        <v/>
      </c>
      <c r="I23" s="9" t="str">
        <f t="shared" si="2"/>
        <v/>
      </c>
      <c r="Z23" s="125"/>
      <c r="AA23" s="125"/>
      <c r="AB23" s="125"/>
      <c r="AC23" s="126"/>
      <c r="AD23" s="126"/>
      <c r="AE23" s="126"/>
      <c r="AH23"/>
      <c r="AI23"/>
      <c r="AJ23"/>
      <c r="AK23"/>
    </row>
    <row r="24" spans="1:37">
      <c r="A24" s="24">
        <v>8</v>
      </c>
      <c r="B24" s="195"/>
      <c r="C24" s="59" t="str">
        <f t="shared" si="0"/>
        <v/>
      </c>
      <c r="D24" s="84" t="str">
        <f>IF(ISBLANK(B24),"",INDEX(CONCATENATE(Famille&amp;"-"&amp;Designation),MATCH(FACTURE!B24,CodeProduit,0)))</f>
        <v/>
      </c>
      <c r="E24" s="9" t="str">
        <f>IF(B24="","",IF($C$8="Avoir",-(VLOOKUP(B24,STOCK!$A:$G,5,0)),VLOOKUP(B24,STOCK!$A:$G,5,0)))</f>
        <v/>
      </c>
      <c r="F24" s="76" t="str">
        <f>IF(B24="","",IF(VLOOKUP(B24,STOCK!$A:$G,6,0)=0,"",VLOOKUP(B24,STOCK!$A:$G,6,0)))</f>
        <v/>
      </c>
      <c r="G24" s="9" t="str">
        <f t="shared" si="1"/>
        <v/>
      </c>
      <c r="H24" s="77" t="str">
        <f>IF(B24="","",VLOOKUP(B24,STOCK!$A:$G,4,0))</f>
        <v/>
      </c>
      <c r="I24" s="9" t="str">
        <f t="shared" si="2"/>
        <v/>
      </c>
      <c r="Z24" s="125"/>
      <c r="AA24" s="125"/>
      <c r="AB24" s="125"/>
      <c r="AC24" s="126"/>
      <c r="AD24" s="126"/>
      <c r="AE24" s="126"/>
      <c r="AH24"/>
      <c r="AI24"/>
      <c r="AJ24"/>
      <c r="AK24"/>
    </row>
    <row r="25" spans="1:37">
      <c r="A25" s="24">
        <v>9</v>
      </c>
      <c r="B25" s="195"/>
      <c r="C25" s="59" t="str">
        <f t="shared" si="0"/>
        <v/>
      </c>
      <c r="D25" s="84" t="str">
        <f>IF(ISBLANK(B25),"",INDEX(CONCATENATE(Famille&amp;"-"&amp;Designation),MATCH(FACTURE!B25,CodeProduit,0)))</f>
        <v/>
      </c>
      <c r="E25" s="9" t="str">
        <f>IF(B25="","",IF($C$8="Avoir",-(VLOOKUP(B25,STOCK!$A:$G,5,0)),VLOOKUP(B25,STOCK!$A:$G,5,0)))</f>
        <v/>
      </c>
      <c r="F25" s="76" t="str">
        <f>IF(B25="","",IF(VLOOKUP(B25,STOCK!$A:$G,6,0)=0,"",VLOOKUP(B25,STOCK!$A:$G,6,0)))</f>
        <v/>
      </c>
      <c r="G25" s="9" t="str">
        <f t="shared" si="1"/>
        <v/>
      </c>
      <c r="H25" s="77" t="str">
        <f>IF(B25="","",VLOOKUP(B25,STOCK!$A:$G,4,0))</f>
        <v/>
      </c>
      <c r="I25" s="9" t="str">
        <f t="shared" si="2"/>
        <v/>
      </c>
      <c r="Z25" s="125"/>
      <c r="AA25" s="125"/>
      <c r="AB25" s="125"/>
      <c r="AC25" s="126"/>
      <c r="AD25" s="126"/>
      <c r="AE25" s="126"/>
      <c r="AH25"/>
      <c r="AI25"/>
      <c r="AJ25"/>
      <c r="AK25"/>
    </row>
    <row r="26" spans="1:37">
      <c r="A26" s="24">
        <v>10</v>
      </c>
      <c r="B26" s="195"/>
      <c r="C26" s="59" t="str">
        <f t="shared" si="0"/>
        <v/>
      </c>
      <c r="D26" s="84" t="str">
        <f>IF(ISBLANK(B26),"",INDEX(CONCATENATE(Famille&amp;"-"&amp;Designation),MATCH(FACTURE!B26,CodeProduit,0)))</f>
        <v/>
      </c>
      <c r="E26" s="9" t="str">
        <f>IF(B26="","",IF($C$8="Avoir",-(VLOOKUP(B26,STOCK!$A:$G,5,0)),VLOOKUP(B26,STOCK!$A:$G,5,0)))</f>
        <v/>
      </c>
      <c r="F26" s="76" t="str">
        <f>IF(B26="","",IF(VLOOKUP(B26,STOCK!$A:$G,6,0)=0,"",VLOOKUP(B26,STOCK!$A:$G,6,0)))</f>
        <v/>
      </c>
      <c r="G26" s="9" t="str">
        <f t="shared" si="1"/>
        <v/>
      </c>
      <c r="H26" s="77" t="str">
        <f>IF(B26="","",VLOOKUP(B26,STOCK!$A:$G,4,0))</f>
        <v/>
      </c>
      <c r="I26" s="9" t="str">
        <f t="shared" si="2"/>
        <v/>
      </c>
      <c r="Z26" s="125"/>
      <c r="AA26" s="125"/>
      <c r="AB26" s="125"/>
      <c r="AC26" s="126"/>
      <c r="AD26" s="126"/>
      <c r="AE26" s="126"/>
      <c r="AH26"/>
      <c r="AI26"/>
      <c r="AJ26"/>
      <c r="AK26"/>
    </row>
    <row r="27" spans="1:37">
      <c r="A27" s="24">
        <v>11</v>
      </c>
      <c r="B27" s="195"/>
      <c r="C27" s="59" t="str">
        <f t="shared" si="0"/>
        <v/>
      </c>
      <c r="D27" s="84" t="str">
        <f>IF(ISBLANK(B27),"",INDEX(CONCATENATE(Famille&amp;"-"&amp;Designation),MATCH(FACTURE!B27,CodeProduit,0)))</f>
        <v/>
      </c>
      <c r="E27" s="9" t="str">
        <f>IF(B27="","",IF($C$8="Avoir",-(VLOOKUP(B27,STOCK!$A:$G,5,0)),VLOOKUP(B27,STOCK!$A:$G,5,0)))</f>
        <v/>
      </c>
      <c r="F27" s="76" t="str">
        <f>IF(B27="","",IF(VLOOKUP(B27,STOCK!$A:$G,6,0)=0,"",VLOOKUP(B27,STOCK!$A:$G,6,0)))</f>
        <v/>
      </c>
      <c r="G27" s="9" t="str">
        <f t="shared" si="1"/>
        <v/>
      </c>
      <c r="H27" s="77" t="str">
        <f>IF(B27="","",VLOOKUP(B27,STOCK!$A:$G,4,0))</f>
        <v/>
      </c>
      <c r="I27" s="9" t="str">
        <f t="shared" si="2"/>
        <v/>
      </c>
      <c r="Z27" s="200"/>
      <c r="AA27" s="200"/>
      <c r="AB27" s="200"/>
      <c r="AC27" s="201"/>
      <c r="AD27" s="201"/>
      <c r="AE27" s="201"/>
      <c r="AH27"/>
      <c r="AI27"/>
      <c r="AJ27"/>
      <c r="AK27"/>
    </row>
    <row r="28" spans="1:37">
      <c r="A28" s="24">
        <v>12</v>
      </c>
      <c r="B28" s="195"/>
      <c r="C28" s="59" t="str">
        <f t="shared" si="0"/>
        <v/>
      </c>
      <c r="D28" s="84" t="str">
        <f>IF(ISBLANK(B28),"",INDEX(CONCATENATE(Famille&amp;"-"&amp;Designation),MATCH(FACTURE!B28,CodeProduit,0)))</f>
        <v/>
      </c>
      <c r="E28" s="9" t="str">
        <f>IF(B28="","",IF($C$8="Avoir",-(VLOOKUP(B28,STOCK!$A:$G,5,0)),VLOOKUP(B28,STOCK!$A:$G,5,0)))</f>
        <v/>
      </c>
      <c r="F28" s="76" t="str">
        <f>IF(B28="","",IF(VLOOKUP(B28,STOCK!$A:$G,6,0)=0,"",VLOOKUP(B28,STOCK!$A:$G,6,0)))</f>
        <v/>
      </c>
      <c r="G28" s="9" t="str">
        <f t="shared" si="1"/>
        <v/>
      </c>
      <c r="H28" s="77" t="str">
        <f>IF(B28="","",VLOOKUP(B28,STOCK!$A:$G,4,0))</f>
        <v/>
      </c>
      <c r="I28" s="9" t="str">
        <f t="shared" si="2"/>
        <v/>
      </c>
      <c r="Z28" s="125"/>
      <c r="AA28" s="125"/>
      <c r="AB28" s="125"/>
      <c r="AC28" s="126"/>
      <c r="AD28" s="126"/>
      <c r="AE28" s="126"/>
      <c r="AH28"/>
      <c r="AI28"/>
      <c r="AJ28"/>
      <c r="AK28"/>
    </row>
    <row r="29" spans="1:37">
      <c r="A29" s="24">
        <v>13</v>
      </c>
      <c r="B29" s="195"/>
      <c r="C29" s="59" t="str">
        <f t="shared" si="0"/>
        <v/>
      </c>
      <c r="D29" s="84" t="str">
        <f>IF(ISBLANK(B29),"",INDEX(CONCATENATE(Famille&amp;"-"&amp;Designation),MATCH(FACTURE!B29,CodeProduit,0)))</f>
        <v/>
      </c>
      <c r="E29" s="9" t="str">
        <f>IF(B29="","",IF($C$8="Avoir",-(VLOOKUP(B29,STOCK!$A:$G,5,0)),VLOOKUP(B29,STOCK!$A:$G,5,0)))</f>
        <v/>
      </c>
      <c r="F29" s="76" t="str">
        <f>IF(B29="","",IF(VLOOKUP(B29,STOCK!$A:$G,6,0)=0,"",VLOOKUP(B29,STOCK!$A:$G,6,0)))</f>
        <v/>
      </c>
      <c r="G29" s="9" t="str">
        <f t="shared" si="1"/>
        <v/>
      </c>
      <c r="H29" s="77" t="str">
        <f>IF(B29="","",VLOOKUP(B29,STOCK!$A:$G,4,0))</f>
        <v/>
      </c>
      <c r="I29" s="9" t="str">
        <f t="shared" si="2"/>
        <v/>
      </c>
      <c r="AH29"/>
      <c r="AI29"/>
      <c r="AJ29"/>
      <c r="AK29"/>
    </row>
    <row r="30" spans="1:37">
      <c r="A30" s="24">
        <v>14</v>
      </c>
      <c r="B30" s="195"/>
      <c r="C30" s="59" t="str">
        <f t="shared" si="0"/>
        <v/>
      </c>
      <c r="D30" s="84" t="str">
        <f>IF(ISBLANK(B30),"",INDEX(CONCATENATE(Famille&amp;"-"&amp;Designation),MATCH(FACTURE!B30,CodeProduit,0)))</f>
        <v/>
      </c>
      <c r="E30" s="9" t="str">
        <f>IF(B30="","",IF($C$8="Avoir",-(VLOOKUP(B30,STOCK!$A:$G,5,0)),VLOOKUP(B30,STOCK!$A:$G,5,0)))</f>
        <v/>
      </c>
      <c r="F30" s="76" t="str">
        <f>IF(B30="","",IF(VLOOKUP(B30,STOCK!$A:$G,6,0)=0,"",VLOOKUP(B30,STOCK!$A:$G,6,0)))</f>
        <v/>
      </c>
      <c r="G30" s="9" t="str">
        <f t="shared" si="1"/>
        <v/>
      </c>
      <c r="H30" s="77" t="str">
        <f>IF(B30="","",VLOOKUP(B30,STOCK!$A:$G,4,0))</f>
        <v/>
      </c>
      <c r="I30" s="9" t="str">
        <f t="shared" si="2"/>
        <v/>
      </c>
    </row>
    <row r="31" spans="1:37">
      <c r="A31" s="24">
        <v>15</v>
      </c>
      <c r="B31" s="195"/>
      <c r="C31" s="59" t="str">
        <f t="shared" si="0"/>
        <v/>
      </c>
      <c r="D31" s="84" t="str">
        <f>IF(ISBLANK(B31),"",INDEX(CONCATENATE(Famille&amp;"-"&amp;Designation),MATCH(FACTURE!B31,CodeProduit,0)))</f>
        <v/>
      </c>
      <c r="E31" s="9" t="str">
        <f>IF(B31="","",IF($C$8="Avoir",-(VLOOKUP(B31,STOCK!$A:$G,5,0)),VLOOKUP(B31,STOCK!$A:$G,5,0)))</f>
        <v/>
      </c>
      <c r="F31" s="76" t="str">
        <f>IF(B31="","",IF(VLOOKUP(B31,STOCK!$A:$G,6,0)=0,"",VLOOKUP(B31,STOCK!$A:$G,6,0)))</f>
        <v/>
      </c>
      <c r="G31" s="9" t="str">
        <f t="shared" si="1"/>
        <v/>
      </c>
      <c r="H31" s="77" t="str">
        <f>IF(B31="","",VLOOKUP(B31,STOCK!$A:$G,4,0))</f>
        <v/>
      </c>
      <c r="I31" s="9" t="str">
        <f t="shared" si="2"/>
        <v/>
      </c>
    </row>
    <row r="32" spans="1:37">
      <c r="A32" s="24">
        <v>16</v>
      </c>
      <c r="B32" s="195"/>
      <c r="C32" s="59" t="str">
        <f t="shared" si="0"/>
        <v/>
      </c>
      <c r="D32" s="84" t="str">
        <f>IF(ISBLANK(B32),"",INDEX(CONCATENATE(Famille&amp;"-"&amp;Designation),MATCH(FACTURE!B32,CodeProduit,0)))</f>
        <v/>
      </c>
      <c r="E32" s="9" t="str">
        <f>IF(B32="","",IF($C$8="Avoir",-(VLOOKUP(B32,STOCK!$A:$G,5,0)),VLOOKUP(B32,STOCK!$A:$G,5,0)))</f>
        <v/>
      </c>
      <c r="F32" s="76" t="str">
        <f>IF(B32="","",IF(VLOOKUP(B32,STOCK!$A:$G,6,0)=0,"",VLOOKUP(B32,STOCK!$A:$G,6,0)))</f>
        <v/>
      </c>
      <c r="G32" s="9" t="str">
        <f t="shared" si="1"/>
        <v/>
      </c>
      <c r="H32" s="77" t="str">
        <f>IF(B32="","",VLOOKUP(B32,STOCK!$A:$G,4,0))</f>
        <v/>
      </c>
      <c r="I32" s="9" t="str">
        <f t="shared" si="2"/>
        <v/>
      </c>
    </row>
    <row r="33" spans="1:14">
      <c r="A33" s="24">
        <v>17</v>
      </c>
      <c r="B33" s="195"/>
      <c r="C33" s="59" t="str">
        <f t="shared" si="0"/>
        <v/>
      </c>
      <c r="D33" s="84" t="str">
        <f>IF(ISBLANK(B33),"",INDEX(CONCATENATE(Famille&amp;"-"&amp;Designation),MATCH(FACTURE!B33,CodeProduit,0)))</f>
        <v/>
      </c>
      <c r="E33" s="9" t="str">
        <f>IF(B33="","",IF($C$8="Avoir",-(VLOOKUP(B33,STOCK!$A:$G,5,0)),VLOOKUP(B33,STOCK!$A:$G,5,0)))</f>
        <v/>
      </c>
      <c r="F33" s="76" t="str">
        <f>IF(B33="","",IF(VLOOKUP(B33,STOCK!$A:$G,6,0)=0,"",VLOOKUP(B33,STOCK!$A:$G,6,0)))</f>
        <v/>
      </c>
      <c r="G33" s="9" t="str">
        <f t="shared" si="1"/>
        <v/>
      </c>
      <c r="H33" s="77" t="str">
        <f>IF(B33="","",VLOOKUP(B33,STOCK!$A:$G,4,0))</f>
        <v/>
      </c>
      <c r="I33" s="9" t="str">
        <f t="shared" si="2"/>
        <v/>
      </c>
    </row>
    <row r="34" spans="1:14">
      <c r="A34" s="24">
        <v>18</v>
      </c>
      <c r="B34" s="195"/>
      <c r="C34" s="59" t="str">
        <f t="shared" si="0"/>
        <v/>
      </c>
      <c r="D34" s="84" t="str">
        <f>IF(ISBLANK(B34),"",INDEX(CONCATENATE(Famille&amp;"-"&amp;Designation),MATCH(FACTURE!B34,CodeProduit,0)))</f>
        <v/>
      </c>
      <c r="E34" s="9" t="str">
        <f>IF(B34="","",IF($C$8="Avoir",-(VLOOKUP(B34,STOCK!$A:$G,5,0)),VLOOKUP(B34,STOCK!$A:$G,5,0)))</f>
        <v/>
      </c>
      <c r="F34" s="76" t="str">
        <f>IF(B34="","",IF(VLOOKUP(B34,STOCK!$A:$G,6,0)=0,"",VLOOKUP(B34,STOCK!$A:$G,6,0)))</f>
        <v/>
      </c>
      <c r="G34" s="9" t="str">
        <f t="shared" si="1"/>
        <v/>
      </c>
      <c r="H34" s="77" t="str">
        <f>IF(B34="","",VLOOKUP(B34,STOCK!$A:$G,4,0))</f>
        <v/>
      </c>
      <c r="I34" s="9" t="str">
        <f t="shared" si="2"/>
        <v/>
      </c>
    </row>
    <row r="35" spans="1:14">
      <c r="A35" s="24">
        <v>19</v>
      </c>
      <c r="B35" s="195"/>
      <c r="C35" s="59" t="str">
        <f t="shared" si="0"/>
        <v/>
      </c>
      <c r="D35" s="84" t="str">
        <f>IF(ISBLANK(B35),"",INDEX(CONCATENATE(Famille&amp;"-"&amp;Designation),MATCH(FACTURE!B35,CodeProduit,0)))</f>
        <v/>
      </c>
      <c r="E35" s="9" t="str">
        <f>IF(B35="","",IF($C$8="Avoir",-(VLOOKUP(B35,STOCK!$A:$G,5,0)),VLOOKUP(B35,STOCK!$A:$G,5,0)))</f>
        <v/>
      </c>
      <c r="F35" s="76" t="str">
        <f>IF(B35="","",IF(VLOOKUP(B35,STOCK!$A:$G,6,0)=0,"",VLOOKUP(B35,STOCK!$A:$G,6,0)))</f>
        <v/>
      </c>
      <c r="G35" s="9" t="str">
        <f t="shared" si="1"/>
        <v/>
      </c>
      <c r="H35" s="77" t="str">
        <f>IF(B35="","",VLOOKUP(B35,STOCK!$A:$G,4,0))</f>
        <v/>
      </c>
      <c r="I35" s="9" t="str">
        <f t="shared" si="2"/>
        <v/>
      </c>
    </row>
    <row r="36" spans="1:14">
      <c r="A36" s="24">
        <v>20</v>
      </c>
      <c r="B36" s="195"/>
      <c r="C36" s="59" t="str">
        <f t="shared" si="0"/>
        <v/>
      </c>
      <c r="D36" s="84" t="str">
        <f>IF(ISBLANK(B36),"",INDEX(CONCATENATE(Famille&amp;"-"&amp;Designation),MATCH(FACTURE!B36,CodeProduit,0)))</f>
        <v/>
      </c>
      <c r="E36" s="9" t="str">
        <f>IF(B36="","",IF($C$8="Avoir",-(VLOOKUP(B36,STOCK!$A:$G,5,0)),VLOOKUP(B36,STOCK!$A:$G,5,0)))</f>
        <v/>
      </c>
      <c r="F36" s="76" t="str">
        <f>IF(B36="","",IF(VLOOKUP(B36,STOCK!$A:$G,6,0)=0,"",VLOOKUP(B36,STOCK!$A:$G,6,0)))</f>
        <v/>
      </c>
      <c r="G36" s="9" t="str">
        <f t="shared" si="1"/>
        <v/>
      </c>
      <c r="H36" s="77" t="str">
        <f>IF(B36="","",VLOOKUP(B36,STOCK!$A:$G,4,0))</f>
        <v/>
      </c>
      <c r="I36" s="9" t="str">
        <f t="shared" si="2"/>
        <v/>
      </c>
    </row>
    <row r="37" spans="1:14">
      <c r="A37" s="24">
        <v>21</v>
      </c>
      <c r="B37" s="195"/>
      <c r="C37" s="59" t="str">
        <f t="shared" si="0"/>
        <v/>
      </c>
      <c r="D37" s="84" t="str">
        <f>IF(ISBLANK(B37),"",INDEX(CONCATENATE(Famille&amp;"-"&amp;Designation),MATCH(FACTURE!B37,CodeProduit,0)))</f>
        <v/>
      </c>
      <c r="E37" s="9" t="str">
        <f>IF(B37="","",IF($C$8="Avoir",-(VLOOKUP(B37,STOCK!$A:$G,5,0)),VLOOKUP(B37,STOCK!$A:$G,5,0)))</f>
        <v/>
      </c>
      <c r="F37" s="76" t="str">
        <f>IF(B37="","",IF(VLOOKUP(B37,STOCK!$A:$G,6,0)=0,"",VLOOKUP(B37,STOCK!$A:$G,6,0)))</f>
        <v/>
      </c>
      <c r="G37" s="9" t="str">
        <f t="shared" si="1"/>
        <v/>
      </c>
      <c r="H37" s="77" t="str">
        <f>IF(B37="","",VLOOKUP(B37,STOCK!$A:$G,4,0))</f>
        <v/>
      </c>
      <c r="I37" s="9" t="str">
        <f t="shared" si="2"/>
        <v/>
      </c>
    </row>
    <row r="38" spans="1:14">
      <c r="A38" s="24">
        <v>22</v>
      </c>
      <c r="B38" s="195"/>
      <c r="C38" s="59" t="str">
        <f t="shared" si="0"/>
        <v/>
      </c>
      <c r="D38" s="84" t="str">
        <f>IF(ISBLANK(B38),"",INDEX(CONCATENATE(Famille&amp;"-"&amp;Designation),MATCH(FACTURE!B38,CodeProduit,0)))</f>
        <v/>
      </c>
      <c r="E38" s="9" t="str">
        <f>IF(B38="","",IF($C$8="Avoir",-(VLOOKUP(B38,STOCK!$A:$G,5,0)),VLOOKUP(B38,STOCK!$A:$G,5,0)))</f>
        <v/>
      </c>
      <c r="F38" s="76" t="str">
        <f>IF(B38="","",IF(VLOOKUP(B38,STOCK!$A:$G,6,0)=0,"",VLOOKUP(B38,STOCK!$A:$G,6,0)))</f>
        <v/>
      </c>
      <c r="G38" s="9" t="str">
        <f t="shared" si="1"/>
        <v/>
      </c>
      <c r="H38" s="77" t="str">
        <f>IF(B38="","",VLOOKUP(B38,STOCK!$A:$G,4,0))</f>
        <v/>
      </c>
      <c r="I38" s="9" t="str">
        <f t="shared" si="2"/>
        <v/>
      </c>
      <c r="N38" s="68"/>
    </row>
    <row r="39" spans="1:14">
      <c r="A39" s="24">
        <v>23</v>
      </c>
      <c r="B39" s="195"/>
      <c r="C39" s="59" t="str">
        <f t="shared" si="0"/>
        <v/>
      </c>
      <c r="D39" s="84" t="str">
        <f>IF(ISBLANK(B39),"",INDEX(CONCATENATE(Famille&amp;"-"&amp;Designation),MATCH(FACTURE!B39,CodeProduit,0)))</f>
        <v/>
      </c>
      <c r="E39" s="9" t="str">
        <f>IF(B39="","",IF($C$8="Avoir",-(VLOOKUP(B39,STOCK!$A:$G,5,0)),VLOOKUP(B39,STOCK!$A:$G,5,0)))</f>
        <v/>
      </c>
      <c r="F39" s="76" t="str">
        <f>IF(B39="","",IF(VLOOKUP(B39,STOCK!$A:$G,6,0)=0,"",VLOOKUP(B39,STOCK!$A:$G,6,0)))</f>
        <v/>
      </c>
      <c r="G39" s="9" t="str">
        <f t="shared" si="1"/>
        <v/>
      </c>
      <c r="H39" s="77" t="str">
        <f>IF(B39="","",VLOOKUP(B39,STOCK!$A:$G,4,0))</f>
        <v/>
      </c>
      <c r="I39" s="9" t="str">
        <f t="shared" si="2"/>
        <v/>
      </c>
    </row>
    <row r="40" spans="1:14">
      <c r="A40" s="24">
        <v>29</v>
      </c>
      <c r="B40" s="195"/>
      <c r="C40" s="59" t="str">
        <f t="shared" si="0"/>
        <v/>
      </c>
      <c r="D40" s="84" t="str">
        <f>IF(ISBLANK(B40),"",INDEX(CONCATENATE(Famille&amp;"-"&amp;Designation),MATCH(FACTURE!B40,CodeProduit,0)))</f>
        <v/>
      </c>
      <c r="E40" s="9" t="str">
        <f>IF(B40="","",IF($C$8="Avoir",-(VLOOKUP(B40,STOCK!$A:$G,5,0)),VLOOKUP(B40,STOCK!$A:$G,5,0)))</f>
        <v/>
      </c>
      <c r="F40" s="76" t="str">
        <f>IF(B40="","",IF(VLOOKUP(B40,STOCK!$A:$G,6,0)=0,"",VLOOKUP(B40,STOCK!$A:$G,6,0)))</f>
        <v/>
      </c>
      <c r="G40" s="9" t="str">
        <f t="shared" si="1"/>
        <v/>
      </c>
      <c r="H40" s="77" t="str">
        <f>IF(B40="","",VLOOKUP(B40,STOCK!$A:$G,4,0))</f>
        <v/>
      </c>
      <c r="I40" s="9" t="str">
        <f t="shared" si="2"/>
        <v/>
      </c>
    </row>
    <row r="41" spans="1:14">
      <c r="A41" s="24">
        <v>30</v>
      </c>
      <c r="B41" s="195"/>
      <c r="C41" s="59" t="str">
        <f t="shared" si="0"/>
        <v/>
      </c>
      <c r="D41" s="84" t="str">
        <f>IF(ISBLANK(B41),"",INDEX(CONCATENATE(Famille&amp;"-"&amp;Designation),MATCH(FACTURE!B41,CodeProduit,0)))</f>
        <v/>
      </c>
      <c r="E41" s="9" t="str">
        <f>IF(B41="","",IF($C$8="Avoir",-(VLOOKUP(B41,STOCK!$A:$G,5,0)),VLOOKUP(B41,STOCK!$A:$G,5,0)))</f>
        <v/>
      </c>
      <c r="F41" s="76" t="str">
        <f>IF(B41="","",IF(VLOOKUP(B41,STOCK!$A:$G,6,0)=0,"",VLOOKUP(B41,STOCK!$A:$G,6,0)))</f>
        <v/>
      </c>
      <c r="G41" s="9" t="str">
        <f t="shared" si="1"/>
        <v/>
      </c>
      <c r="H41" s="77" t="str">
        <f>IF(B41="","",VLOOKUP(B41,STOCK!$A:$G,4,0))</f>
        <v/>
      </c>
      <c r="I41" s="9" t="str">
        <f t="shared" si="2"/>
        <v/>
      </c>
    </row>
    <row r="42" spans="1:14">
      <c r="A42" s="25">
        <v>31</v>
      </c>
      <c r="B42" s="196"/>
      <c r="C42" s="60" t="str">
        <f t="shared" si="0"/>
        <v/>
      </c>
      <c r="D42" s="85" t="str">
        <f>IF(ISBLANK(B42),"",INDEX(CONCATENATE(Famille&amp;"-"&amp;Designation),MATCH(FACTURE!B42,CodeProduit,0)))</f>
        <v/>
      </c>
      <c r="E42" s="10" t="str">
        <f>IF(B42="","",IF($C$8="Avoir",-(VLOOKUP(B42,STOCK!$A:$G,5,0)),VLOOKUP(B42,STOCK!$A:$G,5,0)))</f>
        <v/>
      </c>
      <c r="F42" s="83" t="str">
        <f>IF(B42="","",IF(VLOOKUP(B42,STOCK!$A:$G,6,0)=0,"",VLOOKUP(B42,STOCK!$A:$G,6,0)))</f>
        <v/>
      </c>
      <c r="G42" s="10" t="str">
        <f t="shared" si="1"/>
        <v/>
      </c>
      <c r="H42" s="78" t="str">
        <f>IF(B42="","",VLOOKUP(B42,STOCK!$A:$G,4,0))</f>
        <v/>
      </c>
      <c r="I42" s="10" t="str">
        <f t="shared" si="2"/>
        <v/>
      </c>
    </row>
    <row r="43" spans="1:14">
      <c r="G43" s="2" t="s">
        <v>44</v>
      </c>
      <c r="I43" s="79">
        <f>SUM(I17:I42)</f>
        <v>0</v>
      </c>
    </row>
    <row r="44" spans="1:14">
      <c r="B44" s="208" t="s">
        <v>48</v>
      </c>
      <c r="C44" s="208"/>
      <c r="G44" s="2" t="s">
        <v>8</v>
      </c>
      <c r="I44" s="12">
        <f>C45+C46</f>
        <v>0</v>
      </c>
    </row>
    <row r="45" spans="1:14">
      <c r="B45" s="61" t="s">
        <v>46</v>
      </c>
      <c r="C45" s="62">
        <f>(SUMIF($H$17:$H$42,1,($I$17:$I$42))*10%)</f>
        <v>0</v>
      </c>
      <c r="G45" s="47" t="s">
        <v>107</v>
      </c>
      <c r="H45" s="47"/>
      <c r="I45" s="91"/>
      <c r="K45" s="95" t="s">
        <v>112</v>
      </c>
    </row>
    <row r="46" spans="1:14">
      <c r="B46" s="61" t="s">
        <v>47</v>
      </c>
      <c r="C46" s="62">
        <f>(SUMIF($H$17:$H$42,2,($I$17:$I$42))*20%)</f>
        <v>0</v>
      </c>
      <c r="G46" s="47" t="s">
        <v>45</v>
      </c>
      <c r="H46" s="47"/>
      <c r="I46" s="12">
        <f>SUM(I43:I45)</f>
        <v>0</v>
      </c>
    </row>
    <row r="48" spans="1:14">
      <c r="B48" s="207" t="s">
        <v>49</v>
      </c>
      <c r="C48" s="207"/>
    </row>
    <row r="91" spans="7:8">
      <c r="G91" s="47"/>
      <c r="H91" s="47"/>
    </row>
  </sheetData>
  <mergeCells count="21">
    <mergeCell ref="B48:C48"/>
    <mergeCell ref="B44:C44"/>
    <mergeCell ref="G12:I12"/>
    <mergeCell ref="N1:O1"/>
    <mergeCell ref="L3:M3"/>
    <mergeCell ref="G4:I4"/>
    <mergeCell ref="G5:H5"/>
    <mergeCell ref="F1:I1"/>
    <mergeCell ref="F2:I2"/>
    <mergeCell ref="F7:I7"/>
    <mergeCell ref="F8:I8"/>
    <mergeCell ref="F10:I10"/>
    <mergeCell ref="F11:I11"/>
    <mergeCell ref="G9:I9"/>
    <mergeCell ref="Z27:AB27"/>
    <mergeCell ref="AC27:AE27"/>
    <mergeCell ref="AG7:AH8"/>
    <mergeCell ref="Z9:AB9"/>
    <mergeCell ref="AC9:AE9"/>
    <mergeCell ref="Z18:AB18"/>
    <mergeCell ref="AC18:AE19"/>
  </mergeCells>
  <conditionalFormatting sqref="B17 C11 C8:C9 F8 G9 H8:I8">
    <cfRule type="containsBlanks" dxfId="2" priority="2">
      <formula>LEN(TRIM(B8))=0</formula>
    </cfRule>
  </conditionalFormatting>
  <dataValidations count="7">
    <dataValidation type="list" allowBlank="1" showInputMessage="1" showErrorMessage="1" sqref="G9:I9">
      <formula1>IF(ISBLANK($F$8),NomPenomBaseClient,NomPrenom)</formula1>
    </dataValidation>
    <dataValidation type="list" allowBlank="1" showInputMessage="1" showErrorMessage="1" sqref="C11">
      <formula1>Reglement</formula1>
    </dataValidation>
    <dataValidation type="list" allowBlank="1" showInputMessage="1" showErrorMessage="1" sqref="C9">
      <formula1>CategorieClient</formula1>
    </dataValidation>
    <dataValidation type="list" allowBlank="1" showErrorMessage="1" sqref="C8">
      <formula1>CODE</formula1>
    </dataValidation>
    <dataValidation type="list" allowBlank="1" showInputMessage="1" showErrorMessage="1" sqref="F8:I8">
      <formula1>SOCIETE</formula1>
    </dataValidation>
    <dataValidation type="list" allowBlank="1" showInputMessage="1" showErrorMessage="1" sqref="K19">
      <formula1>NOM &amp;" "&amp; PRENOM</formula1>
    </dataValidation>
    <dataValidation type="list" allowBlank="1" showInputMessage="1" showErrorMessage="1" sqref="B17:B42">
      <formula1>CodeProduit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orientation="portrait" horizontalDpi="4294967293" r:id="rId1"/>
  <headerFooter differentOddEven="1" differentFirst="1" scaleWithDoc="0">
    <firstHeader>&amp;L&amp;"-,Gras"&amp;16&amp;K008000LOGO
DE L'ENTREPRISE&amp;"-,Normal"&amp;11&amp;K01+000
Adresse
CP VILLE
Tél. :
E-Mail</firstHeader>
    <firstFooter>&amp;CN° SIRET DE L'ENTREPRISE - CODE NAF - TVA - ETC</first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96"/>
  <sheetViews>
    <sheetView tabSelected="1" topLeftCell="K1" workbookViewId="0">
      <selection activeCell="P17" sqref="P17"/>
    </sheetView>
  </sheetViews>
  <sheetFormatPr baseColWidth="10" defaultRowHeight="15"/>
  <cols>
    <col min="1" max="2" width="11.42578125" style="4"/>
    <col min="3" max="3" width="14.42578125" style="4" customWidth="1"/>
    <col min="4" max="4" width="4.7109375" style="4" customWidth="1"/>
    <col min="5" max="5" width="11.42578125" style="64"/>
    <col min="6" max="6" width="11.42578125" style="63"/>
    <col min="7" max="7" width="11.42578125" style="64"/>
    <col min="8" max="8" width="8.7109375" style="4" customWidth="1"/>
    <col min="9" max="9" width="13.28515625" style="4" customWidth="1"/>
    <col min="10" max="10" width="11.140625" style="4" customWidth="1"/>
    <col min="11" max="11" width="7.28515625" style="4" customWidth="1"/>
    <col min="12" max="12" width="6" style="4" customWidth="1"/>
    <col min="13" max="13" width="16.42578125" style="4" customWidth="1"/>
    <col min="14" max="14" width="10.5703125" style="4" customWidth="1"/>
    <col min="15" max="15" width="8" style="65" customWidth="1"/>
    <col min="16" max="20" width="11.42578125" style="4"/>
    <col min="21" max="22" width="11.42578125" style="142"/>
    <col min="23" max="25" width="7.5703125" style="4" customWidth="1"/>
    <col min="26" max="16384" width="11.42578125" style="4"/>
  </cols>
  <sheetData>
    <row r="1" spans="1:25" s="183" customFormat="1" ht="30">
      <c r="A1" s="176" t="s">
        <v>80</v>
      </c>
      <c r="B1" s="176" t="s">
        <v>82</v>
      </c>
      <c r="C1" s="176" t="s">
        <v>81</v>
      </c>
      <c r="D1" s="176" t="s">
        <v>8</v>
      </c>
      <c r="E1" s="177" t="s">
        <v>308</v>
      </c>
      <c r="F1" s="178" t="s">
        <v>88</v>
      </c>
      <c r="G1" s="177" t="s">
        <v>309</v>
      </c>
      <c r="H1" s="179" t="s">
        <v>95</v>
      </c>
      <c r="I1" s="179" t="s">
        <v>89</v>
      </c>
      <c r="J1" s="179" t="s">
        <v>83</v>
      </c>
      <c r="K1" s="179" t="s">
        <v>84</v>
      </c>
      <c r="L1" s="179" t="s">
        <v>85</v>
      </c>
      <c r="M1" s="179" t="s">
        <v>94</v>
      </c>
      <c r="N1" s="184" t="s">
        <v>165</v>
      </c>
      <c r="O1" s="180"/>
      <c r="P1" s="176" t="s">
        <v>78</v>
      </c>
      <c r="Q1" s="176" t="s">
        <v>92</v>
      </c>
      <c r="R1" s="176" t="s">
        <v>86</v>
      </c>
      <c r="S1" s="176" t="s">
        <v>87</v>
      </c>
      <c r="T1" s="176" t="s">
        <v>94</v>
      </c>
      <c r="U1" s="181" t="s">
        <v>288</v>
      </c>
      <c r="V1" s="176" t="s">
        <v>289</v>
      </c>
      <c r="W1" s="182"/>
      <c r="X1" s="182"/>
      <c r="Y1" s="182"/>
    </row>
    <row r="2" spans="1:25" s="175" customFormat="1">
      <c r="A2" s="189">
        <v>39</v>
      </c>
      <c r="B2" s="186" t="s">
        <v>292</v>
      </c>
      <c r="C2" s="186" t="s">
        <v>307</v>
      </c>
      <c r="D2" s="185">
        <v>2</v>
      </c>
      <c r="E2" s="187">
        <v>100</v>
      </c>
      <c r="F2" s="193">
        <v>2E-3</v>
      </c>
      <c r="G2" s="187">
        <f t="shared" ref="G2:G3" si="0">E2+F2*E2</f>
        <v>100.2</v>
      </c>
      <c r="H2" s="185">
        <v>10</v>
      </c>
      <c r="I2" s="188">
        <f t="shared" ref="I2:I3" si="1">H2*E2</f>
        <v>1000</v>
      </c>
      <c r="J2" s="185">
        <v>10</v>
      </c>
      <c r="K2" s="185">
        <v>10</v>
      </c>
      <c r="L2" s="185">
        <v>10</v>
      </c>
      <c r="M2" s="185" t="str">
        <f t="shared" ref="M2:M3" si="2">IF(H2&lt;=K2,"A COMMANDER",IF(H2&lt;=0,"RUPTURE",""))</f>
        <v>A COMMANDER</v>
      </c>
      <c r="N2" s="185" t="str">
        <f t="shared" ref="N2:N3" si="3">IF(H2&lt;K2,L2-H2,"")</f>
        <v/>
      </c>
      <c r="O2" s="65"/>
      <c r="P2" s="94">
        <v>42429</v>
      </c>
      <c r="Q2" s="94" t="s">
        <v>93</v>
      </c>
      <c r="R2" s="93"/>
      <c r="S2" s="93">
        <v>1</v>
      </c>
      <c r="T2" s="93" t="str">
        <f>IFERROR(INDEX(ETAT,MATCH(Q2,CodeProduit,0)),"NE RIEN INSCRIRE ICI")</f>
        <v>NE RIEN INSCRIRE ICI</v>
      </c>
      <c r="U2" s="93"/>
      <c r="V2" s="93"/>
      <c r="W2" s="123"/>
      <c r="X2" s="123"/>
      <c r="Y2" s="123"/>
    </row>
    <row r="3" spans="1:25">
      <c r="A3" s="189">
        <v>38</v>
      </c>
      <c r="B3" s="186" t="s">
        <v>291</v>
      </c>
      <c r="C3" s="186" t="s">
        <v>306</v>
      </c>
      <c r="D3" s="185">
        <v>2</v>
      </c>
      <c r="E3" s="187">
        <v>100</v>
      </c>
      <c r="F3" s="193">
        <v>0.02</v>
      </c>
      <c r="G3" s="187">
        <f t="shared" si="0"/>
        <v>102</v>
      </c>
      <c r="H3" s="185">
        <v>11</v>
      </c>
      <c r="I3" s="188">
        <f t="shared" si="1"/>
        <v>1100</v>
      </c>
      <c r="J3" s="185">
        <v>100</v>
      </c>
      <c r="K3" s="185">
        <v>11</v>
      </c>
      <c r="L3" s="185">
        <v>11</v>
      </c>
      <c r="M3" s="185" t="str">
        <f t="shared" si="2"/>
        <v>A COMMANDER</v>
      </c>
      <c r="N3" s="185" t="str">
        <f t="shared" si="3"/>
        <v/>
      </c>
      <c r="P3"/>
      <c r="Q3"/>
      <c r="R3"/>
      <c r="S3"/>
      <c r="T3"/>
      <c r="U3"/>
      <c r="V3"/>
      <c r="W3" s="123"/>
      <c r="X3" s="123"/>
      <c r="Y3" s="123"/>
    </row>
    <row r="4" spans="1:25">
      <c r="A4"/>
      <c r="B4"/>
      <c r="C4"/>
      <c r="D4"/>
      <c r="E4"/>
      <c r="F4"/>
      <c r="G4"/>
      <c r="H4"/>
      <c r="I4"/>
      <c r="J4"/>
      <c r="K4"/>
      <c r="L4"/>
      <c r="M4"/>
      <c r="N4"/>
      <c r="P4"/>
      <c r="Q4"/>
      <c r="R4"/>
      <c r="S4"/>
      <c r="T4"/>
      <c r="U4"/>
      <c r="V4"/>
      <c r="W4" s="123"/>
      <c r="X4" s="123"/>
      <c r="Y4" s="123"/>
    </row>
    <row r="5" spans="1:25">
      <c r="A5"/>
      <c r="B5"/>
      <c r="C5"/>
      <c r="D5"/>
      <c r="E5"/>
      <c r="F5"/>
      <c r="G5"/>
      <c r="H5"/>
      <c r="I5"/>
      <c r="J5"/>
      <c r="K5"/>
      <c r="L5"/>
      <c r="M5"/>
      <c r="N5"/>
      <c r="P5"/>
      <c r="Q5"/>
      <c r="R5"/>
      <c r="S5"/>
      <c r="T5"/>
      <c r="U5"/>
      <c r="V5"/>
      <c r="W5" s="123"/>
      <c r="X5" s="123"/>
      <c r="Y5" s="123"/>
    </row>
    <row r="6" spans="1:25">
      <c r="A6"/>
      <c r="B6"/>
      <c r="C6"/>
      <c r="D6"/>
      <c r="E6"/>
      <c r="F6"/>
      <c r="G6"/>
      <c r="H6"/>
      <c r="I6"/>
      <c r="J6"/>
      <c r="K6"/>
      <c r="L6"/>
      <c r="M6"/>
      <c r="N6"/>
      <c r="P6"/>
      <c r="Q6"/>
      <c r="R6"/>
      <c r="S6"/>
      <c r="T6"/>
      <c r="U6"/>
      <c r="V6"/>
      <c r="W6" s="206" t="s">
        <v>325</v>
      </c>
      <c r="X6" s="206"/>
      <c r="Y6" s="206"/>
    </row>
    <row r="7" spans="1:25">
      <c r="A7"/>
      <c r="B7"/>
      <c r="C7"/>
      <c r="D7"/>
      <c r="E7"/>
      <c r="F7"/>
      <c r="G7"/>
      <c r="H7"/>
      <c r="I7"/>
      <c r="J7"/>
      <c r="K7"/>
      <c r="L7"/>
      <c r="M7"/>
      <c r="N7"/>
      <c r="P7"/>
      <c r="Q7"/>
      <c r="R7"/>
      <c r="S7"/>
      <c r="T7"/>
      <c r="U7"/>
      <c r="V7"/>
      <c r="W7" s="206"/>
      <c r="X7" s="206"/>
      <c r="Y7" s="206"/>
    </row>
    <row r="8" spans="1:25">
      <c r="A8"/>
      <c r="B8"/>
      <c r="C8"/>
      <c r="D8"/>
      <c r="E8"/>
      <c r="F8"/>
      <c r="G8"/>
      <c r="H8"/>
      <c r="I8"/>
      <c r="J8"/>
      <c r="K8"/>
      <c r="L8"/>
      <c r="M8"/>
      <c r="N8"/>
      <c r="P8"/>
      <c r="Q8"/>
      <c r="R8"/>
      <c r="S8"/>
      <c r="T8"/>
      <c r="U8"/>
      <c r="V8"/>
    </row>
    <row r="9" spans="1:25">
      <c r="A9"/>
      <c r="B9"/>
      <c r="C9"/>
      <c r="D9"/>
      <c r="E9"/>
      <c r="F9"/>
      <c r="G9"/>
      <c r="H9"/>
      <c r="I9"/>
      <c r="J9"/>
      <c r="K9"/>
      <c r="L9"/>
      <c r="M9"/>
      <c r="N9"/>
      <c r="P9"/>
      <c r="Q9"/>
      <c r="R9"/>
      <c r="S9"/>
      <c r="T9"/>
      <c r="U9"/>
      <c r="V9"/>
      <c r="W9" s="182"/>
      <c r="X9" s="182"/>
      <c r="Y9" s="182"/>
    </row>
    <row r="10" spans="1: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P10"/>
      <c r="Q10"/>
      <c r="R10"/>
      <c r="S10"/>
      <c r="T10"/>
      <c r="U10"/>
      <c r="V10"/>
      <c r="W10" s="123"/>
      <c r="X10" s="123"/>
      <c r="Y10" s="123"/>
    </row>
    <row r="11" spans="1: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P11"/>
      <c r="Q11"/>
      <c r="R11"/>
      <c r="S11"/>
      <c r="T11"/>
      <c r="U11"/>
      <c r="V11"/>
      <c r="W11" s="123"/>
      <c r="X11" s="123"/>
      <c r="Y11" s="123"/>
    </row>
    <row r="12" spans="1: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P12"/>
      <c r="Q12"/>
      <c r="R12"/>
      <c r="S12"/>
      <c r="T12"/>
      <c r="U12"/>
      <c r="V12"/>
      <c r="W12" s="123"/>
      <c r="X12" s="123"/>
      <c r="Y12" s="123"/>
    </row>
    <row r="13" spans="1: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P13"/>
      <c r="Q13"/>
      <c r="R13"/>
      <c r="S13"/>
      <c r="T13"/>
      <c r="U13"/>
      <c r="V13"/>
      <c r="W13" s="123"/>
      <c r="X13" s="123"/>
      <c r="Y13" s="123"/>
    </row>
    <row r="14" spans="1: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P14"/>
      <c r="Q14"/>
      <c r="R14"/>
      <c r="S14"/>
      <c r="T14"/>
      <c r="U14"/>
      <c r="V14"/>
      <c r="W14" s="123"/>
      <c r="X14" s="123"/>
      <c r="Y14" s="123"/>
    </row>
    <row r="15" spans="1: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P15"/>
      <c r="Q15"/>
      <c r="R15"/>
      <c r="S15"/>
      <c r="T15"/>
      <c r="U15"/>
      <c r="V15"/>
      <c r="W15" s="206" t="s">
        <v>163</v>
      </c>
      <c r="X15" s="206"/>
      <c r="Y15" s="206"/>
    </row>
    <row r="16" spans="1: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P16"/>
      <c r="Q16"/>
      <c r="R16"/>
      <c r="S16"/>
      <c r="T16"/>
      <c r="U16"/>
      <c r="V16"/>
      <c r="W16" s="206"/>
      <c r="X16" s="206"/>
      <c r="Y16" s="206"/>
    </row>
    <row r="17" spans="1:23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P17"/>
      <c r="Q17"/>
      <c r="R17"/>
      <c r="S17"/>
      <c r="T17"/>
      <c r="U17"/>
      <c r="V17"/>
    </row>
    <row r="18" spans="1:2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P18"/>
      <c r="Q18"/>
      <c r="R18"/>
      <c r="S18"/>
      <c r="T18"/>
      <c r="U18"/>
      <c r="V18"/>
    </row>
    <row r="19" spans="1:23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P19"/>
      <c r="Q19"/>
      <c r="R19"/>
      <c r="S19"/>
      <c r="T19"/>
      <c r="U19"/>
      <c r="V19"/>
    </row>
    <row r="20" spans="1:23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P20"/>
      <c r="Q20"/>
      <c r="R20"/>
      <c r="S20"/>
      <c r="T20"/>
      <c r="U20"/>
      <c r="V20"/>
    </row>
    <row r="21" spans="1:2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P21"/>
      <c r="Q21"/>
      <c r="R21"/>
      <c r="S21"/>
      <c r="T21"/>
      <c r="U21"/>
      <c r="V21"/>
    </row>
    <row r="22" spans="1:23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P22"/>
      <c r="Q22"/>
      <c r="R22"/>
      <c r="S22"/>
      <c r="T22"/>
      <c r="U22"/>
      <c r="V22"/>
    </row>
    <row r="23" spans="1:23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P23"/>
      <c r="Q23"/>
      <c r="R23"/>
      <c r="S23"/>
      <c r="T23"/>
      <c r="U23"/>
      <c r="V23"/>
    </row>
    <row r="24" spans="1:23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P24"/>
      <c r="Q24"/>
      <c r="R24"/>
      <c r="S24"/>
      <c r="T24"/>
      <c r="U24"/>
      <c r="V24"/>
    </row>
    <row r="25" spans="1:23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P25"/>
      <c r="Q25"/>
      <c r="R25"/>
      <c r="S25"/>
      <c r="T25"/>
      <c r="U25"/>
      <c r="V25"/>
    </row>
    <row r="26" spans="1:2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P26"/>
      <c r="Q26"/>
      <c r="R26"/>
      <c r="S26"/>
      <c r="T26"/>
      <c r="U26"/>
      <c r="V26"/>
    </row>
    <row r="27" spans="1:2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P27"/>
      <c r="Q27"/>
      <c r="R27"/>
      <c r="S27"/>
      <c r="T27"/>
      <c r="U27"/>
      <c r="V27"/>
    </row>
    <row r="28" spans="1:23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P28"/>
      <c r="Q28"/>
      <c r="R28"/>
      <c r="S28"/>
      <c r="T28"/>
      <c r="U28"/>
      <c r="V28"/>
    </row>
    <row r="29" spans="1:23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P29"/>
      <c r="Q29"/>
      <c r="R29"/>
      <c r="S29"/>
      <c r="T29"/>
      <c r="U29"/>
      <c r="V29"/>
    </row>
    <row r="30" spans="1:23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P30"/>
      <c r="Q30"/>
      <c r="R30"/>
      <c r="S30"/>
      <c r="T30"/>
      <c r="U30"/>
      <c r="V30"/>
    </row>
    <row r="31" spans="1:23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P31"/>
      <c r="Q31"/>
      <c r="R31"/>
      <c r="S31"/>
      <c r="T31"/>
      <c r="U31"/>
      <c r="V31"/>
      <c r="W31" s="119"/>
    </row>
    <row r="32" spans="1:23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P32"/>
      <c r="Q32"/>
      <c r="R32"/>
      <c r="S32"/>
      <c r="T32"/>
      <c r="U32"/>
      <c r="V32"/>
      <c r="W32" s="119"/>
    </row>
    <row r="33" spans="1:23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P33"/>
      <c r="Q33"/>
      <c r="R33"/>
      <c r="S33"/>
      <c r="T33"/>
      <c r="U33"/>
      <c r="V33"/>
      <c r="W33" s="119"/>
    </row>
    <row r="34" spans="1:23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P34"/>
      <c r="Q34"/>
      <c r="R34"/>
      <c r="S34"/>
      <c r="T34"/>
      <c r="U34"/>
      <c r="V34"/>
      <c r="W34" s="119"/>
    </row>
    <row r="35" spans="1:23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P35"/>
      <c r="Q35"/>
      <c r="R35"/>
      <c r="S35"/>
      <c r="T35"/>
      <c r="U35"/>
      <c r="V35"/>
      <c r="W35" s="119"/>
    </row>
    <row r="36" spans="1:23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P36"/>
      <c r="Q36"/>
      <c r="R36"/>
      <c r="S36"/>
      <c r="T36"/>
      <c r="U36"/>
      <c r="V36"/>
      <c r="W36" s="119"/>
    </row>
    <row r="37" spans="1:23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P37"/>
      <c r="Q37"/>
      <c r="R37"/>
      <c r="S37"/>
      <c r="T37"/>
      <c r="U37"/>
      <c r="V37"/>
      <c r="W37" s="119"/>
    </row>
    <row r="38" spans="1:23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P38"/>
      <c r="Q38"/>
      <c r="R38"/>
      <c r="S38"/>
      <c r="T38"/>
      <c r="U38"/>
      <c r="V38"/>
      <c r="W38" s="119"/>
    </row>
    <row r="39" spans="1:23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P39"/>
      <c r="Q39"/>
      <c r="R39"/>
      <c r="S39"/>
      <c r="T39"/>
      <c r="U39"/>
      <c r="V39"/>
      <c r="W39" s="119"/>
    </row>
    <row r="40" spans="1:23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P40"/>
      <c r="Q40"/>
      <c r="R40"/>
      <c r="S40"/>
      <c r="T40"/>
      <c r="U40"/>
      <c r="V40"/>
      <c r="W40" s="119"/>
    </row>
    <row r="41" spans="1:2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P41"/>
      <c r="Q41"/>
      <c r="R41"/>
      <c r="S41"/>
      <c r="T41"/>
      <c r="U41"/>
      <c r="V41"/>
      <c r="W41" s="119"/>
    </row>
    <row r="42" spans="1:2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P42"/>
      <c r="Q42"/>
      <c r="R42"/>
      <c r="S42"/>
      <c r="T42"/>
      <c r="U42"/>
      <c r="V42"/>
      <c r="W42" s="119"/>
    </row>
    <row r="43" spans="1:2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P43"/>
      <c r="Q43"/>
      <c r="R43"/>
      <c r="S43"/>
      <c r="T43"/>
      <c r="U43"/>
      <c r="V43"/>
      <c r="W43" s="119"/>
    </row>
    <row r="44" spans="1:23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P44"/>
      <c r="Q44"/>
      <c r="R44"/>
      <c r="S44"/>
      <c r="T44"/>
      <c r="U44"/>
      <c r="V44"/>
      <c r="W44" s="119"/>
    </row>
    <row r="45" spans="1:23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P45"/>
      <c r="Q45"/>
      <c r="R45"/>
      <c r="S45"/>
      <c r="T45"/>
      <c r="U45"/>
      <c r="V45"/>
      <c r="W45" s="119"/>
    </row>
    <row r="46" spans="1:23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P46"/>
      <c r="Q46"/>
      <c r="R46"/>
      <c r="S46"/>
      <c r="T46"/>
      <c r="U46"/>
      <c r="V46"/>
      <c r="W46" s="119"/>
    </row>
    <row r="47" spans="1:23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P47"/>
      <c r="Q47"/>
      <c r="R47"/>
      <c r="S47"/>
      <c r="T47"/>
      <c r="U47"/>
      <c r="V47"/>
      <c r="W47" s="119"/>
    </row>
    <row r="48" spans="1:23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P48"/>
      <c r="Q48"/>
      <c r="R48"/>
      <c r="S48"/>
      <c r="T48"/>
      <c r="U48"/>
      <c r="V48"/>
      <c r="W48" s="119"/>
    </row>
    <row r="49" spans="1:23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P49"/>
      <c r="Q49"/>
      <c r="R49"/>
      <c r="S49"/>
      <c r="T49"/>
      <c r="U49"/>
      <c r="V49"/>
      <c r="W49" s="119"/>
    </row>
    <row r="50" spans="1:23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P50"/>
      <c r="Q50"/>
      <c r="R50"/>
      <c r="S50"/>
      <c r="T50"/>
      <c r="U50"/>
      <c r="V50"/>
      <c r="W50" s="119"/>
    </row>
    <row r="51" spans="1:23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P51"/>
      <c r="Q51"/>
      <c r="R51"/>
      <c r="S51"/>
      <c r="T51"/>
      <c r="U51"/>
      <c r="V51"/>
      <c r="W51" s="119"/>
    </row>
    <row r="52" spans="1:23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P52"/>
      <c r="Q52"/>
      <c r="R52"/>
      <c r="S52"/>
      <c r="T52"/>
      <c r="U52"/>
      <c r="V52"/>
      <c r="W52" s="119"/>
    </row>
    <row r="53" spans="1:23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P53"/>
      <c r="Q53"/>
      <c r="R53"/>
      <c r="S53"/>
      <c r="T53"/>
      <c r="U53"/>
      <c r="V53"/>
      <c r="W53" s="119"/>
    </row>
    <row r="54" spans="1:23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P54"/>
      <c r="Q54"/>
      <c r="R54"/>
      <c r="S54"/>
      <c r="T54"/>
      <c r="U54"/>
      <c r="V54"/>
      <c r="W54" s="119"/>
    </row>
    <row r="55" spans="1:23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P55"/>
      <c r="Q55"/>
      <c r="R55"/>
      <c r="S55"/>
      <c r="T55"/>
      <c r="U55"/>
      <c r="V55"/>
      <c r="W55" s="119"/>
    </row>
    <row r="56" spans="1:23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P56"/>
      <c r="Q56"/>
      <c r="R56"/>
      <c r="S56"/>
      <c r="T56"/>
      <c r="U56"/>
      <c r="V56"/>
      <c r="W56" s="119"/>
    </row>
    <row r="57" spans="1:23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P57"/>
      <c r="Q57"/>
      <c r="R57"/>
      <c r="S57"/>
      <c r="T57"/>
      <c r="U57"/>
      <c r="V57"/>
      <c r="W57" s="119"/>
    </row>
    <row r="58" spans="1:23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P58"/>
      <c r="Q58"/>
      <c r="R58"/>
      <c r="S58"/>
      <c r="T58"/>
      <c r="U58"/>
      <c r="V58"/>
    </row>
    <row r="59" spans="1:23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P59"/>
      <c r="Q59"/>
      <c r="R59"/>
      <c r="S59"/>
      <c r="T59"/>
      <c r="U59"/>
      <c r="V59"/>
    </row>
    <row r="60" spans="1:23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P60"/>
      <c r="Q60"/>
      <c r="R60"/>
      <c r="S60"/>
      <c r="T60"/>
      <c r="U60"/>
      <c r="V60"/>
    </row>
    <row r="61" spans="1:23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P61"/>
      <c r="Q61"/>
      <c r="R61"/>
      <c r="S61"/>
      <c r="T61"/>
      <c r="U61"/>
      <c r="V61"/>
    </row>
    <row r="62" spans="1:23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P62"/>
      <c r="Q62"/>
      <c r="R62"/>
      <c r="S62"/>
      <c r="T62"/>
      <c r="U62"/>
      <c r="V62"/>
    </row>
    <row r="63" spans="1:23">
      <c r="A63"/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1:23">
      <c r="A64"/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1:14">
      <c r="A65"/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1:14">
      <c r="A66"/>
      <c r="B66"/>
      <c r="C66"/>
      <c r="D66"/>
      <c r="E66"/>
      <c r="F66"/>
      <c r="G66"/>
      <c r="H66"/>
      <c r="I66"/>
      <c r="J66"/>
      <c r="K66"/>
      <c r="L66"/>
    </row>
    <row r="67" spans="1:14">
      <c r="A67"/>
      <c r="B67"/>
      <c r="C67"/>
      <c r="D67"/>
      <c r="E67"/>
      <c r="F67"/>
      <c r="G67"/>
      <c r="H67"/>
      <c r="I67"/>
      <c r="J67"/>
      <c r="K67"/>
      <c r="L67"/>
    </row>
    <row r="68" spans="1:14">
      <c r="A68"/>
      <c r="B68"/>
      <c r="C68"/>
      <c r="D68"/>
      <c r="E68"/>
      <c r="F68"/>
      <c r="G68"/>
      <c r="H68"/>
      <c r="I68"/>
      <c r="J68"/>
      <c r="K68"/>
      <c r="L68"/>
    </row>
    <row r="69" spans="1:14">
      <c r="A69"/>
      <c r="B69"/>
      <c r="C69"/>
      <c r="D69"/>
      <c r="E69"/>
      <c r="F69"/>
      <c r="G69"/>
      <c r="H69"/>
      <c r="I69"/>
      <c r="J69"/>
      <c r="K69"/>
      <c r="L69"/>
    </row>
    <row r="70" spans="1:14">
      <c r="A70"/>
      <c r="B70"/>
      <c r="C70"/>
      <c r="D70"/>
      <c r="E70"/>
      <c r="F70"/>
      <c r="G70"/>
      <c r="H70"/>
      <c r="I70"/>
      <c r="J70"/>
      <c r="K70"/>
      <c r="L70"/>
    </row>
    <row r="71" spans="1:14">
      <c r="A71"/>
      <c r="B71"/>
      <c r="C71"/>
      <c r="D71"/>
      <c r="E71"/>
      <c r="F71"/>
      <c r="G71"/>
      <c r="H71"/>
      <c r="I71"/>
      <c r="J71"/>
      <c r="K71"/>
      <c r="L71"/>
    </row>
    <row r="72" spans="1:14">
      <c r="A72"/>
      <c r="B72"/>
      <c r="C72"/>
      <c r="D72"/>
      <c r="E72"/>
      <c r="F72"/>
      <c r="G72"/>
      <c r="H72"/>
      <c r="I72"/>
      <c r="J72"/>
      <c r="K72"/>
      <c r="L72"/>
    </row>
    <row r="73" spans="1:14">
      <c r="A73"/>
      <c r="B73"/>
      <c r="C73"/>
      <c r="D73"/>
      <c r="E73"/>
      <c r="F73"/>
      <c r="G73"/>
      <c r="H73"/>
      <c r="I73"/>
      <c r="J73"/>
      <c r="K73"/>
      <c r="L73"/>
    </row>
    <row r="74" spans="1:14">
      <c r="A74"/>
      <c r="B74"/>
      <c r="C74"/>
      <c r="D74"/>
      <c r="E74"/>
      <c r="F74"/>
      <c r="G74"/>
      <c r="H74"/>
      <c r="I74"/>
      <c r="J74"/>
      <c r="K74"/>
      <c r="L74"/>
    </row>
    <row r="75" spans="1:14">
      <c r="A75"/>
      <c r="B75"/>
      <c r="C75"/>
      <c r="D75"/>
      <c r="E75"/>
      <c r="F75"/>
      <c r="G75"/>
      <c r="H75"/>
      <c r="I75"/>
      <c r="J75"/>
      <c r="K75"/>
      <c r="L75"/>
    </row>
    <row r="76" spans="1:14">
      <c r="A76"/>
      <c r="B76"/>
      <c r="C76"/>
      <c r="D76"/>
      <c r="E76"/>
      <c r="F76"/>
      <c r="G76"/>
      <c r="H76"/>
      <c r="I76"/>
      <c r="J76"/>
      <c r="K76"/>
      <c r="L76"/>
    </row>
    <row r="77" spans="1:14">
      <c r="A77"/>
      <c r="B77"/>
      <c r="C77"/>
      <c r="D77"/>
      <c r="E77"/>
      <c r="F77"/>
      <c r="G77"/>
      <c r="H77"/>
      <c r="I77"/>
      <c r="J77"/>
      <c r="K77"/>
      <c r="L77"/>
    </row>
    <row r="78" spans="1:14">
      <c r="A78"/>
      <c r="B78"/>
      <c r="C78"/>
      <c r="D78"/>
      <c r="E78"/>
      <c r="F78"/>
      <c r="G78"/>
      <c r="H78"/>
      <c r="I78"/>
      <c r="J78"/>
      <c r="K78"/>
      <c r="L78"/>
    </row>
    <row r="79" spans="1:14">
      <c r="A79"/>
      <c r="B79"/>
      <c r="C79"/>
      <c r="D79"/>
      <c r="E79"/>
      <c r="F79"/>
      <c r="G79"/>
      <c r="H79"/>
      <c r="I79"/>
      <c r="J79"/>
      <c r="K79"/>
      <c r="L79"/>
    </row>
    <row r="80" spans="1:14">
      <c r="A80"/>
      <c r="B80"/>
      <c r="C80"/>
      <c r="D80"/>
      <c r="E80"/>
      <c r="F80"/>
      <c r="G80"/>
      <c r="H80"/>
      <c r="I80"/>
      <c r="J80"/>
      <c r="K80"/>
      <c r="L80"/>
    </row>
    <row r="81" spans="1:12">
      <c r="A81"/>
      <c r="B81"/>
      <c r="C81"/>
      <c r="D81"/>
      <c r="E81"/>
      <c r="F81"/>
      <c r="G81"/>
      <c r="H81"/>
      <c r="I81"/>
      <c r="J81"/>
      <c r="K81"/>
      <c r="L81"/>
    </row>
    <row r="82" spans="1:12">
      <c r="A82"/>
      <c r="B82"/>
      <c r="C82"/>
      <c r="D82"/>
      <c r="E82"/>
      <c r="F82"/>
      <c r="G82"/>
      <c r="H82"/>
      <c r="I82"/>
      <c r="J82"/>
      <c r="K82"/>
      <c r="L82"/>
    </row>
    <row r="83" spans="1:12">
      <c r="A83"/>
      <c r="B83"/>
      <c r="C83"/>
      <c r="D83"/>
      <c r="E83"/>
      <c r="F83"/>
      <c r="G83"/>
      <c r="H83"/>
      <c r="I83"/>
      <c r="J83"/>
      <c r="K83"/>
      <c r="L83"/>
    </row>
    <row r="84" spans="1:12">
      <c r="A84"/>
      <c r="B84"/>
      <c r="C84"/>
      <c r="D84"/>
      <c r="E84"/>
      <c r="F84"/>
      <c r="G84"/>
      <c r="H84"/>
      <c r="I84"/>
      <c r="J84"/>
      <c r="K84"/>
      <c r="L84"/>
    </row>
    <row r="85" spans="1:12">
      <c r="A85"/>
      <c r="B85"/>
      <c r="C85"/>
      <c r="D85"/>
      <c r="E85"/>
      <c r="F85"/>
      <c r="G85"/>
      <c r="H85"/>
      <c r="I85"/>
      <c r="J85"/>
      <c r="K85"/>
      <c r="L85"/>
    </row>
    <row r="86" spans="1:12">
      <c r="A86"/>
      <c r="B86"/>
      <c r="C86"/>
      <c r="D86"/>
      <c r="E86"/>
      <c r="F86"/>
      <c r="G86"/>
      <c r="H86"/>
      <c r="I86"/>
      <c r="J86"/>
      <c r="K86"/>
      <c r="L86"/>
    </row>
    <row r="87" spans="1:12">
      <c r="A87"/>
      <c r="B87"/>
      <c r="C87"/>
      <c r="D87"/>
      <c r="E87"/>
      <c r="F87"/>
      <c r="G87"/>
      <c r="H87"/>
      <c r="I87"/>
      <c r="J87"/>
      <c r="K87"/>
      <c r="L87"/>
    </row>
    <row r="88" spans="1:12">
      <c r="A88"/>
      <c r="B88"/>
      <c r="C88"/>
      <c r="D88"/>
      <c r="E88"/>
      <c r="F88"/>
      <c r="G88"/>
      <c r="H88"/>
      <c r="I88"/>
      <c r="J88"/>
      <c r="K88"/>
      <c r="L88"/>
    </row>
    <row r="89" spans="1:12">
      <c r="A89"/>
      <c r="B89"/>
      <c r="C89"/>
      <c r="D89"/>
      <c r="E89"/>
      <c r="F89"/>
      <c r="G89"/>
      <c r="H89"/>
      <c r="I89"/>
      <c r="J89"/>
      <c r="K89"/>
      <c r="L89"/>
    </row>
    <row r="90" spans="1:12">
      <c r="A90"/>
      <c r="B90"/>
      <c r="C90"/>
      <c r="D90"/>
      <c r="E90"/>
      <c r="F90"/>
      <c r="G90"/>
      <c r="H90"/>
      <c r="I90"/>
      <c r="J90"/>
      <c r="K90"/>
      <c r="L90"/>
    </row>
    <row r="91" spans="1:12">
      <c r="A91"/>
      <c r="B91"/>
      <c r="C91"/>
      <c r="D91"/>
      <c r="E91"/>
      <c r="F91"/>
      <c r="G91"/>
      <c r="H91"/>
      <c r="I91"/>
      <c r="J91"/>
      <c r="K91"/>
      <c r="L91"/>
    </row>
    <row r="92" spans="1:12">
      <c r="A92"/>
      <c r="B92"/>
      <c r="C92"/>
      <c r="D92"/>
      <c r="E92"/>
      <c r="F92"/>
      <c r="G92"/>
      <c r="H92"/>
      <c r="I92"/>
      <c r="J92"/>
      <c r="K92"/>
      <c r="L92"/>
    </row>
    <row r="93" spans="1:12">
      <c r="A93"/>
      <c r="B93"/>
      <c r="C93"/>
      <c r="D93"/>
      <c r="E93"/>
      <c r="F93"/>
      <c r="G93"/>
      <c r="H93"/>
      <c r="I93"/>
      <c r="J93"/>
      <c r="K93"/>
      <c r="L93"/>
    </row>
    <row r="94" spans="1:12">
      <c r="A94"/>
      <c r="B94"/>
      <c r="C94"/>
      <c r="D94"/>
      <c r="E94"/>
      <c r="F94"/>
      <c r="G94"/>
      <c r="H94"/>
      <c r="I94"/>
      <c r="J94"/>
      <c r="K94"/>
      <c r="L94"/>
    </row>
    <row r="95" spans="1:12">
      <c r="A95"/>
      <c r="B95"/>
      <c r="C95"/>
      <c r="D95"/>
      <c r="E95"/>
      <c r="F95"/>
      <c r="G95"/>
      <c r="H95"/>
      <c r="I95"/>
      <c r="J95"/>
      <c r="K95"/>
      <c r="L95"/>
    </row>
    <row r="96" spans="1:12">
      <c r="A96"/>
      <c r="B96"/>
      <c r="C96"/>
      <c r="D96"/>
      <c r="E96"/>
      <c r="F96"/>
      <c r="G96"/>
      <c r="H96"/>
      <c r="I96"/>
      <c r="J96"/>
      <c r="K96"/>
      <c r="L96"/>
    </row>
  </sheetData>
  <mergeCells count="2">
    <mergeCell ref="W6:Y7"/>
    <mergeCell ref="W15:Y16"/>
  </mergeCells>
  <conditionalFormatting sqref="M1:M3 M66:M1048576">
    <cfRule type="containsText" dxfId="1" priority="1" operator="containsText" text="A COMMANDER">
      <formula>NOT(ISERROR(SEARCH("A COMMANDER",M1)))</formula>
    </cfRule>
    <cfRule type="containsText" dxfId="0" priority="2" operator="containsText" text="RUPTURE">
      <formula>NOT(ISERROR(SEARCH("RUPTURE",M1)))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64"/>
  <sheetViews>
    <sheetView workbookViewId="0">
      <selection activeCell="C34" sqref="C34"/>
    </sheetView>
  </sheetViews>
  <sheetFormatPr baseColWidth="10" defaultRowHeight="15"/>
  <cols>
    <col min="2" max="2" width="14.7109375" customWidth="1"/>
    <col min="3" max="3" width="15.28515625" customWidth="1"/>
    <col min="4" max="5" width="15.140625" customWidth="1"/>
    <col min="6" max="6" width="14.28515625" customWidth="1"/>
    <col min="7" max="7" width="13" customWidth="1"/>
    <col min="8" max="8" width="15.28515625" customWidth="1"/>
    <col min="9" max="9" width="17.28515625" customWidth="1"/>
    <col min="10" max="10" width="17.28515625" style="58" customWidth="1"/>
    <col min="11" max="12" width="17.28515625" customWidth="1"/>
    <col min="13" max="13" width="17.28515625" style="58" customWidth="1"/>
    <col min="14" max="14" width="17.42578125" customWidth="1"/>
    <col min="15" max="15" width="14" customWidth="1"/>
    <col min="16" max="16" width="11.42578125" style="117"/>
    <col min="18" max="18" width="19.42578125" customWidth="1"/>
  </cols>
  <sheetData>
    <row r="1" spans="1:18" s="2" customFormat="1" ht="30">
      <c r="A1" s="102" t="s">
        <v>77</v>
      </c>
      <c r="B1" s="102" t="s">
        <v>76</v>
      </c>
      <c r="C1" s="102" t="s">
        <v>142</v>
      </c>
      <c r="D1" s="102" t="s">
        <v>78</v>
      </c>
      <c r="E1" s="102" t="s">
        <v>22</v>
      </c>
      <c r="F1" s="102" t="s">
        <v>5</v>
      </c>
      <c r="G1" s="102" t="s">
        <v>0</v>
      </c>
      <c r="H1" s="102" t="s">
        <v>79</v>
      </c>
      <c r="I1" s="102" t="s">
        <v>90</v>
      </c>
      <c r="J1" s="102" t="s">
        <v>91</v>
      </c>
      <c r="K1" s="103" t="s">
        <v>108</v>
      </c>
      <c r="L1" s="102" t="s">
        <v>45</v>
      </c>
      <c r="M1" s="104" t="s">
        <v>103</v>
      </c>
      <c r="N1" s="105" t="s">
        <v>134</v>
      </c>
      <c r="O1" s="106" t="s">
        <v>135</v>
      </c>
      <c r="P1" s="115" t="s">
        <v>136</v>
      </c>
      <c r="Q1" s="106" t="s">
        <v>137</v>
      </c>
      <c r="R1" s="105" t="s">
        <v>138</v>
      </c>
    </row>
    <row r="2" spans="1:18" s="108" customFormat="1">
      <c r="A2"/>
      <c r="B2"/>
      <c r="C2"/>
      <c r="D2"/>
      <c r="E2"/>
      <c r="F2"/>
      <c r="G2"/>
      <c r="H2"/>
      <c r="I2"/>
      <c r="J2"/>
      <c r="K2"/>
      <c r="L2"/>
      <c r="M2"/>
      <c r="N2" s="109"/>
      <c r="O2" s="110"/>
      <c r="P2"/>
      <c r="Q2" s="114">
        <f>L2-P2</f>
        <v>0</v>
      </c>
      <c r="R2" s="109"/>
    </row>
    <row r="3" spans="1:18" s="108" customFormat="1">
      <c r="A3"/>
      <c r="B3"/>
      <c r="C3"/>
      <c r="D3"/>
      <c r="E3"/>
      <c r="F3"/>
      <c r="G3"/>
      <c r="H3"/>
      <c r="I3"/>
      <c r="J3"/>
      <c r="K3"/>
      <c r="L3"/>
      <c r="M3"/>
      <c r="N3" s="109"/>
      <c r="O3" s="110"/>
      <c r="P3"/>
      <c r="Q3" s="110"/>
      <c r="R3" s="109"/>
    </row>
    <row r="4" spans="1:18" s="108" customFormat="1">
      <c r="A4"/>
      <c r="B4"/>
      <c r="C4"/>
      <c r="D4"/>
      <c r="E4"/>
      <c r="F4"/>
      <c r="G4"/>
      <c r="H4"/>
      <c r="I4"/>
      <c r="J4"/>
      <c r="K4"/>
      <c r="L4"/>
      <c r="M4"/>
      <c r="N4" s="109"/>
      <c r="O4" s="110"/>
      <c r="P4" s="116"/>
      <c r="Q4"/>
      <c r="R4" s="109"/>
    </row>
    <row r="5" spans="1:18" s="108" customFormat="1">
      <c r="A5"/>
      <c r="B5"/>
      <c r="C5"/>
      <c r="D5"/>
      <c r="E5"/>
      <c r="F5"/>
      <c r="G5"/>
      <c r="H5"/>
      <c r="I5"/>
      <c r="J5"/>
      <c r="K5"/>
      <c r="L5"/>
      <c r="M5"/>
      <c r="N5" s="109"/>
      <c r="O5" s="110"/>
      <c r="P5" s="116"/>
      <c r="Q5" s="110"/>
      <c r="R5" s="109"/>
    </row>
    <row r="6" spans="1:18" s="108" customFormat="1">
      <c r="A6"/>
      <c r="B6"/>
      <c r="C6"/>
      <c r="D6"/>
      <c r="E6"/>
      <c r="F6"/>
      <c r="G6"/>
      <c r="H6"/>
      <c r="I6"/>
      <c r="J6"/>
      <c r="K6"/>
      <c r="L6"/>
      <c r="M6"/>
      <c r="N6" s="109"/>
      <c r="O6" s="110"/>
      <c r="P6" s="116"/>
      <c r="Q6" s="110"/>
      <c r="R6" s="109"/>
    </row>
    <row r="7" spans="1:18" s="108" customFormat="1">
      <c r="A7"/>
      <c r="B7"/>
      <c r="C7"/>
      <c r="D7"/>
      <c r="E7"/>
      <c r="F7"/>
      <c r="G7"/>
      <c r="H7"/>
      <c r="I7"/>
      <c r="J7"/>
      <c r="K7"/>
      <c r="L7"/>
      <c r="M7"/>
      <c r="N7" s="109"/>
      <c r="O7" s="110"/>
      <c r="P7" s="116"/>
      <c r="Q7" s="110"/>
      <c r="R7" s="109"/>
    </row>
    <row r="8" spans="1:18" s="108" customFormat="1">
      <c r="A8"/>
      <c r="B8"/>
      <c r="C8"/>
      <c r="D8"/>
      <c r="E8"/>
      <c r="F8"/>
      <c r="G8"/>
      <c r="H8"/>
      <c r="I8"/>
      <c r="J8"/>
      <c r="K8"/>
      <c r="L8"/>
      <c r="M8"/>
      <c r="N8" s="109"/>
      <c r="O8" s="110"/>
      <c r="P8" s="116"/>
      <c r="Q8" s="110"/>
      <c r="R8" s="109"/>
    </row>
    <row r="9" spans="1:18" s="108" customFormat="1">
      <c r="A9"/>
      <c r="B9"/>
      <c r="C9"/>
      <c r="D9"/>
      <c r="E9"/>
      <c r="F9"/>
      <c r="G9"/>
      <c r="H9"/>
      <c r="I9"/>
      <c r="J9"/>
      <c r="K9"/>
      <c r="L9"/>
      <c r="M9"/>
      <c r="N9" s="109"/>
      <c r="O9" s="110"/>
      <c r="P9" s="116"/>
      <c r="Q9" s="110"/>
      <c r="R9" s="109"/>
    </row>
    <row r="10" spans="1:18" s="108" customFormat="1">
      <c r="A10"/>
      <c r="B10"/>
      <c r="C10"/>
      <c r="D10"/>
      <c r="E10"/>
      <c r="F10"/>
      <c r="G10"/>
      <c r="H10"/>
      <c r="I10"/>
      <c r="J10"/>
      <c r="K10"/>
      <c r="L10"/>
      <c r="M10"/>
      <c r="N10" s="109"/>
      <c r="O10" s="110"/>
      <c r="P10" s="116"/>
      <c r="Q10" s="110"/>
      <c r="R10" s="109"/>
    </row>
    <row r="11" spans="1:18" s="108" customFormat="1">
      <c r="A11"/>
      <c r="B11"/>
      <c r="C11"/>
      <c r="D11"/>
      <c r="E11"/>
      <c r="F11"/>
      <c r="G11"/>
      <c r="H11"/>
      <c r="I11"/>
      <c r="J11"/>
      <c r="K11"/>
      <c r="L11"/>
      <c r="M11"/>
      <c r="N11" s="109"/>
      <c r="O11" s="110"/>
      <c r="P11" s="116"/>
      <c r="Q11" s="110"/>
      <c r="R11" s="109"/>
    </row>
    <row r="12" spans="1:18" s="108" customFormat="1">
      <c r="A12"/>
      <c r="B12"/>
      <c r="C12"/>
      <c r="D12"/>
      <c r="E12"/>
      <c r="F12"/>
      <c r="G12"/>
      <c r="H12"/>
      <c r="I12"/>
      <c r="J12"/>
      <c r="K12"/>
      <c r="L12"/>
      <c r="M12"/>
      <c r="N12" s="109"/>
      <c r="O12" s="110"/>
      <c r="P12" s="116"/>
      <c r="Q12" s="110"/>
      <c r="R12" s="109"/>
    </row>
    <row r="13" spans="1:18" s="108" customFormat="1">
      <c r="A13"/>
      <c r="B13"/>
      <c r="C13"/>
      <c r="D13"/>
      <c r="E13"/>
      <c r="F13"/>
      <c r="G13"/>
      <c r="H13"/>
      <c r="I13"/>
      <c r="J13"/>
      <c r="K13"/>
      <c r="L13"/>
      <c r="M13"/>
      <c r="N13" s="109"/>
      <c r="O13" s="110"/>
      <c r="P13" s="116"/>
      <c r="Q13" s="110"/>
      <c r="R13" s="109"/>
    </row>
    <row r="14" spans="1:18" s="108" customFormat="1">
      <c r="A14"/>
      <c r="B14"/>
      <c r="C14"/>
      <c r="D14"/>
      <c r="E14"/>
      <c r="F14"/>
      <c r="G14"/>
      <c r="H14"/>
      <c r="I14"/>
      <c r="J14"/>
      <c r="K14"/>
      <c r="L14"/>
      <c r="M14"/>
      <c r="N14" s="109"/>
      <c r="O14" s="110"/>
      <c r="P14" s="116"/>
      <c r="Q14" s="110"/>
      <c r="R14" s="109"/>
    </row>
    <row r="15" spans="1:18" s="108" customFormat="1">
      <c r="A15"/>
      <c r="B15"/>
      <c r="C15"/>
      <c r="D15"/>
      <c r="E15"/>
      <c r="F15"/>
      <c r="G15"/>
      <c r="H15"/>
      <c r="I15"/>
      <c r="J15"/>
      <c r="K15"/>
      <c r="L15"/>
      <c r="M15"/>
      <c r="N15" s="109"/>
      <c r="O15" s="110"/>
      <c r="P15" s="116"/>
      <c r="Q15" s="110"/>
      <c r="R15" s="109"/>
    </row>
    <row r="16" spans="1:18" s="108" customFormat="1">
      <c r="A16"/>
      <c r="B16"/>
      <c r="C16"/>
      <c r="D16"/>
      <c r="E16"/>
      <c r="F16"/>
      <c r="G16"/>
      <c r="H16"/>
      <c r="I16"/>
      <c r="J16"/>
      <c r="K16"/>
      <c r="L16"/>
      <c r="M16"/>
      <c r="N16" s="109"/>
      <c r="O16" s="110"/>
      <c r="P16" s="116"/>
      <c r="Q16" s="110"/>
      <c r="R16" s="109"/>
    </row>
    <row r="17" spans="1:18" s="108" customFormat="1">
      <c r="A17"/>
      <c r="B17"/>
      <c r="C17"/>
      <c r="D17"/>
      <c r="E17"/>
      <c r="F17"/>
      <c r="G17"/>
      <c r="H17"/>
      <c r="I17"/>
      <c r="J17"/>
      <c r="K17"/>
      <c r="L17"/>
      <c r="M17"/>
      <c r="N17" s="109"/>
      <c r="O17" s="110"/>
      <c r="P17" s="116"/>
      <c r="Q17" s="110"/>
      <c r="R17" s="109"/>
    </row>
    <row r="18" spans="1:18" s="108" customFormat="1">
      <c r="A18"/>
      <c r="B18"/>
      <c r="C18"/>
      <c r="D18"/>
      <c r="E18"/>
      <c r="F18"/>
      <c r="G18"/>
      <c r="H18"/>
      <c r="I18"/>
      <c r="J18"/>
      <c r="K18"/>
      <c r="L18"/>
      <c r="M18"/>
      <c r="N18" s="109"/>
      <c r="O18" s="110"/>
      <c r="P18" s="116"/>
      <c r="Q18" s="110"/>
      <c r="R18" s="109"/>
    </row>
    <row r="19" spans="1:18" s="108" customFormat="1">
      <c r="A19"/>
      <c r="B19"/>
      <c r="C19"/>
      <c r="D19"/>
      <c r="E19"/>
      <c r="F19"/>
      <c r="G19"/>
      <c r="H19"/>
      <c r="I19"/>
      <c r="J19"/>
      <c r="K19"/>
      <c r="L19"/>
      <c r="M19"/>
      <c r="N19" s="109"/>
      <c r="O19" s="110"/>
      <c r="P19" s="116"/>
      <c r="Q19" s="110"/>
      <c r="R19" s="109"/>
    </row>
    <row r="20" spans="1:18" s="108" customFormat="1">
      <c r="A20"/>
      <c r="B20"/>
      <c r="C20"/>
      <c r="D20"/>
      <c r="E20"/>
      <c r="F20"/>
      <c r="G20"/>
      <c r="H20"/>
      <c r="I20"/>
      <c r="J20"/>
      <c r="K20"/>
      <c r="L20"/>
      <c r="M20"/>
      <c r="N20" s="109"/>
      <c r="O20" s="110"/>
      <c r="P20" s="116"/>
      <c r="Q20" s="110"/>
      <c r="R20" s="109"/>
    </row>
    <row r="21" spans="1:18" s="108" customFormat="1">
      <c r="A21"/>
      <c r="B21"/>
      <c r="C21"/>
      <c r="D21"/>
      <c r="E21"/>
      <c r="F21"/>
      <c r="G21"/>
      <c r="H21"/>
      <c r="I21"/>
      <c r="J21"/>
      <c r="K21"/>
      <c r="L21"/>
      <c r="M21"/>
      <c r="N21" s="109"/>
      <c r="O21" s="110"/>
      <c r="P21" s="116"/>
      <c r="Q21" s="110"/>
      <c r="R21" s="109"/>
    </row>
    <row r="22" spans="1:18" s="108" customFormat="1">
      <c r="A22"/>
      <c r="B22"/>
      <c r="C22"/>
      <c r="D22"/>
      <c r="E22"/>
      <c r="F22"/>
      <c r="G22"/>
      <c r="H22"/>
      <c r="I22"/>
      <c r="J22"/>
      <c r="K22"/>
      <c r="L22"/>
      <c r="M22"/>
      <c r="N22" s="109"/>
      <c r="O22" s="110"/>
      <c r="P22" s="116"/>
      <c r="Q22" s="110"/>
      <c r="R22" s="109"/>
    </row>
    <row r="23" spans="1:18" s="108" customFormat="1">
      <c r="A23"/>
      <c r="B23"/>
      <c r="C23"/>
      <c r="D23"/>
      <c r="E23"/>
      <c r="F23"/>
      <c r="G23"/>
      <c r="H23"/>
      <c r="I23"/>
      <c r="J23"/>
      <c r="K23"/>
      <c r="L23"/>
      <c r="M23"/>
      <c r="N23" s="109"/>
      <c r="O23" s="110"/>
      <c r="P23" s="116"/>
      <c r="Q23" s="110"/>
      <c r="R23" s="109"/>
    </row>
    <row r="24" spans="1:18" s="108" customFormat="1">
      <c r="A24"/>
      <c r="B24"/>
      <c r="C24"/>
      <c r="D24"/>
      <c r="E24"/>
      <c r="F24"/>
      <c r="G24"/>
      <c r="H24"/>
      <c r="I24"/>
      <c r="J24"/>
      <c r="K24"/>
      <c r="L24"/>
      <c r="M24"/>
      <c r="N24" s="109"/>
      <c r="O24" s="110"/>
      <c r="P24" s="116"/>
      <c r="Q24" s="110"/>
      <c r="R24" s="109"/>
    </row>
    <row r="25" spans="1:18" s="108" customFormat="1">
      <c r="A25"/>
      <c r="B25"/>
      <c r="C25"/>
      <c r="D25"/>
      <c r="E25"/>
      <c r="F25"/>
      <c r="G25"/>
      <c r="H25"/>
      <c r="I25"/>
      <c r="J25"/>
      <c r="K25"/>
      <c r="L25"/>
      <c r="M25"/>
      <c r="N25" s="109"/>
      <c r="O25" s="110"/>
      <c r="P25" s="116"/>
      <c r="Q25" s="110"/>
      <c r="R25" s="109"/>
    </row>
    <row r="26" spans="1:18" s="108" customFormat="1">
      <c r="A26"/>
      <c r="B26"/>
      <c r="C26"/>
      <c r="D26"/>
      <c r="E26"/>
      <c r="F26"/>
      <c r="G26"/>
      <c r="H26"/>
      <c r="I26"/>
      <c r="J26"/>
      <c r="K26"/>
      <c r="L26"/>
      <c r="M26"/>
      <c r="N26" s="109"/>
      <c r="O26" s="110"/>
      <c r="P26"/>
      <c r="Q26"/>
      <c r="R26"/>
    </row>
    <row r="27" spans="1:18" s="58" customFormat="1">
      <c r="A27"/>
      <c r="B27"/>
      <c r="C27"/>
      <c r="D27"/>
      <c r="E27"/>
      <c r="F27"/>
      <c r="G27"/>
      <c r="H27"/>
      <c r="I27"/>
      <c r="J27"/>
      <c r="K27"/>
      <c r="L27"/>
      <c r="M27"/>
      <c r="P27"/>
      <c r="Q27"/>
      <c r="R27"/>
    </row>
    <row r="28" spans="1:18" s="58" customFormat="1">
      <c r="A28"/>
      <c r="B28"/>
      <c r="C28"/>
      <c r="D28"/>
      <c r="E28"/>
      <c r="F28"/>
      <c r="G28"/>
      <c r="H28"/>
      <c r="I28"/>
      <c r="J28"/>
      <c r="K28"/>
      <c r="L28"/>
      <c r="M28"/>
      <c r="P28"/>
      <c r="Q28"/>
      <c r="R28"/>
    </row>
    <row r="29" spans="1:18" s="58" customFormat="1">
      <c r="A29"/>
      <c r="B29"/>
      <c r="C29"/>
      <c r="D29"/>
      <c r="E29"/>
      <c r="F29"/>
      <c r="G29"/>
      <c r="H29"/>
      <c r="I29"/>
      <c r="J29"/>
      <c r="K29"/>
      <c r="L29"/>
      <c r="M29"/>
      <c r="P29"/>
      <c r="Q29"/>
      <c r="R29"/>
    </row>
    <row r="30" spans="1:18" s="58" customFormat="1">
      <c r="A30"/>
      <c r="B30"/>
      <c r="C30"/>
      <c r="D30"/>
      <c r="E30"/>
      <c r="F30"/>
      <c r="G30"/>
      <c r="H30"/>
      <c r="I30"/>
      <c r="J30"/>
      <c r="K30"/>
      <c r="L30"/>
      <c r="M30"/>
      <c r="P30"/>
      <c r="Q30"/>
      <c r="R30"/>
    </row>
    <row r="31" spans="1:18" s="58" customFormat="1">
      <c r="A31"/>
      <c r="B31"/>
      <c r="C31"/>
      <c r="D31"/>
      <c r="E31"/>
      <c r="F31"/>
      <c r="G31"/>
      <c r="H31"/>
      <c r="I31"/>
      <c r="J31"/>
      <c r="K31"/>
      <c r="L31"/>
      <c r="M31"/>
      <c r="P31"/>
      <c r="Q31"/>
      <c r="R31"/>
    </row>
    <row r="32" spans="1:18" s="58" customFormat="1">
      <c r="A32"/>
      <c r="B32"/>
      <c r="C32"/>
      <c r="D32"/>
      <c r="E32"/>
      <c r="F32"/>
      <c r="G32"/>
      <c r="H32"/>
      <c r="I32"/>
      <c r="J32"/>
      <c r="K32"/>
      <c r="L32"/>
      <c r="M32"/>
      <c r="P32"/>
      <c r="Q32"/>
      <c r="R32"/>
    </row>
    <row r="33" spans="1:18" s="58" customFormat="1">
      <c r="A33"/>
      <c r="B33"/>
      <c r="C33"/>
      <c r="D33"/>
      <c r="E33"/>
      <c r="F33"/>
      <c r="G33"/>
      <c r="H33"/>
      <c r="I33"/>
      <c r="J33"/>
      <c r="K33"/>
      <c r="L33"/>
      <c r="M33"/>
      <c r="P33"/>
      <c r="Q33"/>
      <c r="R33"/>
    </row>
    <row r="34" spans="1:18" s="58" customFormat="1">
      <c r="A34"/>
      <c r="B34"/>
      <c r="C34"/>
      <c r="D34"/>
      <c r="E34"/>
      <c r="F34"/>
      <c r="G34"/>
      <c r="H34"/>
      <c r="I34"/>
      <c r="J34"/>
      <c r="K34"/>
      <c r="L34"/>
      <c r="M34"/>
      <c r="P34"/>
      <c r="Q34"/>
      <c r="R34"/>
    </row>
    <row r="35" spans="1:18" s="58" customFormat="1">
      <c r="A35"/>
      <c r="B35"/>
      <c r="C35"/>
      <c r="D35"/>
      <c r="E35"/>
      <c r="F35"/>
      <c r="G35"/>
      <c r="H35"/>
      <c r="I35"/>
      <c r="J35"/>
      <c r="K35"/>
      <c r="L35"/>
      <c r="M35"/>
      <c r="O35" s="92"/>
      <c r="P35"/>
      <c r="Q35"/>
      <c r="R35"/>
    </row>
    <row r="36" spans="1:18" s="58" customFormat="1">
      <c r="A36"/>
      <c r="B36"/>
      <c r="C36"/>
      <c r="D36"/>
      <c r="E36"/>
      <c r="F36"/>
      <c r="G36"/>
      <c r="H36"/>
      <c r="I36"/>
      <c r="J36"/>
      <c r="K36"/>
      <c r="L36"/>
      <c r="M36"/>
      <c r="P36"/>
      <c r="Q36"/>
      <c r="R36"/>
    </row>
    <row r="37" spans="1:18" s="58" customFormat="1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</row>
    <row r="38" spans="1:18" s="58" customFormat="1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</row>
    <row r="39" spans="1:18">
      <c r="J39"/>
      <c r="M39"/>
      <c r="P39"/>
    </row>
    <row r="40" spans="1:18">
      <c r="J40"/>
      <c r="M40"/>
      <c r="P40"/>
    </row>
    <row r="41" spans="1:18">
      <c r="J41"/>
      <c r="M41"/>
    </row>
    <row r="52" spans="6:11">
      <c r="F52" s="58"/>
    </row>
    <row r="64" spans="6:11">
      <c r="I64" s="58"/>
      <c r="K64" s="58"/>
    </row>
  </sheetData>
  <autoFilter ref="A1:M40">
    <filterColumn colId="4"/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X75"/>
  <sheetViews>
    <sheetView topLeftCell="N1" zoomScaleNormal="100" workbookViewId="0">
      <pane xSplit="24465" ySplit="12300" topLeftCell="V14"/>
      <selection activeCell="Y14" sqref="Y14"/>
      <selection pane="topRight" activeCell="W19" sqref="W19"/>
      <selection pane="bottomLeft" activeCell="C14" sqref="C14"/>
      <selection pane="bottomRight" activeCell="E14" sqref="E14"/>
    </sheetView>
  </sheetViews>
  <sheetFormatPr baseColWidth="10" defaultRowHeight="15"/>
  <cols>
    <col min="1" max="1" width="8.5703125" style="171" customWidth="1"/>
    <col min="2" max="2" width="11.7109375" style="141" customWidth="1"/>
    <col min="3" max="3" width="15.85546875" style="141" customWidth="1"/>
    <col min="4" max="4" width="18.42578125" style="141" customWidth="1"/>
    <col min="5" max="5" width="16.42578125" style="141" customWidth="1"/>
    <col min="6" max="6" width="7.5703125" style="141" customWidth="1"/>
    <col min="7" max="7" width="16.28515625" style="141" customWidth="1"/>
    <col min="8" max="8" width="14" style="141" bestFit="1" customWidth="1"/>
    <col min="9" max="9" width="17.7109375" style="141" customWidth="1"/>
    <col min="10" max="10" width="6.42578125" style="141" customWidth="1"/>
    <col min="11" max="11" width="14.7109375" style="141" customWidth="1"/>
    <col min="12" max="12" width="13.42578125" style="141" customWidth="1"/>
    <col min="13" max="14" width="14" style="141" bestFit="1" customWidth="1"/>
    <col min="15" max="15" width="19.7109375" style="141" customWidth="1"/>
    <col min="16" max="16" width="17.5703125" style="141" customWidth="1"/>
    <col min="17" max="17" width="10.140625" style="141" customWidth="1"/>
    <col min="18" max="20" width="7.140625" style="146" customWidth="1"/>
    <col min="21" max="21" width="40.85546875" style="137" customWidth="1"/>
    <col min="22" max="24" width="7" customWidth="1"/>
  </cols>
  <sheetData>
    <row r="1" spans="1:24" s="127" customFormat="1">
      <c r="A1" s="143" t="s">
        <v>22</v>
      </c>
      <c r="B1" s="144" t="s">
        <v>6</v>
      </c>
      <c r="C1" s="144" t="s">
        <v>5</v>
      </c>
      <c r="D1" s="144" t="s">
        <v>2</v>
      </c>
      <c r="E1" s="144" t="s">
        <v>30</v>
      </c>
      <c r="F1" s="144" t="s">
        <v>7</v>
      </c>
      <c r="G1" s="144" t="s">
        <v>3</v>
      </c>
      <c r="H1" s="144" t="s">
        <v>4</v>
      </c>
      <c r="I1" s="144" t="s">
        <v>26</v>
      </c>
      <c r="J1" s="144" t="s">
        <v>23</v>
      </c>
      <c r="K1" s="144" t="s">
        <v>0</v>
      </c>
      <c r="L1" s="144" t="s">
        <v>1</v>
      </c>
      <c r="M1" s="144" t="s">
        <v>24</v>
      </c>
      <c r="N1" s="144" t="s">
        <v>25</v>
      </c>
      <c r="O1" s="144" t="s">
        <v>27</v>
      </c>
      <c r="P1" s="145" t="s">
        <v>141</v>
      </c>
      <c r="Q1" s="145" t="s">
        <v>9</v>
      </c>
      <c r="R1" s="146"/>
      <c r="S1" s="146"/>
      <c r="T1" s="146"/>
      <c r="U1" s="139" t="s">
        <v>166</v>
      </c>
      <c r="V1" s="128"/>
      <c r="W1" s="128"/>
      <c r="X1" s="128"/>
    </row>
    <row r="2" spans="1:24" s="129" customFormat="1">
      <c r="A2" s="147">
        <v>20</v>
      </c>
      <c r="B2" s="148">
        <v>42410</v>
      </c>
      <c r="C2" s="149" t="s">
        <v>270</v>
      </c>
      <c r="D2" s="149" t="s">
        <v>305</v>
      </c>
      <c r="E2" s="149" t="s">
        <v>275</v>
      </c>
      <c r="F2" s="150">
        <v>88000</v>
      </c>
      <c r="G2" s="149" t="s">
        <v>274</v>
      </c>
      <c r="H2" s="151" t="s">
        <v>276</v>
      </c>
      <c r="I2" s="149" t="s">
        <v>269</v>
      </c>
      <c r="J2" s="149" t="s">
        <v>28</v>
      </c>
      <c r="K2" s="149" t="s">
        <v>278</v>
      </c>
      <c r="L2" s="149" t="s">
        <v>272</v>
      </c>
      <c r="M2" s="151" t="s">
        <v>273</v>
      </c>
      <c r="N2" s="151"/>
      <c r="O2" s="149" t="s">
        <v>277</v>
      </c>
      <c r="P2" s="152">
        <f>SUMIF('Historique de factures'!$E:$E,Clients!A2,'Historique de factures'!$L:$L)</f>
        <v>0</v>
      </c>
      <c r="Q2" s="153">
        <f>COUNTIF('Historique de factures'!$E:$E,Clients!A2)</f>
        <v>0</v>
      </c>
      <c r="R2" s="154"/>
      <c r="S2" s="154"/>
      <c r="T2" s="154"/>
      <c r="U2" s="130" t="str">
        <f>K2&amp;" "&amp;L2</f>
        <v>JHSFGJT Gdjndgh</v>
      </c>
      <c r="V2" s="128"/>
      <c r="W2" s="128"/>
      <c r="X2" s="128"/>
    </row>
    <row r="3" spans="1:24">
      <c r="A3" s="147">
        <v>19</v>
      </c>
      <c r="B3" s="148">
        <v>42706</v>
      </c>
      <c r="C3" s="149" t="s">
        <v>267</v>
      </c>
      <c r="D3" s="149" t="s">
        <v>280</v>
      </c>
      <c r="E3" s="149" t="s">
        <v>264</v>
      </c>
      <c r="F3" s="150">
        <v>88000</v>
      </c>
      <c r="G3" s="149" t="s">
        <v>268</v>
      </c>
      <c r="H3" s="151" t="s">
        <v>265</v>
      </c>
      <c r="I3" s="149" t="s">
        <v>266</v>
      </c>
      <c r="J3" s="149" t="s">
        <v>146</v>
      </c>
      <c r="K3" s="149" t="s">
        <v>146</v>
      </c>
      <c r="L3" s="149" t="s">
        <v>146</v>
      </c>
      <c r="M3" s="151" t="s">
        <v>265</v>
      </c>
      <c r="N3" s="151" t="s">
        <v>265</v>
      </c>
      <c r="O3" s="149" t="s">
        <v>146</v>
      </c>
      <c r="P3" s="152">
        <f>SUMIF('Historique de factures'!$E:$E,Clients!A3,'Historique de factures'!$L:$L)</f>
        <v>0</v>
      </c>
      <c r="Q3" s="153">
        <f>COUNTIF('Historique de factures'!$E:$E,Clients!A3)</f>
        <v>0</v>
      </c>
      <c r="R3" s="154"/>
      <c r="S3" s="154"/>
      <c r="T3" s="154"/>
      <c r="U3" s="130" t="str">
        <f>K3&amp;" "&amp;L3</f>
        <v xml:space="preserve"> </v>
      </c>
      <c r="V3" s="122"/>
      <c r="W3" s="122"/>
      <c r="X3" s="122"/>
    </row>
    <row r="4" spans="1:24">
      <c r="A4" s="147">
        <v>20</v>
      </c>
      <c r="B4" s="148">
        <v>42705</v>
      </c>
      <c r="C4" s="149" t="s">
        <v>270</v>
      </c>
      <c r="D4" s="149" t="s">
        <v>271</v>
      </c>
      <c r="E4" s="149" t="s">
        <v>275</v>
      </c>
      <c r="F4" s="150">
        <v>88000</v>
      </c>
      <c r="G4" s="149" t="s">
        <v>274</v>
      </c>
      <c r="H4" s="151" t="s">
        <v>276</v>
      </c>
      <c r="I4" s="149" t="s">
        <v>269</v>
      </c>
      <c r="J4" s="149" t="s">
        <v>28</v>
      </c>
      <c r="K4" s="149" t="s">
        <v>278</v>
      </c>
      <c r="L4" s="149" t="s">
        <v>272</v>
      </c>
      <c r="M4" s="151" t="s">
        <v>273</v>
      </c>
      <c r="N4" s="151"/>
      <c r="O4" s="149" t="s">
        <v>277</v>
      </c>
      <c r="P4" s="152">
        <f>SUMIF('Historique de factures'!$E:$E,Clients!A4,'Historique de factures'!$L:$L)</f>
        <v>0</v>
      </c>
      <c r="Q4" s="153">
        <f>COUNTIF('Historique de factures'!$E:$E,Clients!A4)</f>
        <v>0</v>
      </c>
      <c r="R4" s="154"/>
      <c r="S4" s="154"/>
      <c r="T4" s="154"/>
      <c r="U4" s="130" t="str">
        <f>K4&amp;" "&amp;L4</f>
        <v>JHSFGJT Gdjndgh</v>
      </c>
      <c r="V4" s="122"/>
      <c r="W4" s="122"/>
      <c r="X4" s="122"/>
    </row>
    <row r="5" spans="1:24">
      <c r="A5" s="147">
        <v>19</v>
      </c>
      <c r="B5" s="148">
        <v>42412</v>
      </c>
      <c r="C5" s="149" t="s">
        <v>267</v>
      </c>
      <c r="D5" s="149" t="s">
        <v>263</v>
      </c>
      <c r="E5" s="149" t="s">
        <v>264</v>
      </c>
      <c r="F5" s="150">
        <v>88000</v>
      </c>
      <c r="G5" s="149" t="s">
        <v>268</v>
      </c>
      <c r="H5" s="151" t="s">
        <v>265</v>
      </c>
      <c r="I5" s="149" t="s">
        <v>266</v>
      </c>
      <c r="J5" s="149"/>
      <c r="K5" s="149"/>
      <c r="L5" s="149"/>
      <c r="M5" s="151" t="s">
        <v>265</v>
      </c>
      <c r="N5" s="151" t="s">
        <v>265</v>
      </c>
      <c r="O5" s="149" t="s">
        <v>146</v>
      </c>
      <c r="P5" s="152">
        <f>SUMIF('Historique de factures'!$E:$E,Clients!A5,'Historique de factures'!$L:$L)</f>
        <v>0</v>
      </c>
      <c r="Q5" s="153">
        <f>COUNTIF('Historique de factures'!$E:$E,Clients!A5)</f>
        <v>0</v>
      </c>
      <c r="R5" s="154"/>
      <c r="S5" s="154"/>
      <c r="T5" s="154"/>
      <c r="U5" s="130" t="str">
        <f>K5&amp;" "&amp;L5</f>
        <v xml:space="preserve"> </v>
      </c>
      <c r="V5" s="122"/>
      <c r="W5" s="122"/>
      <c r="X5" s="122"/>
    </row>
    <row r="6" spans="1:24">
      <c r="A6" s="147">
        <v>32</v>
      </c>
      <c r="B6" s="148">
        <v>42705</v>
      </c>
      <c r="C6" s="149" t="s">
        <v>260</v>
      </c>
      <c r="D6" s="149" t="s">
        <v>255</v>
      </c>
      <c r="E6" s="149" t="s">
        <v>256</v>
      </c>
      <c r="F6" s="150">
        <v>55000</v>
      </c>
      <c r="G6" s="149" t="s">
        <v>262</v>
      </c>
      <c r="H6" s="151" t="s">
        <v>257</v>
      </c>
      <c r="I6" s="149" t="s">
        <v>258</v>
      </c>
      <c r="J6" s="149" t="s">
        <v>28</v>
      </c>
      <c r="K6" s="149" t="s">
        <v>261</v>
      </c>
      <c r="L6" s="149" t="s">
        <v>287</v>
      </c>
      <c r="M6" s="151" t="s">
        <v>259</v>
      </c>
      <c r="N6" s="151"/>
      <c r="O6" s="149" t="s">
        <v>146</v>
      </c>
      <c r="P6" s="155"/>
      <c r="Q6" s="153"/>
      <c r="R6" s="154"/>
      <c r="S6" s="154"/>
      <c r="T6" s="154"/>
      <c r="U6" s="130"/>
      <c r="V6" s="172"/>
      <c r="W6" s="172"/>
      <c r="X6" s="172"/>
    </row>
    <row r="7" spans="1:24">
      <c r="A7" s="147">
        <v>17</v>
      </c>
      <c r="B7" s="148">
        <v>42705</v>
      </c>
      <c r="C7" s="149" t="s">
        <v>251</v>
      </c>
      <c r="D7" s="149" t="s">
        <v>247</v>
      </c>
      <c r="E7" s="149" t="s">
        <v>248</v>
      </c>
      <c r="F7" s="150" t="s">
        <v>249</v>
      </c>
      <c r="G7" s="149" t="s">
        <v>253</v>
      </c>
      <c r="H7" s="151" t="s">
        <v>250</v>
      </c>
      <c r="I7" s="149" t="s">
        <v>146</v>
      </c>
      <c r="J7" s="149" t="s">
        <v>28</v>
      </c>
      <c r="K7" s="149" t="s">
        <v>252</v>
      </c>
      <c r="L7" s="149" t="s">
        <v>254</v>
      </c>
      <c r="M7" s="149" t="s">
        <v>146</v>
      </c>
      <c r="N7" s="149" t="s">
        <v>146</v>
      </c>
      <c r="O7" s="149" t="s">
        <v>146</v>
      </c>
      <c r="P7" s="155"/>
      <c r="Q7" s="153"/>
      <c r="R7" s="154"/>
      <c r="S7" s="154"/>
      <c r="T7" s="154"/>
      <c r="U7" s="130"/>
      <c r="V7" s="204" t="s">
        <v>162</v>
      </c>
      <c r="W7" s="204"/>
      <c r="X7" s="204"/>
    </row>
    <row r="8" spans="1:24">
      <c r="A8" s="131">
        <v>16</v>
      </c>
      <c r="B8" s="148">
        <v>42709</v>
      </c>
      <c r="C8" s="149" t="s">
        <v>217</v>
      </c>
      <c r="D8" s="149" t="s">
        <v>279</v>
      </c>
      <c r="E8" s="149" t="s">
        <v>282</v>
      </c>
      <c r="F8" s="150">
        <v>88000</v>
      </c>
      <c r="G8" s="149" t="s">
        <v>239</v>
      </c>
      <c r="H8" s="151" t="s">
        <v>244</v>
      </c>
      <c r="I8" s="149" t="s">
        <v>221</v>
      </c>
      <c r="J8" s="149" t="s">
        <v>31</v>
      </c>
      <c r="K8" s="149" t="s">
        <v>238</v>
      </c>
      <c r="L8" s="149" t="s">
        <v>240</v>
      </c>
      <c r="M8" s="151" t="s">
        <v>245</v>
      </c>
      <c r="N8" s="151" t="s">
        <v>246</v>
      </c>
      <c r="O8" s="149" t="s">
        <v>224</v>
      </c>
      <c r="P8" s="152">
        <f>SUMIF('Historique de factures'!$E:$E,Clients!A8,'Historique de factures'!$L:$L)</f>
        <v>0</v>
      </c>
      <c r="Q8" s="156">
        <f>COUNTIF('Historique de factures'!$E:$E,Clients!A8)</f>
        <v>0</v>
      </c>
      <c r="R8" s="154"/>
      <c r="S8" s="154"/>
      <c r="T8" s="154"/>
      <c r="U8" s="140" t="str">
        <f t="shared" ref="U8:U19" si="0">K8&amp;" "&amp;L8</f>
        <v>MALUDR Gggiiiigg</v>
      </c>
    </row>
    <row r="9" spans="1:24">
      <c r="A9" s="131">
        <v>15</v>
      </c>
      <c r="B9" s="148" t="s">
        <v>232</v>
      </c>
      <c r="C9" s="149" t="s">
        <v>217</v>
      </c>
      <c r="D9" s="149" t="s">
        <v>233</v>
      </c>
      <c r="E9" s="149" t="s">
        <v>234</v>
      </c>
      <c r="F9" s="150">
        <v>54200</v>
      </c>
      <c r="G9" s="149" t="s">
        <v>239</v>
      </c>
      <c r="H9" s="151">
        <v>383642536</v>
      </c>
      <c r="I9" s="149" t="s">
        <v>221</v>
      </c>
      <c r="J9" s="149" t="s">
        <v>29</v>
      </c>
      <c r="K9" s="149" t="s">
        <v>238</v>
      </c>
      <c r="L9" s="149" t="s">
        <v>240</v>
      </c>
      <c r="M9" s="151">
        <v>383645263</v>
      </c>
      <c r="N9" s="151">
        <v>670682130</v>
      </c>
      <c r="O9" s="149" t="s">
        <v>224</v>
      </c>
      <c r="P9" s="152">
        <f>SUMIF('Historique de factures'!$E:$E,Clients!A9,'Historique de factures'!$L:$L)</f>
        <v>0</v>
      </c>
      <c r="Q9" s="156">
        <f>COUNTIF('Historique de factures'!$E:$E,Clients!A9)</f>
        <v>0</v>
      </c>
      <c r="R9" s="154"/>
      <c r="S9" s="154"/>
      <c r="T9" s="154"/>
      <c r="U9" s="140" t="str">
        <f t="shared" si="0"/>
        <v>MALUDR Gggiiiigg</v>
      </c>
      <c r="V9" s="173"/>
      <c r="W9" s="173"/>
      <c r="X9" s="173"/>
    </row>
    <row r="10" spans="1:24">
      <c r="A10" s="131">
        <v>14</v>
      </c>
      <c r="B10" s="148" t="s">
        <v>232</v>
      </c>
      <c r="C10" s="149" t="s">
        <v>217</v>
      </c>
      <c r="D10" s="149" t="s">
        <v>233</v>
      </c>
      <c r="E10" s="149" t="s">
        <v>234</v>
      </c>
      <c r="F10" s="150" t="s">
        <v>226</v>
      </c>
      <c r="G10" s="149" t="s">
        <v>239</v>
      </c>
      <c r="H10" s="151" t="s">
        <v>242</v>
      </c>
      <c r="I10" s="149" t="s">
        <v>221</v>
      </c>
      <c r="J10" s="149" t="s">
        <v>29</v>
      </c>
      <c r="K10" s="149" t="s">
        <v>238</v>
      </c>
      <c r="L10" s="149" t="s">
        <v>240</v>
      </c>
      <c r="M10" s="151" t="s">
        <v>243</v>
      </c>
      <c r="N10" s="151" t="s">
        <v>230</v>
      </c>
      <c r="O10" s="149" t="s">
        <v>224</v>
      </c>
      <c r="P10" s="152">
        <f>SUMIF('Historique de factures'!$E:$E,Clients!A10,'Historique de factures'!$L:$L)</f>
        <v>0</v>
      </c>
      <c r="Q10" s="156">
        <f>COUNTIF('Historique de factures'!$E:$E,Clients!A10)</f>
        <v>0</v>
      </c>
      <c r="R10" s="154"/>
      <c r="S10" s="154"/>
      <c r="T10" s="154"/>
      <c r="U10" s="140" t="str">
        <f t="shared" si="0"/>
        <v>MALUDR Gggiiiigg</v>
      </c>
      <c r="V10" s="173"/>
      <c r="W10" s="173"/>
      <c r="X10" s="173"/>
    </row>
    <row r="11" spans="1:24">
      <c r="A11" s="131">
        <v>13</v>
      </c>
      <c r="B11" s="148">
        <v>42717</v>
      </c>
      <c r="C11" s="149" t="s">
        <v>217</v>
      </c>
      <c r="D11" s="149" t="s">
        <v>233</v>
      </c>
      <c r="E11" s="149" t="s">
        <v>234</v>
      </c>
      <c r="F11" s="150" t="s">
        <v>146</v>
      </c>
      <c r="G11" s="149" t="s">
        <v>239</v>
      </c>
      <c r="H11" s="151" t="s">
        <v>146</v>
      </c>
      <c r="I11" s="149" t="s">
        <v>221</v>
      </c>
      <c r="J11" s="149" t="s">
        <v>29</v>
      </c>
      <c r="K11" s="149" t="s">
        <v>238</v>
      </c>
      <c r="L11" s="149" t="s">
        <v>240</v>
      </c>
      <c r="M11" s="151" t="s">
        <v>241</v>
      </c>
      <c r="N11" s="151" t="s">
        <v>146</v>
      </c>
      <c r="O11" s="149" t="s">
        <v>146</v>
      </c>
      <c r="P11" s="152">
        <f>SUMIF('Historique de factures'!$E:$E,Clients!A11,'Historique de factures'!$L:$L)</f>
        <v>0</v>
      </c>
      <c r="Q11" s="156">
        <f>COUNTIF('Historique de factures'!$E:$E,Clients!A11)</f>
        <v>0</v>
      </c>
      <c r="R11" s="154"/>
      <c r="S11" s="154"/>
      <c r="T11" s="154"/>
      <c r="U11" s="140" t="str">
        <f t="shared" si="0"/>
        <v>MALUDR Gggiiiigg</v>
      </c>
      <c r="V11" s="125"/>
      <c r="W11" s="125"/>
      <c r="X11" s="125"/>
    </row>
    <row r="12" spans="1:24">
      <c r="A12" s="131">
        <v>12</v>
      </c>
      <c r="B12" s="148" t="s">
        <v>232</v>
      </c>
      <c r="C12" s="149" t="s">
        <v>217</v>
      </c>
      <c r="D12" s="149" t="s">
        <v>233</v>
      </c>
      <c r="E12" s="149" t="s">
        <v>234</v>
      </c>
      <c r="F12" s="150" t="s">
        <v>226</v>
      </c>
      <c r="G12" s="149" t="s">
        <v>239</v>
      </c>
      <c r="H12" s="151" t="s">
        <v>235</v>
      </c>
      <c r="I12" s="149" t="s">
        <v>221</v>
      </c>
      <c r="J12" s="149" t="s">
        <v>29</v>
      </c>
      <c r="K12" s="149" t="s">
        <v>238</v>
      </c>
      <c r="L12" s="149" t="s">
        <v>240</v>
      </c>
      <c r="M12" s="151" t="s">
        <v>236</v>
      </c>
      <c r="N12" s="151" t="s">
        <v>237</v>
      </c>
      <c r="O12" s="149" t="s">
        <v>224</v>
      </c>
      <c r="P12" s="152">
        <f>SUMIF('Historique de factures'!$E:$E,Clients!A12,'Historique de factures'!$L:$L)</f>
        <v>0</v>
      </c>
      <c r="Q12" s="156">
        <f>COUNTIF('Historique de factures'!$E:$E,Clients!A12)</f>
        <v>0</v>
      </c>
      <c r="R12" s="154"/>
      <c r="S12" s="154"/>
      <c r="T12" s="154"/>
      <c r="U12" s="140" t="str">
        <f t="shared" si="0"/>
        <v>MALUDR Gggiiiigg</v>
      </c>
      <c r="V12" s="125"/>
      <c r="W12" s="125"/>
      <c r="X12" s="125"/>
    </row>
    <row r="13" spans="1:24">
      <c r="A13" s="131">
        <v>11</v>
      </c>
      <c r="B13" s="148" t="s">
        <v>232</v>
      </c>
      <c r="C13" s="149" t="s">
        <v>217</v>
      </c>
      <c r="D13" s="149" t="s">
        <v>233</v>
      </c>
      <c r="E13" s="149" t="s">
        <v>234</v>
      </c>
      <c r="F13" s="150" t="s">
        <v>226</v>
      </c>
      <c r="G13" s="149" t="s">
        <v>239</v>
      </c>
      <c r="H13" s="151" t="s">
        <v>235</v>
      </c>
      <c r="I13" s="149" t="s">
        <v>221</v>
      </c>
      <c r="J13" s="149" t="s">
        <v>29</v>
      </c>
      <c r="K13" s="149" t="s">
        <v>238</v>
      </c>
      <c r="L13" s="149" t="s">
        <v>240</v>
      </c>
      <c r="M13" s="151" t="s">
        <v>236</v>
      </c>
      <c r="N13" s="151" t="s">
        <v>237</v>
      </c>
      <c r="O13" s="149" t="s">
        <v>224</v>
      </c>
      <c r="P13" s="152">
        <f>SUMIF('Historique de factures'!$E:$E,Clients!A13,'Historique de factures'!$L:$L)</f>
        <v>0</v>
      </c>
      <c r="Q13" s="156">
        <f>COUNTIF('Historique de factures'!$E:$E,Clients!A13)</f>
        <v>0</v>
      </c>
      <c r="R13" s="157"/>
      <c r="S13" s="157"/>
      <c r="T13" s="157"/>
      <c r="U13" s="140" t="str">
        <f t="shared" si="0"/>
        <v>MALUDR Gggiiiigg</v>
      </c>
      <c r="V13" s="125"/>
      <c r="W13" s="125"/>
      <c r="X13" s="125"/>
    </row>
    <row r="14" spans="1:24">
      <c r="A14" s="131">
        <v>10</v>
      </c>
      <c r="B14" s="148">
        <v>42716</v>
      </c>
      <c r="C14" s="149" t="s">
        <v>217</v>
      </c>
      <c r="D14" s="149" t="s">
        <v>218</v>
      </c>
      <c r="E14" s="149" t="s">
        <v>219</v>
      </c>
      <c r="F14" s="150">
        <v>54200</v>
      </c>
      <c r="G14" s="149" t="s">
        <v>220</v>
      </c>
      <c r="H14" s="151">
        <v>203050203</v>
      </c>
      <c r="I14" s="149" t="s">
        <v>221</v>
      </c>
      <c r="J14" s="149" t="s">
        <v>29</v>
      </c>
      <c r="K14" s="149" t="s">
        <v>222</v>
      </c>
      <c r="L14" s="149" t="s">
        <v>223</v>
      </c>
      <c r="M14" s="151">
        <v>302010203</v>
      </c>
      <c r="N14" s="151">
        <v>102030100</v>
      </c>
      <c r="O14" s="149" t="s">
        <v>224</v>
      </c>
      <c r="P14" s="152">
        <f>SUMIF('Historique de factures'!$E:$E,Clients!A14,'Historique de factures'!$L:$L)</f>
        <v>0</v>
      </c>
      <c r="Q14" s="156">
        <f>COUNTIF('Historique de factures'!$E:$E,Clients!A14)</f>
        <v>0</v>
      </c>
      <c r="R14" s="154"/>
      <c r="S14" s="154"/>
      <c r="T14" s="154"/>
      <c r="U14" s="140" t="str">
        <f t="shared" si="0"/>
        <v>RODRIGUES Firmin</v>
      </c>
      <c r="V14" s="174"/>
      <c r="W14" s="174"/>
      <c r="X14" s="174"/>
    </row>
    <row r="15" spans="1:24">
      <c r="A15" s="131">
        <v>9</v>
      </c>
      <c r="B15" s="148">
        <v>42412</v>
      </c>
      <c r="C15" s="149" t="s">
        <v>207</v>
      </c>
      <c r="D15" s="149" t="s">
        <v>208</v>
      </c>
      <c r="E15" s="149" t="s">
        <v>209</v>
      </c>
      <c r="F15" s="150" t="s">
        <v>210</v>
      </c>
      <c r="G15" s="149" t="s">
        <v>211</v>
      </c>
      <c r="H15" s="158" t="s">
        <v>212</v>
      </c>
      <c r="I15" s="151" t="s">
        <v>213</v>
      </c>
      <c r="J15" s="151" t="s">
        <v>31</v>
      </c>
      <c r="K15" s="151" t="s">
        <v>214</v>
      </c>
      <c r="L15" s="151" t="s">
        <v>215</v>
      </c>
      <c r="M15" s="158">
        <v>20101010</v>
      </c>
      <c r="N15" s="158">
        <v>604020301</v>
      </c>
      <c r="O15" s="149" t="s">
        <v>216</v>
      </c>
      <c r="P15" s="152">
        <f>SUMIF('Historique de factures'!$E:$E,Clients!A15,'Historique de factures'!$L:$L)</f>
        <v>0</v>
      </c>
      <c r="Q15" s="156">
        <f>COUNTIF('Historique de factures'!$E:$E,Clients!A15)</f>
        <v>0</v>
      </c>
      <c r="R15" s="154"/>
      <c r="S15" s="154"/>
      <c r="T15" s="154"/>
      <c r="U15" s="140" t="str">
        <f t="shared" si="0"/>
        <v>XWVXSDB Dfhh</v>
      </c>
      <c r="V15" s="200" t="s">
        <v>281</v>
      </c>
      <c r="W15" s="200"/>
      <c r="X15" s="200"/>
    </row>
    <row r="16" spans="1:24">
      <c r="A16" s="131">
        <v>8</v>
      </c>
      <c r="B16" s="148">
        <v>42412</v>
      </c>
      <c r="C16" s="149" t="s">
        <v>196</v>
      </c>
      <c r="D16" s="149" t="s">
        <v>197</v>
      </c>
      <c r="E16" s="149" t="s">
        <v>198</v>
      </c>
      <c r="F16" s="150" t="s">
        <v>199</v>
      </c>
      <c r="G16" s="149" t="s">
        <v>201</v>
      </c>
      <c r="H16" s="151" t="s">
        <v>200</v>
      </c>
      <c r="I16" s="149" t="s">
        <v>202</v>
      </c>
      <c r="J16" s="149" t="s">
        <v>31</v>
      </c>
      <c r="K16" s="149" t="s">
        <v>203</v>
      </c>
      <c r="L16" s="149" t="s">
        <v>204</v>
      </c>
      <c r="M16" s="151" t="s">
        <v>205</v>
      </c>
      <c r="N16" s="151" t="s">
        <v>206</v>
      </c>
      <c r="O16" s="149" t="s">
        <v>195</v>
      </c>
      <c r="P16" s="152">
        <f>SUMIF('Historique de factures'!$E:$E,Clients!A16,'Historique de factures'!$L:$L)</f>
        <v>0</v>
      </c>
      <c r="Q16" s="156">
        <f>COUNTIF('Historique de factures'!$E:$E,Clients!A16)</f>
        <v>0</v>
      </c>
      <c r="R16" s="154"/>
      <c r="S16" s="154"/>
      <c r="T16" s="154"/>
      <c r="U16" s="140" t="str">
        <f t="shared" si="0"/>
        <v>MELINOT Peggy</v>
      </c>
    </row>
    <row r="17" spans="1:21">
      <c r="A17" s="131">
        <v>7</v>
      </c>
      <c r="B17" s="159">
        <v>42441</v>
      </c>
      <c r="C17" s="160" t="s">
        <v>176</v>
      </c>
      <c r="D17" s="160" t="s">
        <v>177</v>
      </c>
      <c r="E17" s="160" t="s">
        <v>178</v>
      </c>
      <c r="F17" s="161" t="s">
        <v>179</v>
      </c>
      <c r="G17" s="160" t="s">
        <v>172</v>
      </c>
      <c r="H17" s="162">
        <v>203020302</v>
      </c>
      <c r="I17" s="160" t="s">
        <v>180</v>
      </c>
      <c r="J17" s="160" t="s">
        <v>28</v>
      </c>
      <c r="K17" s="160" t="s">
        <v>181</v>
      </c>
      <c r="L17" s="160" t="s">
        <v>182</v>
      </c>
      <c r="M17" s="162">
        <v>203020303</v>
      </c>
      <c r="N17" s="162">
        <v>502030206</v>
      </c>
      <c r="O17" s="160" t="s">
        <v>183</v>
      </c>
      <c r="P17" s="152">
        <f>SUMIF('Historique de factures'!$E:$E,Clients!A17,'Historique de factures'!$L:$L)</f>
        <v>0</v>
      </c>
      <c r="Q17" s="163">
        <f>COUNTIF('Historique de factures'!$E:$E,Clients!A17)</f>
        <v>0</v>
      </c>
      <c r="R17" s="164"/>
      <c r="S17" s="164"/>
      <c r="T17" s="164"/>
      <c r="U17" s="140" t="str">
        <f t="shared" si="0"/>
        <v>RINDTEIN Gredulr</v>
      </c>
    </row>
    <row r="18" spans="1:21">
      <c r="A18" s="131">
        <v>6</v>
      </c>
      <c r="B18" s="159">
        <v>42441</v>
      </c>
      <c r="C18" s="160" t="s">
        <v>184</v>
      </c>
      <c r="D18" s="160" t="s">
        <v>185</v>
      </c>
      <c r="E18" s="160" t="s">
        <v>186</v>
      </c>
      <c r="F18" s="161" t="s">
        <v>187</v>
      </c>
      <c r="G18" s="160" t="s">
        <v>188</v>
      </c>
      <c r="H18" s="162" t="s">
        <v>189</v>
      </c>
      <c r="I18" s="160" t="s">
        <v>189</v>
      </c>
      <c r="J18" s="160" t="s">
        <v>190</v>
      </c>
      <c r="K18" s="160" t="s">
        <v>191</v>
      </c>
      <c r="L18" s="160" t="s">
        <v>192</v>
      </c>
      <c r="M18" s="162" t="s">
        <v>193</v>
      </c>
      <c r="N18" s="162" t="s">
        <v>194</v>
      </c>
      <c r="O18" s="160" t="s">
        <v>195</v>
      </c>
      <c r="P18" s="152">
        <f>SUMIF('Historique de factures'!$E:$E,Clients!A18,'Historique de factures'!$L:$L)</f>
        <v>0</v>
      </c>
      <c r="Q18" s="165">
        <f>COUNTIF('Historique de factures'!$E:$E,Clients!A18)</f>
        <v>0</v>
      </c>
      <c r="R18" s="164"/>
      <c r="S18" s="164"/>
      <c r="T18" s="164"/>
      <c r="U18" s="141" t="str">
        <f t="shared" si="0"/>
        <v>fg f</v>
      </c>
    </row>
    <row r="19" spans="1:21">
      <c r="A19" s="131">
        <v>5</v>
      </c>
      <c r="B19" s="166">
        <v>42423</v>
      </c>
      <c r="C19" s="160"/>
      <c r="D19" s="160" t="s">
        <v>167</v>
      </c>
      <c r="E19" s="160" t="s">
        <v>168</v>
      </c>
      <c r="F19" s="161" t="s">
        <v>169</v>
      </c>
      <c r="G19" s="160" t="s">
        <v>170</v>
      </c>
      <c r="H19" s="162" t="s">
        <v>172</v>
      </c>
      <c r="I19" s="160" t="s">
        <v>171</v>
      </c>
      <c r="J19" s="160" t="s">
        <v>29</v>
      </c>
      <c r="K19" s="160" t="s">
        <v>173</v>
      </c>
      <c r="L19" s="160" t="s">
        <v>174</v>
      </c>
      <c r="M19" s="162">
        <v>520223300</v>
      </c>
      <c r="N19" s="162">
        <v>602101514</v>
      </c>
      <c r="O19" s="160" t="s">
        <v>175</v>
      </c>
      <c r="P19" s="152">
        <f>SUMIF('Historique de factures'!$E:$E,Clients!A19,'Historique de factures'!$L:$L)</f>
        <v>0</v>
      </c>
      <c r="Q19" s="165">
        <f>COUNTIF('Historique de factures'!$E:$E,Clients!A19)</f>
        <v>0</v>
      </c>
      <c r="U19" s="141" t="str">
        <f t="shared" si="0"/>
        <v>ROBERT Jean</v>
      </c>
    </row>
    <row r="20" spans="1:21">
      <c r="A20" s="131">
        <v>4</v>
      </c>
      <c r="B20" s="132">
        <v>42321</v>
      </c>
      <c r="C20" s="133"/>
      <c r="D20" s="133" t="s">
        <v>151</v>
      </c>
      <c r="E20" s="133" t="s">
        <v>152</v>
      </c>
      <c r="F20" s="134">
        <v>54320</v>
      </c>
      <c r="G20" s="133" t="s">
        <v>153</v>
      </c>
      <c r="H20" s="135"/>
      <c r="I20" s="133"/>
      <c r="J20" s="133" t="s">
        <v>125</v>
      </c>
      <c r="K20" s="133" t="s">
        <v>157</v>
      </c>
      <c r="L20" s="133"/>
      <c r="M20" s="135"/>
      <c r="N20" s="135"/>
      <c r="O20" s="133"/>
      <c r="P20" s="152">
        <f>SUMIF('Historique de factures'!$E:$E,Clients!A20,'Historique de factures'!$L:$L)</f>
        <v>0</v>
      </c>
      <c r="Q20" s="165">
        <f>COUNTIF('Historique de factures'!$E:$E,Clients!A20)</f>
        <v>0</v>
      </c>
      <c r="U20" s="141" t="str">
        <f t="shared" ref="U20:U22" si="1">K20&amp;" "&amp;L20</f>
        <v xml:space="preserve">NOM 4 </v>
      </c>
    </row>
    <row r="21" spans="1:21">
      <c r="A21" s="131">
        <f>A22+1</f>
        <v>3</v>
      </c>
      <c r="B21" s="132">
        <v>42320</v>
      </c>
      <c r="C21" s="133" t="s">
        <v>154</v>
      </c>
      <c r="D21" s="133" t="s">
        <v>116</v>
      </c>
      <c r="E21" s="133" t="s">
        <v>124</v>
      </c>
      <c r="F21" s="134">
        <v>88000</v>
      </c>
      <c r="G21" s="133" t="s">
        <v>126</v>
      </c>
      <c r="H21" s="135"/>
      <c r="I21" s="133"/>
      <c r="J21" s="133" t="s">
        <v>96</v>
      </c>
      <c r="K21" s="133" t="s">
        <v>158</v>
      </c>
      <c r="L21" s="133" t="s">
        <v>127</v>
      </c>
      <c r="M21" s="135"/>
      <c r="N21" s="135"/>
      <c r="O21" s="133"/>
      <c r="P21" s="152">
        <f>SUMIF('Historique de factures'!$E:$E,Clients!A21,'Historique de factures'!$L:$L)</f>
        <v>0</v>
      </c>
      <c r="Q21" s="165">
        <f>COUNTIF('Historique de factures'!$E:$E,Clients!A21)</f>
        <v>0</v>
      </c>
      <c r="U21" s="141" t="str">
        <f t="shared" si="1"/>
        <v>NOM 3 prenom3</v>
      </c>
    </row>
    <row r="22" spans="1:21">
      <c r="A22" s="131">
        <v>2</v>
      </c>
      <c r="B22" s="132" t="s">
        <v>225</v>
      </c>
      <c r="C22" s="133" t="s">
        <v>155</v>
      </c>
      <c r="D22" s="133" t="s">
        <v>115</v>
      </c>
      <c r="E22" s="133" t="s">
        <v>226</v>
      </c>
      <c r="F22" s="134" t="s">
        <v>32</v>
      </c>
      <c r="G22" s="133" t="s">
        <v>227</v>
      </c>
      <c r="H22" s="135" t="s">
        <v>228</v>
      </c>
      <c r="I22" s="133" t="s">
        <v>125</v>
      </c>
      <c r="J22" s="133" t="s">
        <v>159</v>
      </c>
      <c r="K22" s="133" t="s">
        <v>118</v>
      </c>
      <c r="L22" s="133" t="s">
        <v>229</v>
      </c>
      <c r="M22" s="135" t="s">
        <v>230</v>
      </c>
      <c r="N22" s="135" t="s">
        <v>231</v>
      </c>
      <c r="O22" s="133"/>
      <c r="P22" s="152">
        <f>SUMIF('Historique de factures'!$E:$E,Clients!A22,'Historique de factures'!$L:$L)</f>
        <v>0</v>
      </c>
      <c r="Q22" s="165">
        <f>COUNTIF('Historique de factures'!$E:$E,Clients!A22)</f>
        <v>0</v>
      </c>
      <c r="U22" s="141" t="str">
        <f t="shared" si="1"/>
        <v>prenom 2 0308020301</v>
      </c>
    </row>
    <row r="23" spans="1:21">
      <c r="A23" s="131">
        <v>1</v>
      </c>
      <c r="B23" s="132" t="s">
        <v>283</v>
      </c>
      <c r="C23" s="133" t="s">
        <v>156</v>
      </c>
      <c r="D23" s="133" t="s">
        <v>114</v>
      </c>
      <c r="E23" s="133" t="s">
        <v>123</v>
      </c>
      <c r="F23" s="134">
        <v>1200</v>
      </c>
      <c r="G23" s="133" t="s">
        <v>120</v>
      </c>
      <c r="H23" s="135" t="s">
        <v>284</v>
      </c>
      <c r="I23" s="136" t="s">
        <v>121</v>
      </c>
      <c r="J23" s="133" t="s">
        <v>31</v>
      </c>
      <c r="K23" s="133" t="s">
        <v>160</v>
      </c>
      <c r="L23" s="133" t="s">
        <v>117</v>
      </c>
      <c r="M23" s="135" t="s">
        <v>285</v>
      </c>
      <c r="N23" s="135" t="s">
        <v>286</v>
      </c>
      <c r="O23" s="136" t="s">
        <v>122</v>
      </c>
      <c r="P23" s="152">
        <f>SUMIF('Historique de factures'!$E:$E,Clients!A23,'Historique de factures'!$L:$L)</f>
        <v>0</v>
      </c>
      <c r="Q23" s="165">
        <f>COUNTIF('Historique de factures'!$E:$E,Clients!A23)</f>
        <v>0</v>
      </c>
      <c r="U23" s="141" t="str">
        <f>K23&amp;" "&amp;L23</f>
        <v>NOM 1 prenom 1</v>
      </c>
    </row>
    <row r="24" spans="1:21">
      <c r="A24" s="167"/>
      <c r="B24" s="168"/>
      <c r="F24" s="169"/>
      <c r="H24" s="170"/>
      <c r="I24" s="138"/>
      <c r="M24" s="170"/>
      <c r="N24" s="170"/>
      <c r="O24" s="138"/>
    </row>
    <row r="25" spans="1:21">
      <c r="A25" s="167"/>
      <c r="B25" s="168"/>
      <c r="F25" s="169"/>
      <c r="H25" s="170"/>
      <c r="I25" s="138"/>
      <c r="M25" s="170"/>
      <c r="N25" s="170"/>
      <c r="O25" s="138"/>
    </row>
    <row r="26" spans="1:21">
      <c r="A26" s="167"/>
      <c r="B26" s="168"/>
      <c r="F26" s="169"/>
      <c r="H26" s="170"/>
      <c r="I26" s="138"/>
      <c r="M26" s="170"/>
      <c r="N26" s="170"/>
      <c r="O26" s="138"/>
    </row>
    <row r="27" spans="1:21">
      <c r="A27" s="167"/>
      <c r="B27" s="168"/>
      <c r="F27" s="169"/>
      <c r="H27" s="170"/>
      <c r="I27" s="138"/>
      <c r="M27" s="170"/>
      <c r="N27" s="170"/>
      <c r="O27" s="138"/>
    </row>
    <row r="28" spans="1:21">
      <c r="A28" s="167"/>
      <c r="B28" s="168"/>
      <c r="F28" s="169"/>
      <c r="H28" s="170"/>
      <c r="I28" s="138"/>
      <c r="M28" s="170"/>
      <c r="N28" s="170"/>
      <c r="O28" s="138"/>
    </row>
    <row r="29" spans="1:21">
      <c r="A29" s="167"/>
      <c r="B29" s="168"/>
      <c r="F29" s="169"/>
      <c r="H29" s="170"/>
      <c r="I29" s="138"/>
      <c r="M29" s="170"/>
      <c r="N29" s="170"/>
      <c r="O29" s="138"/>
    </row>
    <row r="30" spans="1:21">
      <c r="A30" s="167"/>
      <c r="B30" s="168"/>
      <c r="F30" s="169"/>
      <c r="H30" s="170"/>
      <c r="I30" s="138"/>
      <c r="M30" s="170"/>
      <c r="N30" s="170"/>
      <c r="O30" s="138"/>
    </row>
    <row r="31" spans="1:21">
      <c r="A31" s="167"/>
      <c r="B31" s="168"/>
      <c r="F31" s="169"/>
      <c r="H31" s="170"/>
      <c r="I31" s="138"/>
      <c r="M31" s="170"/>
      <c r="N31" s="170"/>
      <c r="O31" s="138"/>
    </row>
    <row r="32" spans="1:21">
      <c r="A32" s="167"/>
      <c r="B32" s="168"/>
      <c r="F32" s="169"/>
      <c r="H32" s="170"/>
      <c r="I32" s="138"/>
      <c r="M32" s="170"/>
      <c r="N32" s="170"/>
      <c r="O32" s="138"/>
    </row>
    <row r="33" spans="1:15">
      <c r="A33" s="167"/>
      <c r="B33" s="168"/>
      <c r="F33" s="169"/>
      <c r="H33" s="170"/>
      <c r="I33" s="138"/>
      <c r="M33" s="170"/>
      <c r="N33" s="170"/>
      <c r="O33" s="138"/>
    </row>
    <row r="34" spans="1:15">
      <c r="A34" s="167"/>
      <c r="B34" s="168"/>
      <c r="F34" s="169"/>
      <c r="H34" s="170"/>
      <c r="I34" s="138"/>
      <c r="M34" s="170"/>
      <c r="N34" s="170"/>
      <c r="O34" s="138"/>
    </row>
    <row r="35" spans="1:15">
      <c r="A35" s="167"/>
      <c r="B35" s="168"/>
      <c r="F35" s="169"/>
      <c r="H35" s="170"/>
      <c r="I35" s="138"/>
      <c r="M35" s="170"/>
      <c r="N35" s="170"/>
      <c r="O35" s="138"/>
    </row>
    <row r="36" spans="1:15">
      <c r="A36" s="167"/>
      <c r="B36" s="168"/>
      <c r="F36" s="169"/>
      <c r="H36" s="170"/>
      <c r="I36" s="138"/>
      <c r="M36" s="170"/>
      <c r="N36" s="170"/>
      <c r="O36" s="138"/>
    </row>
    <row r="37" spans="1:15">
      <c r="A37" s="167"/>
      <c r="B37" s="168"/>
      <c r="F37" s="169"/>
      <c r="H37" s="170"/>
      <c r="I37" s="138"/>
      <c r="M37" s="170"/>
      <c r="N37" s="170"/>
      <c r="O37" s="138"/>
    </row>
    <row r="38" spans="1:15">
      <c r="A38" s="167"/>
      <c r="B38" s="168"/>
      <c r="F38" s="169"/>
      <c r="H38" s="170"/>
      <c r="I38" s="138"/>
      <c r="M38" s="170"/>
      <c r="N38" s="170"/>
      <c r="O38" s="138"/>
    </row>
    <row r="39" spans="1:15">
      <c r="A39" s="167"/>
      <c r="B39" s="168"/>
      <c r="F39" s="169"/>
      <c r="H39" s="170"/>
      <c r="I39" s="138"/>
      <c r="M39" s="170"/>
      <c r="N39" s="170"/>
      <c r="O39" s="138"/>
    </row>
    <row r="40" spans="1:15">
      <c r="A40" s="167"/>
      <c r="B40" s="168"/>
      <c r="F40" s="169"/>
      <c r="H40" s="170"/>
      <c r="I40" s="138"/>
      <c r="M40" s="170"/>
      <c r="N40" s="170"/>
      <c r="O40" s="138"/>
    </row>
    <row r="41" spans="1:15">
      <c r="A41" s="167"/>
      <c r="B41" s="168"/>
      <c r="F41" s="169"/>
      <c r="H41" s="170"/>
      <c r="I41" s="138"/>
      <c r="M41" s="170"/>
      <c r="N41" s="170"/>
      <c r="O41" s="138"/>
    </row>
    <row r="42" spans="1:15">
      <c r="A42" s="167"/>
      <c r="B42" s="168"/>
      <c r="F42" s="169"/>
      <c r="H42" s="170"/>
      <c r="I42" s="138"/>
      <c r="M42" s="170"/>
      <c r="N42" s="170"/>
      <c r="O42" s="138"/>
    </row>
    <row r="43" spans="1:15">
      <c r="A43" s="167"/>
      <c r="B43" s="168"/>
      <c r="F43" s="169"/>
      <c r="H43" s="170"/>
      <c r="I43" s="138"/>
      <c r="M43" s="170"/>
      <c r="N43" s="170"/>
      <c r="O43" s="138"/>
    </row>
    <row r="44" spans="1:15">
      <c r="A44" s="167"/>
      <c r="B44" s="168"/>
      <c r="F44" s="169"/>
      <c r="H44" s="170"/>
      <c r="I44" s="138"/>
      <c r="M44" s="170"/>
      <c r="N44" s="170"/>
      <c r="O44" s="138"/>
    </row>
    <row r="45" spans="1:15">
      <c r="A45" s="167"/>
      <c r="B45" s="168"/>
      <c r="F45" s="169"/>
      <c r="H45" s="170"/>
      <c r="I45" s="138"/>
      <c r="M45" s="170"/>
      <c r="N45" s="170"/>
      <c r="O45" s="138"/>
    </row>
    <row r="46" spans="1:15">
      <c r="A46" s="167"/>
      <c r="B46" s="168"/>
      <c r="F46" s="169"/>
      <c r="H46" s="170"/>
      <c r="I46" s="138"/>
      <c r="M46" s="170"/>
      <c r="N46" s="170"/>
      <c r="O46" s="138"/>
    </row>
    <row r="47" spans="1:15">
      <c r="A47" s="167"/>
      <c r="B47" s="168"/>
      <c r="F47" s="169"/>
      <c r="H47" s="170"/>
      <c r="I47" s="138"/>
      <c r="M47" s="170"/>
      <c r="N47" s="170"/>
      <c r="O47" s="138"/>
    </row>
    <row r="48" spans="1:15">
      <c r="A48" s="167"/>
      <c r="B48" s="168"/>
      <c r="F48" s="169"/>
      <c r="H48" s="170"/>
      <c r="I48" s="138"/>
      <c r="M48" s="170"/>
      <c r="N48" s="170"/>
      <c r="O48" s="138"/>
    </row>
    <row r="49" spans="1:21">
      <c r="A49" s="167"/>
      <c r="B49" s="168"/>
      <c r="F49" s="169"/>
      <c r="H49" s="170"/>
      <c r="I49" s="138"/>
      <c r="M49" s="170"/>
      <c r="N49" s="170"/>
      <c r="O49" s="138"/>
    </row>
    <row r="50" spans="1:21">
      <c r="A50" s="141"/>
      <c r="U50" s="137" t="str">
        <f t="shared" ref="U50:U64" si="2">J50&amp;" "&amp;K50&amp;" "&amp;L50</f>
        <v xml:space="preserve">  </v>
      </c>
    </row>
    <row r="51" spans="1:21">
      <c r="A51" s="141"/>
      <c r="U51" s="137" t="str">
        <f t="shared" si="2"/>
        <v xml:space="preserve">  </v>
      </c>
    </row>
    <row r="52" spans="1:21">
      <c r="A52" s="141"/>
      <c r="U52" s="137" t="str">
        <f t="shared" si="2"/>
        <v xml:space="preserve">  </v>
      </c>
    </row>
    <row r="53" spans="1:21">
      <c r="A53" s="141"/>
      <c r="U53" s="137" t="str">
        <f t="shared" si="2"/>
        <v xml:space="preserve">  </v>
      </c>
    </row>
    <row r="54" spans="1:21">
      <c r="A54" s="141"/>
      <c r="U54" s="137" t="str">
        <f t="shared" si="2"/>
        <v xml:space="preserve">  </v>
      </c>
    </row>
    <row r="55" spans="1:21">
      <c r="A55" s="141"/>
      <c r="U55" s="137" t="str">
        <f t="shared" si="2"/>
        <v xml:space="preserve">  </v>
      </c>
    </row>
    <row r="56" spans="1:21">
      <c r="A56" s="141"/>
      <c r="U56" s="137" t="str">
        <f t="shared" si="2"/>
        <v xml:space="preserve">  </v>
      </c>
    </row>
    <row r="57" spans="1:21">
      <c r="A57" s="141"/>
      <c r="U57" s="137" t="str">
        <f t="shared" si="2"/>
        <v xml:space="preserve">  </v>
      </c>
    </row>
    <row r="58" spans="1:21">
      <c r="A58" s="141"/>
      <c r="U58" s="137" t="str">
        <f t="shared" si="2"/>
        <v xml:space="preserve">  </v>
      </c>
    </row>
    <row r="59" spans="1:21">
      <c r="A59" s="141"/>
      <c r="U59" s="137" t="str">
        <f t="shared" si="2"/>
        <v xml:space="preserve">  </v>
      </c>
    </row>
    <row r="60" spans="1:21">
      <c r="A60" s="141"/>
      <c r="U60" s="137" t="str">
        <f t="shared" si="2"/>
        <v xml:space="preserve">  </v>
      </c>
    </row>
    <row r="61" spans="1:21">
      <c r="A61" s="141"/>
      <c r="U61" s="137" t="str">
        <f t="shared" si="2"/>
        <v xml:space="preserve">  </v>
      </c>
    </row>
    <row r="62" spans="1:21">
      <c r="A62" s="141"/>
      <c r="U62" s="137" t="str">
        <f t="shared" si="2"/>
        <v xml:space="preserve">  </v>
      </c>
    </row>
    <row r="63" spans="1:21">
      <c r="A63" s="141"/>
      <c r="U63" s="137" t="str">
        <f t="shared" si="2"/>
        <v xml:space="preserve">  </v>
      </c>
    </row>
    <row r="64" spans="1:21">
      <c r="A64" s="141"/>
      <c r="U64" s="137" t="str">
        <f t="shared" si="2"/>
        <v xml:space="preserve">  </v>
      </c>
    </row>
    <row r="65" spans="1:1">
      <c r="A65" s="141"/>
    </row>
    <row r="66" spans="1:1">
      <c r="A66" s="141"/>
    </row>
    <row r="67" spans="1:1">
      <c r="A67" s="141"/>
    </row>
    <row r="68" spans="1:1">
      <c r="A68" s="141"/>
    </row>
    <row r="69" spans="1:1">
      <c r="A69" s="141"/>
    </row>
    <row r="70" spans="1:1">
      <c r="A70" s="141"/>
    </row>
    <row r="71" spans="1:1">
      <c r="A71" s="141"/>
    </row>
    <row r="72" spans="1:1">
      <c r="A72" s="141"/>
    </row>
    <row r="73" spans="1:1">
      <c r="A73" s="141"/>
    </row>
    <row r="74" spans="1:1">
      <c r="A74" s="141"/>
    </row>
    <row r="75" spans="1:1">
      <c r="A75" s="141"/>
    </row>
  </sheetData>
  <sortState ref="B2:B12">
    <sortCondition ref="B2"/>
  </sortState>
  <mergeCells count="2">
    <mergeCell ref="V7:X7"/>
    <mergeCell ref="V15:X15"/>
  </mergeCells>
  <hyperlinks>
    <hyperlink ref="I23" r:id="rId1"/>
    <hyperlink ref="O23" r:id="rId2"/>
  </hyperlinks>
  <pageMargins left="0.7" right="0.7" top="0.75" bottom="0.75" header="0.3" footer="0.3"/>
  <pageSetup paperSize="9" orientation="portrait" horizontalDpi="4294967293" r:id="rId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A1048576" sqref="A1048576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P15"/>
  <sheetViews>
    <sheetView workbookViewId="0">
      <selection activeCell="F9" sqref="F9"/>
    </sheetView>
  </sheetViews>
  <sheetFormatPr baseColWidth="10" defaultRowHeight="15"/>
  <sheetData>
    <row r="1" spans="1:16">
      <c r="A1" t="s">
        <v>29</v>
      </c>
      <c r="C1" t="s">
        <v>61</v>
      </c>
      <c r="E1" t="s">
        <v>66</v>
      </c>
      <c r="G1" t="s">
        <v>97</v>
      </c>
      <c r="J1" t="s">
        <v>290</v>
      </c>
      <c r="M1" t="s">
        <v>310</v>
      </c>
    </row>
    <row r="2" spans="1:16">
      <c r="A2" s="190" t="s">
        <v>28</v>
      </c>
      <c r="C2" t="s">
        <v>63</v>
      </c>
      <c r="D2" s="191"/>
      <c r="E2" s="192" t="s">
        <v>75</v>
      </c>
      <c r="F2" s="194"/>
      <c r="G2" t="s">
        <v>98</v>
      </c>
      <c r="J2" t="s">
        <v>291</v>
      </c>
      <c r="M2" t="s">
        <v>311</v>
      </c>
      <c r="P2" s="3"/>
    </row>
    <row r="3" spans="1:16">
      <c r="A3" t="s">
        <v>31</v>
      </c>
      <c r="C3" t="s">
        <v>74</v>
      </c>
      <c r="G3" t="s">
        <v>99</v>
      </c>
      <c r="J3" t="s">
        <v>292</v>
      </c>
      <c r="M3" t="s">
        <v>312</v>
      </c>
    </row>
    <row r="4" spans="1:16">
      <c r="C4" t="s">
        <v>73</v>
      </c>
      <c r="G4" t="s">
        <v>100</v>
      </c>
      <c r="J4" t="s">
        <v>293</v>
      </c>
      <c r="M4" t="s">
        <v>313</v>
      </c>
    </row>
    <row r="5" spans="1:16">
      <c r="G5" t="s">
        <v>101</v>
      </c>
      <c r="J5" t="s">
        <v>294</v>
      </c>
      <c r="M5" t="s">
        <v>314</v>
      </c>
    </row>
    <row r="6" spans="1:16">
      <c r="J6" t="s">
        <v>295</v>
      </c>
      <c r="M6" t="s">
        <v>315</v>
      </c>
    </row>
    <row r="7" spans="1:16">
      <c r="J7" t="s">
        <v>296</v>
      </c>
      <c r="M7" t="s">
        <v>316</v>
      </c>
    </row>
    <row r="8" spans="1:16">
      <c r="J8" t="s">
        <v>297</v>
      </c>
      <c r="M8" t="s">
        <v>317</v>
      </c>
    </row>
    <row r="9" spans="1:16">
      <c r="J9" t="s">
        <v>298</v>
      </c>
      <c r="M9" t="s">
        <v>318</v>
      </c>
    </row>
    <row r="10" spans="1:16">
      <c r="J10" t="s">
        <v>299</v>
      </c>
      <c r="M10" t="s">
        <v>319</v>
      </c>
    </row>
    <row r="11" spans="1:16">
      <c r="J11" t="s">
        <v>300</v>
      </c>
      <c r="M11" t="s">
        <v>320</v>
      </c>
    </row>
    <row r="12" spans="1:16">
      <c r="J12" t="s">
        <v>301</v>
      </c>
      <c r="M12" t="s">
        <v>321</v>
      </c>
    </row>
    <row r="13" spans="1:16">
      <c r="J13" t="s">
        <v>302</v>
      </c>
      <c r="M13" t="s">
        <v>322</v>
      </c>
    </row>
    <row r="14" spans="1:16">
      <c r="J14" t="s">
        <v>303</v>
      </c>
      <c r="M14" t="s">
        <v>323</v>
      </c>
    </row>
    <row r="15" spans="1:16">
      <c r="J15" t="s">
        <v>304</v>
      </c>
      <c r="M15" t="s">
        <v>324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27"/>
  <sheetViews>
    <sheetView workbookViewId="0">
      <selection activeCell="G31" sqref="G31"/>
    </sheetView>
  </sheetViews>
  <sheetFormatPr baseColWidth="10" defaultRowHeight="15"/>
  <cols>
    <col min="2" max="2" width="5.42578125" customWidth="1"/>
    <col min="3" max="3" width="5.28515625" customWidth="1"/>
    <col min="4" max="4" width="5.42578125" customWidth="1"/>
  </cols>
  <sheetData>
    <row r="1" spans="1:8">
      <c r="A1" s="48" t="s">
        <v>58</v>
      </c>
      <c r="B1" s="49" t="s">
        <v>57</v>
      </c>
      <c r="C1" s="49"/>
      <c r="D1" s="49"/>
      <c r="E1" s="49" t="s">
        <v>59</v>
      </c>
      <c r="F1" s="49" t="s">
        <v>143</v>
      </c>
      <c r="G1" s="49" t="s">
        <v>60</v>
      </c>
      <c r="H1" s="50" t="s">
        <v>144</v>
      </c>
    </row>
    <row r="2" spans="1:8">
      <c r="A2" s="51" t="s">
        <v>61</v>
      </c>
      <c r="B2" s="52">
        <v>1</v>
      </c>
      <c r="C2" s="52"/>
      <c r="D2" s="52"/>
      <c r="E2" s="111">
        <f>COUNTIF($A$2:$A$5001,"F")</f>
        <v>1</v>
      </c>
      <c r="F2" s="52">
        <f>COUNTIF($A$2:$A$5001,"BL")</f>
        <v>1</v>
      </c>
      <c r="G2" s="52">
        <f>COUNTIF($A$2:$A$5001,"AVOIR")</f>
        <v>1</v>
      </c>
      <c r="H2" s="53">
        <f>COUNTIF($A$2:$A$5001,"D")</f>
        <v>1</v>
      </c>
    </row>
    <row r="3" spans="1:8">
      <c r="A3" s="51" t="s">
        <v>63</v>
      </c>
      <c r="B3" s="52">
        <v>1</v>
      </c>
      <c r="C3" s="52"/>
      <c r="D3" s="52"/>
      <c r="E3" s="52"/>
      <c r="F3" s="52"/>
      <c r="G3" s="52"/>
      <c r="H3" s="53"/>
    </row>
    <row r="4" spans="1:8">
      <c r="A4" s="51" t="s">
        <v>64</v>
      </c>
      <c r="B4" s="52">
        <v>1</v>
      </c>
      <c r="C4" s="52"/>
      <c r="D4" s="52"/>
      <c r="E4" s="52"/>
      <c r="F4" s="52"/>
      <c r="G4" s="52"/>
      <c r="H4" s="53"/>
    </row>
    <row r="5" spans="1:8" ht="15.75" thickBot="1">
      <c r="A5" s="54" t="s">
        <v>73</v>
      </c>
      <c r="B5" s="55">
        <v>1</v>
      </c>
      <c r="C5" s="55"/>
      <c r="D5" s="55"/>
      <c r="E5" s="234" t="s">
        <v>62</v>
      </c>
      <c r="F5" s="234"/>
      <c r="G5" s="234"/>
      <c r="H5" s="235"/>
    </row>
    <row r="6" spans="1:8">
      <c r="A6" s="56"/>
      <c r="B6" s="57"/>
    </row>
    <row r="7" spans="1:8">
      <c r="A7" s="56"/>
      <c r="B7" s="57"/>
    </row>
    <row r="8" spans="1:8">
      <c r="A8" s="56"/>
      <c r="B8" s="57"/>
    </row>
    <row r="9" spans="1:8">
      <c r="A9" s="56"/>
      <c r="B9" s="57"/>
    </row>
    <row r="10" spans="1:8">
      <c r="A10" s="56"/>
      <c r="B10" s="57"/>
    </row>
    <row r="11" spans="1:8">
      <c r="A11" s="57"/>
      <c r="B11" s="57"/>
    </row>
    <row r="12" spans="1:8">
      <c r="A12" s="57"/>
      <c r="B12" s="57"/>
    </row>
    <row r="13" spans="1:8">
      <c r="A13" s="57"/>
      <c r="B13" s="57"/>
    </row>
    <row r="14" spans="1:8">
      <c r="A14" s="57"/>
      <c r="B14" s="57"/>
    </row>
    <row r="15" spans="1:8">
      <c r="A15" s="58"/>
      <c r="B15" s="58"/>
    </row>
    <row r="16" spans="1:8">
      <c r="A16" s="58"/>
      <c r="B16" s="58"/>
    </row>
    <row r="17" spans="1:2">
      <c r="A17" s="58"/>
      <c r="B17" s="58"/>
    </row>
    <row r="18" spans="1:2">
      <c r="A18" s="58"/>
      <c r="B18" s="58"/>
    </row>
    <row r="19" spans="1:2">
      <c r="A19" s="58"/>
      <c r="B19" s="58"/>
    </row>
    <row r="20" spans="1:2">
      <c r="A20" s="58"/>
      <c r="B20" s="58"/>
    </row>
    <row r="21" spans="1:2">
      <c r="A21" s="58"/>
      <c r="B21" s="58"/>
    </row>
    <row r="22" spans="1:2">
      <c r="A22" s="58"/>
      <c r="B22" s="58"/>
    </row>
    <row r="23" spans="1:2">
      <c r="A23" s="58"/>
      <c r="B23" s="58"/>
    </row>
    <row r="24" spans="1:2">
      <c r="A24" s="58"/>
      <c r="B24" s="58"/>
    </row>
    <row r="25" spans="1:2">
      <c r="A25" s="58"/>
      <c r="B25" s="58"/>
    </row>
    <row r="26" spans="1:2">
      <c r="A26" s="58"/>
      <c r="B26" s="58"/>
    </row>
    <row r="27" spans="1:2">
      <c r="A27" s="58"/>
      <c r="B27" s="58"/>
    </row>
  </sheetData>
  <mergeCells count="1">
    <mergeCell ref="E5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Tableau de bord</vt:lpstr>
      <vt:lpstr>FACTURE</vt:lpstr>
      <vt:lpstr>STOCK</vt:lpstr>
      <vt:lpstr>Historique de factures</vt:lpstr>
      <vt:lpstr>Clients</vt:lpstr>
      <vt:lpstr>Fournisseurs</vt:lpstr>
      <vt:lpstr>Commandes</vt:lpstr>
      <vt:lpstr>Liste déroulante</vt:lpstr>
      <vt:lpstr>numero</vt:lpstr>
      <vt:lpstr>CategorieClient</vt:lpstr>
      <vt:lpstr>Civilite</vt:lpstr>
      <vt:lpstr>CiviliteContact</vt:lpstr>
      <vt:lpstr>CODE</vt:lpstr>
      <vt:lpstr>CODE_CLIENT</vt:lpstr>
      <vt:lpstr>CodeProduit</vt:lpstr>
      <vt:lpstr>Designation</vt:lpstr>
      <vt:lpstr>ETAT</vt:lpstr>
      <vt:lpstr>Famille</vt:lpstr>
      <vt:lpstr>FAMILLEARTICLE</vt:lpstr>
      <vt:lpstr>FormuleAppelNom</vt:lpstr>
      <vt:lpstr>NomPrenom</vt:lpstr>
      <vt:lpstr>Reglement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Puce</cp:lastModifiedBy>
  <cp:lastPrinted>2016-03-03T06:28:20Z</cp:lastPrinted>
  <dcterms:created xsi:type="dcterms:W3CDTF">2016-02-19T14:05:48Z</dcterms:created>
  <dcterms:modified xsi:type="dcterms:W3CDTF">2016-03-15T17:41:23Z</dcterms:modified>
</cp:coreProperties>
</file>