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35" yWindow="480" windowWidth="11475" windowHeight="1170" tabRatio="928" activeTab="3"/>
  </bookViews>
  <sheets>
    <sheet name="DIVERS" sheetId="42" r:id="rId1"/>
    <sheet name="LIBELLE" sheetId="62" r:id="rId2"/>
    <sheet name="BASE BUDGETS" sheetId="58" r:id="rId3"/>
    <sheet name="BaseActivité" sheetId="1" r:id="rId4"/>
  </sheets>
  <externalReferences>
    <externalReference r:id="rId5"/>
  </externalReferences>
  <definedNames>
    <definedName name="_xlnm._FilterDatabase" localSheetId="2" hidden="1">'BASE BUDGETS'!$A$1:$V$99</definedName>
    <definedName name="budget" comment="Révision de budget">#REF!</definedName>
    <definedName name="compte">#REF!</definedName>
    <definedName name="HYPA" comment="Hypothèses valable sur l'année entière">#REF!</definedName>
    <definedName name="HypBatt" comment="Hypothèses de modules et Kwh / batterie">#REF!</definedName>
    <definedName name="HYPT">#REF!</definedName>
    <definedName name="HYPT1" comment="Hypothèses trimestre 1">#REF!</definedName>
    <definedName name="HYPT2" comment="Hypothèses trimestre 2">#REF!</definedName>
    <definedName name="HYPT3" comment="Hypothèses trimestre 3">#REF!</definedName>
    <definedName name="HYPT4" comment="Hypothèses trimestre 4">#REF!</definedName>
    <definedName name="_xlnm.Print_Titles" localSheetId="2">'BASE BUDGETS'!$1:$1</definedName>
    <definedName name="_xlnm.Print_Titles" localSheetId="3">BaseActivité!$6:$6</definedName>
    <definedName name="SalairesINTERIM">#REF!</definedName>
    <definedName name="SalairesPRESTA">#REF!</definedName>
    <definedName name="SalairesPVI">#REF!</definedName>
    <definedName name="salairesTOT">#REF!</definedName>
    <definedName name="section">#REF!</definedName>
    <definedName name="service">#REF!</definedName>
    <definedName name="SERVICES">'[1]détail listes déroulantes'!$A$28:$C$44</definedName>
    <definedName name="statuts">DIVERS!$E$2:$E$6</definedName>
    <definedName name="Tableau_TxHRS" comment="Taux FG">DIVERS!$A$2:$C$11</definedName>
    <definedName name="TxBE">DIVERS!$C$3</definedName>
    <definedName name="TxESCAL">DIVERS!$C$2</definedName>
    <definedName name="TxGTIE">DIVERS!$C$5</definedName>
    <definedName name="txHRS" comment="Taux de l'heure (coût standard annuel)">DIVERS!$A$1:$C$11</definedName>
    <definedName name="TxMNT">DIVERS!$C$6</definedName>
    <definedName name="TxPROD">DIVERS!$C$8</definedName>
    <definedName name="TxSRS">DIVERS!$C$9</definedName>
  </definedNames>
  <calcPr calcId="145621"/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Q7" i="58" l="1"/>
  <c r="V79" i="58" l="1"/>
  <c r="V78" i="58"/>
  <c r="V77" i="58"/>
  <c r="V76" i="58"/>
  <c r="V75" i="58"/>
  <c r="V74" i="58"/>
  <c r="V70" i="58"/>
  <c r="V69" i="58"/>
  <c r="V68" i="58"/>
  <c r="V67" i="58"/>
  <c r="V66" i="58"/>
  <c r="V65" i="58"/>
  <c r="V61" i="58"/>
  <c r="V60" i="58"/>
  <c r="V59" i="58"/>
  <c r="V58" i="58"/>
  <c r="V57" i="58"/>
  <c r="V56" i="58"/>
  <c r="V52" i="58"/>
  <c r="V51" i="58"/>
  <c r="V50" i="58"/>
  <c r="V49" i="58"/>
  <c r="V48" i="58"/>
  <c r="V47" i="58"/>
  <c r="V43" i="58"/>
  <c r="V42" i="58"/>
  <c r="V41" i="58"/>
  <c r="V40" i="58"/>
  <c r="V39" i="58"/>
  <c r="V38" i="58"/>
  <c r="V34" i="58"/>
  <c r="V33" i="58"/>
  <c r="V32" i="58"/>
  <c r="V31" i="58"/>
  <c r="V30" i="58"/>
  <c r="V29" i="58"/>
  <c r="V25" i="58"/>
  <c r="V24" i="58"/>
  <c r="V23" i="58"/>
  <c r="V22" i="58"/>
  <c r="V21" i="58"/>
  <c r="V20" i="58"/>
  <c r="V16" i="58"/>
  <c r="V15" i="58"/>
  <c r="V14" i="58"/>
  <c r="V13" i="58"/>
  <c r="V12" i="58"/>
  <c r="V11" i="58"/>
  <c r="V7" i="58"/>
  <c r="V6" i="58"/>
  <c r="V5" i="58"/>
  <c r="V4" i="58"/>
  <c r="V3" i="58"/>
  <c r="V2" i="58"/>
  <c r="F82" i="58"/>
  <c r="E82" i="58"/>
  <c r="D82" i="58"/>
  <c r="C82" i="58"/>
  <c r="B82" i="58"/>
  <c r="F81" i="58"/>
  <c r="E81" i="58"/>
  <c r="D81" i="58"/>
  <c r="C81" i="58"/>
  <c r="B81" i="58"/>
  <c r="F80" i="58"/>
  <c r="E80" i="58"/>
  <c r="D80" i="58"/>
  <c r="C80" i="58"/>
  <c r="B80" i="58"/>
  <c r="F79" i="58"/>
  <c r="E79" i="58"/>
  <c r="D79" i="58"/>
  <c r="C79" i="58"/>
  <c r="B79" i="58"/>
  <c r="F78" i="58"/>
  <c r="E78" i="58"/>
  <c r="D78" i="58"/>
  <c r="C78" i="58"/>
  <c r="B78" i="58"/>
  <c r="F77" i="58"/>
  <c r="E77" i="58"/>
  <c r="D77" i="58"/>
  <c r="C77" i="58"/>
  <c r="B77" i="58"/>
  <c r="F76" i="58"/>
  <c r="E76" i="58"/>
  <c r="D76" i="58"/>
  <c r="C76" i="58"/>
  <c r="B76" i="58"/>
  <c r="F75" i="58"/>
  <c r="E75" i="58"/>
  <c r="D75" i="58"/>
  <c r="C75" i="58"/>
  <c r="B75" i="58"/>
  <c r="F74" i="58"/>
  <c r="E74" i="58"/>
  <c r="D74" i="58"/>
  <c r="C74" i="58"/>
  <c r="B74" i="58"/>
  <c r="F73" i="58"/>
  <c r="E73" i="58"/>
  <c r="D73" i="58"/>
  <c r="C73" i="58"/>
  <c r="B73" i="58"/>
  <c r="F72" i="58"/>
  <c r="E72" i="58"/>
  <c r="D72" i="58"/>
  <c r="C72" i="58"/>
  <c r="B72" i="58"/>
  <c r="F71" i="58"/>
  <c r="E71" i="58"/>
  <c r="D71" i="58"/>
  <c r="C71" i="58"/>
  <c r="B71" i="58"/>
  <c r="F70" i="58"/>
  <c r="E70" i="58"/>
  <c r="D70" i="58"/>
  <c r="C70" i="58"/>
  <c r="B70" i="58"/>
  <c r="F69" i="58"/>
  <c r="E69" i="58"/>
  <c r="D69" i="58"/>
  <c r="C69" i="58"/>
  <c r="B69" i="58"/>
  <c r="F68" i="58"/>
  <c r="E68" i="58"/>
  <c r="D68" i="58"/>
  <c r="C68" i="58"/>
  <c r="B68" i="58"/>
  <c r="F67" i="58"/>
  <c r="E67" i="58"/>
  <c r="D67" i="58"/>
  <c r="C67" i="58"/>
  <c r="B67" i="58"/>
  <c r="F66" i="58"/>
  <c r="E66" i="58"/>
  <c r="D66" i="58"/>
  <c r="C66" i="58"/>
  <c r="B66" i="58"/>
  <c r="F65" i="58"/>
  <c r="E65" i="58"/>
  <c r="D65" i="58"/>
  <c r="C65" i="58"/>
  <c r="B65" i="58"/>
  <c r="F64" i="58"/>
  <c r="E64" i="58"/>
  <c r="D64" i="58"/>
  <c r="C64" i="58"/>
  <c r="B64" i="58"/>
  <c r="F63" i="58"/>
  <c r="E63" i="58"/>
  <c r="D63" i="58"/>
  <c r="C63" i="58"/>
  <c r="B63" i="58"/>
  <c r="F62" i="58"/>
  <c r="E62" i="58"/>
  <c r="D62" i="58"/>
  <c r="C62" i="58"/>
  <c r="B62" i="58"/>
  <c r="F61" i="58"/>
  <c r="E61" i="58"/>
  <c r="D61" i="58"/>
  <c r="C61" i="58"/>
  <c r="B61" i="58"/>
  <c r="F60" i="58"/>
  <c r="E60" i="58"/>
  <c r="D60" i="58"/>
  <c r="C60" i="58"/>
  <c r="B60" i="58"/>
  <c r="F59" i="58"/>
  <c r="E59" i="58"/>
  <c r="D59" i="58"/>
  <c r="C59" i="58"/>
  <c r="B59" i="58"/>
  <c r="F58" i="58"/>
  <c r="E58" i="58"/>
  <c r="D58" i="58"/>
  <c r="C58" i="58"/>
  <c r="B58" i="58"/>
  <c r="F57" i="58"/>
  <c r="E57" i="58"/>
  <c r="D57" i="58"/>
  <c r="C57" i="58"/>
  <c r="B57" i="58"/>
  <c r="F56" i="58"/>
  <c r="E56" i="58"/>
  <c r="D56" i="58"/>
  <c r="C56" i="58"/>
  <c r="B56" i="58"/>
  <c r="F55" i="58"/>
  <c r="E55" i="58"/>
  <c r="D55" i="58"/>
  <c r="C55" i="58"/>
  <c r="B55" i="58"/>
  <c r="F54" i="58"/>
  <c r="E54" i="58"/>
  <c r="D54" i="58"/>
  <c r="C54" i="58"/>
  <c r="B54" i="58"/>
  <c r="F53" i="58"/>
  <c r="E53" i="58"/>
  <c r="D53" i="58"/>
  <c r="C53" i="58"/>
  <c r="B53" i="58"/>
  <c r="F52" i="58"/>
  <c r="E52" i="58"/>
  <c r="D52" i="58"/>
  <c r="C52" i="58"/>
  <c r="B52" i="58"/>
  <c r="F51" i="58"/>
  <c r="E51" i="58"/>
  <c r="D51" i="58"/>
  <c r="C51" i="58"/>
  <c r="B51" i="58"/>
  <c r="F50" i="58"/>
  <c r="E50" i="58"/>
  <c r="D50" i="58"/>
  <c r="C50" i="58"/>
  <c r="B50" i="58"/>
  <c r="F49" i="58"/>
  <c r="E49" i="58"/>
  <c r="D49" i="58"/>
  <c r="C49" i="58"/>
  <c r="B49" i="58"/>
  <c r="F48" i="58"/>
  <c r="E48" i="58"/>
  <c r="D48" i="58"/>
  <c r="C48" i="58"/>
  <c r="B48" i="58"/>
  <c r="F47" i="58"/>
  <c r="E47" i="58"/>
  <c r="D47" i="58"/>
  <c r="C47" i="58"/>
  <c r="B47" i="58"/>
  <c r="F46" i="58"/>
  <c r="E46" i="58"/>
  <c r="D46" i="58"/>
  <c r="C46" i="58"/>
  <c r="B46" i="58"/>
  <c r="F45" i="58"/>
  <c r="E45" i="58"/>
  <c r="D45" i="58"/>
  <c r="C45" i="58"/>
  <c r="B45" i="58"/>
  <c r="F44" i="58"/>
  <c r="E44" i="58"/>
  <c r="D44" i="58"/>
  <c r="C44" i="58"/>
  <c r="B44" i="58"/>
  <c r="F43" i="58"/>
  <c r="E43" i="58"/>
  <c r="D43" i="58"/>
  <c r="C43" i="58"/>
  <c r="B43" i="58"/>
  <c r="F42" i="58"/>
  <c r="E42" i="58"/>
  <c r="D42" i="58"/>
  <c r="C42" i="58"/>
  <c r="B42" i="58"/>
  <c r="F41" i="58"/>
  <c r="E41" i="58"/>
  <c r="D41" i="58"/>
  <c r="C41" i="58"/>
  <c r="B41" i="58"/>
  <c r="F40" i="58"/>
  <c r="E40" i="58"/>
  <c r="D40" i="58"/>
  <c r="C40" i="58"/>
  <c r="B40" i="58"/>
  <c r="F39" i="58"/>
  <c r="E39" i="58"/>
  <c r="D39" i="58"/>
  <c r="C39" i="58"/>
  <c r="B39" i="58"/>
  <c r="F38" i="58"/>
  <c r="E38" i="58"/>
  <c r="D38" i="58"/>
  <c r="C38" i="58"/>
  <c r="B38" i="58"/>
  <c r="F37" i="58"/>
  <c r="E37" i="58"/>
  <c r="D37" i="58"/>
  <c r="C37" i="58"/>
  <c r="B37" i="58"/>
  <c r="F36" i="58"/>
  <c r="E36" i="58"/>
  <c r="D36" i="58"/>
  <c r="C36" i="58"/>
  <c r="B36" i="58"/>
  <c r="F35" i="58"/>
  <c r="E35" i="58"/>
  <c r="D35" i="58"/>
  <c r="C35" i="58"/>
  <c r="B35" i="58"/>
  <c r="F34" i="58"/>
  <c r="E34" i="58"/>
  <c r="D34" i="58"/>
  <c r="C34" i="58"/>
  <c r="B34" i="58"/>
  <c r="F33" i="58"/>
  <c r="E33" i="58"/>
  <c r="D33" i="58"/>
  <c r="C33" i="58"/>
  <c r="B33" i="58"/>
  <c r="F32" i="58"/>
  <c r="E32" i="58"/>
  <c r="D32" i="58"/>
  <c r="C32" i="58"/>
  <c r="B32" i="58"/>
  <c r="F31" i="58"/>
  <c r="E31" i="58"/>
  <c r="D31" i="58"/>
  <c r="C31" i="58"/>
  <c r="B31" i="58"/>
  <c r="F30" i="58"/>
  <c r="E30" i="58"/>
  <c r="D30" i="58"/>
  <c r="C30" i="58"/>
  <c r="B30" i="58"/>
  <c r="F29" i="58"/>
  <c r="E29" i="58"/>
  <c r="D29" i="58"/>
  <c r="C29" i="58"/>
  <c r="B29" i="58"/>
  <c r="F28" i="58"/>
  <c r="E28" i="58"/>
  <c r="D28" i="58"/>
  <c r="C28" i="58"/>
  <c r="B28" i="58"/>
  <c r="F27" i="58"/>
  <c r="E27" i="58"/>
  <c r="D27" i="58"/>
  <c r="C27" i="58"/>
  <c r="B27" i="58"/>
  <c r="F26" i="58"/>
  <c r="E26" i="58"/>
  <c r="D26" i="58"/>
  <c r="C26" i="58"/>
  <c r="B26" i="58"/>
  <c r="F25" i="58"/>
  <c r="E25" i="58"/>
  <c r="D25" i="58"/>
  <c r="C25" i="58"/>
  <c r="B25" i="58"/>
  <c r="F24" i="58"/>
  <c r="E24" i="58"/>
  <c r="D24" i="58"/>
  <c r="C24" i="58"/>
  <c r="B24" i="58"/>
  <c r="F23" i="58"/>
  <c r="E23" i="58"/>
  <c r="D23" i="58"/>
  <c r="C23" i="58"/>
  <c r="B23" i="58"/>
  <c r="F22" i="58"/>
  <c r="E22" i="58"/>
  <c r="D22" i="58"/>
  <c r="C22" i="58"/>
  <c r="B22" i="58"/>
  <c r="F21" i="58"/>
  <c r="E21" i="58"/>
  <c r="D21" i="58"/>
  <c r="C21" i="58"/>
  <c r="B21" i="58"/>
  <c r="F20" i="58"/>
  <c r="E20" i="58"/>
  <c r="D20" i="58"/>
  <c r="C20" i="58"/>
  <c r="B20" i="58"/>
  <c r="F19" i="58"/>
  <c r="E19" i="58"/>
  <c r="D19" i="58"/>
  <c r="C19" i="58"/>
  <c r="B19" i="58"/>
  <c r="F18" i="58"/>
  <c r="E18" i="58"/>
  <c r="D18" i="58"/>
  <c r="C18" i="58"/>
  <c r="B18" i="58"/>
  <c r="F17" i="58"/>
  <c r="E17" i="58"/>
  <c r="D17" i="58"/>
  <c r="C17" i="58"/>
  <c r="B17" i="58"/>
  <c r="F16" i="58"/>
  <c r="E16" i="58"/>
  <c r="D16" i="58"/>
  <c r="C16" i="58"/>
  <c r="B16" i="58"/>
  <c r="F15" i="58"/>
  <c r="E15" i="58"/>
  <c r="D15" i="58"/>
  <c r="C15" i="58"/>
  <c r="B15" i="58"/>
  <c r="F14" i="58"/>
  <c r="E14" i="58"/>
  <c r="D14" i="58"/>
  <c r="C14" i="58"/>
  <c r="B14" i="58"/>
  <c r="F13" i="58"/>
  <c r="E13" i="58"/>
  <c r="D13" i="58"/>
  <c r="C13" i="58"/>
  <c r="B13" i="58"/>
  <c r="F12" i="58"/>
  <c r="E12" i="58"/>
  <c r="D12" i="58"/>
  <c r="C12" i="58"/>
  <c r="B12" i="58"/>
  <c r="F11" i="58"/>
  <c r="E11" i="58"/>
  <c r="D11" i="58"/>
  <c r="C11" i="58"/>
  <c r="B11" i="58"/>
  <c r="F10" i="58"/>
  <c r="E10" i="58"/>
  <c r="D10" i="58"/>
  <c r="C10" i="58"/>
  <c r="B10" i="58"/>
  <c r="F9" i="58"/>
  <c r="E9" i="58"/>
  <c r="D9" i="58"/>
  <c r="C9" i="58"/>
  <c r="B9" i="58"/>
  <c r="F8" i="58"/>
  <c r="E8" i="58"/>
  <c r="D8" i="58"/>
  <c r="C8" i="58"/>
  <c r="B8" i="58"/>
  <c r="F7" i="58"/>
  <c r="E7" i="58"/>
  <c r="D7" i="58"/>
  <c r="C7" i="58"/>
  <c r="B7" i="58"/>
  <c r="F6" i="58"/>
  <c r="E6" i="58"/>
  <c r="D6" i="58"/>
  <c r="C6" i="58"/>
  <c r="B6" i="58"/>
  <c r="F5" i="58"/>
  <c r="E5" i="58"/>
  <c r="D5" i="58"/>
  <c r="C5" i="58"/>
  <c r="B5" i="58"/>
  <c r="F4" i="58"/>
  <c r="E4" i="58"/>
  <c r="D4" i="58"/>
  <c r="C4" i="58"/>
  <c r="B4" i="58"/>
  <c r="F3" i="58"/>
  <c r="E3" i="58"/>
  <c r="D3" i="58"/>
  <c r="C3" i="58"/>
  <c r="B3" i="58"/>
  <c r="F2" i="58"/>
  <c r="E2" i="58"/>
  <c r="D2" i="58"/>
  <c r="C2" i="58"/>
  <c r="B2" i="58"/>
  <c r="H82" i="58"/>
  <c r="H81" i="58"/>
  <c r="H80" i="58"/>
  <c r="H79" i="58"/>
  <c r="H78" i="58"/>
  <c r="H77" i="58"/>
  <c r="H76" i="58"/>
  <c r="H75" i="58"/>
  <c r="H74" i="58"/>
  <c r="H73" i="58"/>
  <c r="H72" i="58"/>
  <c r="H71" i="58"/>
  <c r="H70" i="58"/>
  <c r="H69" i="58"/>
  <c r="H68" i="58"/>
  <c r="H67" i="58"/>
  <c r="H66" i="58"/>
  <c r="H65" i="58"/>
  <c r="H64" i="58"/>
  <c r="H63" i="58"/>
  <c r="H62" i="58"/>
  <c r="H61" i="58"/>
  <c r="H60" i="58"/>
  <c r="H59" i="58"/>
  <c r="H58" i="58"/>
  <c r="H57" i="58"/>
  <c r="H56" i="58"/>
  <c r="H55" i="58"/>
  <c r="H54" i="58"/>
  <c r="H53" i="58"/>
  <c r="H52" i="58"/>
  <c r="H51" i="58"/>
  <c r="H50" i="58"/>
  <c r="H49" i="58"/>
  <c r="H48" i="58"/>
  <c r="H47" i="58"/>
  <c r="H46" i="58"/>
  <c r="H45" i="58"/>
  <c r="H44" i="58"/>
  <c r="H43" i="58"/>
  <c r="H42" i="58"/>
  <c r="H41" i="58"/>
  <c r="H40" i="58"/>
  <c r="H39" i="58"/>
  <c r="H38" i="58"/>
  <c r="H37" i="58"/>
  <c r="H36" i="58"/>
  <c r="H35" i="58"/>
  <c r="H34" i="58"/>
  <c r="H33" i="58"/>
  <c r="H32" i="58"/>
  <c r="H31" i="58"/>
  <c r="H30" i="58"/>
  <c r="H29" i="58"/>
  <c r="H28" i="58"/>
  <c r="H27" i="58"/>
  <c r="H26" i="58"/>
  <c r="H25" i="58"/>
  <c r="H24" i="58"/>
  <c r="H23" i="58"/>
  <c r="H22" i="58"/>
  <c r="H21" i="58"/>
  <c r="H20" i="58"/>
  <c r="H19" i="58"/>
  <c r="H18" i="58"/>
  <c r="H17" i="58"/>
  <c r="H16" i="58"/>
  <c r="H15" i="58"/>
  <c r="H14" i="58"/>
  <c r="H13" i="58"/>
  <c r="H12" i="58"/>
  <c r="H11" i="58"/>
  <c r="H10" i="58"/>
  <c r="H9" i="58"/>
  <c r="H8" i="58"/>
  <c r="H7" i="58"/>
  <c r="H6" i="58"/>
  <c r="H5" i="58"/>
  <c r="H4" i="58"/>
  <c r="H3" i="58"/>
  <c r="H2" i="58"/>
  <c r="S81" i="58" l="1"/>
  <c r="O81" i="58"/>
  <c r="K81" i="58"/>
  <c r="U72" i="58"/>
  <c r="Q72" i="58"/>
  <c r="M72" i="58"/>
  <c r="R81" i="58"/>
  <c r="N81" i="58"/>
  <c r="J81" i="58"/>
  <c r="Q81" i="58"/>
  <c r="P72" i="58"/>
  <c r="K72" i="58"/>
  <c r="R63" i="58"/>
  <c r="N63" i="58"/>
  <c r="J63" i="58"/>
  <c r="T54" i="58"/>
  <c r="P54" i="58"/>
  <c r="L54" i="58"/>
  <c r="U45" i="58"/>
  <c r="Q45" i="58"/>
  <c r="M45" i="58"/>
  <c r="P81" i="58"/>
  <c r="T72" i="58"/>
  <c r="O72" i="58"/>
  <c r="J72" i="58"/>
  <c r="U63" i="58"/>
  <c r="Q63" i="58"/>
  <c r="M63" i="58"/>
  <c r="S54" i="58"/>
  <c r="O54" i="58"/>
  <c r="K54" i="58"/>
  <c r="T45" i="58"/>
  <c r="P45" i="58"/>
  <c r="L45" i="58"/>
  <c r="T36" i="58"/>
  <c r="P36" i="58"/>
  <c r="L36" i="58"/>
  <c r="T27" i="58"/>
  <c r="P27" i="58"/>
  <c r="L27" i="58"/>
  <c r="U81" i="58"/>
  <c r="M81" i="58"/>
  <c r="S72" i="58"/>
  <c r="N72" i="58"/>
  <c r="T63" i="58"/>
  <c r="P63" i="58"/>
  <c r="L63" i="58"/>
  <c r="R54" i="58"/>
  <c r="N54" i="58"/>
  <c r="J54" i="58"/>
  <c r="S45" i="58"/>
  <c r="O45" i="58"/>
  <c r="K45" i="58"/>
  <c r="S36" i="58"/>
  <c r="O36" i="58"/>
  <c r="K36" i="58"/>
  <c r="L72" i="58"/>
  <c r="S63" i="58"/>
  <c r="U54" i="58"/>
  <c r="N45" i="58"/>
  <c r="R36" i="58"/>
  <c r="J36" i="58"/>
  <c r="U27" i="58"/>
  <c r="O27" i="58"/>
  <c r="J27" i="58"/>
  <c r="T18" i="58"/>
  <c r="P18" i="58"/>
  <c r="L18" i="58"/>
  <c r="T9" i="58"/>
  <c r="P9" i="58"/>
  <c r="L9" i="58"/>
  <c r="T81" i="58"/>
  <c r="O63" i="58"/>
  <c r="Q54" i="58"/>
  <c r="J45" i="58"/>
  <c r="Q36" i="58"/>
  <c r="S27" i="58"/>
  <c r="N27" i="58"/>
  <c r="S18" i="58"/>
  <c r="O18" i="58"/>
  <c r="K18" i="58"/>
  <c r="S9" i="58"/>
  <c r="O9" i="58"/>
  <c r="K9" i="58"/>
  <c r="L81" i="58"/>
  <c r="K63" i="58"/>
  <c r="M54" i="58"/>
  <c r="N36" i="58"/>
  <c r="R27" i="58"/>
  <c r="M27" i="58"/>
  <c r="R18" i="58"/>
  <c r="N18" i="58"/>
  <c r="J18" i="58"/>
  <c r="R9" i="58"/>
  <c r="N9" i="58"/>
  <c r="J9" i="58"/>
  <c r="R72" i="58"/>
  <c r="M18" i="58"/>
  <c r="U9" i="58"/>
  <c r="Q9" i="58"/>
  <c r="R45" i="58"/>
  <c r="M36" i="58"/>
  <c r="K27" i="58"/>
  <c r="Q18" i="58"/>
  <c r="M9" i="58"/>
  <c r="U36" i="58"/>
  <c r="U18" i="58"/>
  <c r="Q27" i="58"/>
  <c r="V9" i="58" l="1"/>
  <c r="V63" i="58"/>
  <c r="V72" i="58"/>
  <c r="V45" i="58"/>
  <c r="V27" i="58"/>
  <c r="V81" i="58"/>
  <c r="V18" i="58"/>
  <c r="V36" i="58"/>
  <c r="V54" i="58"/>
  <c r="Z7" i="1" l="1"/>
  <c r="Z8" i="1" l="1"/>
  <c r="Z9" i="1" l="1"/>
  <c r="Z10" i="1" l="1"/>
  <c r="Z11" i="1" l="1"/>
  <c r="Z12" i="1" l="1"/>
  <c r="Z13" i="1" l="1"/>
  <c r="Z14" i="1" l="1"/>
  <c r="Z15" i="1" l="1"/>
  <c r="Z16" i="1" l="1"/>
  <c r="Z17" i="1" l="1"/>
  <c r="Z18" i="1" l="1"/>
  <c r="Z19" i="1" l="1"/>
  <c r="Z20" i="1" l="1"/>
  <c r="Z21" i="1" l="1"/>
  <c r="Z22" i="1" l="1"/>
  <c r="Z23" i="1" l="1"/>
  <c r="Z24" i="1" l="1"/>
  <c r="Z25" i="1" l="1"/>
  <c r="Z26" i="1" l="1"/>
  <c r="Z27" i="1" l="1"/>
  <c r="Z28" i="1" l="1"/>
  <c r="Z29" i="1" l="1"/>
  <c r="Z30" i="1" l="1"/>
  <c r="R80" i="58" l="1"/>
  <c r="R82" i="58" s="1"/>
  <c r="N80" i="58"/>
  <c r="N82" i="58" s="1"/>
  <c r="J80" i="58"/>
  <c r="U80" i="58"/>
  <c r="U82" i="58" s="1"/>
  <c r="Q80" i="58"/>
  <c r="Q82" i="58" s="1"/>
  <c r="M80" i="58"/>
  <c r="M82" i="58" s="1"/>
  <c r="T80" i="58"/>
  <c r="T82" i="58" s="1"/>
  <c r="L80" i="58"/>
  <c r="L82" i="58" s="1"/>
  <c r="U71" i="58"/>
  <c r="U73" i="58" s="1"/>
  <c r="Q71" i="58"/>
  <c r="Q73" i="58" s="1"/>
  <c r="M71" i="58"/>
  <c r="M73" i="58" s="1"/>
  <c r="U62" i="58"/>
  <c r="U64" i="58" s="1"/>
  <c r="Q62" i="58"/>
  <c r="Q64" i="58" s="1"/>
  <c r="M62" i="58"/>
  <c r="M64" i="58" s="1"/>
  <c r="S53" i="58"/>
  <c r="S55" i="58" s="1"/>
  <c r="O53" i="58"/>
  <c r="O55" i="58" s="1"/>
  <c r="K53" i="58"/>
  <c r="K55" i="58" s="1"/>
  <c r="S80" i="58"/>
  <c r="S82" i="58" s="1"/>
  <c r="K80" i="58"/>
  <c r="K82" i="58" s="1"/>
  <c r="T71" i="58"/>
  <c r="T73" i="58" s="1"/>
  <c r="P71" i="58"/>
  <c r="P73" i="58" s="1"/>
  <c r="L71" i="58"/>
  <c r="L73" i="58" s="1"/>
  <c r="T62" i="58"/>
  <c r="T64" i="58" s="1"/>
  <c r="P62" i="58"/>
  <c r="P64" i="58" s="1"/>
  <c r="L62" i="58"/>
  <c r="L64" i="58" s="1"/>
  <c r="R53" i="58"/>
  <c r="R55" i="58" s="1"/>
  <c r="N53" i="58"/>
  <c r="N55" i="58" s="1"/>
  <c r="J53" i="58"/>
  <c r="S44" i="58"/>
  <c r="S46" i="58" s="1"/>
  <c r="O44" i="58"/>
  <c r="O46" i="58" s="1"/>
  <c r="K44" i="58"/>
  <c r="K46" i="58" s="1"/>
  <c r="S35" i="58"/>
  <c r="S37" i="58" s="1"/>
  <c r="O35" i="58"/>
  <c r="O37" i="58" s="1"/>
  <c r="K35" i="58"/>
  <c r="K37" i="58" s="1"/>
  <c r="S26" i="58"/>
  <c r="S28" i="58" s="1"/>
  <c r="O26" i="58"/>
  <c r="O28" i="58" s="1"/>
  <c r="K26" i="58"/>
  <c r="K28" i="58" s="1"/>
  <c r="P80" i="58"/>
  <c r="P82" i="58" s="1"/>
  <c r="S71" i="58"/>
  <c r="S73" i="58" s="1"/>
  <c r="O71" i="58"/>
  <c r="O73" i="58" s="1"/>
  <c r="K71" i="58"/>
  <c r="K73" i="58" s="1"/>
  <c r="S62" i="58"/>
  <c r="S64" i="58" s="1"/>
  <c r="O62" i="58"/>
  <c r="O64" i="58" s="1"/>
  <c r="K62" i="58"/>
  <c r="K64" i="58" s="1"/>
  <c r="U53" i="58"/>
  <c r="U55" i="58" s="1"/>
  <c r="Q53" i="58"/>
  <c r="Q55" i="58" s="1"/>
  <c r="M53" i="58"/>
  <c r="M55" i="58" s="1"/>
  <c r="R44" i="58"/>
  <c r="R46" i="58" s="1"/>
  <c r="N44" i="58"/>
  <c r="N46" i="58" s="1"/>
  <c r="J44" i="58"/>
  <c r="J71" i="58"/>
  <c r="T53" i="58"/>
  <c r="T55" i="58" s="1"/>
  <c r="Q44" i="58"/>
  <c r="Q46" i="58" s="1"/>
  <c r="Q35" i="58"/>
  <c r="Q37" i="58" s="1"/>
  <c r="L35" i="58"/>
  <c r="L37" i="58" s="1"/>
  <c r="Q26" i="58"/>
  <c r="Q28" i="58" s="1"/>
  <c r="L26" i="58"/>
  <c r="L28" i="58" s="1"/>
  <c r="S17" i="58"/>
  <c r="S19" i="58" s="1"/>
  <c r="O17" i="58"/>
  <c r="O19" i="58" s="1"/>
  <c r="K17" i="58"/>
  <c r="K19" i="58" s="1"/>
  <c r="S8" i="58"/>
  <c r="S10" i="58" s="1"/>
  <c r="O8" i="58"/>
  <c r="O10" i="58" s="1"/>
  <c r="K8" i="58"/>
  <c r="K10" i="58" s="1"/>
  <c r="R62" i="58"/>
  <c r="R64" i="58" s="1"/>
  <c r="P53" i="58"/>
  <c r="P55" i="58" s="1"/>
  <c r="P44" i="58"/>
  <c r="P46" i="58" s="1"/>
  <c r="U35" i="58"/>
  <c r="U37" i="58" s="1"/>
  <c r="P35" i="58"/>
  <c r="P37" i="58" s="1"/>
  <c r="J35" i="58"/>
  <c r="U26" i="58"/>
  <c r="U28" i="58" s="1"/>
  <c r="P26" i="58"/>
  <c r="P28" i="58" s="1"/>
  <c r="J26" i="58"/>
  <c r="R17" i="58"/>
  <c r="R19" i="58" s="1"/>
  <c r="N17" i="58"/>
  <c r="N19" i="58" s="1"/>
  <c r="J17" i="58"/>
  <c r="R8" i="58"/>
  <c r="R10" i="58" s="1"/>
  <c r="N8" i="58"/>
  <c r="N10" i="58" s="1"/>
  <c r="J8" i="58"/>
  <c r="R71" i="58"/>
  <c r="R73" i="58" s="1"/>
  <c r="N62" i="58"/>
  <c r="N64" i="58" s="1"/>
  <c r="L53" i="58"/>
  <c r="L55" i="58" s="1"/>
  <c r="U44" i="58"/>
  <c r="U46" i="58" s="1"/>
  <c r="M44" i="58"/>
  <c r="M46" i="58" s="1"/>
  <c r="T35" i="58"/>
  <c r="T37" i="58" s="1"/>
  <c r="N35" i="58"/>
  <c r="N37" i="58" s="1"/>
  <c r="T26" i="58"/>
  <c r="T28" i="58" s="1"/>
  <c r="N26" i="58"/>
  <c r="N28" i="58" s="1"/>
  <c r="U17" i="58"/>
  <c r="U19" i="58" s="1"/>
  <c r="Q17" i="58"/>
  <c r="Q19" i="58" s="1"/>
  <c r="M17" i="58"/>
  <c r="M19" i="58" s="1"/>
  <c r="U8" i="58"/>
  <c r="U10" i="58" s="1"/>
  <c r="Q8" i="58"/>
  <c r="Q10" i="58" s="1"/>
  <c r="M8" i="58"/>
  <c r="M10" i="58" s="1"/>
  <c r="N71" i="58"/>
  <c r="N73" i="58" s="1"/>
  <c r="L44" i="58"/>
  <c r="L46" i="58" s="1"/>
  <c r="L17" i="58"/>
  <c r="L19" i="58" s="1"/>
  <c r="T8" i="58"/>
  <c r="T10" i="58" s="1"/>
  <c r="J62" i="58"/>
  <c r="R35" i="58"/>
  <c r="R37" i="58" s="1"/>
  <c r="R26" i="58"/>
  <c r="R28" i="58" s="1"/>
  <c r="P8" i="58"/>
  <c r="P10" i="58" s="1"/>
  <c r="O80" i="58"/>
  <c r="O82" i="58" s="1"/>
  <c r="T44" i="58"/>
  <c r="T46" i="58" s="1"/>
  <c r="P17" i="58"/>
  <c r="P19" i="58" s="1"/>
  <c r="L8" i="58"/>
  <c r="L10" i="58" s="1"/>
  <c r="M35" i="58"/>
  <c r="M37" i="58" s="1"/>
  <c r="M26" i="58"/>
  <c r="M28" i="58" s="1"/>
  <c r="T17" i="58"/>
  <c r="T19" i="58" s="1"/>
  <c r="V62" i="58" l="1"/>
  <c r="V26" i="58"/>
  <c r="V44" i="58"/>
  <c r="V80" i="58"/>
  <c r="V17" i="58"/>
  <c r="V35" i="58"/>
  <c r="V8" i="58"/>
  <c r="V71" i="58"/>
  <c r="V53" i="58"/>
  <c r="J82" i="58"/>
  <c r="V82" i="58" s="1"/>
  <c r="J64" i="58"/>
  <c r="V64" i="58" s="1"/>
  <c r="J10" i="58"/>
  <c r="J19" i="58"/>
  <c r="V19" i="58" s="1"/>
  <c r="J28" i="58"/>
  <c r="V28" i="58" s="1"/>
  <c r="J37" i="58"/>
  <c r="V37" i="58" s="1"/>
  <c r="J73" i="58"/>
  <c r="V73" i="58" s="1"/>
  <c r="J46" i="58"/>
  <c r="V46" i="58" s="1"/>
  <c r="J55" i="58"/>
  <c r="V55" i="58" s="1"/>
  <c r="V10" i="58" l="1"/>
  <c r="M8" i="1"/>
  <c r="N11" i="1"/>
  <c r="O14" i="1"/>
  <c r="P17" i="1"/>
  <c r="Q20" i="1"/>
  <c r="M24" i="1"/>
  <c r="N27" i="1"/>
  <c r="O30" i="1"/>
  <c r="K30" i="1"/>
  <c r="R28" i="1"/>
  <c r="T26" i="1"/>
  <c r="V24" i="1"/>
  <c r="X22" i="1"/>
  <c r="L21" i="1"/>
  <c r="S19" i="1"/>
  <c r="U17" i="1"/>
  <c r="W15" i="1"/>
  <c r="K14" i="1"/>
  <c r="R12" i="1"/>
  <c r="T10" i="1"/>
  <c r="V8" i="1"/>
  <c r="Q9" i="1"/>
  <c r="Q10" i="1"/>
  <c r="M14" i="1"/>
  <c r="N17" i="1"/>
  <c r="O20" i="1"/>
  <c r="P23" i="1"/>
  <c r="Q26" i="1"/>
  <c r="M30" i="1"/>
  <c r="R30" i="1"/>
  <c r="T28" i="1"/>
  <c r="V26" i="1"/>
  <c r="X24" i="1"/>
  <c r="N14" i="1"/>
  <c r="P20" i="1"/>
  <c r="M27" i="1"/>
  <c r="L30" i="1"/>
  <c r="U26" i="1"/>
  <c r="U23" i="1"/>
  <c r="R21" i="1"/>
  <c r="W18" i="1"/>
  <c r="T16" i="1"/>
  <c r="L14" i="1"/>
  <c r="V11" i="1"/>
  <c r="S9" i="1"/>
  <c r="O11" i="1"/>
  <c r="Q17" i="1"/>
  <c r="N24" i="1"/>
  <c r="P30" i="1"/>
  <c r="L28" i="1"/>
  <c r="U24" i="1"/>
  <c r="R22" i="1"/>
  <c r="N10" i="1"/>
  <c r="P16" i="1"/>
  <c r="M23" i="1"/>
  <c r="O29" i="1"/>
  <c r="W28" i="1"/>
  <c r="R25" i="1"/>
  <c r="V22" i="1"/>
  <c r="S20" i="1"/>
  <c r="X17" i="1"/>
  <c r="U15" i="1"/>
  <c r="R13" i="1"/>
  <c r="W10" i="1"/>
  <c r="T8" i="1"/>
  <c r="O15" i="1"/>
  <c r="Q21" i="1"/>
  <c r="N28" i="1"/>
  <c r="T29" i="1"/>
  <c r="X25" i="1"/>
  <c r="S21" i="1"/>
  <c r="W17" i="1"/>
  <c r="V13" i="1"/>
  <c r="L10" i="1"/>
  <c r="L20" i="1"/>
  <c r="R14" i="1"/>
  <c r="T17" i="1"/>
  <c r="X8" i="1"/>
  <c r="T9" i="1"/>
  <c r="U14" i="1"/>
  <c r="U11" i="1"/>
  <c r="S13" i="1"/>
  <c r="T7" i="1"/>
  <c r="L7" i="1"/>
  <c r="P24" i="1"/>
  <c r="X27" i="1"/>
  <c r="L22" i="1"/>
  <c r="V19" i="1"/>
  <c r="K15" i="1"/>
  <c r="U12" i="1"/>
  <c r="P10" i="1"/>
  <c r="O23" i="1"/>
  <c r="Q29" i="1"/>
  <c r="S24" i="1"/>
  <c r="U16" i="1"/>
  <c r="K13" i="1"/>
  <c r="S18" i="1"/>
  <c r="L15" i="1"/>
  <c r="U8" i="1"/>
  <c r="L12" i="1"/>
  <c r="K11" i="1"/>
  <c r="K7" i="1"/>
  <c r="O7" i="1"/>
  <c r="V23" i="1"/>
  <c r="K16" i="1"/>
  <c r="L23" i="1"/>
  <c r="R11" i="1"/>
  <c r="R19" i="1"/>
  <c r="L18" i="1"/>
  <c r="W7" i="1"/>
  <c r="P13" i="1"/>
  <c r="M20" i="1"/>
  <c r="O26" i="1"/>
  <c r="V28" i="1"/>
  <c r="L25" i="1"/>
  <c r="U21" i="1"/>
  <c r="R16" i="1"/>
  <c r="V12" i="1"/>
  <c r="L9" i="1"/>
  <c r="M10" i="1"/>
  <c r="O16" i="1"/>
  <c r="M26" i="1"/>
  <c r="V30" i="1"/>
  <c r="L27" i="1"/>
  <c r="M19" i="1"/>
  <c r="M7" i="1"/>
  <c r="L24" i="1"/>
  <c r="K17" i="1"/>
  <c r="S12" i="1"/>
  <c r="O9" i="1"/>
  <c r="M29" i="1"/>
  <c r="T25" i="1"/>
  <c r="T20" i="1"/>
  <c r="Q8" i="1"/>
  <c r="M12" i="1"/>
  <c r="N15" i="1"/>
  <c r="O18" i="1"/>
  <c r="P21" i="1"/>
  <c r="Q24" i="1"/>
  <c r="M28" i="1"/>
  <c r="P7" i="1"/>
  <c r="U29" i="1"/>
  <c r="W27" i="1"/>
  <c r="K26" i="1"/>
  <c r="R24" i="1"/>
  <c r="T22" i="1"/>
  <c r="V20" i="1"/>
  <c r="X18" i="1"/>
  <c r="L17" i="1"/>
  <c r="S15" i="1"/>
  <c r="U13" i="1"/>
  <c r="W11" i="1"/>
  <c r="K10" i="1"/>
  <c r="R8" i="1"/>
  <c r="O8" i="1"/>
  <c r="P11" i="1"/>
  <c r="Q14" i="1"/>
  <c r="M18" i="1"/>
  <c r="N21" i="1"/>
  <c r="O24" i="1"/>
  <c r="P27" i="1"/>
  <c r="Q30" i="1"/>
  <c r="W29" i="1"/>
  <c r="K28" i="1"/>
  <c r="R26" i="1"/>
  <c r="P8" i="1"/>
  <c r="Q15" i="1"/>
  <c r="N22" i="1"/>
  <c r="P28" i="1"/>
  <c r="R29" i="1"/>
  <c r="V25" i="1"/>
  <c r="K23" i="1"/>
  <c r="U20" i="1"/>
  <c r="R18" i="1"/>
  <c r="X15" i="1"/>
  <c r="T13" i="1"/>
  <c r="L11" i="1"/>
  <c r="W8" i="1"/>
  <c r="M13" i="1"/>
  <c r="O19" i="1"/>
  <c r="Q25" i="1"/>
  <c r="W30" i="1"/>
  <c r="R27" i="1"/>
  <c r="K24" i="1"/>
  <c r="V21" i="1"/>
  <c r="Q11" i="1"/>
  <c r="N18" i="1"/>
  <c r="Q7" i="1"/>
  <c r="T24" i="1"/>
  <c r="S17" i="1"/>
  <c r="R10" i="1"/>
  <c r="M17" i="1"/>
  <c r="U28" i="1"/>
  <c r="W20" i="1"/>
  <c r="K25" i="1"/>
  <c r="T12" i="1"/>
  <c r="S8" i="1"/>
  <c r="R9" i="1"/>
  <c r="V7" i="1"/>
  <c r="V27" i="1"/>
  <c r="X11" i="1"/>
  <c r="W12" i="1"/>
  <c r="W9" i="1"/>
  <c r="R7" i="1"/>
  <c r="Q16" i="1"/>
  <c r="P29" i="1"/>
  <c r="X26" i="1"/>
  <c r="W19" i="1"/>
  <c r="T14" i="1"/>
  <c r="M9" i="1"/>
  <c r="P19" i="1"/>
  <c r="N29" i="1"/>
  <c r="S25" i="1"/>
  <c r="O25" i="1"/>
  <c r="W21" i="1"/>
  <c r="V14" i="1"/>
  <c r="N16" i="1"/>
  <c r="K29" i="1"/>
  <c r="P9" i="1"/>
  <c r="Q12" i="1"/>
  <c r="M16" i="1"/>
  <c r="N19" i="1"/>
  <c r="O22" i="1"/>
  <c r="P25" i="1"/>
  <c r="Q28" i="1"/>
  <c r="X30" i="1"/>
  <c r="L29" i="1"/>
  <c r="S27" i="1"/>
  <c r="U25" i="1"/>
  <c r="W23" i="1"/>
  <c r="K22" i="1"/>
  <c r="R20" i="1"/>
  <c r="T18" i="1"/>
  <c r="V16" i="1"/>
  <c r="X14" i="1"/>
  <c r="L13" i="1"/>
  <c r="S11" i="1"/>
  <c r="U9" i="1"/>
  <c r="N8" i="1"/>
  <c r="N9" i="1"/>
  <c r="O12" i="1"/>
  <c r="P15" i="1"/>
  <c r="Q18" i="1"/>
  <c r="M22" i="1"/>
  <c r="N25" i="1"/>
  <c r="O28" i="1"/>
  <c r="N7" i="1"/>
  <c r="S29" i="1"/>
  <c r="U27" i="1"/>
  <c r="W25" i="1"/>
  <c r="M11" i="1"/>
  <c r="O17" i="1"/>
  <c r="Q23" i="1"/>
  <c r="N30" i="1"/>
  <c r="S28" i="1"/>
  <c r="W24" i="1"/>
  <c r="S22" i="1"/>
  <c r="K20" i="1"/>
  <c r="V17" i="1"/>
  <c r="R15" i="1"/>
  <c r="X12" i="1"/>
  <c r="U10" i="1"/>
  <c r="L8" i="1"/>
  <c r="P14" i="1"/>
  <c r="M21" i="1"/>
  <c r="O27" i="1"/>
  <c r="X29" i="1"/>
  <c r="S26" i="1"/>
  <c r="T23" i="1"/>
  <c r="K21" i="1"/>
  <c r="O13" i="1"/>
  <c r="Q19" i="1"/>
  <c r="N26" i="1"/>
  <c r="U30" i="1"/>
  <c r="K27" i="1"/>
  <c r="X23" i="1"/>
  <c r="T21" i="1"/>
  <c r="L19" i="1"/>
  <c r="W16" i="1"/>
  <c r="S14" i="1"/>
  <c r="K12" i="1"/>
  <c r="V9" i="1"/>
  <c r="N12" i="1"/>
  <c r="P18" i="1"/>
  <c r="M25" i="1"/>
  <c r="U19" i="1"/>
  <c r="R17" i="1"/>
  <c r="V18" i="1"/>
  <c r="K8" i="1"/>
  <c r="O10" i="1"/>
  <c r="N23" i="1"/>
  <c r="T30" i="1"/>
  <c r="S23" i="1"/>
  <c r="K18" i="1"/>
  <c r="X10" i="1"/>
  <c r="N13" i="1"/>
  <c r="Q22" i="1"/>
  <c r="X28" i="1"/>
  <c r="P12" i="1"/>
  <c r="T27" i="1"/>
  <c r="T19" i="1"/>
  <c r="X9" i="1"/>
  <c r="P22" i="1"/>
  <c r="W22" i="1"/>
  <c r="M15" i="1"/>
  <c r="L26" i="1"/>
  <c r="L16" i="1"/>
  <c r="Q13" i="1"/>
  <c r="W26" i="1"/>
  <c r="V10" i="1"/>
  <c r="S10" i="1"/>
  <c r="R23" i="1"/>
  <c r="X21" i="1"/>
  <c r="Q27" i="1"/>
  <c r="X20" i="1"/>
  <c r="T11" i="1"/>
  <c r="P26" i="1"/>
  <c r="K19" i="1"/>
  <c r="T15" i="1"/>
  <c r="X16" i="1"/>
  <c r="S7" i="1"/>
  <c r="S16" i="1"/>
  <c r="U7" i="1"/>
  <c r="O21" i="1"/>
  <c r="W13" i="1"/>
  <c r="U22" i="1"/>
  <c r="X7" i="1"/>
  <c r="V29" i="1"/>
  <c r="U18" i="1"/>
  <c r="K9" i="1"/>
  <c r="S30" i="1"/>
  <c r="W14" i="1"/>
  <c r="X19" i="1"/>
  <c r="V15" i="1"/>
  <c r="N20" i="1"/>
  <c r="X13" i="1"/>
  <c r="Y7" i="1" l="1"/>
  <c r="Y18" i="1" l="1"/>
  <c r="Y9" i="1"/>
  <c r="Y16" i="1"/>
  <c r="Y24" i="1"/>
  <c r="Y12" i="1"/>
  <c r="Y17" i="1"/>
  <c r="Y27" i="1"/>
  <c r="Y8" i="1"/>
  <c r="Y13" i="1"/>
  <c r="Y28" i="1"/>
  <c r="Y11" i="1"/>
  <c r="Y25" i="1"/>
  <c r="Y26" i="1"/>
  <c r="Y10" i="1"/>
  <c r="Y19" i="1"/>
  <c r="Y22" i="1"/>
  <c r="Y21" i="1"/>
  <c r="Y20" i="1"/>
  <c r="Y30" i="1"/>
  <c r="Y29" i="1"/>
  <c r="Y14" i="1"/>
  <c r="Y23" i="1"/>
  <c r="Y15" i="1"/>
</calcChain>
</file>

<file path=xl/comments1.xml><?xml version="1.0" encoding="utf-8"?>
<comments xmlns="http://schemas.openxmlformats.org/spreadsheetml/2006/main">
  <authors>
    <author>Philippe VERVAEKE</author>
  </authors>
  <commentList>
    <comment ref="K14" authorId="0">
      <text>
        <r>
          <rPr>
            <b/>
            <sz val="9"/>
            <color indexed="81"/>
            <rFont val="Tahoma"/>
            <family val="2"/>
          </rPr>
          <t>Philippe VERVAEKE:</t>
        </r>
        <r>
          <rPr>
            <sz val="9"/>
            <color indexed="81"/>
            <rFont val="Tahoma"/>
            <family val="2"/>
          </rPr>
          <t xml:space="preserve">
RNT 65 VI fixation 5eme point
budgeà confirmer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Philippe VERVAEKE:</t>
        </r>
        <r>
          <rPr>
            <sz val="9"/>
            <color indexed="81"/>
            <rFont val="Tahoma"/>
            <family val="2"/>
          </rPr>
          <t xml:space="preserve">
10 K€ de PR pour compensation des pénalités RATP 2014
</t>
        </r>
      </text>
    </comment>
  </commentList>
</comments>
</file>

<file path=xl/connections.xml><?xml version="1.0" encoding="utf-8"?>
<connections xmlns="http://schemas.openxmlformats.org/spreadsheetml/2006/main">
  <connection id="1" name="Connexion21" type="1" refreshedVersion="4" savePassword="1" saveData="1">
    <dbPr connection="DSN=PGIS5;Description=PGI S3/S5/S7 Serveur;UID=sa;PWD=cegid.2005;APP=Microsoft Office 2003;WSID=IDUC0408;DATABASE=PVI;LANGUAGE=us_english;QuotedId=No" command="SELECT _x000d__x000a_ZIMPOTPARAM.ZPI_ACTIVITE, ZIMPOTPARAM.ZPI_CATEGORIE, _x000d__x000a_ZIMPOTCATEGORIE.ZIC_LIBELLE, ZIMPOTPARAM.ZPI_SOURCE, _x000d__x000a_ZIMPOTSOURCE.ZIS_LIBELLE, ZIMPOTPARAM.ZPI_COMPTE, _x000d__x000a_ZIMPOTPARAM.ZPI_CONTREPARTIE, ZIMPOTPARAM.ZPI_TAUX_x000d__x000a__x000d__x000a_FROM _x000d__x000a_PVI.dbo.ZIMPOTCATEGORIE ZIMPOTCATEGORIE, _x000d__x000a_PVI.dbo.ZIMPOTPARAM ZIMPOTPARAM, _x000d__x000a_PVI.dbo.ZIMPOTPARAM_VUE ZIMPOTPARAM_VUE, _x000d__x000a_PVI.dbo.ZIMPOTSOURCE ZIMPOTSOURCE_x000d__x000a__x000d__x000a_WHERE _x000d__x000a_ZIMPOTPARAM_VUE.ZPI_ACTIVITE = ZIMPOTPARAM.ZPI_ACTIVITE _x000d__x000a_AND ZIMPOTPARAM_VUE.ZPI_CATEGORIE = ZIMPOTPARAM.ZPI_CATEGORIE _x000d__x000a_AND ZIMPOTPARAM_VUE.ZPI_SOURCE = ZIMPOTPARAM.ZPI_SOURCE _x000d__x000a_AND ZIMPOTPARAM.ZPI_CATEGORIE = ZIMPOTCATEGORIE.ZIC_CATEGORIE _x000d__x000a_AND ZIMPOTPARAM.ZPI_SOURCE = ZIMPOTCATEGORIE.ZIC_SOURCE _x000d__x000a_AND ZIMPOTSOURCE.ZIS_SOURCE = ZIMPOTCATEGORIE.ZIC_SOURCE _x000d__x000a_AND ZIMPOTSOURCE.ZIS_SOURCE = ZIMPOTPARAM.ZPI_SOURCE"/>
  </connection>
</connections>
</file>

<file path=xl/sharedStrings.xml><?xml version="1.0" encoding="utf-8"?>
<sst xmlns="http://schemas.openxmlformats.org/spreadsheetml/2006/main" count="412" uniqueCount="101">
  <si>
    <t>Produit</t>
  </si>
  <si>
    <t>Quantité</t>
  </si>
  <si>
    <t>Statut</t>
  </si>
  <si>
    <t>Contremarque</t>
  </si>
  <si>
    <t>Date</t>
  </si>
  <si>
    <t>VDP</t>
  </si>
  <si>
    <t>OREOS 4X</t>
  </si>
  <si>
    <t>MO</t>
  </si>
  <si>
    <t>FG</t>
  </si>
  <si>
    <t>VIN</t>
  </si>
  <si>
    <t>Moypro</t>
  </si>
  <si>
    <t>ProjHRS</t>
  </si>
  <si>
    <t>txHRS</t>
  </si>
  <si>
    <t>Tot VTE</t>
  </si>
  <si>
    <t>GTIES</t>
  </si>
  <si>
    <t>Mois VTE</t>
  </si>
  <si>
    <t>Projet</t>
  </si>
  <si>
    <t>Prév</t>
  </si>
  <si>
    <t>QMO</t>
  </si>
  <si>
    <t>€ACH</t>
  </si>
  <si>
    <t>Calcul</t>
  </si>
  <si>
    <t>Cdec</t>
  </si>
  <si>
    <t>Client</t>
  </si>
  <si>
    <t>Facturé</t>
  </si>
  <si>
    <t>SHRSSRSARZ</t>
  </si>
  <si>
    <t>SHRSSRSCEC</t>
  </si>
  <si>
    <t>SHRSSIPBEX</t>
  </si>
  <si>
    <t>Type ligne</t>
  </si>
  <si>
    <t>CA</t>
  </si>
  <si>
    <t>TEC</t>
  </si>
  <si>
    <t>Achats pièces</t>
  </si>
  <si>
    <t>Achats prestations</t>
  </si>
  <si>
    <t>Acompte</t>
  </si>
  <si>
    <t>Qté MO BE</t>
  </si>
  <si>
    <t>Subventions</t>
  </si>
  <si>
    <t>HYPT</t>
  </si>
  <si>
    <t>€TEC FERRRO-R&amp;D</t>
  </si>
  <si>
    <t>C-LESS 26T</t>
  </si>
  <si>
    <t>Total Qté MO</t>
  </si>
  <si>
    <t>NA</t>
  </si>
  <si>
    <t>Négo</t>
  </si>
  <si>
    <t>€ACH ProdPVI</t>
  </si>
  <si>
    <t>€ACH BBX</t>
  </si>
  <si>
    <t>€ACH Chassis</t>
  </si>
  <si>
    <t>€ACH Carross</t>
  </si>
  <si>
    <t>€ACH Sces+div</t>
  </si>
  <si>
    <t>Trimestre</t>
  </si>
  <si>
    <t>statuts</t>
  </si>
  <si>
    <t>TOTAL</t>
  </si>
  <si>
    <t>Quantité Budget</t>
  </si>
  <si>
    <t>projet</t>
  </si>
  <si>
    <t>Libellé</t>
  </si>
  <si>
    <t>PRODUIT</t>
  </si>
  <si>
    <t>STATUT PROJET</t>
  </si>
  <si>
    <t>TOTAL 2015</t>
  </si>
  <si>
    <t>CLIENT</t>
  </si>
  <si>
    <t>Cumulé à fin 2014</t>
  </si>
  <si>
    <t>Type projet</t>
  </si>
  <si>
    <t>PRODUITS détail</t>
  </si>
  <si>
    <t>SRS global</t>
  </si>
  <si>
    <t>VI gaz</t>
  </si>
  <si>
    <t>O2X/APT</t>
  </si>
  <si>
    <t>O4X</t>
  </si>
  <si>
    <t>MAX</t>
  </si>
  <si>
    <t>C-LESS</t>
  </si>
  <si>
    <t>RNT (X002109)</t>
  </si>
  <si>
    <t>CKD</t>
  </si>
  <si>
    <t>Global SRS</t>
  </si>
  <si>
    <t>MIDLUM_PREMIUM</t>
  </si>
  <si>
    <t>OREOS 2X_APTINEO</t>
  </si>
  <si>
    <t>MAXITY</t>
  </si>
  <si>
    <t>Remise à Niveau Technique</t>
  </si>
  <si>
    <t>Kits CKD (Haide,…)</t>
  </si>
  <si>
    <t>Recette FG</t>
  </si>
  <si>
    <t>G000000</t>
  </si>
  <si>
    <t>GTIES - A RENSEIGNER</t>
  </si>
  <si>
    <t>TYPE Autre</t>
  </si>
  <si>
    <t>SHRSSRSGTI</t>
  </si>
  <si>
    <t>SSCEPR</t>
  </si>
  <si>
    <t>SHRSPRO</t>
  </si>
  <si>
    <t>SHRSSIPMNT</t>
  </si>
  <si>
    <t>Qté MO PROD</t>
  </si>
  <si>
    <t>Qté MO SRS</t>
  </si>
  <si>
    <t>Qté MO GTIE</t>
  </si>
  <si>
    <t>Qté MO ESC</t>
  </si>
  <si>
    <t>Qté MO MNT</t>
  </si>
  <si>
    <t>Qté MO PR</t>
  </si>
  <si>
    <t>TAUX FG</t>
  </si>
  <si>
    <t>31/01/2015</t>
  </si>
  <si>
    <t>28/02/2015</t>
  </si>
  <si>
    <t>31/03/2015</t>
  </si>
  <si>
    <t>30/04/2015</t>
  </si>
  <si>
    <t>31/05/2015</t>
  </si>
  <si>
    <t>30/06/2015</t>
  </si>
  <si>
    <t>31/07/2015</t>
  </si>
  <si>
    <t>31/08/2015</t>
  </si>
  <si>
    <t>30/09/2015</t>
  </si>
  <si>
    <t>31/10/2015</t>
  </si>
  <si>
    <t>30/11/2015</t>
  </si>
  <si>
    <t>31/12/2015</t>
  </si>
  <si>
    <t xml:space="preserve">Il ne trouve aucune valeur alors que les conditions me semble respectées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</si>
</sst>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#,##0.0;\(#,##0.0\);&quot;&quot;"/>
    <numFmt numFmtId="165" formatCode="dd/mm/yy;@"/>
    <numFmt numFmtId="166" formatCode="#,##0;\(#,##0\);&quot;-&quot;"/>
    <numFmt numFmtId="167" formatCode="[$-40C]mmm\-yy;@"/>
    <numFmt numFmtId="168" formatCode="#,##0.00_ ;[Red]\-#,##0.00\ "/>
    <numFmt numFmtId="169" formatCode="_-* #,##0.00\ [$€-1]_-;\-* #,##0.00\ [$€-1]_-;_-* &quot;-&quot;??\ [$€-1]_-"/>
    <numFmt numFmtId="170" formatCode="#,##0;\-#,##0;&quot;&quot;"/>
  </numFmts>
  <fonts count="2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System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E9D9"/>
        <bgColor theme="4" tint="0.79998168889431442"/>
      </patternFill>
    </fill>
    <fill>
      <patternFill patternType="solid">
        <fgColor rgb="FFFDE9D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theme="4" tint="0.39997558519241921"/>
      </top>
      <bottom/>
      <diagonal/>
    </border>
  </borders>
  <cellStyleXfs count="195">
    <xf numFmtId="0" fontId="0" fillId="0" borderId="0"/>
    <xf numFmtId="169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9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9" fontId="12" fillId="0" borderId="0"/>
    <xf numFmtId="0" fontId="7" fillId="0" borderId="0"/>
    <xf numFmtId="0" fontId="12" fillId="0" borderId="0"/>
    <xf numFmtId="169" fontId="9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167" fontId="6" fillId="0" borderId="0"/>
    <xf numFmtId="0" fontId="12" fillId="0" borderId="0"/>
    <xf numFmtId="0" fontId="7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0" fontId="6" fillId="0" borderId="0"/>
    <xf numFmtId="0" fontId="6" fillId="0" borderId="0"/>
    <xf numFmtId="167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7" fillId="0" borderId="0"/>
    <xf numFmtId="9" fontId="6" fillId="0" borderId="0" applyFont="0" applyFill="0" applyBorder="0" applyAlignment="0" applyProtection="0"/>
    <xf numFmtId="0" fontId="19" fillId="0" borderId="0"/>
    <xf numFmtId="0" fontId="12" fillId="0" borderId="0"/>
    <xf numFmtId="9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9" fillId="0" borderId="0"/>
    <xf numFmtId="0" fontId="12" fillId="0" borderId="0"/>
    <xf numFmtId="0" fontId="7" fillId="0" borderId="0"/>
    <xf numFmtId="0" fontId="19" fillId="0" borderId="0"/>
    <xf numFmtId="0" fontId="12" fillId="0" borderId="0"/>
    <xf numFmtId="43" fontId="7" fillId="0" borderId="0" applyFont="0" applyFill="0" applyBorder="0" applyAlignment="0" applyProtection="0"/>
    <xf numFmtId="0" fontId="6" fillId="0" borderId="0"/>
    <xf numFmtId="0" fontId="12" fillId="0" borderId="0"/>
    <xf numFmtId="9" fontId="7" fillId="0" borderId="0" applyFont="0" applyFill="0" applyBorder="0" applyAlignment="0" applyProtection="0"/>
    <xf numFmtId="0" fontId="12" fillId="0" borderId="0"/>
    <xf numFmtId="43" fontId="7" fillId="0" borderId="0" applyFont="0" applyFill="0" applyBorder="0" applyAlignment="0" applyProtection="0"/>
    <xf numFmtId="0" fontId="6" fillId="0" borderId="0"/>
    <xf numFmtId="0" fontId="12" fillId="0" borderId="0"/>
    <xf numFmtId="0" fontId="19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169" fontId="12" fillId="0" borderId="0"/>
    <xf numFmtId="169" fontId="7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7" fillId="0" borderId="0"/>
    <xf numFmtId="169" fontId="12" fillId="0" borderId="0"/>
    <xf numFmtId="169" fontId="12" fillId="0" borderId="0"/>
    <xf numFmtId="169" fontId="2" fillId="0" borderId="0"/>
    <xf numFmtId="169" fontId="12" fillId="0" borderId="0"/>
    <xf numFmtId="169" fontId="7" fillId="0" borderId="0"/>
    <xf numFmtId="169" fontId="2" fillId="0" borderId="0"/>
    <xf numFmtId="169" fontId="2" fillId="0" borderId="0"/>
    <xf numFmtId="169" fontId="2" fillId="0" borderId="0"/>
    <xf numFmtId="9" fontId="12" fillId="0" borderId="0" applyFont="0" applyFill="0" applyBorder="0" applyAlignment="0" applyProtection="0"/>
    <xf numFmtId="0" fontId="2" fillId="0" borderId="0"/>
  </cellStyleXfs>
  <cellXfs count="72">
    <xf numFmtId="0" fontId="0" fillId="0" borderId="0" xfId="0"/>
    <xf numFmtId="0" fontId="15" fillId="0" borderId="0" xfId="0" applyFont="1"/>
    <xf numFmtId="166" fontId="15" fillId="0" borderId="0" xfId="0" applyNumberFormat="1" applyFont="1"/>
    <xf numFmtId="0" fontId="15" fillId="0" borderId="0" xfId="0" applyFont="1" applyFill="1"/>
    <xf numFmtId="0" fontId="15" fillId="0" borderId="0" xfId="0" applyFont="1" applyAlignment="1">
      <alignment horizontal="center" vertical="center" wrapText="1"/>
    </xf>
    <xf numFmtId="0" fontId="16" fillId="0" borderId="4" xfId="22" applyFont="1" applyBorder="1"/>
    <xf numFmtId="164" fontId="16" fillId="0" borderId="1" xfId="22" applyNumberFormat="1" applyFont="1" applyFill="1" applyBorder="1"/>
    <xf numFmtId="164" fontId="16" fillId="2" borderId="1" xfId="22" applyNumberFormat="1" applyFont="1" applyFill="1" applyBorder="1"/>
    <xf numFmtId="164" fontId="16" fillId="0" borderId="2" xfId="22" applyNumberFormat="1" applyFont="1" applyFill="1" applyBorder="1"/>
    <xf numFmtId="164" fontId="16" fillId="2" borderId="2" xfId="22" applyNumberFormat="1" applyFont="1" applyFill="1" applyBorder="1"/>
    <xf numFmtId="164" fontId="16" fillId="0" borderId="3" xfId="22" applyNumberFormat="1" applyFont="1" applyFill="1" applyBorder="1"/>
    <xf numFmtId="164" fontId="16" fillId="2" borderId="3" xfId="22" applyNumberFormat="1" applyFont="1" applyFill="1" applyBorder="1"/>
    <xf numFmtId="166" fontId="15" fillId="0" borderId="0" xfId="0" applyNumberFormat="1" applyFont="1" applyFill="1" applyBorder="1"/>
    <xf numFmtId="165" fontId="17" fillId="0" borderId="0" xfId="22" applyNumberFormat="1" applyFont="1" applyFill="1"/>
    <xf numFmtId="0" fontId="15" fillId="3" borderId="0" xfId="0" applyFont="1" applyFill="1" applyBorder="1"/>
    <xf numFmtId="165" fontId="15" fillId="3" borderId="0" xfId="0" applyNumberFormat="1" applyFont="1" applyFill="1" applyBorder="1"/>
    <xf numFmtId="3" fontId="15" fillId="3" borderId="0" xfId="0" applyNumberFormat="1" applyFont="1" applyFill="1" applyBorder="1"/>
    <xf numFmtId="168" fontId="15" fillId="0" borderId="0" xfId="0" applyNumberFormat="1" applyFont="1"/>
    <xf numFmtId="0" fontId="0" fillId="0" borderId="0" xfId="0"/>
    <xf numFmtId="1" fontId="15" fillId="0" borderId="0" xfId="0" applyNumberFormat="1" applyFont="1" applyFill="1"/>
    <xf numFmtId="1" fontId="15" fillId="0" borderId="0" xfId="0" applyNumberFormat="1" applyFont="1"/>
    <xf numFmtId="1" fontId="15" fillId="0" borderId="0" xfId="0" applyNumberFormat="1" applyFont="1" applyAlignment="1">
      <alignment horizontal="center" vertical="center" wrapText="1"/>
    </xf>
    <xf numFmtId="0" fontId="15" fillId="0" borderId="0" xfId="0" applyFont="1"/>
    <xf numFmtId="166" fontId="15" fillId="0" borderId="0" xfId="0" applyNumberFormat="1" applyFont="1"/>
    <xf numFmtId="1" fontId="18" fillId="0" borderId="0" xfId="0" applyNumberFormat="1" applyFont="1" applyFill="1" applyBorder="1"/>
    <xf numFmtId="0" fontId="18" fillId="0" borderId="0" xfId="0" applyFont="1" applyAlignment="1">
      <alignment horizontal="center" vertical="center" wrapText="1"/>
    </xf>
    <xf numFmtId="164" fontId="16" fillId="0" borderId="0" xfId="22" applyNumberFormat="1" applyFont="1" applyFill="1" applyBorder="1"/>
    <xf numFmtId="170" fontId="14" fillId="8" borderId="7" xfId="57" applyNumberFormat="1" applyFont="1" applyFill="1" applyBorder="1" applyAlignment="1">
      <alignment vertical="center"/>
    </xf>
    <xf numFmtId="167" fontId="6" fillId="0" borderId="0" xfId="57" applyFont="1"/>
    <xf numFmtId="167" fontId="6" fillId="0" borderId="0" xfId="57"/>
    <xf numFmtId="167" fontId="14" fillId="0" borderId="0" xfId="57" applyFont="1"/>
    <xf numFmtId="167" fontId="5" fillId="0" borderId="0" xfId="57" applyFont="1"/>
    <xf numFmtId="170" fontId="14" fillId="2" borderId="10" xfId="57" applyNumberFormat="1" applyFont="1" applyFill="1" applyBorder="1" applyAlignment="1">
      <alignment vertical="center"/>
    </xf>
    <xf numFmtId="167" fontId="4" fillId="0" borderId="0" xfId="57" applyFont="1"/>
    <xf numFmtId="0" fontId="0" fillId="0" borderId="0" xfId="0"/>
    <xf numFmtId="167" fontId="6" fillId="7" borderId="12" xfId="57" applyNumberFormat="1" applyFont="1" applyFill="1" applyBorder="1" applyAlignment="1" applyProtection="1">
      <alignment vertical="center"/>
      <protection locked="0"/>
    </xf>
    <xf numFmtId="167" fontId="6" fillId="7" borderId="15" xfId="57" applyNumberFormat="1" applyFont="1" applyFill="1" applyBorder="1" applyAlignment="1" applyProtection="1">
      <alignment vertical="center"/>
      <protection locked="0"/>
    </xf>
    <xf numFmtId="167" fontId="6" fillId="8" borderId="16" xfId="57" applyNumberFormat="1" applyFont="1" applyFill="1" applyBorder="1" applyAlignment="1" applyProtection="1">
      <alignment vertical="center"/>
      <protection locked="0"/>
    </xf>
    <xf numFmtId="167" fontId="6" fillId="7" borderId="16" xfId="57" applyNumberFormat="1" applyFont="1" applyFill="1" applyBorder="1" applyAlignment="1" applyProtection="1">
      <alignment vertical="center"/>
      <protection locked="0"/>
    </xf>
    <xf numFmtId="167" fontId="14" fillId="8" borderId="9" xfId="57" applyNumberFormat="1" applyFont="1" applyFill="1" applyBorder="1" applyAlignment="1" applyProtection="1">
      <alignment vertical="center"/>
      <protection locked="0"/>
    </xf>
    <xf numFmtId="167" fontId="6" fillId="0" borderId="0" xfId="57" applyNumberFormat="1" applyFont="1" applyProtection="1">
      <protection locked="0"/>
    </xf>
    <xf numFmtId="170" fontId="6" fillId="5" borderId="5" xfId="57" applyNumberFormat="1" applyFont="1" applyFill="1" applyBorder="1" applyAlignment="1" applyProtection="1">
      <alignment vertical="center"/>
      <protection locked="0"/>
    </xf>
    <xf numFmtId="170" fontId="6" fillId="8" borderId="5" xfId="57" applyNumberFormat="1" applyFont="1" applyFill="1" applyBorder="1" applyAlignment="1" applyProtection="1">
      <alignment vertical="center"/>
      <protection locked="0"/>
    </xf>
    <xf numFmtId="170" fontId="0" fillId="5" borderId="5" xfId="0" applyNumberFormat="1" applyFont="1" applyFill="1" applyBorder="1" applyAlignment="1" applyProtection="1">
      <alignment vertical="center"/>
      <protection locked="0"/>
    </xf>
    <xf numFmtId="170" fontId="0" fillId="6" borderId="5" xfId="0" applyNumberFormat="1" applyFont="1" applyFill="1" applyBorder="1" applyAlignment="1" applyProtection="1">
      <alignment vertical="center"/>
      <protection locked="0"/>
    </xf>
    <xf numFmtId="170" fontId="0" fillId="8" borderId="5" xfId="0" applyNumberFormat="1" applyFont="1" applyFill="1" applyBorder="1" applyAlignment="1" applyProtection="1">
      <alignment vertical="center"/>
      <protection locked="0"/>
    </xf>
    <xf numFmtId="170" fontId="0" fillId="2" borderId="5" xfId="0" applyNumberFormat="1" applyFont="1" applyFill="1" applyBorder="1" applyAlignment="1" applyProtection="1">
      <alignment vertical="center"/>
      <protection locked="0"/>
    </xf>
    <xf numFmtId="10" fontId="0" fillId="0" borderId="0" xfId="0" applyNumberFormat="1"/>
    <xf numFmtId="170" fontId="6" fillId="2" borderId="5" xfId="57" applyNumberFormat="1" applyFont="1" applyFill="1" applyBorder="1" applyAlignment="1" applyProtection="1">
      <alignment vertical="center"/>
      <protection locked="0"/>
    </xf>
    <xf numFmtId="170" fontId="0" fillId="9" borderId="5" xfId="0" applyNumberFormat="1" applyFont="1" applyFill="1" applyBorder="1" applyAlignment="1" applyProtection="1">
      <alignment vertical="center"/>
      <protection locked="0"/>
    </xf>
    <xf numFmtId="170" fontId="17" fillId="0" borderId="13" xfId="57" applyNumberFormat="1" applyFont="1" applyFill="1" applyBorder="1" applyAlignment="1">
      <alignment vertical="center"/>
    </xf>
    <xf numFmtId="170" fontId="17" fillId="0" borderId="8" xfId="57" applyNumberFormat="1" applyFont="1" applyFill="1" applyBorder="1" applyAlignment="1">
      <alignment vertical="center"/>
    </xf>
    <xf numFmtId="170" fontId="17" fillId="0" borderId="7" xfId="57" applyNumberFormat="1" applyFont="1" applyFill="1" applyBorder="1" applyAlignment="1">
      <alignment vertical="center"/>
    </xf>
    <xf numFmtId="170" fontId="6" fillId="0" borderId="5" xfId="57" applyNumberFormat="1" applyFont="1" applyFill="1" applyBorder="1" applyAlignment="1">
      <alignment vertical="center"/>
    </xf>
    <xf numFmtId="170" fontId="14" fillId="0" borderId="11" xfId="57" applyNumberFormat="1" applyFont="1" applyFill="1" applyBorder="1" applyAlignment="1">
      <alignment vertical="center"/>
    </xf>
    <xf numFmtId="170" fontId="17" fillId="0" borderId="10" xfId="57" applyNumberFormat="1" applyFont="1" applyFill="1" applyBorder="1" applyAlignment="1">
      <alignment vertical="center"/>
    </xf>
    <xf numFmtId="0" fontId="16" fillId="0" borderId="6" xfId="57" applyNumberFormat="1" applyFont="1" applyFill="1" applyBorder="1" applyAlignment="1">
      <alignment vertical="center"/>
    </xf>
    <xf numFmtId="0" fontId="16" fillId="0" borderId="14" xfId="57" applyNumberFormat="1" applyFont="1" applyFill="1" applyBorder="1" applyAlignment="1">
      <alignment vertical="center"/>
    </xf>
    <xf numFmtId="0" fontId="16" fillId="0" borderId="5" xfId="57" applyNumberFormat="1" applyFont="1" applyFill="1" applyBorder="1" applyAlignment="1">
      <alignment vertical="center"/>
    </xf>
    <xf numFmtId="0" fontId="16" fillId="0" borderId="17" xfId="57" applyNumberFormat="1" applyFont="1" applyFill="1" applyBorder="1" applyAlignment="1">
      <alignment vertical="center"/>
    </xf>
    <xf numFmtId="0" fontId="17" fillId="0" borderId="5" xfId="57" applyNumberFormat="1" applyFont="1" applyFill="1" applyBorder="1" applyAlignment="1">
      <alignment vertical="center"/>
    </xf>
    <xf numFmtId="0" fontId="17" fillId="0" borderId="17" xfId="57" applyNumberFormat="1" applyFont="1" applyFill="1" applyBorder="1" applyAlignment="1">
      <alignment vertical="center"/>
    </xf>
    <xf numFmtId="0" fontId="6" fillId="0" borderId="0" xfId="57" applyNumberFormat="1" applyFont="1"/>
    <xf numFmtId="170" fontId="1" fillId="2" borderId="5" xfId="57" applyNumberFormat="1" applyFont="1" applyFill="1" applyBorder="1" applyAlignment="1" applyProtection="1">
      <alignment vertical="center"/>
      <protection locked="0"/>
    </xf>
    <xf numFmtId="170" fontId="1" fillId="5" borderId="5" xfId="57" applyNumberFormat="1" applyFont="1" applyFill="1" applyBorder="1" applyAlignment="1" applyProtection="1">
      <alignment vertical="center"/>
      <protection locked="0"/>
    </xf>
    <xf numFmtId="170" fontId="1" fillId="9" borderId="5" xfId="57" applyNumberFormat="1" applyFont="1" applyFill="1" applyBorder="1" applyAlignment="1" applyProtection="1">
      <alignment vertical="center"/>
      <protection locked="0"/>
    </xf>
    <xf numFmtId="170" fontId="0" fillId="10" borderId="5" xfId="0" applyNumberFormat="1" applyFont="1" applyFill="1" applyBorder="1" applyAlignment="1" applyProtection="1">
      <alignment vertical="center"/>
      <protection locked="0"/>
    </xf>
    <xf numFmtId="170" fontId="1" fillId="10" borderId="5" xfId="57" applyNumberFormat="1" applyFont="1" applyFill="1" applyBorder="1" applyAlignment="1" applyProtection="1">
      <alignment vertical="center"/>
      <protection locked="0"/>
    </xf>
    <xf numFmtId="2" fontId="21" fillId="0" borderId="0" xfId="57" applyNumberFormat="1" applyFont="1" applyFill="1" applyBorder="1" applyAlignment="1" applyProtection="1">
      <alignment horizontal="center" vertical="center" wrapText="1"/>
      <protection locked="0"/>
    </xf>
    <xf numFmtId="2" fontId="21" fillId="0" borderId="0" xfId="57" applyNumberFormat="1" applyFont="1" applyFill="1" applyBorder="1" applyAlignment="1">
      <alignment horizontal="center" vertical="center" wrapText="1"/>
    </xf>
    <xf numFmtId="2" fontId="22" fillId="0" borderId="0" xfId="57" applyNumberFormat="1" applyFont="1" applyAlignment="1">
      <alignment horizontal="center" vertical="center" wrapText="1"/>
    </xf>
    <xf numFmtId="0" fontId="20" fillId="4" borderId="0" xfId="0" applyFont="1" applyFill="1" applyAlignment="1">
      <alignment horizontal="center"/>
    </xf>
  </cellXfs>
  <cellStyles count="195">
    <cellStyle name="Euro" xfId="1"/>
    <cellStyle name="Milliers 2" xfId="2"/>
    <cellStyle name="Milliers 3" xfId="3"/>
    <cellStyle name="Milliers 3 2" xfId="164"/>
    <cellStyle name="Milliers 4" xfId="159"/>
    <cellStyle name="Normal" xfId="0" builtinId="0"/>
    <cellStyle name="Normal 10" xfId="4"/>
    <cellStyle name="Normal 10 2" xfId="5"/>
    <cellStyle name="Normal 10 2 2" xfId="6"/>
    <cellStyle name="Normal 10 2 2 2" xfId="135"/>
    <cellStyle name="Normal 10 2 3" xfId="108"/>
    <cellStyle name="Normal 10 3" xfId="7"/>
    <cellStyle name="Normal 10 3 2" xfId="143"/>
    <cellStyle name="Normal 10 3 3" xfId="116"/>
    <cellStyle name="Normal 10 4" xfId="126"/>
    <cellStyle name="Normal 10 5" xfId="156"/>
    <cellStyle name="Normal 10 6" xfId="99"/>
    <cellStyle name="Normal 10 7" xfId="169"/>
    <cellStyle name="Normal 10 8" xfId="180"/>
    <cellStyle name="Normal 11" xfId="8"/>
    <cellStyle name="Normal 11 2" xfId="9"/>
    <cellStyle name="Normal 11 2 2" xfId="10"/>
    <cellStyle name="Normal 11 2 2 2" xfId="136"/>
    <cellStyle name="Normal 11 2 3" xfId="109"/>
    <cellStyle name="Normal 11 3" xfId="11"/>
    <cellStyle name="Normal 11 3 2" xfId="144"/>
    <cellStyle name="Normal 11 3 3" xfId="117"/>
    <cellStyle name="Normal 11 4" xfId="127"/>
    <cellStyle name="Normal 11 5" xfId="157"/>
    <cellStyle name="Normal 11 6" xfId="100"/>
    <cellStyle name="Normal 11 7" xfId="170"/>
    <cellStyle name="Normal 11 8" xfId="181"/>
    <cellStyle name="Normal 12" xfId="12"/>
    <cellStyle name="Normal 12 2" xfId="13"/>
    <cellStyle name="Normal 12 2 2" xfId="14"/>
    <cellStyle name="Normal 12 2 2 2" xfId="137"/>
    <cellStyle name="Normal 12 2 3" xfId="110"/>
    <cellStyle name="Normal 12 3" xfId="15"/>
    <cellStyle name="Normal 12 3 2" xfId="145"/>
    <cellStyle name="Normal 12 3 3" xfId="118"/>
    <cellStyle name="Normal 12 4" xfId="128"/>
    <cellStyle name="Normal 12 5" xfId="101"/>
    <cellStyle name="Normal 12 6" xfId="171"/>
    <cellStyle name="Normal 12 7" xfId="182"/>
    <cellStyle name="Normal 13" xfId="16"/>
    <cellStyle name="Normal 13 2" xfId="95"/>
    <cellStyle name="Normal 13 3" xfId="183"/>
    <cellStyle name="Normal 14" xfId="17"/>
    <cellStyle name="Normal 14 2" xfId="58"/>
    <cellStyle name="Normal 15" xfId="18"/>
    <cellStyle name="Normal 15 2" xfId="194"/>
    <cellStyle name="Normal 16" xfId="19"/>
    <cellStyle name="Normal 17" xfId="20"/>
    <cellStyle name="Normal 18" xfId="21"/>
    <cellStyle name="Normal 19" xfId="57"/>
    <cellStyle name="Normal 2" xfId="22"/>
    <cellStyle name="Normal 2 2" xfId="23"/>
    <cellStyle name="Normal 2 2 2" xfId="161"/>
    <cellStyle name="Normal 2 2 3" xfId="179"/>
    <cellStyle name="Normal 2 3" xfId="24"/>
    <cellStyle name="Normal 2 3 2" xfId="158"/>
    <cellStyle name="Normal 2 4" xfId="59"/>
    <cellStyle name="Normal 2 5" xfId="178"/>
    <cellStyle name="Normal 20" xfId="60"/>
    <cellStyle name="Normal 21" xfId="61"/>
    <cellStyle name="Normal 22" xfId="62"/>
    <cellStyle name="Normal 23" xfId="63"/>
    <cellStyle name="Normal 24" xfId="64"/>
    <cellStyle name="Normal 25" xfId="65"/>
    <cellStyle name="Normal 26" xfId="66"/>
    <cellStyle name="Normal 27" xfId="67"/>
    <cellStyle name="Normal 271" xfId="68"/>
    <cellStyle name="Normal 28" xfId="69"/>
    <cellStyle name="Normal 29" xfId="70"/>
    <cellStyle name="Normal 3" xfId="25"/>
    <cellStyle name="Normal 3 2" xfId="26"/>
    <cellStyle name="Normal 3 2 2" xfId="163"/>
    <cellStyle name="Normal 3 2 3" xfId="185"/>
    <cellStyle name="Normal 3 3" xfId="71"/>
    <cellStyle name="Normal 3 4" xfId="184"/>
    <cellStyle name="Normal 30" xfId="72"/>
    <cellStyle name="Normal 31" xfId="73"/>
    <cellStyle name="Normal 32" xfId="74"/>
    <cellStyle name="Normal 33" xfId="75"/>
    <cellStyle name="Normal 34" xfId="27"/>
    <cellStyle name="Normal 34 2" xfId="28"/>
    <cellStyle name="Normal 34 2 2" xfId="132"/>
    <cellStyle name="Normal 34 3" xfId="105"/>
    <cellStyle name="Normal 35" xfId="76"/>
    <cellStyle name="Normal 36" xfId="77"/>
    <cellStyle name="Normal 37" xfId="78"/>
    <cellStyle name="Normal 38" xfId="79"/>
    <cellStyle name="Normal 39" xfId="80"/>
    <cellStyle name="Normal 4" xfId="29"/>
    <cellStyle name="Normal 4 2" xfId="30"/>
    <cellStyle name="Normal 4 2 2" xfId="31"/>
    <cellStyle name="Normal 4 2 2 2" xfId="32"/>
    <cellStyle name="Normal 4 2 2 2 2" xfId="139"/>
    <cellStyle name="Normal 4 2 2 3" xfId="165"/>
    <cellStyle name="Normal 4 2 2 4" xfId="112"/>
    <cellStyle name="Normal 4 2 3" xfId="33"/>
    <cellStyle name="Normal 4 2 3 2" xfId="147"/>
    <cellStyle name="Normal 4 2 3 3" xfId="120"/>
    <cellStyle name="Normal 4 2 4" xfId="125"/>
    <cellStyle name="Normal 4 2 5" xfId="152"/>
    <cellStyle name="Normal 4 2 6" xfId="98"/>
    <cellStyle name="Normal 4 2 7" xfId="173"/>
    <cellStyle name="Normal 4 2 8" xfId="187"/>
    <cellStyle name="Normal 4 3" xfId="34"/>
    <cellStyle name="Normal 4 3 2" xfId="35"/>
    <cellStyle name="Normal 4 3 2 2" xfId="138"/>
    <cellStyle name="Normal 4 3 3" xfId="160"/>
    <cellStyle name="Normal 4 3 4" xfId="111"/>
    <cellStyle name="Normal 4 4" xfId="36"/>
    <cellStyle name="Normal 4 4 2" xfId="146"/>
    <cellStyle name="Normal 4 4 3" xfId="119"/>
    <cellStyle name="Normal 4 5" xfId="124"/>
    <cellStyle name="Normal 4 6" xfId="151"/>
    <cellStyle name="Normal 4 7" xfId="97"/>
    <cellStyle name="Normal 4 8" xfId="172"/>
    <cellStyle name="Normal 4 9" xfId="186"/>
    <cellStyle name="Normal 40" xfId="81"/>
    <cellStyle name="Normal 41" xfId="82"/>
    <cellStyle name="Normal 42" xfId="37"/>
    <cellStyle name="Normal 42 2" xfId="38"/>
    <cellStyle name="Normal 42 2 2" xfId="133"/>
    <cellStyle name="Normal 42 3" xfId="106"/>
    <cellStyle name="Normal 43" xfId="83"/>
    <cellStyle name="Normal 44" xfId="84"/>
    <cellStyle name="Normal 45" xfId="85"/>
    <cellStyle name="Normal 46" xfId="86"/>
    <cellStyle name="Normal 47" xfId="87"/>
    <cellStyle name="Normal 48" xfId="88"/>
    <cellStyle name="Normal 49" xfId="89"/>
    <cellStyle name="Normal 5" xfId="39"/>
    <cellStyle name="Normal 5 2" xfId="90"/>
    <cellStyle name="Normal 5 3" xfId="188"/>
    <cellStyle name="Normal 50" xfId="91"/>
    <cellStyle name="Normal 51" xfId="94"/>
    <cellStyle name="Normal 52" xfId="168"/>
    <cellStyle name="Normal 53" xfId="177"/>
    <cellStyle name="Normal 6" xfId="40"/>
    <cellStyle name="Normal 6 2" xfId="92"/>
    <cellStyle name="Normal 6 3" xfId="189"/>
    <cellStyle name="Normal 7" xfId="41"/>
    <cellStyle name="Normal 7 2" xfId="42"/>
    <cellStyle name="Normal 7 2 2" xfId="43"/>
    <cellStyle name="Normal 7 2 2 2" xfId="140"/>
    <cellStyle name="Normal 7 2 3" xfId="166"/>
    <cellStyle name="Normal 7 2 4" xfId="113"/>
    <cellStyle name="Normal 7 3" xfId="44"/>
    <cellStyle name="Normal 7 3 2" xfId="148"/>
    <cellStyle name="Normal 7 3 3" xfId="121"/>
    <cellStyle name="Normal 7 4" xfId="129"/>
    <cellStyle name="Normal 7 5" xfId="153"/>
    <cellStyle name="Normal 7 6" xfId="102"/>
    <cellStyle name="Normal 7 7" xfId="174"/>
    <cellStyle name="Normal 7 8" xfId="190"/>
    <cellStyle name="Normal 71" xfId="45"/>
    <cellStyle name="Normal 71 2" xfId="46"/>
    <cellStyle name="Normal 71 2 2" xfId="134"/>
    <cellStyle name="Normal 71 3" xfId="107"/>
    <cellStyle name="Normal 8" xfId="47"/>
    <cellStyle name="Normal 8 2" xfId="48"/>
    <cellStyle name="Normal 8 2 2" xfId="49"/>
    <cellStyle name="Normal 8 2 2 2" xfId="141"/>
    <cellStyle name="Normal 8 2 3" xfId="167"/>
    <cellStyle name="Normal 8 2 4" xfId="114"/>
    <cellStyle name="Normal 8 3" xfId="50"/>
    <cellStyle name="Normal 8 3 2" xfId="149"/>
    <cellStyle name="Normal 8 3 3" xfId="122"/>
    <cellStyle name="Normal 8 4" xfId="130"/>
    <cellStyle name="Normal 8 5" xfId="154"/>
    <cellStyle name="Normal 8 6" xfId="103"/>
    <cellStyle name="Normal 8 7" xfId="175"/>
    <cellStyle name="Normal 8 8" xfId="191"/>
    <cellStyle name="Normal 9" xfId="51"/>
    <cellStyle name="Normal 9 2" xfId="52"/>
    <cellStyle name="Normal 9 2 2" xfId="53"/>
    <cellStyle name="Normal 9 2 2 2" xfId="142"/>
    <cellStyle name="Normal 9 2 3" xfId="115"/>
    <cellStyle name="Normal 9 3" xfId="54"/>
    <cellStyle name="Normal 9 3 2" xfId="150"/>
    <cellStyle name="Normal 9 3 3" xfId="123"/>
    <cellStyle name="Normal 9 4" xfId="131"/>
    <cellStyle name="Normal 9 5" xfId="155"/>
    <cellStyle name="Normal 9 6" xfId="104"/>
    <cellStyle name="Normal 9 7" xfId="176"/>
    <cellStyle name="Normal 9 8" xfId="192"/>
    <cellStyle name="Pourcentage 2" xfId="55"/>
    <cellStyle name="Pourcentage 2 2" xfId="56"/>
    <cellStyle name="Pourcentage 2 2 2" xfId="162"/>
    <cellStyle name="Pourcentage 2 3" xfId="193"/>
    <cellStyle name="Pourcentage 3" xfId="93"/>
    <cellStyle name="Pourcentage 3 2" xfId="96"/>
  </cellStyles>
  <dxfs count="5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</dxf>
    <dxf>
      <font>
        <b val="0"/>
        <name val="Calibri"/>
        <scheme val="minor"/>
      </font>
      <numFmt numFmtId="166" formatCode="#,##0;\(#,##0\);&quot;-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;\(#,##0\);&quot;-&quot;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#,##0;\(#,##0\);&quot;-&quot;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1" indent="0" justifyLastLine="0" shrinkToFit="0" readingOrder="0"/>
    </dxf>
    <dxf>
      <font>
        <color rgb="FF0070C0"/>
      </font>
      <fill>
        <patternFill>
          <bgColor theme="9" tint="0.79998168889431442"/>
        </patternFill>
      </fill>
    </dxf>
    <dxf>
      <font>
        <color rgb="FF7030A0"/>
      </font>
      <fill>
        <patternFill>
          <bgColor theme="9" tint="0.79998168889431442"/>
        </patternFill>
      </fill>
    </dxf>
    <dxf>
      <font>
        <color rgb="FF00B050"/>
      </font>
      <fill>
        <patternFill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1" formatCode="#,##0;\-#,##0;&quot;-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1" formatCode="#,##0;\-#,##0;&quot;-&quot;"/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-40C]mmm\-yy;@"/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BUDGETS\Budget%202015\Nouveau%20Budget\0.3%20-%20v2014-09%20-%20Pr&#233;visions%20commerciales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uel d'utilisation"/>
      <sheetName val="détail listes déroulantes"/>
      <sheetName val="Commentaires"/>
      <sheetName val="RECAP produits"/>
      <sheetName val="Base Produit"/>
      <sheetName val="Base Autres"/>
    </sheetNames>
    <sheetDataSet>
      <sheetData sheetId="0"/>
      <sheetData sheetId="1">
        <row r="28">
          <cell r="A28" t="str">
            <v>Produit</v>
          </cell>
          <cell r="B28" t="str">
            <v>Secteur</v>
          </cell>
          <cell r="C28" t="str">
            <v>Statut</v>
          </cell>
        </row>
        <row r="29">
          <cell r="A29" t="str">
            <v>CONTRAT MAINT BAT/VI</v>
          </cell>
          <cell r="B29" t="str">
            <v>2. VEHICULES ELECTRIQUES</v>
          </cell>
          <cell r="C29" t="str">
            <v>Facturé</v>
          </cell>
        </row>
        <row r="30">
          <cell r="A30" t="str">
            <v>LOC BATTERIES</v>
          </cell>
          <cell r="B30" t="str">
            <v>2. VEHICULES ELECTRIQUES</v>
          </cell>
          <cell r="C30" t="str">
            <v>acompte</v>
          </cell>
        </row>
        <row r="31">
          <cell r="A31" t="str">
            <v>FERROVIAIRE</v>
          </cell>
          <cell r="B31" t="str">
            <v>3. SRS</v>
          </cell>
          <cell r="C31" t="str">
            <v>Négo</v>
          </cell>
        </row>
        <row r="32">
          <cell r="A32" t="str">
            <v>TP LEVAGE</v>
          </cell>
          <cell r="B32" t="str">
            <v>3. SRS</v>
          </cell>
          <cell r="C32" t="str">
            <v>Cdec</v>
          </cell>
        </row>
        <row r="33">
          <cell r="A33" t="str">
            <v>PF</v>
          </cell>
          <cell r="B33" t="str">
            <v>3. SRS</v>
          </cell>
          <cell r="C33" t="str">
            <v>Prév</v>
          </cell>
        </row>
        <row r="34">
          <cell r="A34" t="str">
            <v>SRS DIVERS</v>
          </cell>
          <cell r="B34" t="str">
            <v>3. SRS</v>
          </cell>
          <cell r="C34">
            <v>0</v>
          </cell>
        </row>
        <row r="35">
          <cell r="A35" t="str">
            <v>PALFINGER</v>
          </cell>
          <cell r="B35" t="str">
            <v>3. SRS</v>
          </cell>
          <cell r="C35">
            <v>0</v>
          </cell>
        </row>
        <row r="36">
          <cell r="A36" t="str">
            <v>ESCAL</v>
          </cell>
          <cell r="B36" t="str">
            <v>3. SRS</v>
          </cell>
          <cell r="C36">
            <v>0</v>
          </cell>
        </row>
        <row r="37">
          <cell r="A37" t="str">
            <v>GTIES</v>
          </cell>
          <cell r="B37" t="str">
            <v>3. SRS</v>
          </cell>
          <cell r="C37">
            <v>0</v>
          </cell>
        </row>
        <row r="38">
          <cell r="A38" t="str">
            <v>SAV</v>
          </cell>
          <cell r="B38" t="str">
            <v>3. SRS</v>
          </cell>
          <cell r="C38">
            <v>0</v>
          </cell>
        </row>
        <row r="39">
          <cell r="A39" t="str">
            <v>OPERA</v>
          </cell>
          <cell r="B39" t="str">
            <v>3. SRS</v>
          </cell>
          <cell r="C39">
            <v>0</v>
          </cell>
        </row>
        <row r="40">
          <cell r="A40" t="str">
            <v>SMITHS</v>
          </cell>
          <cell r="B40" t="str">
            <v>4. SOUS-TRAITANCE</v>
          </cell>
          <cell r="C40">
            <v>0</v>
          </cell>
        </row>
        <row r="41">
          <cell r="A41" t="str">
            <v>PR</v>
          </cell>
          <cell r="B41" t="str">
            <v>5. NEGOCE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 t="str">
            <v>Clients</v>
          </cell>
          <cell r="B44">
            <v>0</v>
          </cell>
          <cell r="C44">
            <v>0</v>
          </cell>
        </row>
      </sheetData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3" name="Tableau3" displayName="Tableau3" ref="A1:V82" totalsRowShown="0" headerRowDxfId="58" tableBorderDxfId="57" headerRowCellStyle="Normal 19">
  <autoFilter ref="A1:V82"/>
  <tableColumns count="22">
    <tableColumn id="1" name="Projet" dataDxfId="56" dataCellStyle="Normal 19"/>
    <tableColumn id="2" name="Libellé" dataDxfId="55" dataCellStyle="Normal 19">
      <calculatedColumnFormula>VLOOKUP($A2,LIBELLE!$A:$B,2,FALSE)</calculatedColumnFormula>
    </tableColumn>
    <tableColumn id="3" name="Type projet" dataDxfId="54" dataCellStyle="Normal 19">
      <calculatedColumnFormula>VLOOKUP($A2,LIBELLE!A:D,4,FALSE)</calculatedColumnFormula>
    </tableColumn>
    <tableColumn id="4" name="Client" dataDxfId="53" dataCellStyle="Normal 19">
      <calculatedColumnFormula>VLOOKUP($A2,LIBELLE!A:F,6,FALSE)</calculatedColumnFormula>
    </tableColumn>
    <tableColumn id="5" name="PRODUIT" dataDxfId="52" dataCellStyle="Normal 19">
      <calculatedColumnFormula>VLOOKUP($A2,LIBELLE!$A:$C,3,FALSE)</calculatedColumnFormula>
    </tableColumn>
    <tableColumn id="6" name="STATUT PROJET" dataDxfId="51" dataCellStyle="Normal 19">
      <calculatedColumnFormula>IF($G2="Acompte","Acompte",VLOOKUP($A2,LIBELLE!A:E,5,FALSE))</calculatedColumnFormula>
    </tableColumn>
    <tableColumn id="7" name="Type ligne" dataDxfId="50" dataCellStyle="Normal 19"/>
    <tableColumn id="8" name="TYPE Autre" dataDxfId="49" dataCellStyle="Normal 19">
      <calculatedColumnFormula>IF(ISNA(VLOOKUP($G2,DIVERS!$M$1:$N$15,2,FALSE)),"",VLOOKUP($G2,DIVERS!$M$1:$N$15,2,FALSE))</calculatedColumnFormula>
    </tableColumn>
    <tableColumn id="9" name="Cumulé à fin 2014" dataDxfId="48" dataCellStyle="Normal 19"/>
    <tableColumn id="10" name="31/01/2015"/>
    <tableColumn id="11" name="28/02/2015"/>
    <tableColumn id="12" name="31/03/2015"/>
    <tableColumn id="13" name="30/04/2015"/>
    <tableColumn id="14" name="31/05/2015"/>
    <tableColumn id="15" name="30/06/2015"/>
    <tableColumn id="16" name="31/07/2015"/>
    <tableColumn id="17" name="31/08/2015"/>
    <tableColumn id="18" name="30/09/2015"/>
    <tableColumn id="19" name="31/10/2015"/>
    <tableColumn id="20" name="30/11/2015"/>
    <tableColumn id="21" name="31/12/2015"/>
    <tableColumn id="22" name="TOTAL 2015" dataDxfId="47" dataCellStyle="Normal 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Base" displayName="Base" comment="Base contenant : 1) les prévisions commerciales / 2) les coûts afférents / 3) les marges / 4) les dates de ventes et d'achat (+ mois et décades)" ref="A6:Z30" totalsRowShown="0" headerRowDxfId="43">
  <autoFilter ref="A6:Z30"/>
  <tableColumns count="26">
    <tableColumn id="1" name="Produit" totalsRowDxfId="42"/>
    <tableColumn id="2" name="Statut" totalsRowDxfId="41"/>
    <tableColumn id="44" name="Projet" totalsRowDxfId="40"/>
    <tableColumn id="76" name="Client" totalsRowDxfId="39"/>
    <tableColumn id="5" name="Contremarque" totalsRowDxfId="38"/>
    <tableColumn id="3" name="VIN" totalsRowDxfId="37"/>
    <tableColumn id="14" name="Date" totalsRowDxfId="36"/>
    <tableColumn id="4" name="Quantité" totalsRowDxfId="35"/>
    <tableColumn id="8" name="Quantité Budget" totalsRowDxfId="34"/>
    <tableColumn id="7" name="Trimestre" dataDxfId="33" totalsRowDxfId="32">
      <calculatedColumnFormula>IF(YEAR(Base[[#This Row],[Date]])=2015,ROUNDDOWN((MONTH(Base[[#This Row],[Date]])-1)/3,0)+1,"")</calculatedColumnFormula>
    </tableColumn>
    <tableColumn id="9" name="Tot VTE" dataDxfId="31" totalsRowDxfId="30">
      <calculatedColumnFormula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calculatedColumnFormula>
    </tableColumn>
    <tableColumn id="79" name="€TEC FERRRO-R&amp;D" dataDxfId="29" totalsRowDxfId="28" dataCellStyle="Normal 2">
      <calculatedColumnFormula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calculatedColumnFormula>
    </tableColumn>
    <tableColumn id="10" name="€ACH ProdPVI" dataDxfId="27" totalsRowDxfId="26">
      <calculatedColumnFormula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calculatedColumnFormula>
    </tableColumn>
    <tableColumn id="11" name="€ACH BBX" dataDxfId="25" totalsRowDxfId="24">
      <calculatedColumnFormula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calculatedColumnFormula>
    </tableColumn>
    <tableColumn id="12" name="€ACH Chassis" dataDxfId="23" totalsRowDxfId="22">
      <calculatedColumnFormula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calculatedColumnFormula>
    </tableColumn>
    <tableColumn id="13" name="€ACH Carross" dataDxfId="21" totalsRowDxfId="20">
      <calculatedColumnFormula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calculatedColumnFormula>
    </tableColumn>
    <tableColumn id="36" name="€ACH Sces+div" dataDxfId="19" totalsRowDxfId="18">
      <calculatedColumnFormula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calculatedColumnFormula>
    </tableColumn>
    <tableColumn id="66" name="Qté MO ESC" dataDxfId="17" totalsRowDxfId="16">
      <calculatedColumnFormula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calculatedColumnFormula>
    </tableColumn>
    <tableColumn id="65" name="Qté MO BE" dataDxfId="15" totalsRowDxfId="14">
      <calculatedColumnFormula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calculatedColumnFormula>
    </tableColumn>
    <tableColumn id="64" name="Qté MO GTIE" dataDxfId="13" totalsRowDxfId="12">
      <calculatedColumnFormula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calculatedColumnFormula>
    </tableColumn>
    <tableColumn id="63" name="Qté MO MNT" dataDxfId="11" totalsRowDxfId="10">
      <calculatedColumnFormula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calculatedColumnFormula>
    </tableColumn>
    <tableColumn id="62" name="Qté MO PR" dataDxfId="9" totalsRowDxfId="8">
      <calculatedColumnFormula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calculatedColumnFormula>
    </tableColumn>
    <tableColumn id="61" name="Qté MO PROD" dataDxfId="7" totalsRowDxfId="6">
      <calculatedColumnFormula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calculatedColumnFormula>
    </tableColumn>
    <tableColumn id="45" name="Qté MO SRS" dataDxfId="5" totalsRowDxfId="4">
      <calculatedColumnFormula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calculatedColumnFormula>
    </tableColumn>
    <tableColumn id="81" name="Total Qté MO" dataDxfId="3" totalsRowDxfId="2">
      <calculatedColumnFormula>SUM(Base[[#This Row],[Qté MO ESC]:[Qté MO SRS]])</calculatedColumnFormula>
    </tableColumn>
    <tableColumn id="33" name="Mois VTE" dataDxfId="1" totalsRowDxfId="0" dataCellStyle="Normal 2">
      <calculatedColumnFormula>EOMONTH(BaseActivité!$G7,0)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workbookViewId="0">
      <selection activeCell="B22" sqref="B22"/>
    </sheetView>
  </sheetViews>
  <sheetFormatPr baseColWidth="10" defaultRowHeight="12.75" x14ac:dyDescent="0.2"/>
  <cols>
    <col min="13" max="13" width="16.7109375" bestFit="1" customWidth="1"/>
  </cols>
  <sheetData>
    <row r="1" spans="1:14" x14ac:dyDescent="0.2">
      <c r="A1" s="6" t="s">
        <v>10</v>
      </c>
      <c r="B1" s="6" t="s">
        <v>11</v>
      </c>
      <c r="C1" s="6" t="s">
        <v>12</v>
      </c>
      <c r="E1" s="26" t="s">
        <v>47</v>
      </c>
      <c r="G1" t="s">
        <v>57</v>
      </c>
      <c r="I1" t="s">
        <v>58</v>
      </c>
      <c r="K1" t="s">
        <v>22</v>
      </c>
      <c r="M1" t="s">
        <v>27</v>
      </c>
    </row>
    <row r="2" spans="1:14" x14ac:dyDescent="0.2">
      <c r="A2" s="6" t="s">
        <v>84</v>
      </c>
      <c r="B2" s="6" t="s">
        <v>25</v>
      </c>
      <c r="C2" s="7">
        <v>-47.150192307692308</v>
      </c>
      <c r="E2" t="s">
        <v>17</v>
      </c>
      <c r="G2" t="s">
        <v>5</v>
      </c>
      <c r="K2" s="18"/>
      <c r="M2" t="s">
        <v>32</v>
      </c>
      <c r="N2" t="s">
        <v>13</v>
      </c>
    </row>
    <row r="3" spans="1:14" s="18" customFormat="1" x14ac:dyDescent="0.2">
      <c r="A3" s="8" t="s">
        <v>33</v>
      </c>
      <c r="B3" s="8" t="s">
        <v>26</v>
      </c>
      <c r="C3" s="9">
        <v>-60.808225067957231</v>
      </c>
      <c r="E3" s="18" t="s">
        <v>32</v>
      </c>
      <c r="M3" s="18" t="s">
        <v>28</v>
      </c>
      <c r="N3" s="18" t="s">
        <v>13</v>
      </c>
    </row>
    <row r="4" spans="1:14" s="18" customFormat="1" x14ac:dyDescent="0.2">
      <c r="A4" s="8" t="s">
        <v>8</v>
      </c>
      <c r="B4" s="8"/>
      <c r="C4" s="9"/>
      <c r="E4" s="18" t="s">
        <v>23</v>
      </c>
      <c r="M4" s="18" t="s">
        <v>34</v>
      </c>
      <c r="N4" s="18" t="s">
        <v>13</v>
      </c>
    </row>
    <row r="5" spans="1:14" s="18" customFormat="1" x14ac:dyDescent="0.2">
      <c r="A5" s="8" t="s">
        <v>83</v>
      </c>
      <c r="B5" s="8" t="s">
        <v>77</v>
      </c>
      <c r="C5" s="9">
        <v>-74.83145833333333</v>
      </c>
      <c r="E5" s="18" t="s">
        <v>21</v>
      </c>
      <c r="I5" s="18" t="s">
        <v>14</v>
      </c>
      <c r="M5" s="18" t="s">
        <v>29</v>
      </c>
      <c r="N5" s="18" t="s">
        <v>36</v>
      </c>
    </row>
    <row r="6" spans="1:14" s="18" customFormat="1" x14ac:dyDescent="0.2">
      <c r="A6" s="8" t="s">
        <v>85</v>
      </c>
      <c r="B6" s="8" t="s">
        <v>80</v>
      </c>
      <c r="C6" s="9">
        <v>-27.658063092874475</v>
      </c>
      <c r="E6" s="18" t="s">
        <v>40</v>
      </c>
      <c r="M6" s="18" t="s">
        <v>30</v>
      </c>
      <c r="N6" s="18" t="s">
        <v>41</v>
      </c>
    </row>
    <row r="7" spans="1:14" s="18" customFormat="1" x14ac:dyDescent="0.2">
      <c r="A7" s="8" t="s">
        <v>86</v>
      </c>
      <c r="B7" s="8" t="s">
        <v>78</v>
      </c>
      <c r="C7" s="9">
        <v>-80</v>
      </c>
      <c r="M7" s="18" t="s">
        <v>31</v>
      </c>
      <c r="N7" s="18" t="s">
        <v>45</v>
      </c>
    </row>
    <row r="8" spans="1:14" s="18" customFormat="1" x14ac:dyDescent="0.2">
      <c r="A8" s="8" t="s">
        <v>81</v>
      </c>
      <c r="B8" s="8" t="s">
        <v>79</v>
      </c>
      <c r="C8" s="9">
        <v>-43.110546005257781</v>
      </c>
      <c r="M8" s="18" t="s">
        <v>84</v>
      </c>
      <c r="N8" s="18" t="s">
        <v>84</v>
      </c>
    </row>
    <row r="9" spans="1:14" s="18" customFormat="1" x14ac:dyDescent="0.2">
      <c r="A9" s="8" t="s">
        <v>82</v>
      </c>
      <c r="B9" s="8" t="s">
        <v>24</v>
      </c>
      <c r="C9" s="9">
        <v>-39.608467856168645</v>
      </c>
      <c r="M9" s="18" t="s">
        <v>33</v>
      </c>
      <c r="N9" s="18" t="s">
        <v>33</v>
      </c>
    </row>
    <row r="10" spans="1:14" x14ac:dyDescent="0.2">
      <c r="A10" s="8"/>
      <c r="B10" s="8"/>
      <c r="C10" s="9"/>
      <c r="K10" s="34"/>
      <c r="M10" t="s">
        <v>83</v>
      </c>
      <c r="N10" t="s">
        <v>83</v>
      </c>
    </row>
    <row r="11" spans="1:14" x14ac:dyDescent="0.2">
      <c r="A11" s="5"/>
      <c r="B11" s="10"/>
      <c r="C11" s="11"/>
      <c r="K11" s="18"/>
      <c r="M11" t="s">
        <v>85</v>
      </c>
      <c r="N11" t="s">
        <v>85</v>
      </c>
    </row>
    <row r="12" spans="1:14" x14ac:dyDescent="0.2">
      <c r="K12" s="18"/>
      <c r="M12" s="18" t="s">
        <v>86</v>
      </c>
      <c r="N12" t="s">
        <v>86</v>
      </c>
    </row>
    <row r="13" spans="1:14" x14ac:dyDescent="0.2">
      <c r="A13" t="s">
        <v>87</v>
      </c>
      <c r="B13" s="47">
        <v>-0.3614026190649352</v>
      </c>
      <c r="K13" s="34"/>
      <c r="M13" s="34" t="s">
        <v>81</v>
      </c>
      <c r="N13" t="s">
        <v>81</v>
      </c>
    </row>
    <row r="14" spans="1:14" x14ac:dyDescent="0.2">
      <c r="K14" s="18"/>
      <c r="M14" t="s">
        <v>82</v>
      </c>
      <c r="N14" t="s">
        <v>82</v>
      </c>
    </row>
    <row r="15" spans="1:14" x14ac:dyDescent="0.2">
      <c r="K15" s="18"/>
      <c r="M15" t="s">
        <v>7</v>
      </c>
    </row>
    <row r="16" spans="1:14" x14ac:dyDescent="0.2">
      <c r="K16" s="18"/>
      <c r="M16" t="s">
        <v>8</v>
      </c>
    </row>
    <row r="17" spans="11:13" x14ac:dyDescent="0.2">
      <c r="K17" s="18"/>
      <c r="M17" t="s">
        <v>48</v>
      </c>
    </row>
    <row r="18" spans="11:13" x14ac:dyDescent="0.2">
      <c r="K18" s="18"/>
    </row>
    <row r="19" spans="11:13" x14ac:dyDescent="0.2">
      <c r="K19" s="18"/>
    </row>
    <row r="20" spans="11:13" x14ac:dyDescent="0.2">
      <c r="K20" s="18"/>
    </row>
    <row r="21" spans="11:13" s="18" customFormat="1" x14ac:dyDescent="0.2">
      <c r="M21"/>
    </row>
    <row r="22" spans="11:13" x14ac:dyDescent="0.2">
      <c r="K22" s="18"/>
      <c r="M22" s="18"/>
    </row>
    <row r="23" spans="11:13" x14ac:dyDescent="0.2">
      <c r="K23" s="18"/>
    </row>
    <row r="24" spans="11:13" x14ac:dyDescent="0.2">
      <c r="K24" s="18" t="s">
        <v>39</v>
      </c>
    </row>
    <row r="25" spans="11:13" x14ac:dyDescent="0.2">
      <c r="K25" s="18"/>
    </row>
    <row r="26" spans="11:13" x14ac:dyDescent="0.2">
      <c r="K26" s="18"/>
    </row>
    <row r="27" spans="11:13" x14ac:dyDescent="0.2">
      <c r="K27" s="18"/>
    </row>
    <row r="28" spans="11:13" x14ac:dyDescent="0.2">
      <c r="K28" s="18"/>
    </row>
    <row r="29" spans="11:13" x14ac:dyDescent="0.2">
      <c r="K29" s="18"/>
    </row>
    <row r="30" spans="11:13" x14ac:dyDescent="0.2">
      <c r="K30" s="18"/>
    </row>
    <row r="31" spans="11:13" x14ac:dyDescent="0.2">
      <c r="K31" s="18"/>
    </row>
    <row r="32" spans="11:13" x14ac:dyDescent="0.2">
      <c r="K32" s="18"/>
    </row>
    <row r="33" spans="11:11" x14ac:dyDescent="0.2">
      <c r="K33" s="18"/>
    </row>
    <row r="34" spans="11:11" x14ac:dyDescent="0.2">
      <c r="K34" s="18"/>
    </row>
    <row r="35" spans="11:11" x14ac:dyDescent="0.2">
      <c r="K35" s="18"/>
    </row>
    <row r="36" spans="11:11" x14ac:dyDescent="0.2">
      <c r="K36" s="18"/>
    </row>
    <row r="37" spans="11:11" x14ac:dyDescent="0.2">
      <c r="K37" s="18"/>
    </row>
    <row r="38" spans="11:11" x14ac:dyDescent="0.2">
      <c r="K38" s="18"/>
    </row>
    <row r="39" spans="11:11" x14ac:dyDescent="0.2">
      <c r="K39" s="18"/>
    </row>
    <row r="40" spans="11:11" x14ac:dyDescent="0.2">
      <c r="K40" s="18"/>
    </row>
    <row r="41" spans="11:11" x14ac:dyDescent="0.2">
      <c r="K41" s="18"/>
    </row>
    <row r="42" spans="11:11" x14ac:dyDescent="0.2">
      <c r="K42" s="18"/>
    </row>
  </sheetData>
  <sortState ref="K2:K41">
    <sortCondition ref="K4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workbookViewId="0">
      <selection activeCell="A2" sqref="A2:XFD47"/>
    </sheetView>
  </sheetViews>
  <sheetFormatPr baseColWidth="10" defaultRowHeight="15" x14ac:dyDescent="0.25"/>
  <cols>
    <col min="1" max="1" width="24.85546875" style="28" bestFit="1" customWidth="1"/>
    <col min="2" max="2" width="59.5703125" style="28" bestFit="1" customWidth="1"/>
    <col min="3" max="3" width="14.5703125" style="28" bestFit="1" customWidth="1"/>
    <col min="4" max="4" width="16.85546875" style="28" bestFit="1" customWidth="1"/>
    <col min="5" max="5" width="14.5703125" style="28" bestFit="1" customWidth="1"/>
    <col min="6" max="6" width="18.5703125" style="28" bestFit="1" customWidth="1"/>
    <col min="7" max="16384" width="11.42578125" style="28"/>
  </cols>
  <sheetData>
    <row r="1" spans="1:6" x14ac:dyDescent="0.25">
      <c r="A1" s="30" t="s">
        <v>50</v>
      </c>
      <c r="B1" s="30" t="s">
        <v>51</v>
      </c>
      <c r="C1" s="30" t="s">
        <v>52</v>
      </c>
      <c r="D1" s="30" t="s">
        <v>57</v>
      </c>
      <c r="E1" s="30" t="s">
        <v>53</v>
      </c>
      <c r="F1" s="30" t="s">
        <v>55</v>
      </c>
    </row>
    <row r="2" spans="1:6" x14ac:dyDescent="0.25">
      <c r="A2" s="28" t="s">
        <v>59</v>
      </c>
      <c r="B2" s="28" t="s">
        <v>67</v>
      </c>
      <c r="C2" s="28" t="s">
        <v>14</v>
      </c>
      <c r="D2" s="28" t="s">
        <v>5</v>
      </c>
      <c r="E2" s="28" t="s">
        <v>17</v>
      </c>
      <c r="F2" s="28" t="s">
        <v>39</v>
      </c>
    </row>
    <row r="3" spans="1:6" x14ac:dyDescent="0.25">
      <c r="A3" s="28" t="s">
        <v>60</v>
      </c>
      <c r="B3" s="28" t="s">
        <v>68</v>
      </c>
      <c r="C3" s="28" t="s">
        <v>14</v>
      </c>
      <c r="D3" s="28" t="s">
        <v>5</v>
      </c>
      <c r="E3" s="28" t="s">
        <v>17</v>
      </c>
      <c r="F3" s="28" t="s">
        <v>39</v>
      </c>
    </row>
    <row r="4" spans="1:6" x14ac:dyDescent="0.25">
      <c r="A4" s="28" t="s">
        <v>61</v>
      </c>
      <c r="B4" s="28" t="s">
        <v>69</v>
      </c>
      <c r="C4" s="28" t="s">
        <v>14</v>
      </c>
      <c r="D4" s="28" t="s">
        <v>5</v>
      </c>
      <c r="E4" s="28" t="s">
        <v>17</v>
      </c>
      <c r="F4" s="28" t="s">
        <v>39</v>
      </c>
    </row>
    <row r="5" spans="1:6" x14ac:dyDescent="0.25">
      <c r="A5" s="28" t="s">
        <v>62</v>
      </c>
      <c r="B5" s="28" t="s">
        <v>6</v>
      </c>
      <c r="C5" s="28" t="s">
        <v>14</v>
      </c>
      <c r="D5" s="28" t="s">
        <v>5</v>
      </c>
      <c r="E5" s="28" t="s">
        <v>17</v>
      </c>
      <c r="F5" s="28" t="s">
        <v>39</v>
      </c>
    </row>
    <row r="6" spans="1:6" x14ac:dyDescent="0.25">
      <c r="A6" s="28" t="s">
        <v>63</v>
      </c>
      <c r="B6" s="28" t="s">
        <v>70</v>
      </c>
      <c r="C6" s="28" t="s">
        <v>14</v>
      </c>
      <c r="D6" s="28" t="s">
        <v>5</v>
      </c>
      <c r="E6" s="28" t="s">
        <v>17</v>
      </c>
      <c r="F6" s="28" t="s">
        <v>39</v>
      </c>
    </row>
    <row r="7" spans="1:6" x14ac:dyDescent="0.25">
      <c r="A7" s="28" t="s">
        <v>64</v>
      </c>
      <c r="B7" s="28" t="s">
        <v>37</v>
      </c>
      <c r="C7" s="28" t="s">
        <v>14</v>
      </c>
      <c r="D7" s="28" t="s">
        <v>5</v>
      </c>
      <c r="E7" s="28" t="s">
        <v>17</v>
      </c>
      <c r="F7" s="28" t="s">
        <v>39</v>
      </c>
    </row>
    <row r="8" spans="1:6" x14ac:dyDescent="0.25">
      <c r="A8" s="28" t="s">
        <v>65</v>
      </c>
      <c r="B8" s="28" t="s">
        <v>71</v>
      </c>
      <c r="C8" s="28" t="s">
        <v>14</v>
      </c>
      <c r="D8" s="28" t="s">
        <v>5</v>
      </c>
      <c r="E8" s="28" t="s">
        <v>17</v>
      </c>
      <c r="F8" s="28" t="s">
        <v>39</v>
      </c>
    </row>
    <row r="9" spans="1:6" x14ac:dyDescent="0.25">
      <c r="A9" s="31" t="s">
        <v>74</v>
      </c>
      <c r="B9" s="31" t="s">
        <v>73</v>
      </c>
      <c r="C9" s="28" t="s">
        <v>14</v>
      </c>
      <c r="D9" s="28" t="s">
        <v>5</v>
      </c>
      <c r="E9" s="28" t="s">
        <v>17</v>
      </c>
      <c r="F9" s="28" t="s">
        <v>39</v>
      </c>
    </row>
    <row r="10" spans="1:6" x14ac:dyDescent="0.25">
      <c r="A10" s="28" t="s">
        <v>66</v>
      </c>
      <c r="B10" s="28" t="s">
        <v>72</v>
      </c>
      <c r="C10" s="28" t="s">
        <v>14</v>
      </c>
      <c r="D10" s="28" t="s">
        <v>5</v>
      </c>
      <c r="E10" s="28" t="s">
        <v>17</v>
      </c>
      <c r="F10" s="28" t="s">
        <v>39</v>
      </c>
    </row>
    <row r="11" spans="1:6" x14ac:dyDescent="0.25">
      <c r="A11" s="33" t="s">
        <v>75</v>
      </c>
      <c r="B11" s="33" t="s">
        <v>75</v>
      </c>
      <c r="C11" s="28" t="s">
        <v>14</v>
      </c>
      <c r="D11" s="28" t="s">
        <v>5</v>
      </c>
      <c r="E11" s="28" t="s">
        <v>17</v>
      </c>
      <c r="F11" s="28" t="s">
        <v>39</v>
      </c>
    </row>
  </sheetData>
  <pageMargins left="0.31496062992125984" right="0.31496062992125984" top="0.55118110236220474" bottom="0.55118110236220474" header="0.19685039370078741" footer="0.19685039370078741"/>
  <pageSetup paperSize="9" fitToHeight="100" orientation="landscape" cellComments="asDisplayed" r:id="rId1"/>
  <headerFooter>
    <oddHeader>&amp;L&amp;F&amp;R&amp;16&amp;A</oddHeader>
    <oddFooter>&amp;L&amp;14&amp;Z&amp;F&amp;R&amp;14&amp;P sur &amp;N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DIVERS!$G$2:$G$10</xm:f>
          </x14:formula1>
          <xm:sqref>D2:D28</xm:sqref>
        </x14:dataValidation>
        <x14:dataValidation type="list" allowBlank="1" showInputMessage="1" showErrorMessage="1">
          <x14:formula1>
            <xm:f>DIVERS!$I$2:$I$7</xm:f>
          </x14:formula1>
          <xm:sqref>C2:C28</xm:sqref>
        </x14:dataValidation>
        <x14:dataValidation type="list" allowBlank="1" showInputMessage="1" showErrorMessage="1">
          <x14:formula1>
            <xm:f>DIVERS!$E$2:$E$7</xm:f>
          </x14:formula1>
          <xm:sqref>E2:E28</xm:sqref>
        </x14:dataValidation>
        <x14:dataValidation type="list" allowBlank="1" showInputMessage="1" showErrorMessage="1">
          <x14:formula1>
            <xm:f>DIVERS!$K$2:$K$44</xm:f>
          </x14:formula1>
          <xm:sqref>F2:F28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V82"/>
  <sheetViews>
    <sheetView zoomScale="90" zoomScaleNormal="90" workbookViewId="0">
      <pane xSplit="9" ySplit="1" topLeftCell="L2" activePane="bottomRight" state="frozen"/>
      <selection pane="topRight" activeCell="J1" sqref="J1"/>
      <selection pane="bottomLeft" activeCell="A2" sqref="A2"/>
      <selection pane="bottomRight" activeCell="AJ1" sqref="W1:AJ1048576"/>
    </sheetView>
  </sheetViews>
  <sheetFormatPr baseColWidth="10" defaultRowHeight="15" outlineLevelCol="1" x14ac:dyDescent="0.25"/>
  <cols>
    <col min="1" max="1" width="21.42578125" style="40" customWidth="1"/>
    <col min="2" max="2" width="49" style="62" bestFit="1" customWidth="1"/>
    <col min="3" max="3" width="13.42578125" style="62" bestFit="1" customWidth="1"/>
    <col min="4" max="4" width="9.85546875" style="62" customWidth="1"/>
    <col min="5" max="5" width="13.85546875" style="62" bestFit="1" customWidth="1"/>
    <col min="6" max="6" width="10" style="62" customWidth="1"/>
    <col min="7" max="7" width="17.42578125" style="62" bestFit="1" customWidth="1"/>
    <col min="8" max="8" width="16.7109375" style="62" customWidth="1" outlineLevel="1"/>
    <col min="9" max="9" width="10.7109375" style="30" customWidth="1"/>
    <col min="10" max="11" width="10.7109375" style="29" customWidth="1"/>
    <col min="12" max="21" width="10.7109375" style="28" customWidth="1"/>
    <col min="22" max="22" width="10.7109375" style="30" customWidth="1"/>
    <col min="23" max="16384" width="11.42578125" style="28"/>
  </cols>
  <sheetData>
    <row r="1" spans="1:22" s="70" customFormat="1" ht="46.5" customHeight="1" thickBot="1" x14ac:dyDescent="0.25">
      <c r="A1" s="68" t="s">
        <v>16</v>
      </c>
      <c r="B1" s="69" t="s">
        <v>51</v>
      </c>
      <c r="C1" s="69" t="s">
        <v>57</v>
      </c>
      <c r="D1" s="69" t="s">
        <v>22</v>
      </c>
      <c r="E1" s="69" t="s">
        <v>52</v>
      </c>
      <c r="F1" s="69" t="s">
        <v>53</v>
      </c>
      <c r="G1" s="69" t="s">
        <v>27</v>
      </c>
      <c r="H1" s="69" t="s">
        <v>76</v>
      </c>
      <c r="I1" s="69" t="s">
        <v>56</v>
      </c>
      <c r="J1" s="69" t="s">
        <v>88</v>
      </c>
      <c r="K1" s="69" t="s">
        <v>89</v>
      </c>
      <c r="L1" s="69" t="s">
        <v>90</v>
      </c>
      <c r="M1" s="69" t="s">
        <v>91</v>
      </c>
      <c r="N1" s="69" t="s">
        <v>92</v>
      </c>
      <c r="O1" s="69" t="s">
        <v>93</v>
      </c>
      <c r="P1" s="69" t="s">
        <v>94</v>
      </c>
      <c r="Q1" s="69" t="s">
        <v>95</v>
      </c>
      <c r="R1" s="69" t="s">
        <v>96</v>
      </c>
      <c r="S1" s="69" t="s">
        <v>97</v>
      </c>
      <c r="T1" s="69" t="s">
        <v>98</v>
      </c>
      <c r="U1" s="69" t="s">
        <v>99</v>
      </c>
      <c r="V1" s="69" t="s">
        <v>54</v>
      </c>
    </row>
    <row r="2" spans="1:22" x14ac:dyDescent="0.25">
      <c r="A2" s="35" t="s">
        <v>59</v>
      </c>
      <c r="B2" s="56" t="str">
        <f>VLOOKUP($A2,LIBELLE!$A:$B,2,FALSE)</f>
        <v>Global SRS</v>
      </c>
      <c r="C2" s="56" t="str">
        <f>VLOOKUP($A2,LIBELLE!A:D,4,FALSE)</f>
        <v>VDP</v>
      </c>
      <c r="D2" s="56" t="str">
        <f>VLOOKUP($A2,LIBELLE!A:F,6,FALSE)</f>
        <v>NA</v>
      </c>
      <c r="E2" s="56" t="str">
        <f>VLOOKUP($A2,LIBELLE!$A:$C,3,FALSE)</f>
        <v>GTIES</v>
      </c>
      <c r="F2" s="56" t="str">
        <f>IF($G2="Acompte","Acompte",VLOOKUP($A2,LIBELLE!A:E,5,FALSE))</f>
        <v>Prév</v>
      </c>
      <c r="G2" s="56" t="s">
        <v>28</v>
      </c>
      <c r="H2" s="57" t="str">
        <f>IF(ISNA(VLOOKUP($G2,DIVERS!$M$1:$N$15,2,FALSE)),"",VLOOKUP($G2,DIVERS!$M$1:$N$15,2,FALSE))</f>
        <v>Tot VTE</v>
      </c>
      <c r="I2" s="27"/>
      <c r="J2" s="48">
        <v>0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50">
        <f>SUM(Tableau3[[#This Row],[31/01/2015]:[31/12/2015]])</f>
        <v>0</v>
      </c>
    </row>
    <row r="3" spans="1:22" x14ac:dyDescent="0.25">
      <c r="A3" s="38" t="s">
        <v>59</v>
      </c>
      <c r="B3" s="58" t="str">
        <f>VLOOKUP($A3,LIBELLE!$A:$B,2,FALSE)</f>
        <v>Global SRS</v>
      </c>
      <c r="C3" s="58" t="str">
        <f>VLOOKUP($A3,LIBELLE!A:D,4,FALSE)</f>
        <v>VDP</v>
      </c>
      <c r="D3" s="58" t="str">
        <f>VLOOKUP($A3,LIBELLE!A:F,6,FALSE)</f>
        <v>NA</v>
      </c>
      <c r="E3" s="58" t="str">
        <f>VLOOKUP($A3,LIBELLE!$A:$C,3,FALSE)</f>
        <v>GTIES</v>
      </c>
      <c r="F3" s="58" t="str">
        <f>IF($G3="Acompte","Acompte",VLOOKUP($A3,LIBELLE!A:E,5,FALSE))</f>
        <v>Prév</v>
      </c>
      <c r="G3" s="58" t="s">
        <v>29</v>
      </c>
      <c r="H3" s="59" t="str">
        <f>IF(ISNA(VLOOKUP($G3,DIVERS!$M$1:$N$15,2,FALSE)),"",VLOOKUP($G3,DIVERS!$M$1:$N$15,2,FALSE))</f>
        <v>€TEC FERRRO-R&amp;D</v>
      </c>
      <c r="I3" s="27"/>
      <c r="J3" s="48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52">
        <f>SUM(Tableau3[[#This Row],[31/01/2015]:[31/12/2015]])</f>
        <v>0</v>
      </c>
    </row>
    <row r="4" spans="1:22" x14ac:dyDescent="0.25">
      <c r="A4" s="38" t="s">
        <v>59</v>
      </c>
      <c r="B4" s="58" t="str">
        <f>VLOOKUP($A4,LIBELLE!$A:$B,2,FALSE)</f>
        <v>Global SRS</v>
      </c>
      <c r="C4" s="58" t="str">
        <f>VLOOKUP($A4,LIBELLE!A:D,4,FALSE)</f>
        <v>VDP</v>
      </c>
      <c r="D4" s="58" t="str">
        <f>VLOOKUP($A4,LIBELLE!A:F,6,FALSE)</f>
        <v>NA</v>
      </c>
      <c r="E4" s="58" t="str">
        <f>VLOOKUP($A4,LIBELLE!$A:$C,3,FALSE)</f>
        <v>GTIES</v>
      </c>
      <c r="F4" s="58" t="str">
        <f>IF($G4="Acompte","Acompte",VLOOKUP($A4,LIBELLE!A:E,5,FALSE))</f>
        <v>Prév</v>
      </c>
      <c r="G4" s="58" t="s">
        <v>30</v>
      </c>
      <c r="H4" s="59" t="str">
        <f>IF(ISNA(VLOOKUP($G4,DIVERS!$M$1:$N$15,2,FALSE)),"",VLOOKUP($G4,DIVERS!$M$1:$N$15,2,FALSE))</f>
        <v>€ACH ProdPVI</v>
      </c>
      <c r="I4" s="27"/>
      <c r="J4" s="63">
        <v>-4103</v>
      </c>
      <c r="K4" s="64">
        <v>-1000</v>
      </c>
      <c r="L4" s="64">
        <v>-1000</v>
      </c>
      <c r="M4" s="64">
        <v>-1000</v>
      </c>
      <c r="N4" s="64">
        <v>-1000</v>
      </c>
      <c r="O4" s="64">
        <v>-1000</v>
      </c>
      <c r="P4" s="64">
        <v>-1000</v>
      </c>
      <c r="Q4" s="64">
        <v>-1000</v>
      </c>
      <c r="R4" s="64">
        <v>-1000</v>
      </c>
      <c r="S4" s="64">
        <v>-1000</v>
      </c>
      <c r="T4" s="64">
        <v>-1000</v>
      </c>
      <c r="U4" s="64">
        <v>-1000</v>
      </c>
      <c r="V4" s="51">
        <f>SUM(Tableau3[[#This Row],[31/01/2015]:[31/12/2015]])</f>
        <v>-15103</v>
      </c>
    </row>
    <row r="5" spans="1:22" x14ac:dyDescent="0.25">
      <c r="A5" s="37" t="s">
        <v>59</v>
      </c>
      <c r="B5" s="58" t="str">
        <f>VLOOKUP($A5,LIBELLE!$A:$B,2,FALSE)</f>
        <v>Global SRS</v>
      </c>
      <c r="C5" s="58" t="str">
        <f>VLOOKUP($A5,LIBELLE!A:D,4,FALSE)</f>
        <v>VDP</v>
      </c>
      <c r="D5" s="58" t="str">
        <f>VLOOKUP($A5,LIBELLE!A:F,6,FALSE)</f>
        <v>NA</v>
      </c>
      <c r="E5" s="58" t="str">
        <f>VLOOKUP($A5,LIBELLE!$A:$C,3,FALSE)</f>
        <v>GTIES</v>
      </c>
      <c r="F5" s="58" t="str">
        <f>IF($G5="Acompte","Acompte",VLOOKUP($A5,LIBELLE!A:E,5,FALSE))</f>
        <v>Prév</v>
      </c>
      <c r="G5" s="58" t="s">
        <v>31</v>
      </c>
      <c r="H5" s="59" t="str">
        <f>IF(ISNA(VLOOKUP($G5,DIVERS!$M$1:$N$15,2,FALSE)),"",VLOOKUP($G5,DIVERS!$M$1:$N$15,2,FALSE))</f>
        <v>€ACH Sces+div</v>
      </c>
      <c r="I5" s="27"/>
      <c r="J5" s="48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52">
        <f>SUM(Tableau3[[#This Row],[31/01/2015]:[31/12/2015]])</f>
        <v>0</v>
      </c>
    </row>
    <row r="6" spans="1:22" x14ac:dyDescent="0.25">
      <c r="A6" s="37" t="s">
        <v>59</v>
      </c>
      <c r="B6" s="58" t="str">
        <f>VLOOKUP($A6,LIBELLE!$A:$B,2,FALSE)</f>
        <v>Global SRS</v>
      </c>
      <c r="C6" s="58" t="str">
        <f>VLOOKUP($A6,LIBELLE!A:D,4,FALSE)</f>
        <v>VDP</v>
      </c>
      <c r="D6" s="58" t="str">
        <f>VLOOKUP($A6,LIBELLE!A:F,6,FALSE)</f>
        <v>NA</v>
      </c>
      <c r="E6" s="58" t="str">
        <f>VLOOKUP($A6,LIBELLE!$A:$C,3,FALSE)</f>
        <v>GTIES</v>
      </c>
      <c r="F6" s="58" t="str">
        <f>IF($G6="Acompte","Acompte",VLOOKUP($A6,LIBELLE!A:E,5,FALSE))</f>
        <v>Prév</v>
      </c>
      <c r="G6" s="58" t="s">
        <v>83</v>
      </c>
      <c r="H6" s="59" t="str">
        <f>IF(ISNA(VLOOKUP($G6,DIVERS!$M$1:$N$15,2,FALSE)),"",VLOOKUP($G6,DIVERS!$M$1:$N$15,2,FALSE))</f>
        <v>Qté MO GTIE</v>
      </c>
      <c r="I6" s="27"/>
      <c r="J6" s="63">
        <v>21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51">
        <f>SUM(Tableau3[[#This Row],[31/01/2015]:[31/12/2015]])</f>
        <v>21</v>
      </c>
    </row>
    <row r="7" spans="1:22" x14ac:dyDescent="0.25">
      <c r="A7" s="37" t="s">
        <v>59</v>
      </c>
      <c r="B7" s="58" t="str">
        <f>VLOOKUP($A7,LIBELLE!$A:$B,2,FALSE)</f>
        <v>Global SRS</v>
      </c>
      <c r="C7" s="58" t="str">
        <f>VLOOKUP($A7,LIBELLE!A:D,4,FALSE)</f>
        <v>VDP</v>
      </c>
      <c r="D7" s="58" t="str">
        <f>VLOOKUP($A7,LIBELLE!A:F,6,FALSE)</f>
        <v>NA</v>
      </c>
      <c r="E7" s="58" t="str">
        <f>VLOOKUP($A7,LIBELLE!$A:$C,3,FALSE)</f>
        <v>GTIES</v>
      </c>
      <c r="F7" s="58" t="str">
        <f>IF($G7="Acompte","Acompte",VLOOKUP($A7,LIBELLE!A:E,5,FALSE))</f>
        <v>Prév</v>
      </c>
      <c r="G7" s="58" t="s">
        <v>82</v>
      </c>
      <c r="H7" s="59" t="str">
        <f>IF(ISNA(VLOOKUP($G7,DIVERS!$M$1:$N$15,2,FALSE)),"",VLOOKUP($G7,DIVERS!$M$1:$N$15,2,FALSE))</f>
        <v>Qté MO SRS</v>
      </c>
      <c r="I7" s="27"/>
      <c r="J7" s="63">
        <v>27</v>
      </c>
      <c r="K7" s="64">
        <v>30</v>
      </c>
      <c r="L7" s="64">
        <v>30</v>
      </c>
      <c r="M7" s="64">
        <v>30</v>
      </c>
      <c r="N7" s="64">
        <v>30</v>
      </c>
      <c r="O7" s="64">
        <v>30</v>
      </c>
      <c r="P7" s="64">
        <v>30</v>
      </c>
      <c r="Q7" s="64">
        <f>30-18</f>
        <v>12</v>
      </c>
      <c r="R7" s="64">
        <v>30</v>
      </c>
      <c r="S7" s="64">
        <v>30</v>
      </c>
      <c r="T7" s="64">
        <v>30</v>
      </c>
      <c r="U7" s="64">
        <v>30</v>
      </c>
      <c r="V7" s="51">
        <f>SUM(Tableau3[[#This Row],[31/01/2015]:[31/12/2015]])</f>
        <v>339</v>
      </c>
    </row>
    <row r="8" spans="1:22" x14ac:dyDescent="0.25">
      <c r="A8" s="37" t="s">
        <v>59</v>
      </c>
      <c r="B8" s="58" t="str">
        <f>VLOOKUP($A8,LIBELLE!$A:$B,2,FALSE)</f>
        <v>Global SRS</v>
      </c>
      <c r="C8" s="58" t="str">
        <f>VLOOKUP($A8,LIBELLE!A:D,4,FALSE)</f>
        <v>VDP</v>
      </c>
      <c r="D8" s="58" t="str">
        <f>VLOOKUP($A8,LIBELLE!A:F,6,FALSE)</f>
        <v>NA</v>
      </c>
      <c r="E8" s="58" t="str">
        <f>VLOOKUP($A8,LIBELLE!$A:$C,3,FALSE)</f>
        <v>GTIES</v>
      </c>
      <c r="F8" s="58" t="str">
        <f>IF($G8="Acompte","Acompte",VLOOKUP($A8,LIBELLE!A:E,5,FALSE))</f>
        <v>Prév</v>
      </c>
      <c r="G8" s="58" t="s">
        <v>7</v>
      </c>
      <c r="H8" s="59">
        <f>IF(ISNA(VLOOKUP($G8,DIVERS!$M$1:$N$15,2,FALSE)),"",VLOOKUP($G8,DIVERS!$M$1:$N$15,2,FALSE))</f>
        <v>0</v>
      </c>
      <c r="I8" s="27"/>
      <c r="J8" s="53">
        <f t="shared" ref="J8:U8" si="0">J6*TxGTIE+J7*TxSRS</f>
        <v>-2640.8892571165534</v>
      </c>
      <c r="K8" s="53">
        <f t="shared" si="0"/>
        <v>-1188.2540356850593</v>
      </c>
      <c r="L8" s="53">
        <f t="shared" si="0"/>
        <v>-1188.2540356850593</v>
      </c>
      <c r="M8" s="53">
        <f t="shared" si="0"/>
        <v>-1188.2540356850593</v>
      </c>
      <c r="N8" s="53">
        <f t="shared" si="0"/>
        <v>-1188.2540356850593</v>
      </c>
      <c r="O8" s="53">
        <f t="shared" si="0"/>
        <v>-1188.2540356850593</v>
      </c>
      <c r="P8" s="53">
        <f t="shared" si="0"/>
        <v>-1188.2540356850593</v>
      </c>
      <c r="Q8" s="53">
        <f t="shared" si="0"/>
        <v>-475.30161427402373</v>
      </c>
      <c r="R8" s="53">
        <f t="shared" si="0"/>
        <v>-1188.2540356850593</v>
      </c>
      <c r="S8" s="53">
        <f t="shared" si="0"/>
        <v>-1188.2540356850593</v>
      </c>
      <c r="T8" s="53">
        <f t="shared" si="0"/>
        <v>-1188.2540356850593</v>
      </c>
      <c r="U8" s="53">
        <f t="shared" si="0"/>
        <v>-1188.2540356850593</v>
      </c>
      <c r="V8" s="51">
        <f>SUM(Tableau3[[#This Row],[31/01/2015]:[31/12/2015]])</f>
        <v>-14998.731228241168</v>
      </c>
    </row>
    <row r="9" spans="1:22" x14ac:dyDescent="0.25">
      <c r="A9" s="37" t="s">
        <v>59</v>
      </c>
      <c r="B9" s="58" t="str">
        <f>VLOOKUP($A9,LIBELLE!$A:$B,2,FALSE)</f>
        <v>Global SRS</v>
      </c>
      <c r="C9" s="58" t="str">
        <f>VLOOKUP($A9,LIBELLE!A:D,4,FALSE)</f>
        <v>VDP</v>
      </c>
      <c r="D9" s="58" t="str">
        <f>VLOOKUP($A9,LIBELLE!A:F,6,FALSE)</f>
        <v>NA</v>
      </c>
      <c r="E9" s="58" t="str">
        <f>VLOOKUP($A9,LIBELLE!$A:$C,3,FALSE)</f>
        <v>GTIES</v>
      </c>
      <c r="F9" s="58" t="str">
        <f>IF($G9="Acompte","Acompte",VLOOKUP($A9,LIBELLE!A:E,5,FALSE))</f>
        <v>Prév</v>
      </c>
      <c r="G9" s="58" t="s">
        <v>8</v>
      </c>
      <c r="H9" s="59" t="str">
        <f>IF(ISNA(VLOOKUP($G9,DIVERS!$M$1:$N$15,2,FALSE)),"",VLOOKUP($G9,DIVERS!$M$1:$N$15,2,FALSE))</f>
        <v/>
      </c>
      <c r="I9" s="27"/>
      <c r="J9" s="53">
        <f>SUMIF($G2:$G8,"=CA",J2:J8)*DIVERS!$B$13</f>
        <v>0</v>
      </c>
      <c r="K9" s="53">
        <f>SUMIF($G2:$G8,"=CA",K2:K8)*DIVERS!$B$13</f>
        <v>0</v>
      </c>
      <c r="L9" s="53">
        <f>SUMIF($G2:$G8,"=CA",L2:L8)*DIVERS!$B$13</f>
        <v>0</v>
      </c>
      <c r="M9" s="53">
        <f>SUMIF($G2:$G8,"=CA",M2:M8)*DIVERS!$B$13</f>
        <v>0</v>
      </c>
      <c r="N9" s="53">
        <f>SUMIF($G2:$G8,"=CA",N2:N8)*DIVERS!$B$13</f>
        <v>0</v>
      </c>
      <c r="O9" s="53">
        <f>SUMIF($G2:$G8,"=CA",O2:O8)*DIVERS!$B$13</f>
        <v>0</v>
      </c>
      <c r="P9" s="53">
        <f>SUMIF($G2:$G8,"=CA",P2:P8)*DIVERS!$B$13</f>
        <v>0</v>
      </c>
      <c r="Q9" s="53">
        <f>SUMIF($G2:$G8,"=CA",Q2:Q8)*DIVERS!$B$13</f>
        <v>0</v>
      </c>
      <c r="R9" s="53">
        <f>SUMIF($G2:$G8,"=CA",R2:R8)*DIVERS!$B$13</f>
        <v>0</v>
      </c>
      <c r="S9" s="53">
        <f>SUMIF($G2:$G8,"=CA",S2:S8)*DIVERS!$B$13</f>
        <v>0</v>
      </c>
      <c r="T9" s="53">
        <f>SUMIF($G2:$G8,"=CA",T2:T8)*DIVERS!$B$13</f>
        <v>0</v>
      </c>
      <c r="U9" s="53">
        <f>SUMIF($G2:$G8,"=CA",U2:U8)*DIVERS!$B$13</f>
        <v>0</v>
      </c>
      <c r="V9" s="52">
        <f>SUM(Tableau3[[#This Row],[31/01/2015]:[31/12/2015]])</f>
        <v>0</v>
      </c>
    </row>
    <row r="10" spans="1:22" ht="15.75" thickBot="1" x14ac:dyDescent="0.3">
      <c r="A10" s="39" t="s">
        <v>59</v>
      </c>
      <c r="B10" s="60" t="str">
        <f>VLOOKUP($A10,LIBELLE!$A:$B,2,FALSE)</f>
        <v>Global SRS</v>
      </c>
      <c r="C10" s="60" t="str">
        <f>VLOOKUP($A10,LIBELLE!A:D,4,FALSE)</f>
        <v>VDP</v>
      </c>
      <c r="D10" s="60" t="str">
        <f>VLOOKUP($A10,LIBELLE!A:F,6,FALSE)</f>
        <v>NA</v>
      </c>
      <c r="E10" s="60" t="str">
        <f>VLOOKUP($A10,LIBELLE!$A:$C,3,FALSE)</f>
        <v>GTIES</v>
      </c>
      <c r="F10" s="60" t="str">
        <f>IF($G10="Acompte","Acompte",VLOOKUP($A10,LIBELLE!A:E,5,FALSE))</f>
        <v>Prév</v>
      </c>
      <c r="G10" s="60" t="s">
        <v>48</v>
      </c>
      <c r="H10" s="61" t="str">
        <f>IF(ISNA(VLOOKUP($G10,DIVERS!$M$1:$N$15,2,FALSE)),"",VLOOKUP($G10,DIVERS!$M$1:$N$15,2,FALSE))</f>
        <v/>
      </c>
      <c r="I10" s="32"/>
      <c r="J10" s="54">
        <f t="shared" ref="J10:U10" si="1">SUM(J2:J5,J8:J9)</f>
        <v>-6743.8892571165534</v>
      </c>
      <c r="K10" s="54">
        <f t="shared" si="1"/>
        <v>-2188.2540356850595</v>
      </c>
      <c r="L10" s="54">
        <f t="shared" si="1"/>
        <v>-2188.2540356850595</v>
      </c>
      <c r="M10" s="54">
        <f t="shared" si="1"/>
        <v>-2188.2540356850595</v>
      </c>
      <c r="N10" s="54">
        <f t="shared" si="1"/>
        <v>-2188.2540356850595</v>
      </c>
      <c r="O10" s="54">
        <f t="shared" si="1"/>
        <v>-2188.2540356850595</v>
      </c>
      <c r="P10" s="54">
        <f t="shared" si="1"/>
        <v>-2188.2540356850595</v>
      </c>
      <c r="Q10" s="54">
        <f t="shared" si="1"/>
        <v>-1475.3016142740237</v>
      </c>
      <c r="R10" s="54">
        <f t="shared" si="1"/>
        <v>-2188.2540356850595</v>
      </c>
      <c r="S10" s="54">
        <f t="shared" si="1"/>
        <v>-2188.2540356850595</v>
      </c>
      <c r="T10" s="54">
        <f t="shared" si="1"/>
        <v>-2188.2540356850595</v>
      </c>
      <c r="U10" s="54">
        <f t="shared" si="1"/>
        <v>-2188.2540356850595</v>
      </c>
      <c r="V10" s="55">
        <f>SUM(Tableau3[[#This Row],[31/01/2015]:[31/12/2015]])</f>
        <v>-30101.731228241166</v>
      </c>
    </row>
    <row r="11" spans="1:22" x14ac:dyDescent="0.25">
      <c r="A11" s="36" t="s">
        <v>60</v>
      </c>
      <c r="B11" s="56" t="str">
        <f>VLOOKUP($A11,LIBELLE!$A:$B,2,FALSE)</f>
        <v>MIDLUM_PREMIUM</v>
      </c>
      <c r="C11" s="56" t="str">
        <f>VLOOKUP($A11,LIBELLE!A:D,4,FALSE)</f>
        <v>VDP</v>
      </c>
      <c r="D11" s="56" t="str">
        <f>VLOOKUP($A11,LIBELLE!A:F,6,FALSE)</f>
        <v>NA</v>
      </c>
      <c r="E11" s="56" t="str">
        <f>VLOOKUP($A11,LIBELLE!$A:$C,3,FALSE)</f>
        <v>GTIES</v>
      </c>
      <c r="F11" s="56" t="str">
        <f>IF($G11="Acompte","Acompte",VLOOKUP($A11,LIBELLE!A:E,5,FALSE))</f>
        <v>Prév</v>
      </c>
      <c r="G11" s="56" t="s">
        <v>28</v>
      </c>
      <c r="H11" s="57" t="str">
        <f>IF(ISNA(VLOOKUP($G11,DIVERS!$M$1:$N$15,2,FALSE)),"",VLOOKUP($G11,DIVERS!$M$1:$N$15,2,FALSE))</f>
        <v>Tot VTE</v>
      </c>
      <c r="I11" s="27"/>
      <c r="J11" s="46">
        <v>0</v>
      </c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50">
        <f>SUM(Tableau3[[#This Row],[31/01/2015]:[31/12/2015]])</f>
        <v>0</v>
      </c>
    </row>
    <row r="12" spans="1:22" x14ac:dyDescent="0.25">
      <c r="A12" s="38" t="s">
        <v>60</v>
      </c>
      <c r="B12" s="58" t="str">
        <f>VLOOKUP($A12,LIBELLE!$A:$B,2,FALSE)</f>
        <v>MIDLUM_PREMIUM</v>
      </c>
      <c r="C12" s="58" t="str">
        <f>VLOOKUP($A12,LIBELLE!A:D,4,FALSE)</f>
        <v>VDP</v>
      </c>
      <c r="D12" s="58" t="str">
        <f>VLOOKUP($A12,LIBELLE!A:F,6,FALSE)</f>
        <v>NA</v>
      </c>
      <c r="E12" s="58" t="str">
        <f>VLOOKUP($A12,LIBELLE!$A:$C,3,FALSE)</f>
        <v>GTIES</v>
      </c>
      <c r="F12" s="58" t="str">
        <f>IF($G12="Acompte","Acompte",VLOOKUP($A12,LIBELLE!A:E,5,FALSE))</f>
        <v>Prév</v>
      </c>
      <c r="G12" s="58" t="s">
        <v>29</v>
      </c>
      <c r="H12" s="59" t="str">
        <f>IF(ISNA(VLOOKUP($G12,DIVERS!$M$1:$N$15,2,FALSE)),"",VLOOKUP($G12,DIVERS!$M$1:$N$15,2,FALSE))</f>
        <v>€TEC FERRRO-R&amp;D</v>
      </c>
      <c r="I12" s="27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52">
        <f>SUM(Tableau3[[#This Row],[31/01/2015]:[31/12/2015]])</f>
        <v>0</v>
      </c>
    </row>
    <row r="13" spans="1:22" x14ac:dyDescent="0.25">
      <c r="A13" s="38" t="s">
        <v>60</v>
      </c>
      <c r="B13" s="58" t="str">
        <f>VLOOKUP($A13,LIBELLE!$A:$B,2,FALSE)</f>
        <v>MIDLUM_PREMIUM</v>
      </c>
      <c r="C13" s="58" t="str">
        <f>VLOOKUP($A13,LIBELLE!A:D,4,FALSE)</f>
        <v>VDP</v>
      </c>
      <c r="D13" s="58" t="str">
        <f>VLOOKUP($A13,LIBELLE!A:F,6,FALSE)</f>
        <v>NA</v>
      </c>
      <c r="E13" s="58" t="str">
        <f>VLOOKUP($A13,LIBELLE!$A:$C,3,FALSE)</f>
        <v>GTIES</v>
      </c>
      <c r="F13" s="58" t="str">
        <f>IF($G13="Acompte","Acompte",VLOOKUP($A13,LIBELLE!A:E,5,FALSE))</f>
        <v>Prév</v>
      </c>
      <c r="G13" s="58" t="s">
        <v>30</v>
      </c>
      <c r="H13" s="59" t="str">
        <f>IF(ISNA(VLOOKUP($G13,DIVERS!$M$1:$N$15,2,FALSE)),"",VLOOKUP($G13,DIVERS!$M$1:$N$15,2,FALSE))</f>
        <v>€ACH ProdPVI</v>
      </c>
      <c r="I13" s="27"/>
      <c r="J13" s="46">
        <v>-169.76</v>
      </c>
      <c r="K13" s="43">
        <v>-2200</v>
      </c>
      <c r="L13" s="43">
        <v>-2200</v>
      </c>
      <c r="M13" s="43">
        <v>-2200</v>
      </c>
      <c r="N13" s="43">
        <v>-2200</v>
      </c>
      <c r="O13" s="43">
        <v>-2200</v>
      </c>
      <c r="P13" s="43">
        <v>-2200</v>
      </c>
      <c r="Q13" s="43">
        <v>-2200</v>
      </c>
      <c r="R13" s="43">
        <v>-2200</v>
      </c>
      <c r="S13" s="43">
        <v>-2200</v>
      </c>
      <c r="T13" s="43">
        <v>-2200</v>
      </c>
      <c r="U13" s="43">
        <v>-2200</v>
      </c>
      <c r="V13" s="51">
        <f>SUM(Tableau3[[#This Row],[31/01/2015]:[31/12/2015]])</f>
        <v>-24369.760000000002</v>
      </c>
    </row>
    <row r="14" spans="1:22" x14ac:dyDescent="0.25">
      <c r="A14" s="37" t="s">
        <v>60</v>
      </c>
      <c r="B14" s="58" t="str">
        <f>VLOOKUP($A14,LIBELLE!$A:$B,2,FALSE)</f>
        <v>MIDLUM_PREMIUM</v>
      </c>
      <c r="C14" s="58" t="str">
        <f>VLOOKUP($A14,LIBELLE!A:D,4,FALSE)</f>
        <v>VDP</v>
      </c>
      <c r="D14" s="58" t="str">
        <f>VLOOKUP($A14,LIBELLE!A:F,6,FALSE)</f>
        <v>NA</v>
      </c>
      <c r="E14" s="58" t="str">
        <f>VLOOKUP($A14,LIBELLE!$A:$C,3,FALSE)</f>
        <v>GTIES</v>
      </c>
      <c r="F14" s="58" t="str">
        <f>IF($G14="Acompte","Acompte",VLOOKUP($A14,LIBELLE!A:E,5,FALSE))</f>
        <v>Prév</v>
      </c>
      <c r="G14" s="58" t="s">
        <v>31</v>
      </c>
      <c r="H14" s="59" t="str">
        <f>IF(ISNA(VLOOKUP($G14,DIVERS!$M$1:$N$15,2,FALSE)),"",VLOOKUP($G14,DIVERS!$M$1:$N$15,2,FALSE))</f>
        <v>€ACH Sces+div</v>
      </c>
      <c r="I14" s="27"/>
      <c r="J14" s="46">
        <v>3708</v>
      </c>
      <c r="K14" s="44">
        <v>-15691</v>
      </c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52">
        <f>SUM(Tableau3[[#This Row],[31/01/2015]:[31/12/2015]])</f>
        <v>-11983</v>
      </c>
    </row>
    <row r="15" spans="1:22" x14ac:dyDescent="0.25">
      <c r="A15" s="37" t="s">
        <v>60</v>
      </c>
      <c r="B15" s="58" t="str">
        <f>VLOOKUP($A15,LIBELLE!$A:$B,2,FALSE)</f>
        <v>MIDLUM_PREMIUM</v>
      </c>
      <c r="C15" s="58" t="str">
        <f>VLOOKUP($A15,LIBELLE!A:D,4,FALSE)</f>
        <v>VDP</v>
      </c>
      <c r="D15" s="58" t="str">
        <f>VLOOKUP($A15,LIBELLE!A:F,6,FALSE)</f>
        <v>NA</v>
      </c>
      <c r="E15" s="58" t="str">
        <f>VLOOKUP($A15,LIBELLE!$A:$C,3,FALSE)</f>
        <v>GTIES</v>
      </c>
      <c r="F15" s="58" t="str">
        <f>IF($G15="Acompte","Acompte",VLOOKUP($A15,LIBELLE!A:E,5,FALSE))</f>
        <v>Prév</v>
      </c>
      <c r="G15" s="58" t="s">
        <v>83</v>
      </c>
      <c r="H15" s="59" t="str">
        <f>IF(ISNA(VLOOKUP($G15,DIVERS!$M$1:$N$15,2,FALSE)),"",VLOOKUP($G15,DIVERS!$M$1:$N$15,2,FALSE))</f>
        <v>Qté MO GTIE</v>
      </c>
      <c r="I15" s="27"/>
      <c r="J15" s="49">
        <v>27</v>
      </c>
      <c r="K15" s="43">
        <v>5</v>
      </c>
      <c r="L15" s="43">
        <v>5</v>
      </c>
      <c r="M15" s="43">
        <v>5</v>
      </c>
      <c r="N15" s="43">
        <v>5</v>
      </c>
      <c r="O15" s="43">
        <v>5</v>
      </c>
      <c r="P15" s="43">
        <v>5</v>
      </c>
      <c r="Q15" s="43">
        <v>5</v>
      </c>
      <c r="R15" s="43">
        <v>5</v>
      </c>
      <c r="S15" s="43">
        <v>5</v>
      </c>
      <c r="T15" s="43">
        <v>5</v>
      </c>
      <c r="U15" s="43">
        <v>5</v>
      </c>
      <c r="V15" s="51">
        <f>SUM(Tableau3[[#This Row],[31/01/2015]:[31/12/2015]])</f>
        <v>82</v>
      </c>
    </row>
    <row r="16" spans="1:22" x14ac:dyDescent="0.25">
      <c r="A16" s="38" t="s">
        <v>60</v>
      </c>
      <c r="B16" s="58" t="str">
        <f>VLOOKUP($A16,LIBELLE!$A:$B,2,FALSE)</f>
        <v>MIDLUM_PREMIUM</v>
      </c>
      <c r="C16" s="58" t="str">
        <f>VLOOKUP($A16,LIBELLE!A:D,4,FALSE)</f>
        <v>VDP</v>
      </c>
      <c r="D16" s="58" t="str">
        <f>VLOOKUP($A16,LIBELLE!A:F,6,FALSE)</f>
        <v>NA</v>
      </c>
      <c r="E16" s="58" t="str">
        <f>VLOOKUP($A16,LIBELLE!$A:$C,3,FALSE)</f>
        <v>GTIES</v>
      </c>
      <c r="F16" s="58" t="str">
        <f>IF($G16="Acompte","Acompte",VLOOKUP($A16,LIBELLE!A:E,5,FALSE))</f>
        <v>Prév</v>
      </c>
      <c r="G16" s="58" t="s">
        <v>82</v>
      </c>
      <c r="H16" s="59" t="str">
        <f>IF(ISNA(VLOOKUP($G16,DIVERS!$M$1:$N$15,2,FALSE)),"",VLOOKUP($G16,DIVERS!$M$1:$N$15,2,FALSE))</f>
        <v>Qté MO SRS</v>
      </c>
      <c r="I16" s="27"/>
      <c r="J16" s="65">
        <v>20.85</v>
      </c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52">
        <f>SUM(Tableau3[[#This Row],[31/01/2015]:[31/12/2015]])</f>
        <v>20.85</v>
      </c>
    </row>
    <row r="17" spans="1:22" x14ac:dyDescent="0.25">
      <c r="A17" s="37" t="s">
        <v>60</v>
      </c>
      <c r="B17" s="58" t="str">
        <f>VLOOKUP($A17,LIBELLE!$A:$B,2,FALSE)</f>
        <v>MIDLUM_PREMIUM</v>
      </c>
      <c r="C17" s="58" t="str">
        <f>VLOOKUP($A17,LIBELLE!A:D,4,FALSE)</f>
        <v>VDP</v>
      </c>
      <c r="D17" s="58" t="str">
        <f>VLOOKUP($A17,LIBELLE!A:F,6,FALSE)</f>
        <v>NA</v>
      </c>
      <c r="E17" s="58" t="str">
        <f>VLOOKUP($A17,LIBELLE!$A:$C,3,FALSE)</f>
        <v>GTIES</v>
      </c>
      <c r="F17" s="58" t="str">
        <f>IF($G17="Acompte","Acompte",VLOOKUP($A17,LIBELLE!A:E,5,FALSE))</f>
        <v>Prév</v>
      </c>
      <c r="G17" s="58" t="s">
        <v>7</v>
      </c>
      <c r="H17" s="59">
        <f>IF(ISNA(VLOOKUP($G17,DIVERS!$M$1:$N$15,2,FALSE)),"",VLOOKUP($G17,DIVERS!$M$1:$N$15,2,FALSE))</f>
        <v>0</v>
      </c>
      <c r="I17" s="27"/>
      <c r="J17" s="53">
        <f t="shared" ref="J17:U17" si="2">J15*TxGTIE+J16*TxSRS</f>
        <v>-2846.2859298011163</v>
      </c>
      <c r="K17" s="53">
        <f t="shared" si="2"/>
        <v>-374.15729166666665</v>
      </c>
      <c r="L17" s="53">
        <f t="shared" si="2"/>
        <v>-374.15729166666665</v>
      </c>
      <c r="M17" s="53">
        <f t="shared" si="2"/>
        <v>-374.15729166666665</v>
      </c>
      <c r="N17" s="53">
        <f t="shared" si="2"/>
        <v>-374.15729166666665</v>
      </c>
      <c r="O17" s="53">
        <f t="shared" si="2"/>
        <v>-374.15729166666665</v>
      </c>
      <c r="P17" s="53">
        <f t="shared" si="2"/>
        <v>-374.15729166666665</v>
      </c>
      <c r="Q17" s="53">
        <f t="shared" si="2"/>
        <v>-374.15729166666665</v>
      </c>
      <c r="R17" s="53">
        <f t="shared" si="2"/>
        <v>-374.15729166666665</v>
      </c>
      <c r="S17" s="53">
        <f t="shared" si="2"/>
        <v>-374.15729166666665</v>
      </c>
      <c r="T17" s="53">
        <f t="shared" si="2"/>
        <v>-374.15729166666665</v>
      </c>
      <c r="U17" s="53">
        <f t="shared" si="2"/>
        <v>-374.15729166666665</v>
      </c>
      <c r="V17" s="51">
        <f>SUM(Tableau3[[#This Row],[31/01/2015]:[31/12/2015]])</f>
        <v>-6962.0161381344469</v>
      </c>
    </row>
    <row r="18" spans="1:22" x14ac:dyDescent="0.25">
      <c r="A18" s="37" t="s">
        <v>60</v>
      </c>
      <c r="B18" s="58" t="str">
        <f>VLOOKUP($A18,LIBELLE!$A:$B,2,FALSE)</f>
        <v>MIDLUM_PREMIUM</v>
      </c>
      <c r="C18" s="58" t="str">
        <f>VLOOKUP($A18,LIBELLE!A:D,4,FALSE)</f>
        <v>VDP</v>
      </c>
      <c r="D18" s="58" t="str">
        <f>VLOOKUP($A18,LIBELLE!A:F,6,FALSE)</f>
        <v>NA</v>
      </c>
      <c r="E18" s="58" t="str">
        <f>VLOOKUP($A18,LIBELLE!$A:$C,3,FALSE)</f>
        <v>GTIES</v>
      </c>
      <c r="F18" s="58" t="str">
        <f>IF($G18="Acompte","Acompte",VLOOKUP($A18,LIBELLE!A:E,5,FALSE))</f>
        <v>Prév</v>
      </c>
      <c r="G18" s="58" t="s">
        <v>8</v>
      </c>
      <c r="H18" s="59" t="str">
        <f>IF(ISNA(VLOOKUP($G18,DIVERS!$M$1:$N$15,2,FALSE)),"",VLOOKUP($G18,DIVERS!$M$1:$N$15,2,FALSE))</f>
        <v/>
      </c>
      <c r="I18" s="27"/>
      <c r="J18" s="53">
        <f>SUMIF($G11:$G17,"=CA",J11:J17)*DIVERS!$B$13</f>
        <v>0</v>
      </c>
      <c r="K18" s="53">
        <f>SUMIF($G11:$G17,"=CA",K11:K17)*DIVERS!$B$13</f>
        <v>0</v>
      </c>
      <c r="L18" s="53">
        <f>SUMIF($G11:$G17,"=CA",L11:L17)*DIVERS!$B$13</f>
        <v>0</v>
      </c>
      <c r="M18" s="53">
        <f>SUMIF($G11:$G17,"=CA",M11:M17)*DIVERS!$B$13</f>
        <v>0</v>
      </c>
      <c r="N18" s="53">
        <f>SUMIF($G11:$G17,"=CA",N11:N17)*DIVERS!$B$13</f>
        <v>0</v>
      </c>
      <c r="O18" s="53">
        <f>SUMIF($G11:$G17,"=CA",O11:O17)*DIVERS!$B$13</f>
        <v>0</v>
      </c>
      <c r="P18" s="53">
        <f>SUMIF($G11:$G17,"=CA",P11:P17)*DIVERS!$B$13</f>
        <v>0</v>
      </c>
      <c r="Q18" s="53">
        <f>SUMIF($G11:$G17,"=CA",Q11:Q17)*DIVERS!$B$13</f>
        <v>0</v>
      </c>
      <c r="R18" s="53">
        <f>SUMIF($G11:$G17,"=CA",R11:R17)*DIVERS!$B$13</f>
        <v>0</v>
      </c>
      <c r="S18" s="53">
        <f>SUMIF($G11:$G17,"=CA",S11:S17)*DIVERS!$B$13</f>
        <v>0</v>
      </c>
      <c r="T18" s="53">
        <f>SUMIF($G11:$G17,"=CA",T11:T17)*DIVERS!$B$13</f>
        <v>0</v>
      </c>
      <c r="U18" s="53">
        <f>SUMIF($G11:$G17,"=CA",U11:U17)*DIVERS!$B$13</f>
        <v>0</v>
      </c>
      <c r="V18" s="52">
        <f>SUM(Tableau3[[#This Row],[31/01/2015]:[31/12/2015]])</f>
        <v>0</v>
      </c>
    </row>
    <row r="19" spans="1:22" ht="15.75" thickBot="1" x14ac:dyDescent="0.3">
      <c r="A19" s="39" t="s">
        <v>60</v>
      </c>
      <c r="B19" s="60" t="str">
        <f>VLOOKUP($A19,LIBELLE!$A:$B,2,FALSE)</f>
        <v>MIDLUM_PREMIUM</v>
      </c>
      <c r="C19" s="60" t="str">
        <f>VLOOKUP($A19,LIBELLE!A:D,4,FALSE)</f>
        <v>VDP</v>
      </c>
      <c r="D19" s="60" t="str">
        <f>VLOOKUP($A19,LIBELLE!A:F,6,FALSE)</f>
        <v>NA</v>
      </c>
      <c r="E19" s="60" t="str">
        <f>VLOOKUP($A19,LIBELLE!$A:$C,3,FALSE)</f>
        <v>GTIES</v>
      </c>
      <c r="F19" s="60" t="str">
        <f>IF($G19="Acompte","Acompte",VLOOKUP($A19,LIBELLE!A:E,5,FALSE))</f>
        <v>Prév</v>
      </c>
      <c r="G19" s="60" t="s">
        <v>48</v>
      </c>
      <c r="H19" s="61" t="str">
        <f>IF(ISNA(VLOOKUP($G19,DIVERS!$M$1:$N$15,2,FALSE)),"",VLOOKUP($G19,DIVERS!$M$1:$N$15,2,FALSE))</f>
        <v/>
      </c>
      <c r="I19" s="32"/>
      <c r="J19" s="54">
        <f t="shared" ref="J19:U19" si="3">SUM(J11:J14,J17:J18)</f>
        <v>691.95407019888353</v>
      </c>
      <c r="K19" s="54">
        <f t="shared" si="3"/>
        <v>-18265.157291666666</v>
      </c>
      <c r="L19" s="54">
        <f t="shared" si="3"/>
        <v>-2574.1572916666664</v>
      </c>
      <c r="M19" s="54">
        <f t="shared" si="3"/>
        <v>-2574.1572916666664</v>
      </c>
      <c r="N19" s="54">
        <f t="shared" si="3"/>
        <v>-2574.1572916666664</v>
      </c>
      <c r="O19" s="54">
        <f t="shared" si="3"/>
        <v>-2574.1572916666664</v>
      </c>
      <c r="P19" s="54">
        <f t="shared" si="3"/>
        <v>-2574.1572916666664</v>
      </c>
      <c r="Q19" s="54">
        <f t="shared" si="3"/>
        <v>-2574.1572916666664</v>
      </c>
      <c r="R19" s="54">
        <f t="shared" si="3"/>
        <v>-2574.1572916666664</v>
      </c>
      <c r="S19" s="54">
        <f t="shared" si="3"/>
        <v>-2574.1572916666664</v>
      </c>
      <c r="T19" s="54">
        <f t="shared" si="3"/>
        <v>-2574.1572916666664</v>
      </c>
      <c r="U19" s="54">
        <f t="shared" si="3"/>
        <v>-2574.1572916666664</v>
      </c>
      <c r="V19" s="55">
        <f>SUM(Tableau3[[#This Row],[31/01/2015]:[31/12/2015]])</f>
        <v>-43314.776138134432</v>
      </c>
    </row>
    <row r="20" spans="1:22" x14ac:dyDescent="0.25">
      <c r="A20" s="36" t="s">
        <v>61</v>
      </c>
      <c r="B20" s="56" t="str">
        <f>VLOOKUP($A20,LIBELLE!$A:$B,2,FALSE)</f>
        <v>OREOS 2X_APTINEO</v>
      </c>
      <c r="C20" s="56" t="str">
        <f>VLOOKUP($A20,LIBELLE!A:D,4,FALSE)</f>
        <v>VDP</v>
      </c>
      <c r="D20" s="56" t="str">
        <f>VLOOKUP($A20,LIBELLE!A:F,6,FALSE)</f>
        <v>NA</v>
      </c>
      <c r="E20" s="56" t="str">
        <f>VLOOKUP($A20,LIBELLE!$A:$C,3,FALSE)</f>
        <v>GTIES</v>
      </c>
      <c r="F20" s="56" t="str">
        <f>IF($G20="Acompte","Acompte",VLOOKUP($A20,LIBELLE!A:E,5,FALSE))</f>
        <v>Prév</v>
      </c>
      <c r="G20" s="56" t="s">
        <v>28</v>
      </c>
      <c r="H20" s="57" t="str">
        <f>IF(ISNA(VLOOKUP($G20,DIVERS!$M$1:$N$15,2,FALSE)),"",VLOOKUP($G20,DIVERS!$M$1:$N$15,2,FALSE))</f>
        <v>Tot VTE</v>
      </c>
      <c r="I20" s="27"/>
      <c r="J20" s="46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50">
        <f>SUM(Tableau3[[#This Row],[31/01/2015]:[31/12/2015]])</f>
        <v>0</v>
      </c>
    </row>
    <row r="21" spans="1:22" x14ac:dyDescent="0.25">
      <c r="A21" s="38" t="s">
        <v>61</v>
      </c>
      <c r="B21" s="58" t="str">
        <f>VLOOKUP($A21,LIBELLE!$A:$B,2,FALSE)</f>
        <v>OREOS 2X_APTINEO</v>
      </c>
      <c r="C21" s="58" t="str">
        <f>VLOOKUP($A21,LIBELLE!A:D,4,FALSE)</f>
        <v>VDP</v>
      </c>
      <c r="D21" s="58" t="str">
        <f>VLOOKUP($A21,LIBELLE!A:F,6,FALSE)</f>
        <v>NA</v>
      </c>
      <c r="E21" s="58" t="str">
        <f>VLOOKUP($A21,LIBELLE!$A:$C,3,FALSE)</f>
        <v>GTIES</v>
      </c>
      <c r="F21" s="58" t="str">
        <f>IF($G21="Acompte","Acompte",VLOOKUP($A21,LIBELLE!A:E,5,FALSE))</f>
        <v>Prév</v>
      </c>
      <c r="G21" s="58" t="s">
        <v>29</v>
      </c>
      <c r="H21" s="59" t="str">
        <f>IF(ISNA(VLOOKUP($G21,DIVERS!$M$1:$N$15,2,FALSE)),"",VLOOKUP($G21,DIVERS!$M$1:$N$15,2,FALSE))</f>
        <v>€TEC FERRRO-R&amp;D</v>
      </c>
      <c r="I21" s="27"/>
      <c r="J21" s="46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52">
        <f>SUM(Tableau3[[#This Row],[31/01/2015]:[31/12/2015]])</f>
        <v>0</v>
      </c>
    </row>
    <row r="22" spans="1:22" x14ac:dyDescent="0.25">
      <c r="A22" s="38" t="s">
        <v>61</v>
      </c>
      <c r="B22" s="58" t="str">
        <f>VLOOKUP($A22,LIBELLE!$A:$B,2,FALSE)</f>
        <v>OREOS 2X_APTINEO</v>
      </c>
      <c r="C22" s="58" t="str">
        <f>VLOOKUP($A22,LIBELLE!A:D,4,FALSE)</f>
        <v>VDP</v>
      </c>
      <c r="D22" s="58" t="str">
        <f>VLOOKUP($A22,LIBELLE!A:F,6,FALSE)</f>
        <v>NA</v>
      </c>
      <c r="E22" s="58" t="str">
        <f>VLOOKUP($A22,LIBELLE!$A:$C,3,FALSE)</f>
        <v>GTIES</v>
      </c>
      <c r="F22" s="58" t="str">
        <f>IF($G22="Acompte","Acompte",VLOOKUP($A22,LIBELLE!A:E,5,FALSE))</f>
        <v>Prév</v>
      </c>
      <c r="G22" s="58" t="s">
        <v>30</v>
      </c>
      <c r="H22" s="59" t="str">
        <f>IF(ISNA(VLOOKUP($G22,DIVERS!$M$1:$N$15,2,FALSE)),"",VLOOKUP($G22,DIVERS!$M$1:$N$15,2,FALSE))</f>
        <v>€ACH ProdPVI</v>
      </c>
      <c r="I22" s="27"/>
      <c r="J22" s="46">
        <v>-1701.4</v>
      </c>
      <c r="K22" s="43">
        <v>-3503.1</v>
      </c>
      <c r="L22" s="44">
        <v>-12602.25</v>
      </c>
      <c r="M22" s="43">
        <v>-2602.25</v>
      </c>
      <c r="N22" s="43">
        <v>-2407</v>
      </c>
      <c r="O22" s="43">
        <v>-2407</v>
      </c>
      <c r="P22" s="43">
        <v>-2407</v>
      </c>
      <c r="Q22" s="43">
        <v>-2407</v>
      </c>
      <c r="R22" s="43">
        <v>-2146.75</v>
      </c>
      <c r="S22" s="43">
        <v>-2146.75</v>
      </c>
      <c r="T22" s="43">
        <v>-2146.75</v>
      </c>
      <c r="U22" s="43">
        <v>-2146.75</v>
      </c>
      <c r="V22" s="51">
        <f>SUM(Tableau3[[#This Row],[31/01/2015]:[31/12/2015]])</f>
        <v>-38624</v>
      </c>
    </row>
    <row r="23" spans="1:22" x14ac:dyDescent="0.25">
      <c r="A23" s="37" t="s">
        <v>61</v>
      </c>
      <c r="B23" s="58" t="str">
        <f>VLOOKUP($A23,LIBELLE!$A:$B,2,FALSE)</f>
        <v>OREOS 2X_APTINEO</v>
      </c>
      <c r="C23" s="58" t="str">
        <f>VLOOKUP($A23,LIBELLE!A:D,4,FALSE)</f>
        <v>VDP</v>
      </c>
      <c r="D23" s="58" t="str">
        <f>VLOOKUP($A23,LIBELLE!A:F,6,FALSE)</f>
        <v>NA</v>
      </c>
      <c r="E23" s="58" t="str">
        <f>VLOOKUP($A23,LIBELLE!$A:$C,3,FALSE)</f>
        <v>GTIES</v>
      </c>
      <c r="F23" s="58" t="str">
        <f>IF($G23="Acompte","Acompte",VLOOKUP($A23,LIBELLE!A:E,5,FALSE))</f>
        <v>Prév</v>
      </c>
      <c r="G23" s="58" t="s">
        <v>31</v>
      </c>
      <c r="H23" s="59" t="str">
        <f>IF(ISNA(VLOOKUP($G23,DIVERS!$M$1:$N$15,2,FALSE)),"",VLOOKUP($G23,DIVERS!$M$1:$N$15,2,FALSE))</f>
        <v>€ACH Sces+div</v>
      </c>
      <c r="I23" s="27"/>
      <c r="J23" s="46">
        <v>-1337.5</v>
      </c>
      <c r="K23" s="43">
        <v>-1501</v>
      </c>
      <c r="L23" s="43">
        <v>-1419.25</v>
      </c>
      <c r="M23" s="43">
        <v>-1419.25</v>
      </c>
      <c r="N23" s="43">
        <v>-1313</v>
      </c>
      <c r="O23" s="43">
        <v>-1313</v>
      </c>
      <c r="P23" s="43">
        <v>-1313</v>
      </c>
      <c r="Q23" s="43">
        <v>-1313</v>
      </c>
      <c r="R23" s="43">
        <v>-1171</v>
      </c>
      <c r="S23" s="43">
        <v>-1171</v>
      </c>
      <c r="T23" s="43">
        <v>-1171</v>
      </c>
      <c r="U23" s="43">
        <v>-1171</v>
      </c>
      <c r="V23" s="52">
        <f>SUM(Tableau3[[#This Row],[31/01/2015]:[31/12/2015]])</f>
        <v>-15613</v>
      </c>
    </row>
    <row r="24" spans="1:22" x14ac:dyDescent="0.25">
      <c r="A24" s="37" t="s">
        <v>61</v>
      </c>
      <c r="B24" s="58" t="str">
        <f>VLOOKUP($A24,LIBELLE!$A:$B,2,FALSE)</f>
        <v>OREOS 2X_APTINEO</v>
      </c>
      <c r="C24" s="58" t="str">
        <f>VLOOKUP($A24,LIBELLE!A:D,4,FALSE)</f>
        <v>VDP</v>
      </c>
      <c r="D24" s="58" t="str">
        <f>VLOOKUP($A24,LIBELLE!A:F,6,FALSE)</f>
        <v>NA</v>
      </c>
      <c r="E24" s="58" t="str">
        <f>VLOOKUP($A24,LIBELLE!$A:$C,3,FALSE)</f>
        <v>GTIES</v>
      </c>
      <c r="F24" s="58" t="str">
        <f>IF($G24="Acompte","Acompte",VLOOKUP($A24,LIBELLE!A:E,5,FALSE))</f>
        <v>Prév</v>
      </c>
      <c r="G24" s="58" t="s">
        <v>83</v>
      </c>
      <c r="H24" s="59" t="str">
        <f>IF(ISNA(VLOOKUP($G24,DIVERS!$M$1:$N$15,2,FALSE)),"",VLOOKUP($G24,DIVERS!$M$1:$N$15,2,FALSE))</f>
        <v>Qté MO GTIE</v>
      </c>
      <c r="I24" s="27"/>
      <c r="J24" s="46">
        <v>48</v>
      </c>
      <c r="K24" s="43">
        <v>128.25</v>
      </c>
      <c r="L24" s="43">
        <v>128.25</v>
      </c>
      <c r="M24" s="43">
        <v>128.25</v>
      </c>
      <c r="N24" s="43">
        <v>118.5</v>
      </c>
      <c r="O24" s="43">
        <v>118.5</v>
      </c>
      <c r="P24" s="43">
        <v>118.5</v>
      </c>
      <c r="Q24" s="43">
        <v>118.5</v>
      </c>
      <c r="R24" s="43">
        <v>150.75</v>
      </c>
      <c r="S24" s="43">
        <v>105.75</v>
      </c>
      <c r="T24" s="43">
        <v>105.75</v>
      </c>
      <c r="U24" s="43">
        <v>105.75</v>
      </c>
      <c r="V24" s="51">
        <f>SUM(Tableau3[[#This Row],[31/01/2015]:[31/12/2015]])</f>
        <v>1374.75</v>
      </c>
    </row>
    <row r="25" spans="1:22" x14ac:dyDescent="0.25">
      <c r="A25" s="38" t="s">
        <v>61</v>
      </c>
      <c r="B25" s="58" t="str">
        <f>VLOOKUP($A25,LIBELLE!$A:$B,2,FALSE)</f>
        <v>OREOS 2X_APTINEO</v>
      </c>
      <c r="C25" s="58" t="str">
        <f>VLOOKUP($A25,LIBELLE!A:D,4,FALSE)</f>
        <v>VDP</v>
      </c>
      <c r="D25" s="58" t="str">
        <f>VLOOKUP($A25,LIBELLE!A:F,6,FALSE)</f>
        <v>NA</v>
      </c>
      <c r="E25" s="58" t="str">
        <f>VLOOKUP($A25,LIBELLE!$A:$C,3,FALSE)</f>
        <v>GTIES</v>
      </c>
      <c r="F25" s="58" t="str">
        <f>IF($G25="Acompte","Acompte",VLOOKUP($A25,LIBELLE!A:E,5,FALSE))</f>
        <v>Prév</v>
      </c>
      <c r="G25" s="58" t="s">
        <v>82</v>
      </c>
      <c r="H25" s="59" t="str">
        <f>IF(ISNA(VLOOKUP($G25,DIVERS!$M$1:$N$15,2,FALSE)),"",VLOOKUP($G25,DIVERS!$M$1:$N$15,2,FALSE))</f>
        <v>Qté MO SRS</v>
      </c>
      <c r="I25" s="27"/>
      <c r="J25" s="63">
        <v>16.7</v>
      </c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52">
        <f>SUM(Tableau3[[#This Row],[31/01/2015]:[31/12/2015]])</f>
        <v>16.7</v>
      </c>
    </row>
    <row r="26" spans="1:22" x14ac:dyDescent="0.25">
      <c r="A26" s="37" t="s">
        <v>61</v>
      </c>
      <c r="B26" s="58" t="str">
        <f>VLOOKUP($A26,LIBELLE!$A:$B,2,FALSE)</f>
        <v>OREOS 2X_APTINEO</v>
      </c>
      <c r="C26" s="58" t="str">
        <f>VLOOKUP($A26,LIBELLE!A:D,4,FALSE)</f>
        <v>VDP</v>
      </c>
      <c r="D26" s="58" t="str">
        <f>VLOOKUP($A26,LIBELLE!A:F,6,FALSE)</f>
        <v>NA</v>
      </c>
      <c r="E26" s="58" t="str">
        <f>VLOOKUP($A26,LIBELLE!$A:$C,3,FALSE)</f>
        <v>GTIES</v>
      </c>
      <c r="F26" s="58" t="str">
        <f>IF($G26="Acompte","Acompte",VLOOKUP($A26,LIBELLE!A:E,5,FALSE))</f>
        <v>Prév</v>
      </c>
      <c r="G26" s="58" t="s">
        <v>7</v>
      </c>
      <c r="H26" s="59">
        <f>IF(ISNA(VLOOKUP($G26,DIVERS!$M$1:$N$15,2,FALSE)),"",VLOOKUP($G26,DIVERS!$M$1:$N$15,2,FALSE))</f>
        <v>0</v>
      </c>
      <c r="I26" s="27"/>
      <c r="J26" s="53">
        <f t="shared" ref="J26:U26" si="4">J24*TxGTIE+J25*TxSRS</f>
        <v>-4253.3714131980159</v>
      </c>
      <c r="K26" s="53">
        <f t="shared" si="4"/>
        <v>-9597.1345312499998</v>
      </c>
      <c r="L26" s="53">
        <f t="shared" si="4"/>
        <v>-9597.1345312499998</v>
      </c>
      <c r="M26" s="53">
        <f t="shared" si="4"/>
        <v>-9597.1345312499998</v>
      </c>
      <c r="N26" s="53">
        <f t="shared" si="4"/>
        <v>-8867.5278125000004</v>
      </c>
      <c r="O26" s="53">
        <f t="shared" si="4"/>
        <v>-8867.5278125000004</v>
      </c>
      <c r="P26" s="53">
        <f t="shared" si="4"/>
        <v>-8867.5278125000004</v>
      </c>
      <c r="Q26" s="53">
        <f t="shared" si="4"/>
        <v>-8867.5278125000004</v>
      </c>
      <c r="R26" s="53">
        <f t="shared" si="4"/>
        <v>-11280.842343749999</v>
      </c>
      <c r="S26" s="53">
        <f t="shared" si="4"/>
        <v>-7913.42671875</v>
      </c>
      <c r="T26" s="53">
        <f t="shared" si="4"/>
        <v>-7913.42671875</v>
      </c>
      <c r="U26" s="53">
        <f t="shared" si="4"/>
        <v>-7913.42671875</v>
      </c>
      <c r="V26" s="51">
        <f>SUM(Tableau3[[#This Row],[31/01/2015]:[31/12/2015]])</f>
        <v>-103536.00875694801</v>
      </c>
    </row>
    <row r="27" spans="1:22" x14ac:dyDescent="0.25">
      <c r="A27" s="37" t="s">
        <v>61</v>
      </c>
      <c r="B27" s="58" t="str">
        <f>VLOOKUP($A27,LIBELLE!$A:$B,2,FALSE)</f>
        <v>OREOS 2X_APTINEO</v>
      </c>
      <c r="C27" s="58" t="str">
        <f>VLOOKUP($A27,LIBELLE!A:D,4,FALSE)</f>
        <v>VDP</v>
      </c>
      <c r="D27" s="58" t="str">
        <f>VLOOKUP($A27,LIBELLE!A:F,6,FALSE)</f>
        <v>NA</v>
      </c>
      <c r="E27" s="58" t="str">
        <f>VLOOKUP($A27,LIBELLE!$A:$C,3,FALSE)</f>
        <v>GTIES</v>
      </c>
      <c r="F27" s="58" t="str">
        <f>IF($G27="Acompte","Acompte",VLOOKUP($A27,LIBELLE!A:E,5,FALSE))</f>
        <v>Prév</v>
      </c>
      <c r="G27" s="58" t="s">
        <v>8</v>
      </c>
      <c r="H27" s="59" t="str">
        <f>IF(ISNA(VLOOKUP($G27,DIVERS!$M$1:$N$15,2,FALSE)),"",VLOOKUP($G27,DIVERS!$M$1:$N$15,2,FALSE))</f>
        <v/>
      </c>
      <c r="I27" s="27"/>
      <c r="J27" s="53">
        <f>SUMIF($G20:$G26,"=CA",J20:J26)*DIVERS!$B$13</f>
        <v>0</v>
      </c>
      <c r="K27" s="53">
        <f>SUMIF($G20:$G26,"=CA",K20:K26)*DIVERS!$B$13</f>
        <v>0</v>
      </c>
      <c r="L27" s="53">
        <f>SUMIF($G20:$G26,"=CA",L20:L26)*DIVERS!$B$13</f>
        <v>0</v>
      </c>
      <c r="M27" s="53">
        <f>SUMIF($G20:$G26,"=CA",M20:M26)*DIVERS!$B$13</f>
        <v>0</v>
      </c>
      <c r="N27" s="53">
        <f>SUMIF($G20:$G26,"=CA",N20:N26)*DIVERS!$B$13</f>
        <v>0</v>
      </c>
      <c r="O27" s="53">
        <f>SUMIF($G20:$G26,"=CA",O20:O26)*DIVERS!$B$13</f>
        <v>0</v>
      </c>
      <c r="P27" s="53">
        <f>SUMIF($G20:$G26,"=CA",P20:P26)*DIVERS!$B$13</f>
        <v>0</v>
      </c>
      <c r="Q27" s="53">
        <f>SUMIF($G20:$G26,"=CA",Q20:Q26)*DIVERS!$B$13</f>
        <v>0</v>
      </c>
      <c r="R27" s="53">
        <f>SUMIF($G20:$G26,"=CA",R20:R26)*DIVERS!$B$13</f>
        <v>0</v>
      </c>
      <c r="S27" s="53">
        <f>SUMIF($G20:$G26,"=CA",S20:S26)*DIVERS!$B$13</f>
        <v>0</v>
      </c>
      <c r="T27" s="53">
        <f>SUMIF($G20:$G26,"=CA",T20:T26)*DIVERS!$B$13</f>
        <v>0</v>
      </c>
      <c r="U27" s="53">
        <f>SUMIF($G20:$G26,"=CA",U20:U26)*DIVERS!$B$13</f>
        <v>0</v>
      </c>
      <c r="V27" s="52">
        <f>SUM(Tableau3[[#This Row],[31/01/2015]:[31/12/2015]])</f>
        <v>0</v>
      </c>
    </row>
    <row r="28" spans="1:22" ht="15.75" thickBot="1" x14ac:dyDescent="0.3">
      <c r="A28" s="39" t="s">
        <v>61</v>
      </c>
      <c r="B28" s="60" t="str">
        <f>VLOOKUP($A28,LIBELLE!$A:$B,2,FALSE)</f>
        <v>OREOS 2X_APTINEO</v>
      </c>
      <c r="C28" s="60" t="str">
        <f>VLOOKUP($A28,LIBELLE!A:D,4,FALSE)</f>
        <v>VDP</v>
      </c>
      <c r="D28" s="60" t="str">
        <f>VLOOKUP($A28,LIBELLE!A:F,6,FALSE)</f>
        <v>NA</v>
      </c>
      <c r="E28" s="60" t="str">
        <f>VLOOKUP($A28,LIBELLE!$A:$C,3,FALSE)</f>
        <v>GTIES</v>
      </c>
      <c r="F28" s="60" t="str">
        <f>IF($G28="Acompte","Acompte",VLOOKUP($A28,LIBELLE!A:E,5,FALSE))</f>
        <v>Prév</v>
      </c>
      <c r="G28" s="60" t="s">
        <v>48</v>
      </c>
      <c r="H28" s="61" t="str">
        <f>IF(ISNA(VLOOKUP($G28,DIVERS!$M$1:$N$15,2,FALSE)),"",VLOOKUP($G28,DIVERS!$M$1:$N$15,2,FALSE))</f>
        <v/>
      </c>
      <c r="I28" s="32"/>
      <c r="J28" s="54">
        <f t="shared" ref="J28:U28" si="5">SUM(J20:J23,J26:J27)</f>
        <v>-7292.2714131980156</v>
      </c>
      <c r="K28" s="54">
        <f t="shared" si="5"/>
        <v>-14601.23453125</v>
      </c>
      <c r="L28" s="54">
        <f t="shared" si="5"/>
        <v>-23618.634531249998</v>
      </c>
      <c r="M28" s="54">
        <f t="shared" si="5"/>
        <v>-13618.63453125</v>
      </c>
      <c r="N28" s="54">
        <f t="shared" si="5"/>
        <v>-12587.5278125</v>
      </c>
      <c r="O28" s="54">
        <f t="shared" si="5"/>
        <v>-12587.5278125</v>
      </c>
      <c r="P28" s="54">
        <f t="shared" si="5"/>
        <v>-12587.5278125</v>
      </c>
      <c r="Q28" s="54">
        <f t="shared" si="5"/>
        <v>-12587.5278125</v>
      </c>
      <c r="R28" s="54">
        <f t="shared" si="5"/>
        <v>-14598.592343749999</v>
      </c>
      <c r="S28" s="54">
        <f t="shared" si="5"/>
        <v>-11231.176718750001</v>
      </c>
      <c r="T28" s="54">
        <f t="shared" si="5"/>
        <v>-11231.176718750001</v>
      </c>
      <c r="U28" s="54">
        <f t="shared" si="5"/>
        <v>-11231.176718750001</v>
      </c>
      <c r="V28" s="55">
        <f>SUM(Tableau3[[#This Row],[31/01/2015]:[31/12/2015]])</f>
        <v>-157773.00875694805</v>
      </c>
    </row>
    <row r="29" spans="1:22" x14ac:dyDescent="0.25">
      <c r="A29" s="36" t="s">
        <v>62</v>
      </c>
      <c r="B29" s="56" t="str">
        <f>VLOOKUP($A29,LIBELLE!$A:$B,2,FALSE)</f>
        <v>OREOS 4X</v>
      </c>
      <c r="C29" s="56" t="str">
        <f>VLOOKUP($A29,LIBELLE!A:D,4,FALSE)</f>
        <v>VDP</v>
      </c>
      <c r="D29" s="56" t="str">
        <f>VLOOKUP($A29,LIBELLE!A:F,6,FALSE)</f>
        <v>NA</v>
      </c>
      <c r="E29" s="56" t="str">
        <f>VLOOKUP($A29,LIBELLE!$A:$C,3,FALSE)</f>
        <v>GTIES</v>
      </c>
      <c r="F29" s="56" t="str">
        <f>IF($G29="Acompte","Acompte",VLOOKUP($A29,LIBELLE!A:E,5,FALSE))</f>
        <v>Prév</v>
      </c>
      <c r="G29" s="56" t="s">
        <v>28</v>
      </c>
      <c r="H29" s="57" t="str">
        <f>IF(ISNA(VLOOKUP($G29,DIVERS!$M$1:$N$15,2,FALSE)),"",VLOOKUP($G29,DIVERS!$M$1:$N$15,2,FALSE))</f>
        <v>Tot VTE</v>
      </c>
      <c r="I29" s="27"/>
      <c r="J29" s="46">
        <v>0</v>
      </c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50">
        <f>SUM(Tableau3[[#This Row],[31/01/2015]:[31/12/2015]])</f>
        <v>0</v>
      </c>
    </row>
    <row r="30" spans="1:22" x14ac:dyDescent="0.25">
      <c r="A30" s="38" t="s">
        <v>62</v>
      </c>
      <c r="B30" s="58" t="str">
        <f>VLOOKUP($A30,LIBELLE!$A:$B,2,FALSE)</f>
        <v>OREOS 4X</v>
      </c>
      <c r="C30" s="58" t="str">
        <f>VLOOKUP($A30,LIBELLE!A:D,4,FALSE)</f>
        <v>VDP</v>
      </c>
      <c r="D30" s="58" t="str">
        <f>VLOOKUP($A30,LIBELLE!A:F,6,FALSE)</f>
        <v>NA</v>
      </c>
      <c r="E30" s="58" t="str">
        <f>VLOOKUP($A30,LIBELLE!$A:$C,3,FALSE)</f>
        <v>GTIES</v>
      </c>
      <c r="F30" s="58" t="str">
        <f>IF($G30="Acompte","Acompte",VLOOKUP($A30,LIBELLE!A:E,5,FALSE))</f>
        <v>Prév</v>
      </c>
      <c r="G30" s="58" t="s">
        <v>29</v>
      </c>
      <c r="H30" s="59" t="str">
        <f>IF(ISNA(VLOOKUP($G30,DIVERS!$M$1:$N$15,2,FALSE)),"",VLOOKUP($G30,DIVERS!$M$1:$N$15,2,FALSE))</f>
        <v>€TEC FERRRO-R&amp;D</v>
      </c>
      <c r="I30" s="27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52">
        <f>SUM(Tableau3[[#This Row],[31/01/2015]:[31/12/2015]])</f>
        <v>0</v>
      </c>
    </row>
    <row r="31" spans="1:22" x14ac:dyDescent="0.25">
      <c r="A31" s="38" t="s">
        <v>62</v>
      </c>
      <c r="B31" s="58" t="str">
        <f>VLOOKUP($A31,LIBELLE!$A:$B,2,FALSE)</f>
        <v>OREOS 4X</v>
      </c>
      <c r="C31" s="58" t="str">
        <f>VLOOKUP($A31,LIBELLE!A:D,4,FALSE)</f>
        <v>VDP</v>
      </c>
      <c r="D31" s="58" t="str">
        <f>VLOOKUP($A31,LIBELLE!A:F,6,FALSE)</f>
        <v>NA</v>
      </c>
      <c r="E31" s="58" t="str">
        <f>VLOOKUP($A31,LIBELLE!$A:$C,3,FALSE)</f>
        <v>GTIES</v>
      </c>
      <c r="F31" s="58" t="str">
        <f>IF($G31="Acompte","Acompte",VLOOKUP($A31,LIBELLE!A:E,5,FALSE))</f>
        <v>Prév</v>
      </c>
      <c r="G31" s="58" t="s">
        <v>30</v>
      </c>
      <c r="H31" s="59" t="str">
        <f>IF(ISNA(VLOOKUP($G31,DIVERS!$M$1:$N$15,2,FALSE)),"",VLOOKUP($G31,DIVERS!$M$1:$N$15,2,FALSE))</f>
        <v>€ACH ProdPVI</v>
      </c>
      <c r="I31" s="27"/>
      <c r="J31" s="66">
        <v>-158</v>
      </c>
      <c r="K31" s="43">
        <v>-3122.7</v>
      </c>
      <c r="L31" s="43">
        <v>-3122.7</v>
      </c>
      <c r="M31" s="43">
        <v>-3122.7</v>
      </c>
      <c r="N31" s="43">
        <v>-2888.4</v>
      </c>
      <c r="O31" s="43">
        <v>-2888.4</v>
      </c>
      <c r="P31" s="43">
        <v>-2888.4</v>
      </c>
      <c r="Q31" s="43">
        <v>-2888.4</v>
      </c>
      <c r="R31" s="43">
        <v>-2576.1</v>
      </c>
      <c r="S31" s="43">
        <v>-2576.1</v>
      </c>
      <c r="T31" s="43">
        <v>-2576.1</v>
      </c>
      <c r="U31" s="43">
        <v>-2576.1</v>
      </c>
      <c r="V31" s="51">
        <f>SUM(Tableau3[[#This Row],[31/01/2015]:[31/12/2015]])</f>
        <v>-31384.099999999995</v>
      </c>
    </row>
    <row r="32" spans="1:22" x14ac:dyDescent="0.25">
      <c r="A32" s="37" t="s">
        <v>62</v>
      </c>
      <c r="B32" s="58" t="str">
        <f>VLOOKUP($A32,LIBELLE!$A:$B,2,FALSE)</f>
        <v>OREOS 4X</v>
      </c>
      <c r="C32" s="58" t="str">
        <f>VLOOKUP($A32,LIBELLE!A:D,4,FALSE)</f>
        <v>VDP</v>
      </c>
      <c r="D32" s="58" t="str">
        <f>VLOOKUP($A32,LIBELLE!A:F,6,FALSE)</f>
        <v>NA</v>
      </c>
      <c r="E32" s="58" t="str">
        <f>VLOOKUP($A32,LIBELLE!$A:$C,3,FALSE)</f>
        <v>GTIES</v>
      </c>
      <c r="F32" s="58" t="str">
        <f>IF($G32="Acompte","Acompte",VLOOKUP($A32,LIBELLE!A:E,5,FALSE))</f>
        <v>Prév</v>
      </c>
      <c r="G32" s="58" t="s">
        <v>31</v>
      </c>
      <c r="H32" s="59" t="str">
        <f>IF(ISNA(VLOOKUP($G32,DIVERS!$M$1:$N$15,2,FALSE)),"",VLOOKUP($G32,DIVERS!$M$1:$N$15,2,FALSE))</f>
        <v>€ACH Sces+div</v>
      </c>
      <c r="I32" s="27"/>
      <c r="J32" s="66"/>
      <c r="K32" s="43">
        <v>-1703.1</v>
      </c>
      <c r="L32" s="43">
        <v>-1703.1</v>
      </c>
      <c r="M32" s="43">
        <v>-1703.1</v>
      </c>
      <c r="N32" s="43">
        <v>-1575.6</v>
      </c>
      <c r="O32" s="43">
        <v>-1575.6</v>
      </c>
      <c r="P32" s="43">
        <v>-1575.6</v>
      </c>
      <c r="Q32" s="43">
        <v>-1575.6</v>
      </c>
      <c r="R32" s="43">
        <v>-1405.2</v>
      </c>
      <c r="S32" s="43">
        <v>-1405.2</v>
      </c>
      <c r="T32" s="43">
        <v>-1405.2</v>
      </c>
      <c r="U32" s="43">
        <v>-1405.2</v>
      </c>
      <c r="V32" s="52">
        <f>SUM(Tableau3[[#This Row],[31/01/2015]:[31/12/2015]])</f>
        <v>-17032.500000000004</v>
      </c>
    </row>
    <row r="33" spans="1:22" x14ac:dyDescent="0.25">
      <c r="A33" s="37" t="s">
        <v>62</v>
      </c>
      <c r="B33" s="58" t="str">
        <f>VLOOKUP($A33,LIBELLE!$A:$B,2,FALSE)</f>
        <v>OREOS 4X</v>
      </c>
      <c r="C33" s="58" t="str">
        <f>VLOOKUP($A33,LIBELLE!A:D,4,FALSE)</f>
        <v>VDP</v>
      </c>
      <c r="D33" s="58" t="str">
        <f>VLOOKUP($A33,LIBELLE!A:F,6,FALSE)</f>
        <v>NA</v>
      </c>
      <c r="E33" s="58" t="str">
        <f>VLOOKUP($A33,LIBELLE!$A:$C,3,FALSE)</f>
        <v>GTIES</v>
      </c>
      <c r="F33" s="58" t="str">
        <f>IF($G33="Acompte","Acompte",VLOOKUP($A33,LIBELLE!A:E,5,FALSE))</f>
        <v>Prév</v>
      </c>
      <c r="G33" s="58" t="s">
        <v>83</v>
      </c>
      <c r="H33" s="59" t="str">
        <f>IF(ISNA(VLOOKUP($G33,DIVERS!$M$1:$N$15,2,FALSE)),"",VLOOKUP($G33,DIVERS!$M$1:$N$15,2,FALSE))</f>
        <v>Qté MO GTIE</v>
      </c>
      <c r="I33" s="27"/>
      <c r="J33" s="66"/>
      <c r="K33" s="43">
        <v>153.9</v>
      </c>
      <c r="L33" s="43">
        <v>153.9</v>
      </c>
      <c r="M33" s="43">
        <v>153.9</v>
      </c>
      <c r="N33" s="43">
        <v>142.19999999999999</v>
      </c>
      <c r="O33" s="43">
        <v>142.19999999999999</v>
      </c>
      <c r="P33" s="43">
        <v>142.19999999999999</v>
      </c>
      <c r="Q33" s="43">
        <v>142.19999999999999</v>
      </c>
      <c r="R33" s="43">
        <v>126.89999999999999</v>
      </c>
      <c r="S33" s="43">
        <v>126.89999999999999</v>
      </c>
      <c r="T33" s="43">
        <v>126.89999999999999</v>
      </c>
      <c r="U33" s="43">
        <v>126.89999999999999</v>
      </c>
      <c r="V33" s="51">
        <f>SUM(Tableau3[[#This Row],[31/01/2015]:[31/12/2015]])</f>
        <v>1538.1000000000006</v>
      </c>
    </row>
    <row r="34" spans="1:22" x14ac:dyDescent="0.25">
      <c r="A34" s="38" t="s">
        <v>62</v>
      </c>
      <c r="B34" s="58" t="str">
        <f>VLOOKUP($A34,LIBELLE!$A:$B,2,FALSE)</f>
        <v>OREOS 4X</v>
      </c>
      <c r="C34" s="58" t="str">
        <f>VLOOKUP($A34,LIBELLE!A:D,4,FALSE)</f>
        <v>VDP</v>
      </c>
      <c r="D34" s="58" t="str">
        <f>VLOOKUP($A34,LIBELLE!A:F,6,FALSE)</f>
        <v>NA</v>
      </c>
      <c r="E34" s="58" t="str">
        <f>VLOOKUP($A34,LIBELLE!$A:$C,3,FALSE)</f>
        <v>GTIES</v>
      </c>
      <c r="F34" s="58" t="str">
        <f>IF($G34="Acompte","Acompte",VLOOKUP($A34,LIBELLE!A:E,5,FALSE))</f>
        <v>Prév</v>
      </c>
      <c r="G34" s="58" t="s">
        <v>82</v>
      </c>
      <c r="H34" s="59" t="str">
        <f>IF(ISNA(VLOOKUP($G34,DIVERS!$M$1:$N$15,2,FALSE)),"",VLOOKUP($G34,DIVERS!$M$1:$N$15,2,FALSE))</f>
        <v>Qté MO SRS</v>
      </c>
      <c r="I34" s="27"/>
      <c r="J34" s="67">
        <v>6</v>
      </c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52">
        <f>SUM(Tableau3[[#This Row],[31/01/2015]:[31/12/2015]])</f>
        <v>6</v>
      </c>
    </row>
    <row r="35" spans="1:22" x14ac:dyDescent="0.25">
      <c r="A35" s="37" t="s">
        <v>62</v>
      </c>
      <c r="B35" s="58" t="str">
        <f>VLOOKUP($A35,LIBELLE!$A:$B,2,FALSE)</f>
        <v>OREOS 4X</v>
      </c>
      <c r="C35" s="58" t="str">
        <f>VLOOKUP($A35,LIBELLE!A:D,4,FALSE)</f>
        <v>VDP</v>
      </c>
      <c r="D35" s="58" t="str">
        <f>VLOOKUP($A35,LIBELLE!A:F,6,FALSE)</f>
        <v>NA</v>
      </c>
      <c r="E35" s="58" t="str">
        <f>VLOOKUP($A35,LIBELLE!$A:$C,3,FALSE)</f>
        <v>GTIES</v>
      </c>
      <c r="F35" s="58" t="str">
        <f>IF($G35="Acompte","Acompte",VLOOKUP($A35,LIBELLE!A:E,5,FALSE))</f>
        <v>Prév</v>
      </c>
      <c r="G35" s="58" t="s">
        <v>7</v>
      </c>
      <c r="H35" s="59">
        <f>IF(ISNA(VLOOKUP($G35,DIVERS!$M$1:$N$15,2,FALSE)),"",VLOOKUP($G35,DIVERS!$M$1:$N$15,2,FALSE))</f>
        <v>0</v>
      </c>
      <c r="I35" s="27"/>
      <c r="J35" s="53">
        <f t="shared" ref="J35:U35" si="6">J33*TxGTIE+J34*TxSRS</f>
        <v>-237.65080713701187</v>
      </c>
      <c r="K35" s="53">
        <f t="shared" si="6"/>
        <v>-11516.5614375</v>
      </c>
      <c r="L35" s="53">
        <f t="shared" si="6"/>
        <v>-11516.5614375</v>
      </c>
      <c r="M35" s="53">
        <f t="shared" si="6"/>
        <v>-11516.5614375</v>
      </c>
      <c r="N35" s="53">
        <f t="shared" si="6"/>
        <v>-10641.033374999999</v>
      </c>
      <c r="O35" s="53">
        <f t="shared" si="6"/>
        <v>-10641.033374999999</v>
      </c>
      <c r="P35" s="53">
        <f t="shared" si="6"/>
        <v>-10641.033374999999</v>
      </c>
      <c r="Q35" s="53">
        <f t="shared" si="6"/>
        <v>-10641.033374999999</v>
      </c>
      <c r="R35" s="53">
        <f t="shared" si="6"/>
        <v>-9496.1120624999985</v>
      </c>
      <c r="S35" s="53">
        <f t="shared" si="6"/>
        <v>-9496.1120624999985</v>
      </c>
      <c r="T35" s="53">
        <f t="shared" si="6"/>
        <v>-9496.1120624999985</v>
      </c>
      <c r="U35" s="53">
        <f t="shared" si="6"/>
        <v>-9496.1120624999985</v>
      </c>
      <c r="V35" s="51">
        <f>SUM(Tableau3[[#This Row],[31/01/2015]:[31/12/2015]])</f>
        <v>-115335.91686963703</v>
      </c>
    </row>
    <row r="36" spans="1:22" x14ac:dyDescent="0.25">
      <c r="A36" s="37" t="s">
        <v>62</v>
      </c>
      <c r="B36" s="58" t="str">
        <f>VLOOKUP($A36,LIBELLE!$A:$B,2,FALSE)</f>
        <v>OREOS 4X</v>
      </c>
      <c r="C36" s="58" t="str">
        <f>VLOOKUP($A36,LIBELLE!A:D,4,FALSE)</f>
        <v>VDP</v>
      </c>
      <c r="D36" s="58" t="str">
        <f>VLOOKUP($A36,LIBELLE!A:F,6,FALSE)</f>
        <v>NA</v>
      </c>
      <c r="E36" s="58" t="str">
        <f>VLOOKUP($A36,LIBELLE!$A:$C,3,FALSE)</f>
        <v>GTIES</v>
      </c>
      <c r="F36" s="58" t="str">
        <f>IF($G36="Acompte","Acompte",VLOOKUP($A36,LIBELLE!A:E,5,FALSE))</f>
        <v>Prév</v>
      </c>
      <c r="G36" s="58" t="s">
        <v>8</v>
      </c>
      <c r="H36" s="59" t="str">
        <f>IF(ISNA(VLOOKUP($G36,DIVERS!$M$1:$N$15,2,FALSE)),"",VLOOKUP($G36,DIVERS!$M$1:$N$15,2,FALSE))</f>
        <v/>
      </c>
      <c r="I36" s="27"/>
      <c r="J36" s="53">
        <f>SUMIF($G29:$G35,"=CA",J29:J35)*DIVERS!$B$13</f>
        <v>0</v>
      </c>
      <c r="K36" s="53">
        <f>SUMIF($G29:$G35,"=CA",K29:K35)*DIVERS!$B$13</f>
        <v>0</v>
      </c>
      <c r="L36" s="53">
        <f>SUMIF($G29:$G35,"=CA",L29:L35)*DIVERS!$B$13</f>
        <v>0</v>
      </c>
      <c r="M36" s="53">
        <f>SUMIF($G29:$G35,"=CA",M29:M35)*DIVERS!$B$13</f>
        <v>0</v>
      </c>
      <c r="N36" s="53">
        <f>SUMIF($G29:$G35,"=CA",N29:N35)*DIVERS!$B$13</f>
        <v>0</v>
      </c>
      <c r="O36" s="53">
        <f>SUMIF($G29:$G35,"=CA",O29:O35)*DIVERS!$B$13</f>
        <v>0</v>
      </c>
      <c r="P36" s="53">
        <f>SUMIF($G29:$G35,"=CA",P29:P35)*DIVERS!$B$13</f>
        <v>0</v>
      </c>
      <c r="Q36" s="53">
        <f>SUMIF($G29:$G35,"=CA",Q29:Q35)*DIVERS!$B$13</f>
        <v>0</v>
      </c>
      <c r="R36" s="53">
        <f>SUMIF($G29:$G35,"=CA",R29:R35)*DIVERS!$B$13</f>
        <v>0</v>
      </c>
      <c r="S36" s="53">
        <f>SUMIF($G29:$G35,"=CA",S29:S35)*DIVERS!$B$13</f>
        <v>0</v>
      </c>
      <c r="T36" s="53">
        <f>SUMIF($G29:$G35,"=CA",T29:T35)*DIVERS!$B$13</f>
        <v>0</v>
      </c>
      <c r="U36" s="53">
        <f>SUMIF($G29:$G35,"=CA",U29:U35)*DIVERS!$B$13</f>
        <v>0</v>
      </c>
      <c r="V36" s="52">
        <f>SUM(Tableau3[[#This Row],[31/01/2015]:[31/12/2015]])</f>
        <v>0</v>
      </c>
    </row>
    <row r="37" spans="1:22" ht="15.75" thickBot="1" x14ac:dyDescent="0.3">
      <c r="A37" s="39" t="s">
        <v>62</v>
      </c>
      <c r="B37" s="60" t="str">
        <f>VLOOKUP($A37,LIBELLE!$A:$B,2,FALSE)</f>
        <v>OREOS 4X</v>
      </c>
      <c r="C37" s="60" t="str">
        <f>VLOOKUP($A37,LIBELLE!A:D,4,FALSE)</f>
        <v>VDP</v>
      </c>
      <c r="D37" s="60" t="str">
        <f>VLOOKUP($A37,LIBELLE!A:F,6,FALSE)</f>
        <v>NA</v>
      </c>
      <c r="E37" s="60" t="str">
        <f>VLOOKUP($A37,LIBELLE!$A:$C,3,FALSE)</f>
        <v>GTIES</v>
      </c>
      <c r="F37" s="60" t="str">
        <f>IF($G37="Acompte","Acompte",VLOOKUP($A37,LIBELLE!A:E,5,FALSE))</f>
        <v>Prév</v>
      </c>
      <c r="G37" s="60" t="s">
        <v>48</v>
      </c>
      <c r="H37" s="61" t="str">
        <f>IF(ISNA(VLOOKUP($G37,DIVERS!$M$1:$N$15,2,FALSE)),"",VLOOKUP($G37,DIVERS!$M$1:$N$15,2,FALSE))</f>
        <v/>
      </c>
      <c r="I37" s="32"/>
      <c r="J37" s="54">
        <f t="shared" ref="J37:U37" si="7">SUM(J29:J32,J35:J36)</f>
        <v>-395.65080713701184</v>
      </c>
      <c r="K37" s="54">
        <f t="shared" si="7"/>
        <v>-16342.3614375</v>
      </c>
      <c r="L37" s="54">
        <f t="shared" si="7"/>
        <v>-16342.3614375</v>
      </c>
      <c r="M37" s="54">
        <f t="shared" si="7"/>
        <v>-16342.3614375</v>
      </c>
      <c r="N37" s="54">
        <f t="shared" si="7"/>
        <v>-15105.033374999999</v>
      </c>
      <c r="O37" s="54">
        <f t="shared" si="7"/>
        <v>-15105.033374999999</v>
      </c>
      <c r="P37" s="54">
        <f t="shared" si="7"/>
        <v>-15105.033374999999</v>
      </c>
      <c r="Q37" s="54">
        <f t="shared" si="7"/>
        <v>-15105.033374999999</v>
      </c>
      <c r="R37" s="54">
        <f t="shared" si="7"/>
        <v>-13477.4120625</v>
      </c>
      <c r="S37" s="54">
        <f t="shared" si="7"/>
        <v>-13477.4120625</v>
      </c>
      <c r="T37" s="54">
        <f t="shared" si="7"/>
        <v>-13477.4120625</v>
      </c>
      <c r="U37" s="54">
        <f t="shared" si="7"/>
        <v>-13477.4120625</v>
      </c>
      <c r="V37" s="55">
        <f>SUM(Tableau3[[#This Row],[31/01/2015]:[31/12/2015]])</f>
        <v>-163752.51686963698</v>
      </c>
    </row>
    <row r="38" spans="1:22" x14ac:dyDescent="0.25">
      <c r="A38" s="36" t="s">
        <v>63</v>
      </c>
      <c r="B38" s="56" t="str">
        <f>VLOOKUP($A38,LIBELLE!$A:$B,2,FALSE)</f>
        <v>MAXITY</v>
      </c>
      <c r="C38" s="56" t="str">
        <f>VLOOKUP($A38,LIBELLE!A:D,4,FALSE)</f>
        <v>VDP</v>
      </c>
      <c r="D38" s="56" t="str">
        <f>VLOOKUP($A38,LIBELLE!A:F,6,FALSE)</f>
        <v>NA</v>
      </c>
      <c r="E38" s="56" t="str">
        <f>VLOOKUP($A38,LIBELLE!$A:$C,3,FALSE)</f>
        <v>GTIES</v>
      </c>
      <c r="F38" s="56" t="str">
        <f>IF($G38="Acompte","Acompte",VLOOKUP($A38,LIBELLE!A:E,5,FALSE))</f>
        <v>Prév</v>
      </c>
      <c r="G38" s="56" t="s">
        <v>28</v>
      </c>
      <c r="H38" s="57" t="str">
        <f>IF(ISNA(VLOOKUP($G38,DIVERS!$M$1:$N$15,2,FALSE)),"",VLOOKUP($G38,DIVERS!$M$1:$N$15,2,FALSE))</f>
        <v>Tot VTE</v>
      </c>
      <c r="I38" s="27"/>
      <c r="J38" s="46">
        <v>0</v>
      </c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50">
        <f>SUM(Tableau3[[#This Row],[31/01/2015]:[31/12/2015]])</f>
        <v>0</v>
      </c>
    </row>
    <row r="39" spans="1:22" x14ac:dyDescent="0.25">
      <c r="A39" s="38" t="s">
        <v>63</v>
      </c>
      <c r="B39" s="58" t="str">
        <f>VLOOKUP($A39,LIBELLE!$A:$B,2,FALSE)</f>
        <v>MAXITY</v>
      </c>
      <c r="C39" s="58" t="str">
        <f>VLOOKUP($A39,LIBELLE!A:D,4,FALSE)</f>
        <v>VDP</v>
      </c>
      <c r="D39" s="58" t="str">
        <f>VLOOKUP($A39,LIBELLE!A:F,6,FALSE)</f>
        <v>NA</v>
      </c>
      <c r="E39" s="58" t="str">
        <f>VLOOKUP($A39,LIBELLE!$A:$C,3,FALSE)</f>
        <v>GTIES</v>
      </c>
      <c r="F39" s="58" t="str">
        <f>IF($G39="Acompte","Acompte",VLOOKUP($A39,LIBELLE!A:E,5,FALSE))</f>
        <v>Prév</v>
      </c>
      <c r="G39" s="58" t="s">
        <v>29</v>
      </c>
      <c r="H39" s="59" t="str">
        <f>IF(ISNA(VLOOKUP($G39,DIVERS!$M$1:$N$15,2,FALSE)),"",VLOOKUP($G39,DIVERS!$M$1:$N$15,2,FALSE))</f>
        <v>€TEC FERRRO-R&amp;D</v>
      </c>
      <c r="I39" s="27"/>
      <c r="J39" s="46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52">
        <f>SUM(Tableau3[[#This Row],[31/01/2015]:[31/12/2015]])</f>
        <v>0</v>
      </c>
    </row>
    <row r="40" spans="1:22" x14ac:dyDescent="0.25">
      <c r="A40" s="38" t="s">
        <v>63</v>
      </c>
      <c r="B40" s="58" t="str">
        <f>VLOOKUP($A40,LIBELLE!$A:$B,2,FALSE)</f>
        <v>MAXITY</v>
      </c>
      <c r="C40" s="58" t="str">
        <f>VLOOKUP($A40,LIBELLE!A:D,4,FALSE)</f>
        <v>VDP</v>
      </c>
      <c r="D40" s="58" t="str">
        <f>VLOOKUP($A40,LIBELLE!A:F,6,FALSE)</f>
        <v>NA</v>
      </c>
      <c r="E40" s="58" t="str">
        <f>VLOOKUP($A40,LIBELLE!$A:$C,3,FALSE)</f>
        <v>GTIES</v>
      </c>
      <c r="F40" s="58" t="str">
        <f>IF($G40="Acompte","Acompte",VLOOKUP($A40,LIBELLE!A:E,5,FALSE))</f>
        <v>Prév</v>
      </c>
      <c r="G40" s="58" t="s">
        <v>30</v>
      </c>
      <c r="H40" s="59" t="str">
        <f>IF(ISNA(VLOOKUP($G40,DIVERS!$M$1:$N$15,2,FALSE)),"",VLOOKUP($G40,DIVERS!$M$1:$N$15,2,FALSE))</f>
        <v>€ACH ProdPVI</v>
      </c>
      <c r="I40" s="27"/>
      <c r="J40" s="46">
        <v>-3536</v>
      </c>
      <c r="K40" s="43">
        <v>-1103.24</v>
      </c>
      <c r="L40" s="43">
        <v>-1103.24</v>
      </c>
      <c r="M40" s="43">
        <v>-1103.24</v>
      </c>
      <c r="N40" s="43">
        <v>-1009.5199999999999</v>
      </c>
      <c r="O40" s="43">
        <v>-1009.5199999999999</v>
      </c>
      <c r="P40" s="43">
        <v>-1009.5199999999999</v>
      </c>
      <c r="Q40" s="43">
        <v>-1009.5199999999999</v>
      </c>
      <c r="R40" s="43">
        <v>-884.6</v>
      </c>
      <c r="S40" s="43">
        <v>-884.6</v>
      </c>
      <c r="T40" s="43">
        <v>-884.6</v>
      </c>
      <c r="U40" s="43">
        <v>-884.6</v>
      </c>
      <c r="V40" s="51">
        <f>SUM(Tableau3[[#This Row],[31/01/2015]:[31/12/2015]])</f>
        <v>-14422.2</v>
      </c>
    </row>
    <row r="41" spans="1:22" x14ac:dyDescent="0.25">
      <c r="A41" s="37" t="s">
        <v>63</v>
      </c>
      <c r="B41" s="58" t="str">
        <f>VLOOKUP($A41,LIBELLE!$A:$B,2,FALSE)</f>
        <v>MAXITY</v>
      </c>
      <c r="C41" s="58" t="str">
        <f>VLOOKUP($A41,LIBELLE!A:D,4,FALSE)</f>
        <v>VDP</v>
      </c>
      <c r="D41" s="58" t="str">
        <f>VLOOKUP($A41,LIBELLE!A:F,6,FALSE)</f>
        <v>NA</v>
      </c>
      <c r="E41" s="58" t="str">
        <f>VLOOKUP($A41,LIBELLE!$A:$C,3,FALSE)</f>
        <v>GTIES</v>
      </c>
      <c r="F41" s="58" t="str">
        <f>IF($G41="Acompte","Acompte",VLOOKUP($A41,LIBELLE!A:E,5,FALSE))</f>
        <v>Prév</v>
      </c>
      <c r="G41" s="58" t="s">
        <v>31</v>
      </c>
      <c r="H41" s="59" t="str">
        <f>IF(ISNA(VLOOKUP($G41,DIVERS!$M$1:$N$15,2,FALSE)),"",VLOOKUP($G41,DIVERS!$M$1:$N$15,2,FALSE))</f>
        <v>€ACH Sces+div</v>
      </c>
      <c r="I41" s="27"/>
      <c r="J41" s="46"/>
      <c r="K41" s="43">
        <v>-681.24</v>
      </c>
      <c r="L41" s="43">
        <v>-681.24</v>
      </c>
      <c r="M41" s="43">
        <v>-681.24</v>
      </c>
      <c r="N41" s="43">
        <v>-630.24</v>
      </c>
      <c r="O41" s="43">
        <v>-630.24</v>
      </c>
      <c r="P41" s="43">
        <v>-630.24</v>
      </c>
      <c r="Q41" s="43">
        <v>-630.24</v>
      </c>
      <c r="R41" s="43">
        <v>-562.07999999999993</v>
      </c>
      <c r="S41" s="43">
        <v>-562.07999999999993</v>
      </c>
      <c r="T41" s="43">
        <v>-562.07999999999993</v>
      </c>
      <c r="U41" s="43">
        <v>-562.07999999999993</v>
      </c>
      <c r="V41" s="52">
        <f>SUM(Tableau3[[#This Row],[31/01/2015]:[31/12/2015]])</f>
        <v>-6812.9999999999991</v>
      </c>
    </row>
    <row r="42" spans="1:22" x14ac:dyDescent="0.25">
      <c r="A42" s="37" t="s">
        <v>63</v>
      </c>
      <c r="B42" s="58" t="str">
        <f>VLOOKUP($A42,LIBELLE!$A:$B,2,FALSE)</f>
        <v>MAXITY</v>
      </c>
      <c r="C42" s="58" t="str">
        <f>VLOOKUP($A42,LIBELLE!A:D,4,FALSE)</f>
        <v>VDP</v>
      </c>
      <c r="D42" s="58" t="str">
        <f>VLOOKUP($A42,LIBELLE!A:F,6,FALSE)</f>
        <v>NA</v>
      </c>
      <c r="E42" s="58" t="str">
        <f>VLOOKUP($A42,LIBELLE!$A:$C,3,FALSE)</f>
        <v>GTIES</v>
      </c>
      <c r="F42" s="58" t="str">
        <f>IF($G42="Acompte","Acompte",VLOOKUP($A42,LIBELLE!A:E,5,FALSE))</f>
        <v>Prév</v>
      </c>
      <c r="G42" s="58" t="s">
        <v>83</v>
      </c>
      <c r="H42" s="59" t="str">
        <f>IF(ISNA(VLOOKUP($G42,DIVERS!$M$1:$N$15,2,FALSE)),"",VLOOKUP($G42,DIVERS!$M$1:$N$15,2,FALSE))</f>
        <v>Qté MO GTIE</v>
      </c>
      <c r="I42" s="27"/>
      <c r="J42" s="46">
        <v>34</v>
      </c>
      <c r="K42" s="43">
        <v>61.559999999999995</v>
      </c>
      <c r="L42" s="43">
        <v>61.559999999999995</v>
      </c>
      <c r="M42" s="43">
        <v>61.559999999999995</v>
      </c>
      <c r="N42" s="43">
        <v>56.879999999999995</v>
      </c>
      <c r="O42" s="43">
        <v>56.879999999999995</v>
      </c>
      <c r="P42" s="43">
        <v>56.879999999999995</v>
      </c>
      <c r="Q42" s="43">
        <v>56.879999999999995</v>
      </c>
      <c r="R42" s="43">
        <v>78.759999999999991</v>
      </c>
      <c r="S42" s="43">
        <v>50.76</v>
      </c>
      <c r="T42" s="43">
        <v>50.76</v>
      </c>
      <c r="U42" s="43">
        <v>50.76</v>
      </c>
      <c r="V42" s="51">
        <f>SUM(Tableau3[[#This Row],[31/01/2015]:[31/12/2015]])</f>
        <v>677.24</v>
      </c>
    </row>
    <row r="43" spans="1:22" x14ac:dyDescent="0.25">
      <c r="A43" s="38" t="s">
        <v>63</v>
      </c>
      <c r="B43" s="58" t="str">
        <f>VLOOKUP($A43,LIBELLE!$A:$B,2,FALSE)</f>
        <v>MAXITY</v>
      </c>
      <c r="C43" s="58" t="str">
        <f>VLOOKUP($A43,LIBELLE!A:D,4,FALSE)</f>
        <v>VDP</v>
      </c>
      <c r="D43" s="58" t="str">
        <f>VLOOKUP($A43,LIBELLE!A:F,6,FALSE)</f>
        <v>NA</v>
      </c>
      <c r="E43" s="58" t="str">
        <f>VLOOKUP($A43,LIBELLE!$A:$C,3,FALSE)</f>
        <v>GTIES</v>
      </c>
      <c r="F43" s="58" t="str">
        <f>IF($G43="Acompte","Acompte",VLOOKUP($A43,LIBELLE!A:E,5,FALSE))</f>
        <v>Prév</v>
      </c>
      <c r="G43" s="58" t="s">
        <v>82</v>
      </c>
      <c r="H43" s="59" t="str">
        <f>IF(ISNA(VLOOKUP($G43,DIVERS!$M$1:$N$15,2,FALSE)),"",VLOOKUP($G43,DIVERS!$M$1:$N$15,2,FALSE))</f>
        <v>Qté MO SRS</v>
      </c>
      <c r="I43" s="27"/>
      <c r="J43" s="63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52">
        <f>SUM(Tableau3[[#This Row],[31/01/2015]:[31/12/2015]])</f>
        <v>0</v>
      </c>
    </row>
    <row r="44" spans="1:22" x14ac:dyDescent="0.25">
      <c r="A44" s="37" t="s">
        <v>63</v>
      </c>
      <c r="B44" s="58" t="str">
        <f>VLOOKUP($A44,LIBELLE!$A:$B,2,FALSE)</f>
        <v>MAXITY</v>
      </c>
      <c r="C44" s="58" t="str">
        <f>VLOOKUP($A44,LIBELLE!A:D,4,FALSE)</f>
        <v>VDP</v>
      </c>
      <c r="D44" s="58" t="str">
        <f>VLOOKUP($A44,LIBELLE!A:F,6,FALSE)</f>
        <v>NA</v>
      </c>
      <c r="E44" s="58" t="str">
        <f>VLOOKUP($A44,LIBELLE!$A:$C,3,FALSE)</f>
        <v>GTIES</v>
      </c>
      <c r="F44" s="58" t="str">
        <f>IF($G44="Acompte","Acompte",VLOOKUP($A44,LIBELLE!A:E,5,FALSE))</f>
        <v>Prév</v>
      </c>
      <c r="G44" s="58" t="s">
        <v>7</v>
      </c>
      <c r="H44" s="59">
        <f>IF(ISNA(VLOOKUP($G44,DIVERS!$M$1:$N$15,2,FALSE)),"",VLOOKUP($G44,DIVERS!$M$1:$N$15,2,FALSE))</f>
        <v>0</v>
      </c>
      <c r="I44" s="27"/>
      <c r="J44" s="53">
        <f t="shared" ref="J44:U44" si="8">J42*TxGTIE+J43*TxSRS</f>
        <v>-2544.2695833333332</v>
      </c>
      <c r="K44" s="53">
        <f t="shared" si="8"/>
        <v>-4606.6245749999998</v>
      </c>
      <c r="L44" s="53">
        <f t="shared" si="8"/>
        <v>-4606.6245749999998</v>
      </c>
      <c r="M44" s="53">
        <f t="shared" si="8"/>
        <v>-4606.6245749999998</v>
      </c>
      <c r="N44" s="53">
        <f t="shared" si="8"/>
        <v>-4256.4133499999998</v>
      </c>
      <c r="O44" s="53">
        <f t="shared" si="8"/>
        <v>-4256.4133499999998</v>
      </c>
      <c r="P44" s="53">
        <f t="shared" si="8"/>
        <v>-4256.4133499999998</v>
      </c>
      <c r="Q44" s="53">
        <f t="shared" si="8"/>
        <v>-4256.4133499999998</v>
      </c>
      <c r="R44" s="53">
        <f t="shared" si="8"/>
        <v>-5893.7256583333328</v>
      </c>
      <c r="S44" s="53">
        <f t="shared" si="8"/>
        <v>-3798.4448249999996</v>
      </c>
      <c r="T44" s="53">
        <f t="shared" si="8"/>
        <v>-3798.4448249999996</v>
      </c>
      <c r="U44" s="53">
        <f t="shared" si="8"/>
        <v>-3798.4448249999996</v>
      </c>
      <c r="V44" s="51">
        <f>SUM(Tableau3[[#This Row],[31/01/2015]:[31/12/2015]])</f>
        <v>-50678.856841666653</v>
      </c>
    </row>
    <row r="45" spans="1:22" x14ac:dyDescent="0.25">
      <c r="A45" s="37" t="s">
        <v>63</v>
      </c>
      <c r="B45" s="58" t="str">
        <f>VLOOKUP($A45,LIBELLE!$A:$B,2,FALSE)</f>
        <v>MAXITY</v>
      </c>
      <c r="C45" s="58" t="str">
        <f>VLOOKUP($A45,LIBELLE!A:D,4,FALSE)</f>
        <v>VDP</v>
      </c>
      <c r="D45" s="58" t="str">
        <f>VLOOKUP($A45,LIBELLE!A:F,6,FALSE)</f>
        <v>NA</v>
      </c>
      <c r="E45" s="58" t="str">
        <f>VLOOKUP($A45,LIBELLE!$A:$C,3,FALSE)</f>
        <v>GTIES</v>
      </c>
      <c r="F45" s="58" t="str">
        <f>IF($G45="Acompte","Acompte",VLOOKUP($A45,LIBELLE!A:E,5,FALSE))</f>
        <v>Prév</v>
      </c>
      <c r="G45" s="58" t="s">
        <v>8</v>
      </c>
      <c r="H45" s="59" t="str">
        <f>IF(ISNA(VLOOKUP($G45,DIVERS!$M$1:$N$15,2,FALSE)),"",VLOOKUP($G45,DIVERS!$M$1:$N$15,2,FALSE))</f>
        <v/>
      </c>
      <c r="I45" s="27"/>
      <c r="J45" s="53">
        <f>SUMIF($G38:$G44,"=CA",J38:J44)*DIVERS!$B$13</f>
        <v>0</v>
      </c>
      <c r="K45" s="53">
        <f>SUMIF($G38:$G44,"=CA",K38:K44)*DIVERS!$B$13</f>
        <v>0</v>
      </c>
      <c r="L45" s="53">
        <f>SUMIF($G38:$G44,"=CA",L38:L44)*DIVERS!$B$13</f>
        <v>0</v>
      </c>
      <c r="M45" s="53">
        <f>SUMIF($G38:$G44,"=CA",M38:M44)*DIVERS!$B$13</f>
        <v>0</v>
      </c>
      <c r="N45" s="53">
        <f>SUMIF($G38:$G44,"=CA",N38:N44)*DIVERS!$B$13</f>
        <v>0</v>
      </c>
      <c r="O45" s="53">
        <f>SUMIF($G38:$G44,"=CA",O38:O44)*DIVERS!$B$13</f>
        <v>0</v>
      </c>
      <c r="P45" s="53">
        <f>SUMIF($G38:$G44,"=CA",P38:P44)*DIVERS!$B$13</f>
        <v>0</v>
      </c>
      <c r="Q45" s="53">
        <f>SUMIF($G38:$G44,"=CA",Q38:Q44)*DIVERS!$B$13</f>
        <v>0</v>
      </c>
      <c r="R45" s="53">
        <f>SUMIF($G38:$G44,"=CA",R38:R44)*DIVERS!$B$13</f>
        <v>0</v>
      </c>
      <c r="S45" s="53">
        <f>SUMIF($G38:$G44,"=CA",S38:S44)*DIVERS!$B$13</f>
        <v>0</v>
      </c>
      <c r="T45" s="53">
        <f>SUMIF($G38:$G44,"=CA",T38:T44)*DIVERS!$B$13</f>
        <v>0</v>
      </c>
      <c r="U45" s="53">
        <f>SUMIF($G38:$G44,"=CA",U38:U44)*DIVERS!$B$13</f>
        <v>0</v>
      </c>
      <c r="V45" s="52">
        <f>SUM(Tableau3[[#This Row],[31/01/2015]:[31/12/2015]])</f>
        <v>0</v>
      </c>
    </row>
    <row r="46" spans="1:22" ht="15.75" thickBot="1" x14ac:dyDescent="0.3">
      <c r="A46" s="39" t="s">
        <v>63</v>
      </c>
      <c r="B46" s="60" t="str">
        <f>VLOOKUP($A46,LIBELLE!$A:$B,2,FALSE)</f>
        <v>MAXITY</v>
      </c>
      <c r="C46" s="60" t="str">
        <f>VLOOKUP($A46,LIBELLE!A:D,4,FALSE)</f>
        <v>VDP</v>
      </c>
      <c r="D46" s="60" t="str">
        <f>VLOOKUP($A46,LIBELLE!A:F,6,FALSE)</f>
        <v>NA</v>
      </c>
      <c r="E46" s="60" t="str">
        <f>VLOOKUP($A46,LIBELLE!$A:$C,3,FALSE)</f>
        <v>GTIES</v>
      </c>
      <c r="F46" s="60" t="str">
        <f>IF($G46="Acompte","Acompte",VLOOKUP($A46,LIBELLE!A:E,5,FALSE))</f>
        <v>Prév</v>
      </c>
      <c r="G46" s="60" t="s">
        <v>48</v>
      </c>
      <c r="H46" s="61" t="str">
        <f>IF(ISNA(VLOOKUP($G46,DIVERS!$M$1:$N$15,2,FALSE)),"",VLOOKUP($G46,DIVERS!$M$1:$N$15,2,FALSE))</f>
        <v/>
      </c>
      <c r="I46" s="32"/>
      <c r="J46" s="54">
        <f t="shared" ref="J46:U46" si="9">SUM(J38:J41,J44:J45)</f>
        <v>-6080.2695833333328</v>
      </c>
      <c r="K46" s="54">
        <f t="shared" si="9"/>
        <v>-6391.1045749999994</v>
      </c>
      <c r="L46" s="54">
        <f t="shared" si="9"/>
        <v>-6391.1045749999994</v>
      </c>
      <c r="M46" s="54">
        <f t="shared" si="9"/>
        <v>-6391.1045749999994</v>
      </c>
      <c r="N46" s="54">
        <f t="shared" si="9"/>
        <v>-5896.1733499999991</v>
      </c>
      <c r="O46" s="54">
        <f t="shared" si="9"/>
        <v>-5896.1733499999991</v>
      </c>
      <c r="P46" s="54">
        <f t="shared" si="9"/>
        <v>-5896.1733499999991</v>
      </c>
      <c r="Q46" s="54">
        <f t="shared" si="9"/>
        <v>-5896.1733499999991</v>
      </c>
      <c r="R46" s="54">
        <f t="shared" si="9"/>
        <v>-7340.4056583333331</v>
      </c>
      <c r="S46" s="54">
        <f t="shared" si="9"/>
        <v>-5245.124824999999</v>
      </c>
      <c r="T46" s="54">
        <f t="shared" si="9"/>
        <v>-5245.124824999999</v>
      </c>
      <c r="U46" s="54">
        <f t="shared" si="9"/>
        <v>-5245.124824999999</v>
      </c>
      <c r="V46" s="55">
        <f>SUM(Tableau3[[#This Row],[31/01/2015]:[31/12/2015]])</f>
        <v>-71914.056841666636</v>
      </c>
    </row>
    <row r="47" spans="1:22" x14ac:dyDescent="0.25">
      <c r="A47" s="36" t="s">
        <v>64</v>
      </c>
      <c r="B47" s="56" t="str">
        <f>VLOOKUP($A47,LIBELLE!$A:$B,2,FALSE)</f>
        <v>C-LESS 26T</v>
      </c>
      <c r="C47" s="56" t="str">
        <f>VLOOKUP($A47,LIBELLE!A:D,4,FALSE)</f>
        <v>VDP</v>
      </c>
      <c r="D47" s="56" t="str">
        <f>VLOOKUP($A47,LIBELLE!A:F,6,FALSE)</f>
        <v>NA</v>
      </c>
      <c r="E47" s="56" t="str">
        <f>VLOOKUP($A47,LIBELLE!$A:$C,3,FALSE)</f>
        <v>GTIES</v>
      </c>
      <c r="F47" s="56" t="str">
        <f>IF($G47="Acompte","Acompte",VLOOKUP($A47,LIBELLE!A:E,5,FALSE))</f>
        <v>Prév</v>
      </c>
      <c r="G47" s="56" t="s">
        <v>28</v>
      </c>
      <c r="H47" s="57" t="str">
        <f>IF(ISNA(VLOOKUP($G47,DIVERS!$M$1:$N$15,2,FALSE)),"",VLOOKUP($G47,DIVERS!$M$1:$N$15,2,FALSE))</f>
        <v>Tot VTE</v>
      </c>
      <c r="I47" s="27"/>
      <c r="J47" s="46">
        <v>0</v>
      </c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50">
        <f>SUM(Tableau3[[#This Row],[31/01/2015]:[31/12/2015]])</f>
        <v>0</v>
      </c>
    </row>
    <row r="48" spans="1:22" x14ac:dyDescent="0.25">
      <c r="A48" s="38" t="s">
        <v>64</v>
      </c>
      <c r="B48" s="58" t="str">
        <f>VLOOKUP($A48,LIBELLE!$A:$B,2,FALSE)</f>
        <v>C-LESS 26T</v>
      </c>
      <c r="C48" s="58" t="str">
        <f>VLOOKUP($A48,LIBELLE!A:D,4,FALSE)</f>
        <v>VDP</v>
      </c>
      <c r="D48" s="58" t="str">
        <f>VLOOKUP($A48,LIBELLE!A:F,6,FALSE)</f>
        <v>NA</v>
      </c>
      <c r="E48" s="58" t="str">
        <f>VLOOKUP($A48,LIBELLE!$A:$C,3,FALSE)</f>
        <v>GTIES</v>
      </c>
      <c r="F48" s="58" t="str">
        <f>IF($G48="Acompte","Acompte",VLOOKUP($A48,LIBELLE!A:E,5,FALSE))</f>
        <v>Prév</v>
      </c>
      <c r="G48" s="58" t="s">
        <v>29</v>
      </c>
      <c r="H48" s="59" t="str">
        <f>IF(ISNA(VLOOKUP($G48,DIVERS!$M$1:$N$15,2,FALSE)),"",VLOOKUP($G48,DIVERS!$M$1:$N$15,2,FALSE))</f>
        <v>€TEC FERRRO-R&amp;D</v>
      </c>
      <c r="I48" s="27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52">
        <f>SUM(Tableau3[[#This Row],[31/01/2015]:[31/12/2015]])</f>
        <v>0</v>
      </c>
    </row>
    <row r="49" spans="1:22" x14ac:dyDescent="0.25">
      <c r="A49" s="38" t="s">
        <v>64</v>
      </c>
      <c r="B49" s="58" t="str">
        <f>VLOOKUP($A49,LIBELLE!$A:$B,2,FALSE)</f>
        <v>C-LESS 26T</v>
      </c>
      <c r="C49" s="58" t="str">
        <f>VLOOKUP($A49,LIBELLE!A:D,4,FALSE)</f>
        <v>VDP</v>
      </c>
      <c r="D49" s="58" t="str">
        <f>VLOOKUP($A49,LIBELLE!A:F,6,FALSE)</f>
        <v>NA</v>
      </c>
      <c r="E49" s="58" t="str">
        <f>VLOOKUP($A49,LIBELLE!$A:$C,3,FALSE)</f>
        <v>GTIES</v>
      </c>
      <c r="F49" s="58" t="str">
        <f>IF($G49="Acompte","Acompte",VLOOKUP($A49,LIBELLE!A:E,5,FALSE))</f>
        <v>Prév</v>
      </c>
      <c r="G49" s="58" t="s">
        <v>30</v>
      </c>
      <c r="H49" s="59" t="str">
        <f>IF(ISNA(VLOOKUP($G49,DIVERS!$M$1:$N$15,2,FALSE)),"",VLOOKUP($G49,DIVERS!$M$1:$N$15,2,FALSE))</f>
        <v>€ACH ProdPVI</v>
      </c>
      <c r="I49" s="27"/>
      <c r="J49" s="49">
        <v>-20974</v>
      </c>
      <c r="K49" s="43">
        <v>-3434.9700000000003</v>
      </c>
      <c r="L49" s="43">
        <v>-3434.9700000000003</v>
      </c>
      <c r="M49" s="43">
        <v>-3434.9700000000003</v>
      </c>
      <c r="N49" s="43">
        <v>-3177.2400000000002</v>
      </c>
      <c r="O49" s="43">
        <v>-3177.2400000000002</v>
      </c>
      <c r="P49" s="43">
        <v>-3177.2400000000002</v>
      </c>
      <c r="Q49" s="43">
        <v>-3177.2400000000002</v>
      </c>
      <c r="R49" s="43">
        <v>-2833.71</v>
      </c>
      <c r="S49" s="43">
        <v>-2833.71</v>
      </c>
      <c r="T49" s="43">
        <v>-2833.71</v>
      </c>
      <c r="U49" s="43">
        <v>-2833.71</v>
      </c>
      <c r="V49" s="51">
        <f>SUM(Tableau3[[#This Row],[31/01/2015]:[31/12/2015]])</f>
        <v>-55322.709999999992</v>
      </c>
    </row>
    <row r="50" spans="1:22" x14ac:dyDescent="0.25">
      <c r="A50" s="37" t="s">
        <v>64</v>
      </c>
      <c r="B50" s="58" t="str">
        <f>VLOOKUP($A50,LIBELLE!$A:$B,2,FALSE)</f>
        <v>C-LESS 26T</v>
      </c>
      <c r="C50" s="58" t="str">
        <f>VLOOKUP($A50,LIBELLE!A:D,4,FALSE)</f>
        <v>VDP</v>
      </c>
      <c r="D50" s="58" t="str">
        <f>VLOOKUP($A50,LIBELLE!A:F,6,FALSE)</f>
        <v>NA</v>
      </c>
      <c r="E50" s="58" t="str">
        <f>VLOOKUP($A50,LIBELLE!$A:$C,3,FALSE)</f>
        <v>GTIES</v>
      </c>
      <c r="F50" s="58" t="str">
        <f>IF($G50="Acompte","Acompte",VLOOKUP($A50,LIBELLE!A:E,5,FALSE))</f>
        <v>Prév</v>
      </c>
      <c r="G50" s="58" t="s">
        <v>31</v>
      </c>
      <c r="H50" s="59" t="str">
        <f>IF(ISNA(VLOOKUP($G50,DIVERS!$M$1:$N$15,2,FALSE)),"",VLOOKUP($G50,DIVERS!$M$1:$N$15,2,FALSE))</f>
        <v>€ACH Sces+div</v>
      </c>
      <c r="I50" s="27"/>
      <c r="J50" s="46"/>
      <c r="K50" s="43">
        <v>-1873.41</v>
      </c>
      <c r="L50" s="43">
        <v>-1873.41</v>
      </c>
      <c r="M50" s="43">
        <v>-1873.41</v>
      </c>
      <c r="N50" s="43">
        <v>-1733.16</v>
      </c>
      <c r="O50" s="43">
        <v>-1733.16</v>
      </c>
      <c r="P50" s="43">
        <v>-1733.16</v>
      </c>
      <c r="Q50" s="43">
        <v>-1733.16</v>
      </c>
      <c r="R50" s="43">
        <v>-1545.72</v>
      </c>
      <c r="S50" s="43">
        <v>-1545.72</v>
      </c>
      <c r="T50" s="43">
        <v>-1545.72</v>
      </c>
      <c r="U50" s="43">
        <v>-1545.72</v>
      </c>
      <c r="V50" s="52">
        <f>SUM(Tableau3[[#This Row],[31/01/2015]:[31/12/2015]])</f>
        <v>-18735.75</v>
      </c>
    </row>
    <row r="51" spans="1:22" x14ac:dyDescent="0.25">
      <c r="A51" s="37" t="s">
        <v>64</v>
      </c>
      <c r="B51" s="58" t="str">
        <f>VLOOKUP($A51,LIBELLE!$A:$B,2,FALSE)</f>
        <v>C-LESS 26T</v>
      </c>
      <c r="C51" s="58" t="str">
        <f>VLOOKUP($A51,LIBELLE!A:D,4,FALSE)</f>
        <v>VDP</v>
      </c>
      <c r="D51" s="58" t="str">
        <f>VLOOKUP($A51,LIBELLE!A:F,6,FALSE)</f>
        <v>NA</v>
      </c>
      <c r="E51" s="58" t="str">
        <f>VLOOKUP($A51,LIBELLE!$A:$C,3,FALSE)</f>
        <v>GTIES</v>
      </c>
      <c r="F51" s="58" t="str">
        <f>IF($G51="Acompte","Acompte",VLOOKUP($A51,LIBELLE!A:E,5,FALSE))</f>
        <v>Prév</v>
      </c>
      <c r="G51" s="58" t="s">
        <v>83</v>
      </c>
      <c r="H51" s="59" t="str">
        <f>IF(ISNA(VLOOKUP($G51,DIVERS!$M$1:$N$15,2,FALSE)),"",VLOOKUP($G51,DIVERS!$M$1:$N$15,2,FALSE))</f>
        <v>Qté MO GTIE</v>
      </c>
      <c r="I51" s="27"/>
      <c r="J51" s="49">
        <v>215.89999999999998</v>
      </c>
      <c r="K51" s="43">
        <v>169.29000000000002</v>
      </c>
      <c r="L51" s="43">
        <v>169.29000000000002</v>
      </c>
      <c r="M51" s="43">
        <v>169.29000000000002</v>
      </c>
      <c r="N51" s="43">
        <v>156.42000000000002</v>
      </c>
      <c r="O51" s="43">
        <v>156.42000000000002</v>
      </c>
      <c r="P51" s="43">
        <v>156.42000000000002</v>
      </c>
      <c r="Q51" s="43">
        <v>63.419999999999959</v>
      </c>
      <c r="R51" s="43">
        <v>139.59</v>
      </c>
      <c r="S51" s="43">
        <v>139.59</v>
      </c>
      <c r="T51" s="43">
        <v>139.59</v>
      </c>
      <c r="U51" s="43">
        <v>139.59</v>
      </c>
      <c r="V51" s="51">
        <f>SUM(Tableau3[[#This Row],[31/01/2015]:[31/12/2015]])</f>
        <v>1814.81</v>
      </c>
    </row>
    <row r="52" spans="1:22" x14ac:dyDescent="0.25">
      <c r="A52" s="38" t="s">
        <v>64</v>
      </c>
      <c r="B52" s="58" t="str">
        <f>VLOOKUP($A52,LIBELLE!$A:$B,2,FALSE)</f>
        <v>C-LESS 26T</v>
      </c>
      <c r="C52" s="58" t="str">
        <f>VLOOKUP($A52,LIBELLE!A:D,4,FALSE)</f>
        <v>VDP</v>
      </c>
      <c r="D52" s="58" t="str">
        <f>VLOOKUP($A52,LIBELLE!A:F,6,FALSE)</f>
        <v>NA</v>
      </c>
      <c r="E52" s="58" t="str">
        <f>VLOOKUP($A52,LIBELLE!$A:$C,3,FALSE)</f>
        <v>GTIES</v>
      </c>
      <c r="F52" s="58" t="str">
        <f>IF($G52="Acompte","Acompte",VLOOKUP($A52,LIBELLE!A:E,5,FALSE))</f>
        <v>Prév</v>
      </c>
      <c r="G52" s="58" t="s">
        <v>82</v>
      </c>
      <c r="H52" s="59" t="str">
        <f>IF(ISNA(VLOOKUP($G52,DIVERS!$M$1:$N$15,2,FALSE)),"",VLOOKUP($G52,DIVERS!$M$1:$N$15,2,FALSE))</f>
        <v>Qté MO SRS</v>
      </c>
      <c r="I52" s="27"/>
      <c r="J52" s="65">
        <v>2.35</v>
      </c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52">
        <f>SUM(Tableau3[[#This Row],[31/01/2015]:[31/12/2015]])</f>
        <v>2.35</v>
      </c>
    </row>
    <row r="53" spans="1:22" x14ac:dyDescent="0.25">
      <c r="A53" s="37" t="s">
        <v>64</v>
      </c>
      <c r="B53" s="58" t="str">
        <f>VLOOKUP($A53,LIBELLE!$A:$B,2,FALSE)</f>
        <v>C-LESS 26T</v>
      </c>
      <c r="C53" s="58" t="str">
        <f>VLOOKUP($A53,LIBELLE!A:D,4,FALSE)</f>
        <v>VDP</v>
      </c>
      <c r="D53" s="58" t="str">
        <f>VLOOKUP($A53,LIBELLE!A:F,6,FALSE)</f>
        <v>NA</v>
      </c>
      <c r="E53" s="58" t="str">
        <f>VLOOKUP($A53,LIBELLE!$A:$C,3,FALSE)</f>
        <v>GTIES</v>
      </c>
      <c r="F53" s="58" t="str">
        <f>IF($G53="Acompte","Acompte",VLOOKUP($A53,LIBELLE!A:E,5,FALSE))</f>
        <v>Prév</v>
      </c>
      <c r="G53" s="58" t="s">
        <v>7</v>
      </c>
      <c r="H53" s="59">
        <f>IF(ISNA(VLOOKUP($G53,DIVERS!$M$1:$N$15,2,FALSE)),"",VLOOKUP($G53,DIVERS!$M$1:$N$15,2,FALSE))</f>
        <v>0</v>
      </c>
      <c r="I53" s="27"/>
      <c r="J53" s="53">
        <f t="shared" ref="J53:U53" si="10">J51*TxGTIE+J52*TxSRS</f>
        <v>-16249.19175362866</v>
      </c>
      <c r="K53" s="53">
        <f t="shared" si="10"/>
        <v>-12668.217581250001</v>
      </c>
      <c r="L53" s="53">
        <f t="shared" si="10"/>
        <v>-12668.217581250001</v>
      </c>
      <c r="M53" s="53">
        <f t="shared" si="10"/>
        <v>-12668.217581250001</v>
      </c>
      <c r="N53" s="53">
        <f t="shared" si="10"/>
        <v>-11705.136712500002</v>
      </c>
      <c r="O53" s="53">
        <f t="shared" si="10"/>
        <v>-11705.136712500002</v>
      </c>
      <c r="P53" s="53">
        <f t="shared" si="10"/>
        <v>-11705.136712500002</v>
      </c>
      <c r="Q53" s="53">
        <f t="shared" si="10"/>
        <v>-4745.8110874999966</v>
      </c>
      <c r="R53" s="53">
        <f t="shared" si="10"/>
        <v>-10445.72326875</v>
      </c>
      <c r="S53" s="53">
        <f t="shared" si="10"/>
        <v>-10445.72326875</v>
      </c>
      <c r="T53" s="53">
        <f t="shared" si="10"/>
        <v>-10445.72326875</v>
      </c>
      <c r="U53" s="53">
        <f t="shared" si="10"/>
        <v>-10445.72326875</v>
      </c>
      <c r="V53" s="51">
        <f>SUM(Tableau3[[#This Row],[31/01/2015]:[31/12/2015]])</f>
        <v>-135897.95879737867</v>
      </c>
    </row>
    <row r="54" spans="1:22" x14ac:dyDescent="0.25">
      <c r="A54" s="37" t="s">
        <v>64</v>
      </c>
      <c r="B54" s="58" t="str">
        <f>VLOOKUP($A54,LIBELLE!$A:$B,2,FALSE)</f>
        <v>C-LESS 26T</v>
      </c>
      <c r="C54" s="58" t="str">
        <f>VLOOKUP($A54,LIBELLE!A:D,4,FALSE)</f>
        <v>VDP</v>
      </c>
      <c r="D54" s="58" t="str">
        <f>VLOOKUP($A54,LIBELLE!A:F,6,FALSE)</f>
        <v>NA</v>
      </c>
      <c r="E54" s="58" t="str">
        <f>VLOOKUP($A54,LIBELLE!$A:$C,3,FALSE)</f>
        <v>GTIES</v>
      </c>
      <c r="F54" s="58" t="str">
        <f>IF($G54="Acompte","Acompte",VLOOKUP($A54,LIBELLE!A:E,5,FALSE))</f>
        <v>Prév</v>
      </c>
      <c r="G54" s="58" t="s">
        <v>8</v>
      </c>
      <c r="H54" s="59" t="str">
        <f>IF(ISNA(VLOOKUP($G54,DIVERS!$M$1:$N$15,2,FALSE)),"",VLOOKUP($G54,DIVERS!$M$1:$N$15,2,FALSE))</f>
        <v/>
      </c>
      <c r="I54" s="27"/>
      <c r="J54" s="53">
        <f>SUMIF($G47:$G53,"=CA",J47:J53)*DIVERS!$B$13</f>
        <v>0</v>
      </c>
      <c r="K54" s="53">
        <f>SUMIF($G47:$G53,"=CA",K47:K53)*DIVERS!$B$13</f>
        <v>0</v>
      </c>
      <c r="L54" s="53">
        <f>SUMIF($G47:$G53,"=CA",L47:L53)*DIVERS!$B$13</f>
        <v>0</v>
      </c>
      <c r="M54" s="53">
        <f>SUMIF($G47:$G53,"=CA",M47:M53)*DIVERS!$B$13</f>
        <v>0</v>
      </c>
      <c r="N54" s="53">
        <f>SUMIF($G47:$G53,"=CA",N47:N53)*DIVERS!$B$13</f>
        <v>0</v>
      </c>
      <c r="O54" s="53">
        <f>SUMIF($G47:$G53,"=CA",O47:O53)*DIVERS!$B$13</f>
        <v>0</v>
      </c>
      <c r="P54" s="53">
        <f>SUMIF($G47:$G53,"=CA",P47:P53)*DIVERS!$B$13</f>
        <v>0</v>
      </c>
      <c r="Q54" s="53">
        <f>SUMIF($G47:$G53,"=CA",Q47:Q53)*DIVERS!$B$13</f>
        <v>0</v>
      </c>
      <c r="R54" s="53">
        <f>SUMIF($G47:$G53,"=CA",R47:R53)*DIVERS!$B$13</f>
        <v>0</v>
      </c>
      <c r="S54" s="53">
        <f>SUMIF($G47:$G53,"=CA",S47:S53)*DIVERS!$B$13</f>
        <v>0</v>
      </c>
      <c r="T54" s="53">
        <f>SUMIF($G47:$G53,"=CA",T47:T53)*DIVERS!$B$13</f>
        <v>0</v>
      </c>
      <c r="U54" s="53">
        <f>SUMIF($G47:$G53,"=CA",U47:U53)*DIVERS!$B$13</f>
        <v>0</v>
      </c>
      <c r="V54" s="52">
        <f>SUM(Tableau3[[#This Row],[31/01/2015]:[31/12/2015]])</f>
        <v>0</v>
      </c>
    </row>
    <row r="55" spans="1:22" ht="15.75" thickBot="1" x14ac:dyDescent="0.3">
      <c r="A55" s="39" t="s">
        <v>64</v>
      </c>
      <c r="B55" s="60" t="str">
        <f>VLOOKUP($A55,LIBELLE!$A:$B,2,FALSE)</f>
        <v>C-LESS 26T</v>
      </c>
      <c r="C55" s="60" t="str">
        <f>VLOOKUP($A55,LIBELLE!A:D,4,FALSE)</f>
        <v>VDP</v>
      </c>
      <c r="D55" s="60" t="str">
        <f>VLOOKUP($A55,LIBELLE!A:F,6,FALSE)</f>
        <v>NA</v>
      </c>
      <c r="E55" s="60" t="str">
        <f>VLOOKUP($A55,LIBELLE!$A:$C,3,FALSE)</f>
        <v>GTIES</v>
      </c>
      <c r="F55" s="60" t="str">
        <f>IF($G55="Acompte","Acompte",VLOOKUP($A55,LIBELLE!A:E,5,FALSE))</f>
        <v>Prév</v>
      </c>
      <c r="G55" s="60" t="s">
        <v>48</v>
      </c>
      <c r="H55" s="61" t="str">
        <f>IF(ISNA(VLOOKUP($G55,DIVERS!$M$1:$N$15,2,FALSE)),"",VLOOKUP($G55,DIVERS!$M$1:$N$15,2,FALSE))</f>
        <v/>
      </c>
      <c r="I55" s="32"/>
      <c r="J55" s="54">
        <f t="shared" ref="J55:U55" si="11">SUM(J47:J50,J53:J54)</f>
        <v>-37223.191753628664</v>
      </c>
      <c r="K55" s="54">
        <f t="shared" si="11"/>
        <v>-17976.59758125</v>
      </c>
      <c r="L55" s="54">
        <f t="shared" si="11"/>
        <v>-17976.59758125</v>
      </c>
      <c r="M55" s="54">
        <f t="shared" si="11"/>
        <v>-17976.59758125</v>
      </c>
      <c r="N55" s="54">
        <f t="shared" si="11"/>
        <v>-16615.536712500001</v>
      </c>
      <c r="O55" s="54">
        <f t="shared" si="11"/>
        <v>-16615.536712500001</v>
      </c>
      <c r="P55" s="54">
        <f t="shared" si="11"/>
        <v>-16615.536712500001</v>
      </c>
      <c r="Q55" s="54">
        <f t="shared" si="11"/>
        <v>-9656.2110874999962</v>
      </c>
      <c r="R55" s="54">
        <f t="shared" si="11"/>
        <v>-14825.15326875</v>
      </c>
      <c r="S55" s="54">
        <f t="shared" si="11"/>
        <v>-14825.15326875</v>
      </c>
      <c r="T55" s="54">
        <f t="shared" si="11"/>
        <v>-14825.15326875</v>
      </c>
      <c r="U55" s="54">
        <f t="shared" si="11"/>
        <v>-14825.15326875</v>
      </c>
      <c r="V55" s="55">
        <f>SUM(Tableau3[[#This Row],[31/01/2015]:[31/12/2015]])</f>
        <v>-209956.41879737866</v>
      </c>
    </row>
    <row r="56" spans="1:22" x14ac:dyDescent="0.25">
      <c r="A56" s="36" t="s">
        <v>65</v>
      </c>
      <c r="B56" s="56" t="str">
        <f>VLOOKUP($A56,LIBELLE!$A:$B,2,FALSE)</f>
        <v>Remise à Niveau Technique</v>
      </c>
      <c r="C56" s="56" t="str">
        <f>VLOOKUP($A56,LIBELLE!A:D,4,FALSE)</f>
        <v>VDP</v>
      </c>
      <c r="D56" s="56" t="str">
        <f>VLOOKUP($A56,LIBELLE!A:F,6,FALSE)</f>
        <v>NA</v>
      </c>
      <c r="E56" s="56" t="str">
        <f>VLOOKUP($A56,LIBELLE!$A:$C,3,FALSE)</f>
        <v>GTIES</v>
      </c>
      <c r="F56" s="56" t="str">
        <f>IF($G56="Acompte","Acompte",VLOOKUP($A56,LIBELLE!A:E,5,FALSE))</f>
        <v>Prév</v>
      </c>
      <c r="G56" s="56" t="s">
        <v>28</v>
      </c>
      <c r="H56" s="57" t="str">
        <f>IF(ISNA(VLOOKUP($G56,DIVERS!$M$1:$N$15,2,FALSE)),"",VLOOKUP($G56,DIVERS!$M$1:$N$15,2,FALSE))</f>
        <v>Tot VTE</v>
      </c>
      <c r="I56" s="27"/>
      <c r="J56" s="46">
        <v>0</v>
      </c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50">
        <f>SUM(Tableau3[[#This Row],[31/01/2015]:[31/12/2015]])</f>
        <v>0</v>
      </c>
    </row>
    <row r="57" spans="1:22" x14ac:dyDescent="0.25">
      <c r="A57" s="38" t="s">
        <v>65</v>
      </c>
      <c r="B57" s="58" t="str">
        <f>VLOOKUP($A57,LIBELLE!$A:$B,2,FALSE)</f>
        <v>Remise à Niveau Technique</v>
      </c>
      <c r="C57" s="58" t="str">
        <f>VLOOKUP($A57,LIBELLE!A:D,4,FALSE)</f>
        <v>VDP</v>
      </c>
      <c r="D57" s="58" t="str">
        <f>VLOOKUP($A57,LIBELLE!A:F,6,FALSE)</f>
        <v>NA</v>
      </c>
      <c r="E57" s="58" t="str">
        <f>VLOOKUP($A57,LIBELLE!$A:$C,3,FALSE)</f>
        <v>GTIES</v>
      </c>
      <c r="F57" s="58" t="str">
        <f>IF($G57="Acompte","Acompte",VLOOKUP($A57,LIBELLE!A:E,5,FALSE))</f>
        <v>Prév</v>
      </c>
      <c r="G57" s="58" t="s">
        <v>29</v>
      </c>
      <c r="H57" s="59" t="str">
        <f>IF(ISNA(VLOOKUP($G57,DIVERS!$M$1:$N$15,2,FALSE)),"",VLOOKUP($G57,DIVERS!$M$1:$N$15,2,FALSE))</f>
        <v>€TEC FERRRO-R&amp;D</v>
      </c>
      <c r="I57" s="27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52">
        <f>SUM(Tableau3[[#This Row],[31/01/2015]:[31/12/2015]])</f>
        <v>0</v>
      </c>
    </row>
    <row r="58" spans="1:22" x14ac:dyDescent="0.25">
      <c r="A58" s="38" t="s">
        <v>65</v>
      </c>
      <c r="B58" s="58" t="str">
        <f>VLOOKUP($A58,LIBELLE!$A:$B,2,FALSE)</f>
        <v>Remise à Niveau Technique</v>
      </c>
      <c r="C58" s="58" t="str">
        <f>VLOOKUP($A58,LIBELLE!A:D,4,FALSE)</f>
        <v>VDP</v>
      </c>
      <c r="D58" s="58" t="str">
        <f>VLOOKUP($A58,LIBELLE!A:F,6,FALSE)</f>
        <v>NA</v>
      </c>
      <c r="E58" s="58" t="str">
        <f>VLOOKUP($A58,LIBELLE!$A:$C,3,FALSE)</f>
        <v>GTIES</v>
      </c>
      <c r="F58" s="58" t="str">
        <f>IF($G58="Acompte","Acompte",VLOOKUP($A58,LIBELLE!A:E,5,FALSE))</f>
        <v>Prév</v>
      </c>
      <c r="G58" s="58" t="s">
        <v>30</v>
      </c>
      <c r="H58" s="59" t="str">
        <f>IF(ISNA(VLOOKUP($G58,DIVERS!$M$1:$N$15,2,FALSE)),"",VLOOKUP($G58,DIVERS!$M$1:$N$15,2,FALSE))</f>
        <v>€ACH ProdPVI</v>
      </c>
      <c r="I58" s="27"/>
      <c r="J58" s="66">
        <v>-1683</v>
      </c>
      <c r="K58" s="43">
        <v>-4400</v>
      </c>
      <c r="L58" s="43">
        <v>-4400</v>
      </c>
      <c r="M58" s="43">
        <v>-4400</v>
      </c>
      <c r="N58" s="43">
        <v>-4400</v>
      </c>
      <c r="O58" s="43">
        <v>-4400</v>
      </c>
      <c r="P58" s="43">
        <v>-4400</v>
      </c>
      <c r="Q58" s="43">
        <v>-4400</v>
      </c>
      <c r="R58" s="43">
        <v>-4400</v>
      </c>
      <c r="S58" s="43">
        <v>-4400</v>
      </c>
      <c r="T58" s="43">
        <v>-4400</v>
      </c>
      <c r="U58" s="43">
        <v>-4400</v>
      </c>
      <c r="V58" s="51">
        <f>SUM(Tableau3[[#This Row],[31/01/2015]:[31/12/2015]])</f>
        <v>-50083</v>
      </c>
    </row>
    <row r="59" spans="1:22" x14ac:dyDescent="0.25">
      <c r="A59" s="37" t="s">
        <v>65</v>
      </c>
      <c r="B59" s="58" t="str">
        <f>VLOOKUP($A59,LIBELLE!$A:$B,2,FALSE)</f>
        <v>Remise à Niveau Technique</v>
      </c>
      <c r="C59" s="58" t="str">
        <f>VLOOKUP($A59,LIBELLE!A:D,4,FALSE)</f>
        <v>VDP</v>
      </c>
      <c r="D59" s="58" t="str">
        <f>VLOOKUP($A59,LIBELLE!A:F,6,FALSE)</f>
        <v>NA</v>
      </c>
      <c r="E59" s="58" t="str">
        <f>VLOOKUP($A59,LIBELLE!$A:$C,3,FALSE)</f>
        <v>GTIES</v>
      </c>
      <c r="F59" s="58" t="str">
        <f>IF($G59="Acompte","Acompte",VLOOKUP($A59,LIBELLE!A:E,5,FALSE))</f>
        <v>Prév</v>
      </c>
      <c r="G59" s="58" t="s">
        <v>31</v>
      </c>
      <c r="H59" s="59" t="str">
        <f>IF(ISNA(VLOOKUP($G59,DIVERS!$M$1:$N$15,2,FALSE)),"",VLOOKUP($G59,DIVERS!$M$1:$N$15,2,FALSE))</f>
        <v>€ACH Sces+div</v>
      </c>
      <c r="I59" s="27"/>
      <c r="J59" s="46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52">
        <f>SUM(Tableau3[[#This Row],[31/01/2015]:[31/12/2015]])</f>
        <v>0</v>
      </c>
    </row>
    <row r="60" spans="1:22" x14ac:dyDescent="0.25">
      <c r="A60" s="37" t="s">
        <v>65</v>
      </c>
      <c r="B60" s="58" t="str">
        <f>VLOOKUP($A60,LIBELLE!$A:$B,2,FALSE)</f>
        <v>Remise à Niveau Technique</v>
      </c>
      <c r="C60" s="58" t="str">
        <f>VLOOKUP($A60,LIBELLE!A:D,4,FALSE)</f>
        <v>VDP</v>
      </c>
      <c r="D60" s="58" t="str">
        <f>VLOOKUP($A60,LIBELLE!A:F,6,FALSE)</f>
        <v>NA</v>
      </c>
      <c r="E60" s="58" t="str">
        <f>VLOOKUP($A60,LIBELLE!$A:$C,3,FALSE)</f>
        <v>GTIES</v>
      </c>
      <c r="F60" s="58" t="str">
        <f>IF($G60="Acompte","Acompte",VLOOKUP($A60,LIBELLE!A:E,5,FALSE))</f>
        <v>Prév</v>
      </c>
      <c r="G60" s="58" t="s">
        <v>83</v>
      </c>
      <c r="H60" s="59" t="str">
        <f>IF(ISNA(VLOOKUP($G60,DIVERS!$M$1:$N$15,2,FALSE)),"",VLOOKUP($G60,DIVERS!$M$1:$N$15,2,FALSE))</f>
        <v>Qté MO GTIE</v>
      </c>
      <c r="I60" s="27"/>
      <c r="J60" s="46">
        <v>26.85</v>
      </c>
      <c r="K60" s="43">
        <v>109.9166666666667</v>
      </c>
      <c r="L60" s="43">
        <v>84.916666666666671</v>
      </c>
      <c r="M60" s="43">
        <v>84.916666666666671</v>
      </c>
      <c r="N60" s="43">
        <v>84.916666666666671</v>
      </c>
      <c r="O60" s="43">
        <v>84.916666666666671</v>
      </c>
      <c r="P60" s="43">
        <v>84.916666666666671</v>
      </c>
      <c r="Q60" s="43">
        <v>84.916666666666671</v>
      </c>
      <c r="R60" s="43">
        <v>84.916666666666671</v>
      </c>
      <c r="S60" s="43">
        <v>84.916666666666671</v>
      </c>
      <c r="T60" s="43">
        <v>84.916666666666671</v>
      </c>
      <c r="U60" s="43">
        <v>84.916666666666671</v>
      </c>
      <c r="V60" s="51">
        <f>SUM(Tableau3[[#This Row],[31/01/2015]:[31/12/2015]])</f>
        <v>985.93333333333328</v>
      </c>
    </row>
    <row r="61" spans="1:22" x14ac:dyDescent="0.25">
      <c r="A61" s="38" t="s">
        <v>65</v>
      </c>
      <c r="B61" s="58" t="str">
        <f>VLOOKUP($A61,LIBELLE!$A:$B,2,FALSE)</f>
        <v>Remise à Niveau Technique</v>
      </c>
      <c r="C61" s="58" t="str">
        <f>VLOOKUP($A61,LIBELLE!A:D,4,FALSE)</f>
        <v>VDP</v>
      </c>
      <c r="D61" s="58" t="str">
        <f>VLOOKUP($A61,LIBELLE!A:F,6,FALSE)</f>
        <v>NA</v>
      </c>
      <c r="E61" s="58" t="str">
        <f>VLOOKUP($A61,LIBELLE!$A:$C,3,FALSE)</f>
        <v>GTIES</v>
      </c>
      <c r="F61" s="58" t="str">
        <f>IF($G61="Acompte","Acompte",VLOOKUP($A61,LIBELLE!A:E,5,FALSE))</f>
        <v>Prév</v>
      </c>
      <c r="G61" s="58" t="s">
        <v>82</v>
      </c>
      <c r="H61" s="59" t="str">
        <f>IF(ISNA(VLOOKUP($G61,DIVERS!$M$1:$N$15,2,FALSE)),"",VLOOKUP($G61,DIVERS!$M$1:$N$15,2,FALSE))</f>
        <v>Qté MO SRS</v>
      </c>
      <c r="I61" s="27"/>
      <c r="J61" s="63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52">
        <f>SUM(Tableau3[[#This Row],[31/01/2015]:[31/12/2015]])</f>
        <v>0</v>
      </c>
    </row>
    <row r="62" spans="1:22" x14ac:dyDescent="0.25">
      <c r="A62" s="37" t="s">
        <v>65</v>
      </c>
      <c r="B62" s="58" t="str">
        <f>VLOOKUP($A62,LIBELLE!$A:$B,2,FALSE)</f>
        <v>Remise à Niveau Technique</v>
      </c>
      <c r="C62" s="58" t="str">
        <f>VLOOKUP($A62,LIBELLE!A:D,4,FALSE)</f>
        <v>VDP</v>
      </c>
      <c r="D62" s="58" t="str">
        <f>VLOOKUP($A62,LIBELLE!A:F,6,FALSE)</f>
        <v>NA</v>
      </c>
      <c r="E62" s="58" t="str">
        <f>VLOOKUP($A62,LIBELLE!$A:$C,3,FALSE)</f>
        <v>GTIES</v>
      </c>
      <c r="F62" s="58" t="str">
        <f>IF($G62="Acompte","Acompte",VLOOKUP($A62,LIBELLE!A:E,5,FALSE))</f>
        <v>Prév</v>
      </c>
      <c r="G62" s="58" t="s">
        <v>7</v>
      </c>
      <c r="H62" s="59">
        <f>IF(ISNA(VLOOKUP($G62,DIVERS!$M$1:$N$15,2,FALSE)),"",VLOOKUP($G62,DIVERS!$M$1:$N$15,2,FALSE))</f>
        <v>0</v>
      </c>
      <c r="I62" s="27"/>
      <c r="J62" s="53">
        <f t="shared" ref="J62:U62" si="12">J60*TxGTIE+J61*TxSRS</f>
        <v>-2009.22465625</v>
      </c>
      <c r="K62" s="53">
        <f t="shared" si="12"/>
        <v>-8225.2244618055574</v>
      </c>
      <c r="L62" s="53">
        <f t="shared" si="12"/>
        <v>-6354.4380034722226</v>
      </c>
      <c r="M62" s="53">
        <f t="shared" si="12"/>
        <v>-6354.4380034722226</v>
      </c>
      <c r="N62" s="53">
        <f t="shared" si="12"/>
        <v>-6354.4380034722226</v>
      </c>
      <c r="O62" s="53">
        <f t="shared" si="12"/>
        <v>-6354.4380034722226</v>
      </c>
      <c r="P62" s="53">
        <f t="shared" si="12"/>
        <v>-6354.4380034722226</v>
      </c>
      <c r="Q62" s="53">
        <f t="shared" si="12"/>
        <v>-6354.4380034722226</v>
      </c>
      <c r="R62" s="53">
        <f t="shared" si="12"/>
        <v>-6354.4380034722226</v>
      </c>
      <c r="S62" s="53">
        <f t="shared" si="12"/>
        <v>-6354.4380034722226</v>
      </c>
      <c r="T62" s="53">
        <f t="shared" si="12"/>
        <v>-6354.4380034722226</v>
      </c>
      <c r="U62" s="53">
        <f t="shared" si="12"/>
        <v>-6354.4380034722226</v>
      </c>
      <c r="V62" s="51">
        <f>SUM(Tableau3[[#This Row],[31/01/2015]:[31/12/2015]])</f>
        <v>-73778.829152777776</v>
      </c>
    </row>
    <row r="63" spans="1:22" x14ac:dyDescent="0.25">
      <c r="A63" s="37" t="s">
        <v>65</v>
      </c>
      <c r="B63" s="58" t="str">
        <f>VLOOKUP($A63,LIBELLE!$A:$B,2,FALSE)</f>
        <v>Remise à Niveau Technique</v>
      </c>
      <c r="C63" s="58" t="str">
        <f>VLOOKUP($A63,LIBELLE!A:D,4,FALSE)</f>
        <v>VDP</v>
      </c>
      <c r="D63" s="58" t="str">
        <f>VLOOKUP($A63,LIBELLE!A:F,6,FALSE)</f>
        <v>NA</v>
      </c>
      <c r="E63" s="58" t="str">
        <f>VLOOKUP($A63,LIBELLE!$A:$C,3,FALSE)</f>
        <v>GTIES</v>
      </c>
      <c r="F63" s="58" t="str">
        <f>IF($G63="Acompte","Acompte",VLOOKUP($A63,LIBELLE!A:E,5,FALSE))</f>
        <v>Prév</v>
      </c>
      <c r="G63" s="58" t="s">
        <v>8</v>
      </c>
      <c r="H63" s="59" t="str">
        <f>IF(ISNA(VLOOKUP($G63,DIVERS!$M$1:$N$15,2,FALSE)),"",VLOOKUP($G63,DIVERS!$M$1:$N$15,2,FALSE))</f>
        <v/>
      </c>
      <c r="I63" s="27"/>
      <c r="J63" s="53">
        <f>SUMIF($G56:$G62,"=CA",J56:J62)*DIVERS!$B$13</f>
        <v>0</v>
      </c>
      <c r="K63" s="53">
        <f>SUMIF($G56:$G62,"=CA",K56:K62)*DIVERS!$B$13</f>
        <v>0</v>
      </c>
      <c r="L63" s="53">
        <f>SUMIF($G56:$G62,"=CA",L56:L62)*DIVERS!$B$13</f>
        <v>0</v>
      </c>
      <c r="M63" s="53">
        <f>SUMIF($G56:$G62,"=CA",M56:M62)*DIVERS!$B$13</f>
        <v>0</v>
      </c>
      <c r="N63" s="53">
        <f>SUMIF($G56:$G62,"=CA",N56:N62)*DIVERS!$B$13</f>
        <v>0</v>
      </c>
      <c r="O63" s="53">
        <f>SUMIF($G56:$G62,"=CA",O56:O62)*DIVERS!$B$13</f>
        <v>0</v>
      </c>
      <c r="P63" s="53">
        <f>SUMIF($G56:$G62,"=CA",P56:P62)*DIVERS!$B$13</f>
        <v>0</v>
      </c>
      <c r="Q63" s="53">
        <f>SUMIF($G56:$G62,"=CA",Q56:Q62)*DIVERS!$B$13</f>
        <v>0</v>
      </c>
      <c r="R63" s="53">
        <f>SUMIF($G56:$G62,"=CA",R56:R62)*DIVERS!$B$13</f>
        <v>0</v>
      </c>
      <c r="S63" s="53">
        <f>SUMIF($G56:$G62,"=CA",S56:S62)*DIVERS!$B$13</f>
        <v>0</v>
      </c>
      <c r="T63" s="53">
        <f>SUMIF($G56:$G62,"=CA",T56:T62)*DIVERS!$B$13</f>
        <v>0</v>
      </c>
      <c r="U63" s="53">
        <f>SUMIF($G56:$G62,"=CA",U56:U62)*DIVERS!$B$13</f>
        <v>0</v>
      </c>
      <c r="V63" s="52">
        <f>SUM(Tableau3[[#This Row],[31/01/2015]:[31/12/2015]])</f>
        <v>0</v>
      </c>
    </row>
    <row r="64" spans="1:22" ht="15.75" thickBot="1" x14ac:dyDescent="0.3">
      <c r="A64" s="39" t="s">
        <v>65</v>
      </c>
      <c r="B64" s="60" t="str">
        <f>VLOOKUP($A64,LIBELLE!$A:$B,2,FALSE)</f>
        <v>Remise à Niveau Technique</v>
      </c>
      <c r="C64" s="60" t="str">
        <f>VLOOKUP($A64,LIBELLE!A:D,4,FALSE)</f>
        <v>VDP</v>
      </c>
      <c r="D64" s="60" t="str">
        <f>VLOOKUP($A64,LIBELLE!A:F,6,FALSE)</f>
        <v>NA</v>
      </c>
      <c r="E64" s="60" t="str">
        <f>VLOOKUP($A64,LIBELLE!$A:$C,3,FALSE)</f>
        <v>GTIES</v>
      </c>
      <c r="F64" s="60" t="str">
        <f>IF($G64="Acompte","Acompte",VLOOKUP($A64,LIBELLE!A:E,5,FALSE))</f>
        <v>Prév</v>
      </c>
      <c r="G64" s="60" t="s">
        <v>48</v>
      </c>
      <c r="H64" s="61" t="str">
        <f>IF(ISNA(VLOOKUP($G64,DIVERS!$M$1:$N$15,2,FALSE)),"",VLOOKUP($G64,DIVERS!$M$1:$N$15,2,FALSE))</f>
        <v/>
      </c>
      <c r="I64" s="32"/>
      <c r="J64" s="54">
        <f t="shared" ref="J64:U64" si="13">SUM(J56:J59,J62:J63)</f>
        <v>-3692.22465625</v>
      </c>
      <c r="K64" s="54">
        <f t="shared" si="13"/>
        <v>-12625.224461805557</v>
      </c>
      <c r="L64" s="54">
        <f t="shared" si="13"/>
        <v>-10754.438003472223</v>
      </c>
      <c r="M64" s="54">
        <f t="shared" si="13"/>
        <v>-10754.438003472223</v>
      </c>
      <c r="N64" s="54">
        <f t="shared" si="13"/>
        <v>-10754.438003472223</v>
      </c>
      <c r="O64" s="54">
        <f t="shared" si="13"/>
        <v>-10754.438003472223</v>
      </c>
      <c r="P64" s="54">
        <f t="shared" si="13"/>
        <v>-10754.438003472223</v>
      </c>
      <c r="Q64" s="54">
        <f t="shared" si="13"/>
        <v>-10754.438003472223</v>
      </c>
      <c r="R64" s="54">
        <f t="shared" si="13"/>
        <v>-10754.438003472223</v>
      </c>
      <c r="S64" s="54">
        <f t="shared" si="13"/>
        <v>-10754.438003472223</v>
      </c>
      <c r="T64" s="54">
        <f t="shared" si="13"/>
        <v>-10754.438003472223</v>
      </c>
      <c r="U64" s="54">
        <f t="shared" si="13"/>
        <v>-10754.438003472223</v>
      </c>
      <c r="V64" s="55">
        <f>SUM(Tableau3[[#This Row],[31/01/2015]:[31/12/2015]])</f>
        <v>-123861.82915277782</v>
      </c>
    </row>
    <row r="65" spans="1:22" x14ac:dyDescent="0.25">
      <c r="A65" s="36" t="s">
        <v>66</v>
      </c>
      <c r="B65" s="56" t="str">
        <f>VLOOKUP($A65,LIBELLE!$A:$B,2,FALSE)</f>
        <v>Kits CKD (Haide,…)</v>
      </c>
      <c r="C65" s="56" t="str">
        <f>VLOOKUP($A65,LIBELLE!A:D,4,FALSE)</f>
        <v>VDP</v>
      </c>
      <c r="D65" s="56" t="str">
        <f>VLOOKUP($A65,LIBELLE!A:F,6,FALSE)</f>
        <v>NA</v>
      </c>
      <c r="E65" s="56" t="str">
        <f>VLOOKUP($A65,LIBELLE!$A:$C,3,FALSE)</f>
        <v>GTIES</v>
      </c>
      <c r="F65" s="56" t="str">
        <f>IF($G65="Acompte","Acompte",VLOOKUP($A65,LIBELLE!A:E,5,FALSE))</f>
        <v>Prév</v>
      </c>
      <c r="G65" s="56" t="s">
        <v>28</v>
      </c>
      <c r="H65" s="57" t="str">
        <f>IF(ISNA(VLOOKUP($G65,DIVERS!$M$1:$N$15,2,FALSE)),"",VLOOKUP($G65,DIVERS!$M$1:$N$15,2,FALSE))</f>
        <v>Tot VTE</v>
      </c>
      <c r="I65" s="27"/>
      <c r="J65" s="46">
        <v>0</v>
      </c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50">
        <f>SUM(Tableau3[[#This Row],[31/01/2015]:[31/12/2015]])</f>
        <v>0</v>
      </c>
    </row>
    <row r="66" spans="1:22" x14ac:dyDescent="0.25">
      <c r="A66" s="38" t="s">
        <v>66</v>
      </c>
      <c r="B66" s="58" t="str">
        <f>VLOOKUP($A66,LIBELLE!$A:$B,2,FALSE)</f>
        <v>Kits CKD (Haide,…)</v>
      </c>
      <c r="C66" s="58" t="str">
        <f>VLOOKUP($A66,LIBELLE!A:D,4,FALSE)</f>
        <v>VDP</v>
      </c>
      <c r="D66" s="58" t="str">
        <f>VLOOKUP($A66,LIBELLE!A:F,6,FALSE)</f>
        <v>NA</v>
      </c>
      <c r="E66" s="58" t="str">
        <f>VLOOKUP($A66,LIBELLE!$A:$C,3,FALSE)</f>
        <v>GTIES</v>
      </c>
      <c r="F66" s="58" t="str">
        <f>IF($G66="Acompte","Acompte",VLOOKUP($A66,LIBELLE!A:E,5,FALSE))</f>
        <v>Prév</v>
      </c>
      <c r="G66" s="58" t="s">
        <v>29</v>
      </c>
      <c r="H66" s="59" t="str">
        <f>IF(ISNA(VLOOKUP($G66,DIVERS!$M$1:$N$15,2,FALSE)),"",VLOOKUP($G66,DIVERS!$M$1:$N$15,2,FALSE))</f>
        <v>€TEC FERRRO-R&amp;D</v>
      </c>
      <c r="I66" s="27"/>
      <c r="J66" s="46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52">
        <f>SUM(Tableau3[[#This Row],[31/01/2015]:[31/12/2015]])</f>
        <v>0</v>
      </c>
    </row>
    <row r="67" spans="1:22" x14ac:dyDescent="0.25">
      <c r="A67" s="38" t="s">
        <v>66</v>
      </c>
      <c r="B67" s="58" t="str">
        <f>VLOOKUP($A67,LIBELLE!$A:$B,2,FALSE)</f>
        <v>Kits CKD (Haide,…)</v>
      </c>
      <c r="C67" s="58" t="str">
        <f>VLOOKUP($A67,LIBELLE!A:D,4,FALSE)</f>
        <v>VDP</v>
      </c>
      <c r="D67" s="58" t="str">
        <f>VLOOKUP($A67,LIBELLE!A:F,6,FALSE)</f>
        <v>NA</v>
      </c>
      <c r="E67" s="58" t="str">
        <f>VLOOKUP($A67,LIBELLE!$A:$C,3,FALSE)</f>
        <v>GTIES</v>
      </c>
      <c r="F67" s="58" t="str">
        <f>IF($G67="Acompte","Acompte",VLOOKUP($A67,LIBELLE!A:E,5,FALSE))</f>
        <v>Prév</v>
      </c>
      <c r="G67" s="58" t="s">
        <v>30</v>
      </c>
      <c r="H67" s="59" t="str">
        <f>IF(ISNA(VLOOKUP($G67,DIVERS!$M$1:$N$15,2,FALSE)),"",VLOOKUP($G67,DIVERS!$M$1:$N$15,2,FALSE))</f>
        <v>€ACH ProdPVI</v>
      </c>
      <c r="I67" s="27"/>
      <c r="J67" s="46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51">
        <f>SUM(Tableau3[[#This Row],[31/01/2015]:[31/12/2015]])</f>
        <v>0</v>
      </c>
    </row>
    <row r="68" spans="1:22" x14ac:dyDescent="0.25">
      <c r="A68" s="37" t="s">
        <v>66</v>
      </c>
      <c r="B68" s="58" t="str">
        <f>VLOOKUP($A68,LIBELLE!$A:$B,2,FALSE)</f>
        <v>Kits CKD (Haide,…)</v>
      </c>
      <c r="C68" s="58" t="str">
        <f>VLOOKUP($A68,LIBELLE!A:D,4,FALSE)</f>
        <v>VDP</v>
      </c>
      <c r="D68" s="58" t="str">
        <f>VLOOKUP($A68,LIBELLE!A:F,6,FALSE)</f>
        <v>NA</v>
      </c>
      <c r="E68" s="58" t="str">
        <f>VLOOKUP($A68,LIBELLE!$A:$C,3,FALSE)</f>
        <v>GTIES</v>
      </c>
      <c r="F68" s="58" t="str">
        <f>IF($G68="Acompte","Acompte",VLOOKUP($A68,LIBELLE!A:E,5,FALSE))</f>
        <v>Prév</v>
      </c>
      <c r="G68" s="58" t="s">
        <v>31</v>
      </c>
      <c r="H68" s="59" t="str">
        <f>IF(ISNA(VLOOKUP($G68,DIVERS!$M$1:$N$15,2,FALSE)),"",VLOOKUP($G68,DIVERS!$M$1:$N$15,2,FALSE))</f>
        <v>€ACH Sces+div</v>
      </c>
      <c r="I68" s="27"/>
      <c r="J68" s="46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52">
        <f>SUM(Tableau3[[#This Row],[31/01/2015]:[31/12/2015]])</f>
        <v>0</v>
      </c>
    </row>
    <row r="69" spans="1:22" x14ac:dyDescent="0.25">
      <c r="A69" s="37" t="s">
        <v>66</v>
      </c>
      <c r="B69" s="58" t="str">
        <f>VLOOKUP($A69,LIBELLE!$A:$B,2,FALSE)</f>
        <v>Kits CKD (Haide,…)</v>
      </c>
      <c r="C69" s="58" t="str">
        <f>VLOOKUP($A69,LIBELLE!A:D,4,FALSE)</f>
        <v>VDP</v>
      </c>
      <c r="D69" s="58" t="str">
        <f>VLOOKUP($A69,LIBELLE!A:F,6,FALSE)</f>
        <v>NA</v>
      </c>
      <c r="E69" s="58" t="str">
        <f>VLOOKUP($A69,LIBELLE!$A:$C,3,FALSE)</f>
        <v>GTIES</v>
      </c>
      <c r="F69" s="58" t="str">
        <f>IF($G69="Acompte","Acompte",VLOOKUP($A69,LIBELLE!A:E,5,FALSE))</f>
        <v>Prév</v>
      </c>
      <c r="G69" s="58" t="s">
        <v>83</v>
      </c>
      <c r="H69" s="59" t="str">
        <f>IF(ISNA(VLOOKUP($G69,DIVERS!$M$1:$N$15,2,FALSE)),"",VLOOKUP($G69,DIVERS!$M$1:$N$15,2,FALSE))</f>
        <v>Qté MO GTIE</v>
      </c>
      <c r="I69" s="27"/>
      <c r="J69" s="46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51">
        <f>SUM(Tableau3[[#This Row],[31/01/2015]:[31/12/2015]])</f>
        <v>0</v>
      </c>
    </row>
    <row r="70" spans="1:22" x14ac:dyDescent="0.25">
      <c r="A70" s="38" t="s">
        <v>66</v>
      </c>
      <c r="B70" s="58" t="str">
        <f>VLOOKUP($A70,LIBELLE!$A:$B,2,FALSE)</f>
        <v>Kits CKD (Haide,…)</v>
      </c>
      <c r="C70" s="58" t="str">
        <f>VLOOKUP($A70,LIBELLE!A:D,4,FALSE)</f>
        <v>VDP</v>
      </c>
      <c r="D70" s="58" t="str">
        <f>VLOOKUP($A70,LIBELLE!A:F,6,FALSE)</f>
        <v>NA</v>
      </c>
      <c r="E70" s="58" t="str">
        <f>VLOOKUP($A70,LIBELLE!$A:$C,3,FALSE)</f>
        <v>GTIES</v>
      </c>
      <c r="F70" s="58" t="str">
        <f>IF($G70="Acompte","Acompte",VLOOKUP($A70,LIBELLE!A:E,5,FALSE))</f>
        <v>Prév</v>
      </c>
      <c r="G70" s="58" t="s">
        <v>82</v>
      </c>
      <c r="H70" s="59" t="str">
        <f>IF(ISNA(VLOOKUP($G70,DIVERS!$M$1:$N$15,2,FALSE)),"",VLOOKUP($G70,DIVERS!$M$1:$N$15,2,FALSE))</f>
        <v>Qté MO SRS</v>
      </c>
      <c r="I70" s="27"/>
      <c r="J70" s="48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52">
        <f>SUM(Tableau3[[#This Row],[31/01/2015]:[31/12/2015]])</f>
        <v>0</v>
      </c>
    </row>
    <row r="71" spans="1:22" x14ac:dyDescent="0.25">
      <c r="A71" s="37" t="s">
        <v>66</v>
      </c>
      <c r="B71" s="58" t="str">
        <f>VLOOKUP($A71,LIBELLE!$A:$B,2,FALSE)</f>
        <v>Kits CKD (Haide,…)</v>
      </c>
      <c r="C71" s="58" t="str">
        <f>VLOOKUP($A71,LIBELLE!A:D,4,FALSE)</f>
        <v>VDP</v>
      </c>
      <c r="D71" s="58" t="str">
        <f>VLOOKUP($A71,LIBELLE!A:F,6,FALSE)</f>
        <v>NA</v>
      </c>
      <c r="E71" s="58" t="str">
        <f>VLOOKUP($A71,LIBELLE!$A:$C,3,FALSE)</f>
        <v>GTIES</v>
      </c>
      <c r="F71" s="58" t="str">
        <f>IF($G71="Acompte","Acompte",VLOOKUP($A71,LIBELLE!A:E,5,FALSE))</f>
        <v>Prév</v>
      </c>
      <c r="G71" s="58" t="s">
        <v>7</v>
      </c>
      <c r="H71" s="59">
        <f>IF(ISNA(VLOOKUP($G71,DIVERS!$M$1:$N$15,2,FALSE)),"",VLOOKUP($G71,DIVERS!$M$1:$N$15,2,FALSE))</f>
        <v>0</v>
      </c>
      <c r="I71" s="27"/>
      <c r="J71" s="53">
        <f t="shared" ref="J71:U71" si="14">J69*TxGTIE+J70*TxSRS</f>
        <v>0</v>
      </c>
      <c r="K71" s="53">
        <f t="shared" si="14"/>
        <v>0</v>
      </c>
      <c r="L71" s="53">
        <f t="shared" si="14"/>
        <v>0</v>
      </c>
      <c r="M71" s="53">
        <f t="shared" si="14"/>
        <v>0</v>
      </c>
      <c r="N71" s="53">
        <f t="shared" si="14"/>
        <v>0</v>
      </c>
      <c r="O71" s="53">
        <f t="shared" si="14"/>
        <v>0</v>
      </c>
      <c r="P71" s="53">
        <f t="shared" si="14"/>
        <v>0</v>
      </c>
      <c r="Q71" s="53">
        <f t="shared" si="14"/>
        <v>0</v>
      </c>
      <c r="R71" s="53">
        <f t="shared" si="14"/>
        <v>0</v>
      </c>
      <c r="S71" s="53">
        <f t="shared" si="14"/>
        <v>0</v>
      </c>
      <c r="T71" s="53">
        <f t="shared" si="14"/>
        <v>0</v>
      </c>
      <c r="U71" s="53">
        <f t="shared" si="14"/>
        <v>0</v>
      </c>
      <c r="V71" s="51">
        <f>SUM(Tableau3[[#This Row],[31/01/2015]:[31/12/2015]])</f>
        <v>0</v>
      </c>
    </row>
    <row r="72" spans="1:22" x14ac:dyDescent="0.25">
      <c r="A72" s="37" t="s">
        <v>66</v>
      </c>
      <c r="B72" s="58" t="str">
        <f>VLOOKUP($A72,LIBELLE!$A:$B,2,FALSE)</f>
        <v>Kits CKD (Haide,…)</v>
      </c>
      <c r="C72" s="58" t="str">
        <f>VLOOKUP($A72,LIBELLE!A:D,4,FALSE)</f>
        <v>VDP</v>
      </c>
      <c r="D72" s="58" t="str">
        <f>VLOOKUP($A72,LIBELLE!A:F,6,FALSE)</f>
        <v>NA</v>
      </c>
      <c r="E72" s="58" t="str">
        <f>VLOOKUP($A72,LIBELLE!$A:$C,3,FALSE)</f>
        <v>GTIES</v>
      </c>
      <c r="F72" s="58" t="str">
        <f>IF($G72="Acompte","Acompte",VLOOKUP($A72,LIBELLE!A:E,5,FALSE))</f>
        <v>Prév</v>
      </c>
      <c r="G72" s="58" t="s">
        <v>8</v>
      </c>
      <c r="H72" s="59" t="str">
        <f>IF(ISNA(VLOOKUP($G72,DIVERS!$M$1:$N$15,2,FALSE)),"",VLOOKUP($G72,DIVERS!$M$1:$N$15,2,FALSE))</f>
        <v/>
      </c>
      <c r="I72" s="27"/>
      <c r="J72" s="53">
        <f>SUMIF($G65:$G71,"=CA",J65:J71)*DIVERS!$B$13</f>
        <v>0</v>
      </c>
      <c r="K72" s="53">
        <f>SUMIF($G65:$G71,"=CA",K65:K71)*DIVERS!$B$13</f>
        <v>0</v>
      </c>
      <c r="L72" s="53">
        <f>SUMIF($G65:$G71,"=CA",L65:L71)*DIVERS!$B$13</f>
        <v>0</v>
      </c>
      <c r="M72" s="53">
        <f>SUMIF($G65:$G71,"=CA",M65:M71)*DIVERS!$B$13</f>
        <v>0</v>
      </c>
      <c r="N72" s="53">
        <f>SUMIF($G65:$G71,"=CA",N65:N71)*DIVERS!$B$13</f>
        <v>0</v>
      </c>
      <c r="O72" s="53">
        <f>SUMIF($G65:$G71,"=CA",O65:O71)*DIVERS!$B$13</f>
        <v>0</v>
      </c>
      <c r="P72" s="53">
        <f>SUMIF($G65:$G71,"=CA",P65:P71)*DIVERS!$B$13</f>
        <v>0</v>
      </c>
      <c r="Q72" s="53">
        <f>SUMIF($G65:$G71,"=CA",Q65:Q71)*DIVERS!$B$13</f>
        <v>0</v>
      </c>
      <c r="R72" s="53">
        <f>SUMIF($G65:$G71,"=CA",R65:R71)*DIVERS!$B$13</f>
        <v>0</v>
      </c>
      <c r="S72" s="53">
        <f>SUMIF($G65:$G71,"=CA",S65:S71)*DIVERS!$B$13</f>
        <v>0</v>
      </c>
      <c r="T72" s="53">
        <f>SUMIF($G65:$G71,"=CA",T65:T71)*DIVERS!$B$13</f>
        <v>0</v>
      </c>
      <c r="U72" s="53">
        <f>SUMIF($G65:$G71,"=CA",U65:U71)*DIVERS!$B$13</f>
        <v>0</v>
      </c>
      <c r="V72" s="52">
        <f>SUM(Tableau3[[#This Row],[31/01/2015]:[31/12/2015]])</f>
        <v>0</v>
      </c>
    </row>
    <row r="73" spans="1:22" ht="15.75" thickBot="1" x14ac:dyDescent="0.3">
      <c r="A73" s="39" t="s">
        <v>66</v>
      </c>
      <c r="B73" s="60" t="str">
        <f>VLOOKUP($A73,LIBELLE!$A:$B,2,FALSE)</f>
        <v>Kits CKD (Haide,…)</v>
      </c>
      <c r="C73" s="60" t="str">
        <f>VLOOKUP($A73,LIBELLE!A:D,4,FALSE)</f>
        <v>VDP</v>
      </c>
      <c r="D73" s="60" t="str">
        <f>VLOOKUP($A73,LIBELLE!A:F,6,FALSE)</f>
        <v>NA</v>
      </c>
      <c r="E73" s="60" t="str">
        <f>VLOOKUP($A73,LIBELLE!$A:$C,3,FALSE)</f>
        <v>GTIES</v>
      </c>
      <c r="F73" s="60" t="str">
        <f>IF($G73="Acompte","Acompte",VLOOKUP($A73,LIBELLE!A:E,5,FALSE))</f>
        <v>Prév</v>
      </c>
      <c r="G73" s="60" t="s">
        <v>48</v>
      </c>
      <c r="H73" s="61" t="str">
        <f>IF(ISNA(VLOOKUP($G73,DIVERS!$M$1:$N$15,2,FALSE)),"",VLOOKUP($G73,DIVERS!$M$1:$N$15,2,FALSE))</f>
        <v/>
      </c>
      <c r="I73" s="32"/>
      <c r="J73" s="54">
        <f t="shared" ref="J73:U73" si="15">SUM(J65:J68,J71:J72)</f>
        <v>0</v>
      </c>
      <c r="K73" s="54">
        <f t="shared" si="15"/>
        <v>0</v>
      </c>
      <c r="L73" s="54">
        <f t="shared" si="15"/>
        <v>0</v>
      </c>
      <c r="M73" s="54">
        <f t="shared" si="15"/>
        <v>0</v>
      </c>
      <c r="N73" s="54">
        <f t="shared" si="15"/>
        <v>0</v>
      </c>
      <c r="O73" s="54">
        <f t="shared" si="15"/>
        <v>0</v>
      </c>
      <c r="P73" s="54">
        <f t="shared" si="15"/>
        <v>0</v>
      </c>
      <c r="Q73" s="54">
        <f t="shared" si="15"/>
        <v>0</v>
      </c>
      <c r="R73" s="54">
        <f t="shared" si="15"/>
        <v>0</v>
      </c>
      <c r="S73" s="54">
        <f t="shared" si="15"/>
        <v>0</v>
      </c>
      <c r="T73" s="54">
        <f t="shared" si="15"/>
        <v>0</v>
      </c>
      <c r="U73" s="54">
        <f t="shared" si="15"/>
        <v>0</v>
      </c>
      <c r="V73" s="55">
        <f>SUM(Tableau3[[#This Row],[31/01/2015]:[31/12/2015]])</f>
        <v>0</v>
      </c>
    </row>
    <row r="74" spans="1:22" x14ac:dyDescent="0.25">
      <c r="A74" s="36" t="s">
        <v>75</v>
      </c>
      <c r="B74" s="56" t="str">
        <f>VLOOKUP($A74,LIBELLE!$A:$B,2,FALSE)</f>
        <v>GTIES - A RENSEIGNER</v>
      </c>
      <c r="C74" s="56" t="str">
        <f>VLOOKUP($A74,LIBELLE!A:D,4,FALSE)</f>
        <v>VDP</v>
      </c>
      <c r="D74" s="56" t="str">
        <f>VLOOKUP($A74,LIBELLE!A:F,6,FALSE)</f>
        <v>NA</v>
      </c>
      <c r="E74" s="56" t="str">
        <f>VLOOKUP($A74,LIBELLE!$A:$C,3,FALSE)</f>
        <v>GTIES</v>
      </c>
      <c r="F74" s="56" t="str">
        <f>IF($G74="Acompte","Acompte",VLOOKUP($A74,LIBELLE!A:E,5,FALSE))</f>
        <v>Prév</v>
      </c>
      <c r="G74" s="56" t="s">
        <v>28</v>
      </c>
      <c r="H74" s="57" t="str">
        <f>IF(ISNA(VLOOKUP($G74,DIVERS!$M$1:$N$15,2,FALSE)),"",VLOOKUP($G74,DIVERS!$M$1:$N$15,2,FALSE))</f>
        <v>Tot VTE</v>
      </c>
      <c r="I74" s="27"/>
      <c r="J74" s="46">
        <v>0</v>
      </c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50">
        <f>SUM(Tableau3[[#This Row],[31/01/2015]:[31/12/2015]])</f>
        <v>0</v>
      </c>
    </row>
    <row r="75" spans="1:22" x14ac:dyDescent="0.25">
      <c r="A75" s="38" t="s">
        <v>75</v>
      </c>
      <c r="B75" s="58" t="str">
        <f>VLOOKUP($A75,LIBELLE!$A:$B,2,FALSE)</f>
        <v>GTIES - A RENSEIGNER</v>
      </c>
      <c r="C75" s="58" t="str">
        <f>VLOOKUP($A75,LIBELLE!A:D,4,FALSE)</f>
        <v>VDP</v>
      </c>
      <c r="D75" s="58" t="str">
        <f>VLOOKUP($A75,LIBELLE!A:F,6,FALSE)</f>
        <v>NA</v>
      </c>
      <c r="E75" s="58" t="str">
        <f>VLOOKUP($A75,LIBELLE!$A:$C,3,FALSE)</f>
        <v>GTIES</v>
      </c>
      <c r="F75" s="58" t="str">
        <f>IF($G75="Acompte","Acompte",VLOOKUP($A75,LIBELLE!A:E,5,FALSE))</f>
        <v>Prév</v>
      </c>
      <c r="G75" s="58" t="s">
        <v>29</v>
      </c>
      <c r="H75" s="59" t="str">
        <f>IF(ISNA(VLOOKUP($G75,DIVERS!$M$1:$N$15,2,FALSE)),"",VLOOKUP($G75,DIVERS!$M$1:$N$15,2,FALSE))</f>
        <v>€TEC FERRRO-R&amp;D</v>
      </c>
      <c r="I75" s="27"/>
      <c r="J75" s="46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52">
        <f>SUM(Tableau3[[#This Row],[31/01/2015]:[31/12/2015]])</f>
        <v>0</v>
      </c>
    </row>
    <row r="76" spans="1:22" x14ac:dyDescent="0.25">
      <c r="A76" s="38" t="s">
        <v>75</v>
      </c>
      <c r="B76" s="58" t="str">
        <f>VLOOKUP($A76,LIBELLE!$A:$B,2,FALSE)</f>
        <v>GTIES - A RENSEIGNER</v>
      </c>
      <c r="C76" s="58" t="str">
        <f>VLOOKUP($A76,LIBELLE!A:D,4,FALSE)</f>
        <v>VDP</v>
      </c>
      <c r="D76" s="58" t="str">
        <f>VLOOKUP($A76,LIBELLE!A:F,6,FALSE)</f>
        <v>NA</v>
      </c>
      <c r="E76" s="58" t="str">
        <f>VLOOKUP($A76,LIBELLE!$A:$C,3,FALSE)</f>
        <v>GTIES</v>
      </c>
      <c r="F76" s="58" t="str">
        <f>IF($G76="Acompte","Acompte",VLOOKUP($A76,LIBELLE!A:E,5,FALSE))</f>
        <v>Prév</v>
      </c>
      <c r="G76" s="58" t="s">
        <v>30</v>
      </c>
      <c r="H76" s="59" t="str">
        <f>IF(ISNA(VLOOKUP($G76,DIVERS!$M$1:$N$15,2,FALSE)),"",VLOOKUP($G76,DIVERS!$M$1:$N$15,2,FALSE))</f>
        <v>€ACH ProdPVI</v>
      </c>
      <c r="I76" s="27"/>
      <c r="J76" s="46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51">
        <f>SUM(Tableau3[[#This Row],[31/01/2015]:[31/12/2015]])</f>
        <v>0</v>
      </c>
    </row>
    <row r="77" spans="1:22" x14ac:dyDescent="0.25">
      <c r="A77" s="37" t="s">
        <v>75</v>
      </c>
      <c r="B77" s="58" t="str">
        <f>VLOOKUP($A77,LIBELLE!$A:$B,2,FALSE)</f>
        <v>GTIES - A RENSEIGNER</v>
      </c>
      <c r="C77" s="58" t="str">
        <f>VLOOKUP($A77,LIBELLE!A:D,4,FALSE)</f>
        <v>VDP</v>
      </c>
      <c r="D77" s="58" t="str">
        <f>VLOOKUP($A77,LIBELLE!A:F,6,FALSE)</f>
        <v>NA</v>
      </c>
      <c r="E77" s="58" t="str">
        <f>VLOOKUP($A77,LIBELLE!$A:$C,3,FALSE)</f>
        <v>GTIES</v>
      </c>
      <c r="F77" s="58" t="str">
        <f>IF($G77="Acompte","Acompte",VLOOKUP($A77,LIBELLE!A:E,5,FALSE))</f>
        <v>Prév</v>
      </c>
      <c r="G77" s="58" t="s">
        <v>31</v>
      </c>
      <c r="H77" s="59" t="str">
        <f>IF(ISNA(VLOOKUP($G77,DIVERS!$M$1:$N$15,2,FALSE)),"",VLOOKUP($G77,DIVERS!$M$1:$N$15,2,FALSE))</f>
        <v>€ACH Sces+div</v>
      </c>
      <c r="I77" s="27"/>
      <c r="J77" s="46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52">
        <f>SUM(Tableau3[[#This Row],[31/01/2015]:[31/12/2015]])</f>
        <v>0</v>
      </c>
    </row>
    <row r="78" spans="1:22" x14ac:dyDescent="0.25">
      <c r="A78" s="37" t="s">
        <v>75</v>
      </c>
      <c r="B78" s="58" t="str">
        <f>VLOOKUP($A78,LIBELLE!$A:$B,2,FALSE)</f>
        <v>GTIES - A RENSEIGNER</v>
      </c>
      <c r="C78" s="58" t="str">
        <f>VLOOKUP($A78,LIBELLE!A:D,4,FALSE)</f>
        <v>VDP</v>
      </c>
      <c r="D78" s="58" t="str">
        <f>VLOOKUP($A78,LIBELLE!A:F,6,FALSE)</f>
        <v>NA</v>
      </c>
      <c r="E78" s="58" t="str">
        <f>VLOOKUP($A78,LIBELLE!$A:$C,3,FALSE)</f>
        <v>GTIES</v>
      </c>
      <c r="F78" s="58" t="str">
        <f>IF($G78="Acompte","Acompte",VLOOKUP($A78,LIBELLE!A:E,5,FALSE))</f>
        <v>Prév</v>
      </c>
      <c r="G78" s="58" t="s">
        <v>83</v>
      </c>
      <c r="H78" s="59" t="str">
        <f>IF(ISNA(VLOOKUP($G78,DIVERS!$M$1:$N$15,2,FALSE)),"",VLOOKUP($G78,DIVERS!$M$1:$N$15,2,FALSE))</f>
        <v>Qté MO GTIE</v>
      </c>
      <c r="I78" s="27"/>
      <c r="J78" s="46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51">
        <f>SUM(Tableau3[[#This Row],[31/01/2015]:[31/12/2015]])</f>
        <v>0</v>
      </c>
    </row>
    <row r="79" spans="1:22" x14ac:dyDescent="0.25">
      <c r="A79" s="38" t="s">
        <v>75</v>
      </c>
      <c r="B79" s="58" t="str">
        <f>VLOOKUP($A79,LIBELLE!$A:$B,2,FALSE)</f>
        <v>GTIES - A RENSEIGNER</v>
      </c>
      <c r="C79" s="58" t="str">
        <f>VLOOKUP($A79,LIBELLE!A:D,4,FALSE)</f>
        <v>VDP</v>
      </c>
      <c r="D79" s="58" t="str">
        <f>VLOOKUP($A79,LIBELLE!A:F,6,FALSE)</f>
        <v>NA</v>
      </c>
      <c r="E79" s="58" t="str">
        <f>VLOOKUP($A79,LIBELLE!$A:$C,3,FALSE)</f>
        <v>GTIES</v>
      </c>
      <c r="F79" s="58" t="str">
        <f>IF($G79="Acompte","Acompte",VLOOKUP($A79,LIBELLE!A:E,5,FALSE))</f>
        <v>Prév</v>
      </c>
      <c r="G79" s="58" t="s">
        <v>82</v>
      </c>
      <c r="H79" s="59" t="str">
        <f>IF(ISNA(VLOOKUP($G79,DIVERS!$M$1:$N$15,2,FALSE)),"",VLOOKUP($G79,DIVERS!$M$1:$N$15,2,FALSE))</f>
        <v>Qté MO SRS</v>
      </c>
      <c r="I79" s="27"/>
      <c r="J79" s="48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52">
        <f>SUM(Tableau3[[#This Row],[31/01/2015]:[31/12/2015]])</f>
        <v>0</v>
      </c>
    </row>
    <row r="80" spans="1:22" x14ac:dyDescent="0.25">
      <c r="A80" s="37" t="s">
        <v>75</v>
      </c>
      <c r="B80" s="58" t="str">
        <f>VLOOKUP($A80,LIBELLE!$A:$B,2,FALSE)</f>
        <v>GTIES - A RENSEIGNER</v>
      </c>
      <c r="C80" s="58" t="str">
        <f>VLOOKUP($A80,LIBELLE!A:D,4,FALSE)</f>
        <v>VDP</v>
      </c>
      <c r="D80" s="58" t="str">
        <f>VLOOKUP($A80,LIBELLE!A:F,6,FALSE)</f>
        <v>NA</v>
      </c>
      <c r="E80" s="58" t="str">
        <f>VLOOKUP($A80,LIBELLE!$A:$C,3,FALSE)</f>
        <v>GTIES</v>
      </c>
      <c r="F80" s="58" t="str">
        <f>IF($G80="Acompte","Acompte",VLOOKUP($A80,LIBELLE!A:E,5,FALSE))</f>
        <v>Prév</v>
      </c>
      <c r="G80" s="58" t="s">
        <v>7</v>
      </c>
      <c r="H80" s="59">
        <f>IF(ISNA(VLOOKUP($G80,DIVERS!$M$1:$N$15,2,FALSE)),"",VLOOKUP($G80,DIVERS!$M$1:$N$15,2,FALSE))</f>
        <v>0</v>
      </c>
      <c r="I80" s="27"/>
      <c r="J80" s="53">
        <f t="shared" ref="J80:U80" si="16">J78*TxGTIE+J79*TxSRS</f>
        <v>0</v>
      </c>
      <c r="K80" s="53">
        <f t="shared" si="16"/>
        <v>0</v>
      </c>
      <c r="L80" s="53">
        <f t="shared" si="16"/>
        <v>0</v>
      </c>
      <c r="M80" s="53">
        <f t="shared" si="16"/>
        <v>0</v>
      </c>
      <c r="N80" s="53">
        <f t="shared" si="16"/>
        <v>0</v>
      </c>
      <c r="O80" s="53">
        <f t="shared" si="16"/>
        <v>0</v>
      </c>
      <c r="P80" s="53">
        <f t="shared" si="16"/>
        <v>0</v>
      </c>
      <c r="Q80" s="53">
        <f t="shared" si="16"/>
        <v>0</v>
      </c>
      <c r="R80" s="53">
        <f t="shared" si="16"/>
        <v>0</v>
      </c>
      <c r="S80" s="53">
        <f t="shared" si="16"/>
        <v>0</v>
      </c>
      <c r="T80" s="53">
        <f t="shared" si="16"/>
        <v>0</v>
      </c>
      <c r="U80" s="53">
        <f t="shared" si="16"/>
        <v>0</v>
      </c>
      <c r="V80" s="51">
        <f>SUM(Tableau3[[#This Row],[31/01/2015]:[31/12/2015]])</f>
        <v>0</v>
      </c>
    </row>
    <row r="81" spans="1:22" x14ac:dyDescent="0.25">
      <c r="A81" s="37" t="s">
        <v>75</v>
      </c>
      <c r="B81" s="58" t="str">
        <f>VLOOKUP($A81,LIBELLE!$A:$B,2,FALSE)</f>
        <v>GTIES - A RENSEIGNER</v>
      </c>
      <c r="C81" s="58" t="str">
        <f>VLOOKUP($A81,LIBELLE!A:D,4,FALSE)</f>
        <v>VDP</v>
      </c>
      <c r="D81" s="58" t="str">
        <f>VLOOKUP($A81,LIBELLE!A:F,6,FALSE)</f>
        <v>NA</v>
      </c>
      <c r="E81" s="58" t="str">
        <f>VLOOKUP($A81,LIBELLE!$A:$C,3,FALSE)</f>
        <v>GTIES</v>
      </c>
      <c r="F81" s="58" t="str">
        <f>IF($G81="Acompte","Acompte",VLOOKUP($A81,LIBELLE!A:E,5,FALSE))</f>
        <v>Prév</v>
      </c>
      <c r="G81" s="58" t="s">
        <v>8</v>
      </c>
      <c r="H81" s="59" t="str">
        <f>IF(ISNA(VLOOKUP($G81,DIVERS!$M$1:$N$15,2,FALSE)),"",VLOOKUP($G81,DIVERS!$M$1:$N$15,2,FALSE))</f>
        <v/>
      </c>
      <c r="I81" s="27"/>
      <c r="J81" s="53">
        <f>SUMIF($G74:$G80,"=CA",J74:J80)*DIVERS!$B$13</f>
        <v>0</v>
      </c>
      <c r="K81" s="53">
        <f>SUMIF($G74:$G80,"=CA",K74:K80)*DIVERS!$B$13</f>
        <v>0</v>
      </c>
      <c r="L81" s="53">
        <f>SUMIF($G74:$G80,"=CA",L74:L80)*DIVERS!$B$13</f>
        <v>0</v>
      </c>
      <c r="M81" s="53">
        <f>SUMIF($G74:$G80,"=CA",M74:M80)*DIVERS!$B$13</f>
        <v>0</v>
      </c>
      <c r="N81" s="53">
        <f>SUMIF($G74:$G80,"=CA",N74:N80)*DIVERS!$B$13</f>
        <v>0</v>
      </c>
      <c r="O81" s="53">
        <f>SUMIF($G74:$G80,"=CA",O74:O80)*DIVERS!$B$13</f>
        <v>0</v>
      </c>
      <c r="P81" s="53">
        <f>SUMIF($G74:$G80,"=CA",P74:P80)*DIVERS!$B$13</f>
        <v>0</v>
      </c>
      <c r="Q81" s="53">
        <f>SUMIF($G74:$G80,"=CA",Q74:Q80)*DIVERS!$B$13</f>
        <v>0</v>
      </c>
      <c r="R81" s="53">
        <f>SUMIF($G74:$G80,"=CA",R74:R80)*DIVERS!$B$13</f>
        <v>0</v>
      </c>
      <c r="S81" s="53">
        <f>SUMIF($G74:$G80,"=CA",S74:S80)*DIVERS!$B$13</f>
        <v>0</v>
      </c>
      <c r="T81" s="53">
        <f>SUMIF($G74:$G80,"=CA",T74:T80)*DIVERS!$B$13</f>
        <v>0</v>
      </c>
      <c r="U81" s="53">
        <f>SUMIF($G74:$G80,"=CA",U74:U80)*DIVERS!$B$13</f>
        <v>0</v>
      </c>
      <c r="V81" s="52">
        <f>SUM(Tableau3[[#This Row],[31/01/2015]:[31/12/2015]])</f>
        <v>0</v>
      </c>
    </row>
    <row r="82" spans="1:22" ht="15.75" thickBot="1" x14ac:dyDescent="0.3">
      <c r="A82" s="39" t="s">
        <v>75</v>
      </c>
      <c r="B82" s="60" t="str">
        <f>VLOOKUP($A82,LIBELLE!$A:$B,2,FALSE)</f>
        <v>GTIES - A RENSEIGNER</v>
      </c>
      <c r="C82" s="60" t="str">
        <f>VLOOKUP($A82,LIBELLE!A:D,4,FALSE)</f>
        <v>VDP</v>
      </c>
      <c r="D82" s="60" t="str">
        <f>VLOOKUP($A82,LIBELLE!A:F,6,FALSE)</f>
        <v>NA</v>
      </c>
      <c r="E82" s="60" t="str">
        <f>VLOOKUP($A82,LIBELLE!$A:$C,3,FALSE)</f>
        <v>GTIES</v>
      </c>
      <c r="F82" s="60" t="str">
        <f>IF($G82="Acompte","Acompte",VLOOKUP($A82,LIBELLE!A:E,5,FALSE))</f>
        <v>Prév</v>
      </c>
      <c r="G82" s="60" t="s">
        <v>48</v>
      </c>
      <c r="H82" s="61" t="str">
        <f>IF(ISNA(VLOOKUP($G82,DIVERS!$M$1:$N$15,2,FALSE)),"",VLOOKUP($G82,DIVERS!$M$1:$N$15,2,FALSE))</f>
        <v/>
      </c>
      <c r="I82" s="32"/>
      <c r="J82" s="54">
        <f t="shared" ref="J82:U82" si="17">SUM(J74:J77,J80:J81)</f>
        <v>0</v>
      </c>
      <c r="K82" s="54">
        <f t="shared" si="17"/>
        <v>0</v>
      </c>
      <c r="L82" s="54">
        <f t="shared" si="17"/>
        <v>0</v>
      </c>
      <c r="M82" s="54">
        <f t="shared" si="17"/>
        <v>0</v>
      </c>
      <c r="N82" s="54">
        <f t="shared" si="17"/>
        <v>0</v>
      </c>
      <c r="O82" s="54">
        <f t="shared" si="17"/>
        <v>0</v>
      </c>
      <c r="P82" s="54">
        <f t="shared" si="17"/>
        <v>0</v>
      </c>
      <c r="Q82" s="54">
        <f t="shared" si="17"/>
        <v>0</v>
      </c>
      <c r="R82" s="54">
        <f t="shared" si="17"/>
        <v>0</v>
      </c>
      <c r="S82" s="54">
        <f t="shared" si="17"/>
        <v>0</v>
      </c>
      <c r="T82" s="54">
        <f t="shared" si="17"/>
        <v>0</v>
      </c>
      <c r="U82" s="54">
        <f t="shared" si="17"/>
        <v>0</v>
      </c>
      <c r="V82" s="55">
        <f>SUM(Tableau3[[#This Row],[31/01/2015]:[31/12/2015]])</f>
        <v>0</v>
      </c>
    </row>
  </sheetData>
  <pageMargins left="0.28999999999999998" right="0.31496062992125984" top="0.45" bottom="0.55118110236220474" header="0.19685039370078741" footer="0.19685039370078741"/>
  <pageSetup paperSize="8" scale="61" fitToHeight="3" orientation="landscape" cellComments="asDisplayed" r:id="rId1"/>
  <headerFooter>
    <oddHeader>&amp;R&amp;16&amp;A</oddHeader>
    <oddFooter>&amp;L&amp;14&amp;Z&amp;F&amp;R&amp;14&amp;P sur &amp;N</oddFooter>
  </headerFooter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B32"/>
  <sheetViews>
    <sheetView showZeros="0" tabSelected="1" zoomScale="85" zoomScaleNormal="85" workbookViewId="0">
      <selection activeCell="F34" sqref="F34"/>
    </sheetView>
  </sheetViews>
  <sheetFormatPr baseColWidth="10" defaultRowHeight="12.75" outlineLevelRow="1" x14ac:dyDescent="0.2"/>
  <cols>
    <col min="1" max="1" width="23.42578125" style="1" bestFit="1" customWidth="1"/>
    <col min="2" max="2" width="8.140625" style="1" customWidth="1"/>
    <col min="3" max="3" width="8.85546875" style="1" customWidth="1"/>
    <col min="4" max="4" width="30.42578125" style="1" bestFit="1" customWidth="1"/>
    <col min="5" max="5" width="22.85546875" style="1" customWidth="1"/>
    <col min="6" max="6" width="20.42578125" style="1" customWidth="1"/>
    <col min="7" max="7" width="10.28515625" style="1" bestFit="1" customWidth="1"/>
    <col min="8" max="8" width="5.140625" style="1" customWidth="1"/>
    <col min="9" max="9" width="5.140625" style="22" customWidth="1"/>
    <col min="10" max="10" width="3.5703125" style="20" customWidth="1"/>
    <col min="11" max="11" width="9.28515625" style="1" customWidth="1"/>
    <col min="12" max="24" width="7.140625" style="1" customWidth="1"/>
    <col min="25" max="25" width="8.28515625" style="1" customWidth="1"/>
    <col min="26" max="26" width="8.85546875" style="1" customWidth="1"/>
    <col min="27" max="27" width="8.28515625" style="20" customWidth="1"/>
    <col min="28" max="28" width="11.42578125" style="17"/>
    <col min="29" max="16384" width="11.42578125" style="1"/>
  </cols>
  <sheetData>
    <row r="1" spans="1:28" outlineLevel="1" x14ac:dyDescent="0.2"/>
    <row r="2" spans="1:28" outlineLevel="1" x14ac:dyDescent="0.2">
      <c r="AA2" s="1"/>
      <c r="AB2" s="1"/>
    </row>
    <row r="3" spans="1:28" outlineLevel="1" x14ac:dyDescent="0.2">
      <c r="K3" s="3" t="s">
        <v>35</v>
      </c>
      <c r="L3" s="3"/>
      <c r="M3" s="3" t="s">
        <v>35</v>
      </c>
      <c r="N3" s="3" t="s">
        <v>35</v>
      </c>
      <c r="O3" s="3" t="s">
        <v>35</v>
      </c>
      <c r="P3" s="3" t="s">
        <v>35</v>
      </c>
      <c r="Q3" s="3" t="s">
        <v>35</v>
      </c>
      <c r="R3" s="3" t="s">
        <v>35</v>
      </c>
      <c r="S3" s="3" t="s">
        <v>35</v>
      </c>
      <c r="T3" s="3" t="s">
        <v>35</v>
      </c>
      <c r="U3" s="3" t="s">
        <v>35</v>
      </c>
      <c r="V3" s="3" t="s">
        <v>35</v>
      </c>
      <c r="W3" s="3" t="s">
        <v>35</v>
      </c>
      <c r="X3" s="3" t="s">
        <v>35</v>
      </c>
      <c r="Z3" s="3" t="s">
        <v>20</v>
      </c>
      <c r="AA3" s="1"/>
      <c r="AB3" s="1"/>
    </row>
    <row r="4" spans="1:28" outlineLevel="1" x14ac:dyDescent="0.2">
      <c r="M4" s="1" t="s">
        <v>19</v>
      </c>
      <c r="N4" s="1" t="s">
        <v>19</v>
      </c>
      <c r="O4" s="1" t="s">
        <v>19</v>
      </c>
      <c r="P4" s="1" t="s">
        <v>19</v>
      </c>
      <c r="Q4" s="1" t="s">
        <v>19</v>
      </c>
      <c r="R4" s="1" t="s">
        <v>18</v>
      </c>
      <c r="S4" s="1" t="s">
        <v>18</v>
      </c>
      <c r="T4" s="1" t="s">
        <v>18</v>
      </c>
      <c r="U4" s="1" t="s">
        <v>18</v>
      </c>
      <c r="V4" s="1" t="s">
        <v>18</v>
      </c>
      <c r="W4" s="1" t="s">
        <v>18</v>
      </c>
      <c r="X4" s="1" t="s">
        <v>18</v>
      </c>
      <c r="AA4" s="1"/>
      <c r="AB4" s="1"/>
    </row>
    <row r="5" spans="1:28" outlineLevel="1" x14ac:dyDescent="0.2">
      <c r="K5" s="1">
        <v>2</v>
      </c>
      <c r="M5" s="1">
        <v>4</v>
      </c>
      <c r="N5" s="1">
        <v>5</v>
      </c>
      <c r="O5" s="1">
        <v>6</v>
      </c>
      <c r="P5" s="1">
        <v>7</v>
      </c>
      <c r="Q5" s="1">
        <v>8</v>
      </c>
      <c r="R5" s="1">
        <v>13</v>
      </c>
      <c r="S5" s="1">
        <v>15</v>
      </c>
      <c r="T5" s="1">
        <v>10</v>
      </c>
      <c r="U5" s="1">
        <v>12</v>
      </c>
      <c r="V5" s="1">
        <v>14</v>
      </c>
      <c r="W5" s="1">
        <v>16</v>
      </c>
      <c r="X5" s="1">
        <v>11</v>
      </c>
      <c r="Z5" s="3"/>
      <c r="AA5" s="1"/>
      <c r="AB5" s="1"/>
    </row>
    <row r="6" spans="1:28" ht="51" x14ac:dyDescent="0.2">
      <c r="A6" s="4" t="s">
        <v>0</v>
      </c>
      <c r="B6" s="4" t="s">
        <v>2</v>
      </c>
      <c r="C6" s="4" t="s">
        <v>16</v>
      </c>
      <c r="D6" s="4" t="s">
        <v>22</v>
      </c>
      <c r="E6" s="4" t="s">
        <v>3</v>
      </c>
      <c r="F6" s="4" t="s">
        <v>9</v>
      </c>
      <c r="G6" s="4" t="s">
        <v>4</v>
      </c>
      <c r="H6" s="4" t="s">
        <v>1</v>
      </c>
      <c r="I6" s="4" t="s">
        <v>49</v>
      </c>
      <c r="J6" s="21" t="s">
        <v>46</v>
      </c>
      <c r="K6" s="4" t="s">
        <v>13</v>
      </c>
      <c r="L6" s="4" t="s">
        <v>36</v>
      </c>
      <c r="M6" s="4" t="s">
        <v>41</v>
      </c>
      <c r="N6" s="25" t="s">
        <v>42</v>
      </c>
      <c r="O6" s="25" t="s">
        <v>43</v>
      </c>
      <c r="P6" s="25" t="s">
        <v>44</v>
      </c>
      <c r="Q6" s="25" t="s">
        <v>45</v>
      </c>
      <c r="R6" s="4" t="s">
        <v>84</v>
      </c>
      <c r="S6" s="4" t="s">
        <v>33</v>
      </c>
      <c r="T6" s="4" t="s">
        <v>83</v>
      </c>
      <c r="U6" s="4" t="s">
        <v>85</v>
      </c>
      <c r="V6" s="4" t="s">
        <v>86</v>
      </c>
      <c r="W6" s="4" t="s">
        <v>81</v>
      </c>
      <c r="X6" s="4" t="s">
        <v>82</v>
      </c>
      <c r="Y6" s="4" t="s">
        <v>38</v>
      </c>
      <c r="Z6" s="4" t="s">
        <v>15</v>
      </c>
      <c r="AA6" s="1"/>
      <c r="AB6" s="1"/>
    </row>
    <row r="7" spans="1:28" x14ac:dyDescent="0.2">
      <c r="A7" s="14" t="s">
        <v>14</v>
      </c>
      <c r="B7" s="14" t="s">
        <v>17</v>
      </c>
      <c r="C7" s="14"/>
      <c r="D7" s="14"/>
      <c r="E7" s="14"/>
      <c r="F7" s="14"/>
      <c r="G7" s="15">
        <v>42035</v>
      </c>
      <c r="H7" s="16"/>
      <c r="I7" s="16"/>
      <c r="J7" s="19">
        <f>IF(YEAR(Base[[#This Row],[Date]])=2015,ROUNDDOWN((MONTH(Base[[#This Row],[Date]])-1)/3,0)+1,"")</f>
        <v>1</v>
      </c>
      <c r="K7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7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7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7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7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7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7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7" s="2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7" s="2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7" s="2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7" s="2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7" s="2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7" s="2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7" s="2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7" s="19">
        <f>SUM(Base[[#This Row],[Qté MO ESC]:[Qté MO SRS]])</f>
        <v>0</v>
      </c>
      <c r="Z7" s="13">
        <f>EOMONTH(BaseActivité!$G7,0)</f>
        <v>42035</v>
      </c>
      <c r="AA7" s="1"/>
      <c r="AB7" s="1"/>
    </row>
    <row r="8" spans="1:28" x14ac:dyDescent="0.2">
      <c r="A8" s="14" t="s">
        <v>14</v>
      </c>
      <c r="B8" s="14" t="s">
        <v>17</v>
      </c>
      <c r="C8" s="14"/>
      <c r="D8" s="14"/>
      <c r="E8" s="14"/>
      <c r="F8" s="14"/>
      <c r="G8" s="15">
        <v>42063</v>
      </c>
      <c r="H8" s="16"/>
      <c r="I8" s="16"/>
      <c r="J8" s="19">
        <f>IF(YEAR(Base[[#This Row],[Date]])=2015,ROUNDDOWN((MONTH(Base[[#This Row],[Date]])-1)/3,0)+1,"")</f>
        <v>1</v>
      </c>
      <c r="K8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8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8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8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8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8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8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8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8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8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8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8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8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8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8" s="19">
        <f>SUM(Base[[#This Row],[Qté MO ESC]:[Qté MO SRS]])</f>
        <v>0</v>
      </c>
      <c r="Z8" s="13">
        <f>EOMONTH(BaseActivité!$G8,0)</f>
        <v>42063</v>
      </c>
      <c r="AA8" s="1"/>
      <c r="AB8" s="1"/>
    </row>
    <row r="9" spans="1:28" x14ac:dyDescent="0.2">
      <c r="A9" s="14" t="s">
        <v>14</v>
      </c>
      <c r="B9" s="14" t="s">
        <v>17</v>
      </c>
      <c r="C9" s="14"/>
      <c r="D9" s="14"/>
      <c r="E9" s="14"/>
      <c r="F9" s="14"/>
      <c r="G9" s="15">
        <v>42094</v>
      </c>
      <c r="H9" s="16"/>
      <c r="I9" s="16"/>
      <c r="J9" s="19">
        <f>IF(YEAR(Base[[#This Row],[Date]])=2015,ROUNDDOWN((MONTH(Base[[#This Row],[Date]])-1)/3,0)+1,"")</f>
        <v>1</v>
      </c>
      <c r="K9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9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9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9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9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9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9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9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9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9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9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9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9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9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9" s="19">
        <f>SUM(Base[[#This Row],[Qté MO ESC]:[Qté MO SRS]])</f>
        <v>0</v>
      </c>
      <c r="Z9" s="13">
        <f>EOMONTH(BaseActivité!$G9,0)</f>
        <v>42094</v>
      </c>
      <c r="AA9" s="1"/>
      <c r="AB9" s="1"/>
    </row>
    <row r="10" spans="1:28" x14ac:dyDescent="0.2">
      <c r="A10" s="14" t="s">
        <v>14</v>
      </c>
      <c r="B10" s="14" t="s">
        <v>17</v>
      </c>
      <c r="C10" s="14"/>
      <c r="D10" s="14"/>
      <c r="E10" s="14"/>
      <c r="F10" s="14"/>
      <c r="G10" s="15">
        <v>42124</v>
      </c>
      <c r="H10" s="16"/>
      <c r="I10" s="16"/>
      <c r="J10" s="19">
        <f>IF(YEAR(Base[[#This Row],[Date]])=2015,ROUNDDOWN((MONTH(Base[[#This Row],[Date]])-1)/3,0)+1,"")</f>
        <v>2</v>
      </c>
      <c r="K10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0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0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0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0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0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0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0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0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0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0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0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0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0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0" s="19">
        <f>SUM(Base[[#This Row],[Qté MO ESC]:[Qté MO SRS]])</f>
        <v>0</v>
      </c>
      <c r="Z10" s="13">
        <f>EOMONTH(BaseActivité!$G10,0)</f>
        <v>42124</v>
      </c>
      <c r="AA10" s="1"/>
      <c r="AB10" s="1"/>
    </row>
    <row r="11" spans="1:28" x14ac:dyDescent="0.2">
      <c r="A11" s="14" t="s">
        <v>14</v>
      </c>
      <c r="B11" s="14" t="s">
        <v>17</v>
      </c>
      <c r="C11" s="14"/>
      <c r="D11" s="14"/>
      <c r="E11" s="14"/>
      <c r="F11" s="14"/>
      <c r="G11" s="15">
        <v>42155</v>
      </c>
      <c r="H11" s="16"/>
      <c r="I11" s="16"/>
      <c r="J11" s="19">
        <f>IF(YEAR(Base[[#This Row],[Date]])=2015,ROUNDDOWN((MONTH(Base[[#This Row],[Date]])-1)/3,0)+1,"")</f>
        <v>2</v>
      </c>
      <c r="K11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1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1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1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1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1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1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1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1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1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1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1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1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1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1" s="19">
        <f>SUM(Base[[#This Row],[Qté MO ESC]:[Qté MO SRS]])</f>
        <v>0</v>
      </c>
      <c r="Z11" s="13">
        <f>EOMONTH(BaseActivité!$G11,0)</f>
        <v>42155</v>
      </c>
      <c r="AA11" s="1"/>
      <c r="AB11" s="1"/>
    </row>
    <row r="12" spans="1:28" x14ac:dyDescent="0.2">
      <c r="A12" s="14" t="s">
        <v>14</v>
      </c>
      <c r="B12" s="14" t="s">
        <v>17</v>
      </c>
      <c r="C12" s="14"/>
      <c r="D12" s="14"/>
      <c r="E12" s="14"/>
      <c r="F12" s="14"/>
      <c r="G12" s="15">
        <v>42185</v>
      </c>
      <c r="H12" s="16"/>
      <c r="I12" s="16"/>
      <c r="J12" s="19">
        <f>IF(YEAR(Base[[#This Row],[Date]])=2015,ROUNDDOWN((MONTH(Base[[#This Row],[Date]])-1)/3,0)+1,"")</f>
        <v>2</v>
      </c>
      <c r="K12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2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2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2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2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2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2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2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2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2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2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2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2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2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2" s="19">
        <f>SUM(Base[[#This Row],[Qté MO ESC]:[Qté MO SRS]])</f>
        <v>0</v>
      </c>
      <c r="Z12" s="13">
        <f>EOMONTH(BaseActivité!$G12,0)</f>
        <v>42185</v>
      </c>
      <c r="AA12" s="1"/>
      <c r="AB12" s="1"/>
    </row>
    <row r="13" spans="1:28" x14ac:dyDescent="0.2">
      <c r="A13" s="14" t="s">
        <v>14</v>
      </c>
      <c r="B13" s="14" t="s">
        <v>17</v>
      </c>
      <c r="C13" s="14"/>
      <c r="D13" s="14"/>
      <c r="E13" s="14"/>
      <c r="F13" s="14"/>
      <c r="G13" s="15">
        <v>42216</v>
      </c>
      <c r="H13" s="16"/>
      <c r="I13" s="16"/>
      <c r="J13" s="19">
        <f>IF(YEAR(Base[[#This Row],[Date]])=2015,ROUNDDOWN((MONTH(Base[[#This Row],[Date]])-1)/3,0)+1,"")</f>
        <v>3</v>
      </c>
      <c r="K13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3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3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3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3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3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3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3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3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3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3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3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3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3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3" s="19">
        <f>SUM(Base[[#This Row],[Qté MO ESC]:[Qté MO SRS]])</f>
        <v>0</v>
      </c>
      <c r="Z13" s="13">
        <f>EOMONTH(BaseActivité!$G13,0)</f>
        <v>42216</v>
      </c>
      <c r="AA13" s="1"/>
      <c r="AB13" s="1"/>
    </row>
    <row r="14" spans="1:28" x14ac:dyDescent="0.2">
      <c r="A14" s="14" t="s">
        <v>14</v>
      </c>
      <c r="B14" s="14" t="s">
        <v>17</v>
      </c>
      <c r="C14" s="14"/>
      <c r="D14" s="14"/>
      <c r="E14" s="14"/>
      <c r="F14" s="14"/>
      <c r="G14" s="15">
        <v>42247</v>
      </c>
      <c r="H14" s="16"/>
      <c r="I14" s="16"/>
      <c r="J14" s="19">
        <f>IF(YEAR(Base[[#This Row],[Date]])=2015,ROUNDDOWN((MONTH(Base[[#This Row],[Date]])-1)/3,0)+1,"")</f>
        <v>3</v>
      </c>
      <c r="K14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4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4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4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4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4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4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4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4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4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4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4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4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4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4" s="19">
        <f>SUM(Base[[#This Row],[Qté MO ESC]:[Qté MO SRS]])</f>
        <v>0</v>
      </c>
      <c r="Z14" s="13">
        <f>EOMONTH(BaseActivité!$G14,0)</f>
        <v>42247</v>
      </c>
      <c r="AA14" s="1"/>
      <c r="AB14" s="1"/>
    </row>
    <row r="15" spans="1:28" x14ac:dyDescent="0.2">
      <c r="A15" s="14" t="s">
        <v>14</v>
      </c>
      <c r="B15" s="14" t="s">
        <v>17</v>
      </c>
      <c r="C15" s="14"/>
      <c r="D15" s="14"/>
      <c r="E15" s="14"/>
      <c r="F15" s="14"/>
      <c r="G15" s="15">
        <v>42277</v>
      </c>
      <c r="H15" s="16"/>
      <c r="I15" s="16"/>
      <c r="J15" s="19">
        <f>IF(YEAR(Base[[#This Row],[Date]])=2015,ROUNDDOWN((MONTH(Base[[#This Row],[Date]])-1)/3,0)+1,"")</f>
        <v>3</v>
      </c>
      <c r="K15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5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5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5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5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5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5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5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5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5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5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5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5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5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5" s="19">
        <f>SUM(Base[[#This Row],[Qté MO ESC]:[Qté MO SRS]])</f>
        <v>0</v>
      </c>
      <c r="Z15" s="13">
        <f>EOMONTH(BaseActivité!$G15,0)</f>
        <v>42277</v>
      </c>
      <c r="AA15" s="1"/>
      <c r="AB15" s="1"/>
    </row>
    <row r="16" spans="1:28" x14ac:dyDescent="0.2">
      <c r="A16" s="14" t="s">
        <v>14</v>
      </c>
      <c r="B16" s="14" t="s">
        <v>17</v>
      </c>
      <c r="C16" s="14"/>
      <c r="D16" s="14"/>
      <c r="E16" s="14"/>
      <c r="F16" s="14"/>
      <c r="G16" s="15">
        <v>42308</v>
      </c>
      <c r="H16" s="16"/>
      <c r="I16" s="16"/>
      <c r="J16" s="19">
        <f>IF(YEAR(Base[[#This Row],[Date]])=2015,ROUNDDOWN((MONTH(Base[[#This Row],[Date]])-1)/3,0)+1,"")</f>
        <v>4</v>
      </c>
      <c r="K16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6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6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6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6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6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6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6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6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6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6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6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6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6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6" s="19">
        <f>SUM(Base[[#This Row],[Qté MO ESC]:[Qté MO SRS]])</f>
        <v>0</v>
      </c>
      <c r="Z16" s="13">
        <f>EOMONTH(BaseActivité!$G16,0)</f>
        <v>42308</v>
      </c>
      <c r="AA16" s="1"/>
      <c r="AB16" s="1"/>
    </row>
    <row r="17" spans="1:28" x14ac:dyDescent="0.2">
      <c r="A17" s="14" t="s">
        <v>14</v>
      </c>
      <c r="B17" s="14" t="s">
        <v>17</v>
      </c>
      <c r="C17" s="14"/>
      <c r="D17" s="14"/>
      <c r="E17" s="14"/>
      <c r="F17" s="14"/>
      <c r="G17" s="15">
        <v>42338</v>
      </c>
      <c r="H17" s="16"/>
      <c r="I17" s="16"/>
      <c r="J17" s="19">
        <f>IF(YEAR(Base[[#This Row],[Date]])=2015,ROUNDDOWN((MONTH(Base[[#This Row],[Date]])-1)/3,0)+1,"")</f>
        <v>4</v>
      </c>
      <c r="K17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7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7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7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7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7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7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7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7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7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7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7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7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7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7" s="19">
        <f>SUM(Base[[#This Row],[Qté MO ESC]:[Qté MO SRS]])</f>
        <v>0</v>
      </c>
      <c r="Z17" s="13">
        <f>EOMONTH(BaseActivité!$G17,0)</f>
        <v>42338</v>
      </c>
      <c r="AA17" s="1"/>
      <c r="AB17" s="1"/>
    </row>
    <row r="18" spans="1:28" x14ac:dyDescent="0.2">
      <c r="A18" s="14" t="s">
        <v>14</v>
      </c>
      <c r="B18" s="14" t="s">
        <v>17</v>
      </c>
      <c r="C18" s="14"/>
      <c r="D18" s="14"/>
      <c r="E18" s="14"/>
      <c r="F18" s="14"/>
      <c r="G18" s="15">
        <v>42369</v>
      </c>
      <c r="H18" s="16"/>
      <c r="I18" s="16"/>
      <c r="J18" s="19">
        <f>IF(YEAR(Base[[#This Row],[Date]])=2015,ROUNDDOWN((MONTH(Base[[#This Row],[Date]])-1)/3,0)+1,"")</f>
        <v>4</v>
      </c>
      <c r="K18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8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8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8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8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8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8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8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8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8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8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8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8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8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8" s="19">
        <f>SUM(Base[[#This Row],[Qté MO ESC]:[Qté MO SRS]])</f>
        <v>0</v>
      </c>
      <c r="Z18" s="13">
        <f>EOMONTH(BaseActivité!$G18,0)</f>
        <v>42369</v>
      </c>
      <c r="AA18" s="1"/>
      <c r="AB18" s="1"/>
    </row>
    <row r="19" spans="1:28" x14ac:dyDescent="0.2">
      <c r="A19" s="14" t="s">
        <v>14</v>
      </c>
      <c r="B19" s="14" t="s">
        <v>23</v>
      </c>
      <c r="C19" s="14"/>
      <c r="D19" s="14"/>
      <c r="E19" s="14"/>
      <c r="F19" s="14"/>
      <c r="G19" s="15">
        <v>42035</v>
      </c>
      <c r="H19" s="16"/>
      <c r="I19" s="16"/>
      <c r="J19" s="19">
        <f>IF(YEAR(Base[[#This Row],[Date]])=2015,ROUNDDOWN((MONTH(Base[[#This Row],[Date]])-1)/3,0)+1,"")</f>
        <v>1</v>
      </c>
      <c r="K19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19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19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19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19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19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19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19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19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19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19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19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19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19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19" s="19">
        <f>SUM(Base[[#This Row],[Qté MO ESC]:[Qté MO SRS]])</f>
        <v>0</v>
      </c>
      <c r="Z19" s="13">
        <f>EOMONTH(BaseActivité!$G19,0)</f>
        <v>42035</v>
      </c>
      <c r="AA19" s="1"/>
      <c r="AB19" s="1"/>
    </row>
    <row r="20" spans="1:28" x14ac:dyDescent="0.2">
      <c r="A20" s="14" t="s">
        <v>14</v>
      </c>
      <c r="B20" s="14" t="s">
        <v>23</v>
      </c>
      <c r="C20" s="14"/>
      <c r="D20" s="14"/>
      <c r="E20" s="14"/>
      <c r="F20" s="14"/>
      <c r="G20" s="15">
        <v>42063</v>
      </c>
      <c r="H20" s="16"/>
      <c r="I20" s="16"/>
      <c r="J20" s="19">
        <f>IF(YEAR(Base[[#This Row],[Date]])=2015,ROUNDDOWN((MONTH(Base[[#This Row],[Date]])-1)/3,0)+1,"")</f>
        <v>1</v>
      </c>
      <c r="K20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0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0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0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0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0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0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0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0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0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0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0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0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0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0" s="19">
        <f>SUM(Base[[#This Row],[Qté MO ESC]:[Qté MO SRS]])</f>
        <v>0</v>
      </c>
      <c r="Z20" s="13">
        <f>EOMONTH(BaseActivité!$G20,0)</f>
        <v>42063</v>
      </c>
      <c r="AA20" s="1"/>
      <c r="AB20" s="1"/>
    </row>
    <row r="21" spans="1:28" x14ac:dyDescent="0.2">
      <c r="A21" s="14" t="s">
        <v>14</v>
      </c>
      <c r="B21" s="14" t="s">
        <v>23</v>
      </c>
      <c r="C21" s="14"/>
      <c r="D21" s="14"/>
      <c r="E21" s="14"/>
      <c r="F21" s="14"/>
      <c r="G21" s="15">
        <v>42094</v>
      </c>
      <c r="H21" s="16"/>
      <c r="I21" s="16"/>
      <c r="J21" s="19">
        <f>IF(YEAR(Base[[#This Row],[Date]])=2015,ROUNDDOWN((MONTH(Base[[#This Row],[Date]])-1)/3,0)+1,"")</f>
        <v>1</v>
      </c>
      <c r="K21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1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1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1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1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1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1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1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1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1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1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1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1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1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1" s="19">
        <f>SUM(Base[[#This Row],[Qté MO ESC]:[Qté MO SRS]])</f>
        <v>0</v>
      </c>
      <c r="Z21" s="13">
        <f>EOMONTH(BaseActivité!$G21,0)</f>
        <v>42094</v>
      </c>
      <c r="AA21" s="1"/>
      <c r="AB21" s="1"/>
    </row>
    <row r="22" spans="1:28" x14ac:dyDescent="0.2">
      <c r="A22" s="14" t="s">
        <v>14</v>
      </c>
      <c r="B22" s="14" t="s">
        <v>23</v>
      </c>
      <c r="C22" s="14"/>
      <c r="D22" s="14"/>
      <c r="E22" s="14"/>
      <c r="F22" s="14"/>
      <c r="G22" s="15">
        <v>42124</v>
      </c>
      <c r="H22" s="16"/>
      <c r="I22" s="16"/>
      <c r="J22" s="19">
        <f>IF(YEAR(Base[[#This Row],[Date]])=2015,ROUNDDOWN((MONTH(Base[[#This Row],[Date]])-1)/3,0)+1,"")</f>
        <v>2</v>
      </c>
      <c r="K22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2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2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2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2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2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2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2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2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2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2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2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2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2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2" s="19">
        <f>SUM(Base[[#This Row],[Qté MO ESC]:[Qté MO SRS]])</f>
        <v>0</v>
      </c>
      <c r="Z22" s="13">
        <f>EOMONTH(BaseActivité!$G22,0)</f>
        <v>42124</v>
      </c>
      <c r="AA22" s="1"/>
      <c r="AB22" s="1"/>
    </row>
    <row r="23" spans="1:28" x14ac:dyDescent="0.2">
      <c r="A23" s="14" t="s">
        <v>14</v>
      </c>
      <c r="B23" s="14" t="s">
        <v>23</v>
      </c>
      <c r="C23" s="14"/>
      <c r="D23" s="14"/>
      <c r="E23" s="14"/>
      <c r="F23" s="14"/>
      <c r="G23" s="15">
        <v>42155</v>
      </c>
      <c r="H23" s="16"/>
      <c r="I23" s="16"/>
      <c r="J23" s="19">
        <f>IF(YEAR(Base[[#This Row],[Date]])=2015,ROUNDDOWN((MONTH(Base[[#This Row],[Date]])-1)/3,0)+1,"")</f>
        <v>2</v>
      </c>
      <c r="K23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3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3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3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3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3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3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3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3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3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3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3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3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3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3" s="19">
        <f>SUM(Base[[#This Row],[Qté MO ESC]:[Qté MO SRS]])</f>
        <v>0</v>
      </c>
      <c r="Z23" s="13">
        <f>EOMONTH(BaseActivité!$G23,0)</f>
        <v>42155</v>
      </c>
      <c r="AA23" s="1"/>
      <c r="AB23" s="1"/>
    </row>
    <row r="24" spans="1:28" x14ac:dyDescent="0.2">
      <c r="A24" s="14" t="s">
        <v>14</v>
      </c>
      <c r="B24" s="14" t="s">
        <v>23</v>
      </c>
      <c r="C24" s="14"/>
      <c r="D24" s="14"/>
      <c r="E24" s="14"/>
      <c r="F24" s="14"/>
      <c r="G24" s="15">
        <v>42185</v>
      </c>
      <c r="H24" s="16"/>
      <c r="I24" s="16"/>
      <c r="J24" s="19">
        <f>IF(YEAR(Base[[#This Row],[Date]])=2015,ROUNDDOWN((MONTH(Base[[#This Row],[Date]])-1)/3,0)+1,"")</f>
        <v>2</v>
      </c>
      <c r="K24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4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4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4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4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4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4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4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4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4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4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4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4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4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4" s="19">
        <f>SUM(Base[[#This Row],[Qté MO ESC]:[Qté MO SRS]])</f>
        <v>0</v>
      </c>
      <c r="Z24" s="13">
        <f>EOMONTH(BaseActivité!$G24,0)</f>
        <v>42185</v>
      </c>
      <c r="AA24" s="1"/>
      <c r="AB24" s="1"/>
    </row>
    <row r="25" spans="1:28" x14ac:dyDescent="0.2">
      <c r="A25" s="14" t="s">
        <v>14</v>
      </c>
      <c r="B25" s="14" t="s">
        <v>23</v>
      </c>
      <c r="C25" s="14"/>
      <c r="D25" s="14"/>
      <c r="E25" s="14"/>
      <c r="F25" s="14"/>
      <c r="G25" s="15">
        <v>42216</v>
      </c>
      <c r="H25" s="16"/>
      <c r="I25" s="16"/>
      <c r="J25" s="19">
        <f>IF(YEAR(Base[[#This Row],[Date]])=2015,ROUNDDOWN((MONTH(Base[[#This Row],[Date]])-1)/3,0)+1,"")</f>
        <v>3</v>
      </c>
      <c r="K25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5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5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5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5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5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5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5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5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5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5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5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5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5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5" s="19">
        <f>SUM(Base[[#This Row],[Qté MO ESC]:[Qté MO SRS]])</f>
        <v>0</v>
      </c>
      <c r="Z25" s="13">
        <f>EOMONTH(BaseActivité!$G25,0)</f>
        <v>42216</v>
      </c>
      <c r="AA25" s="1"/>
      <c r="AB25" s="1"/>
    </row>
    <row r="26" spans="1:28" x14ac:dyDescent="0.2">
      <c r="A26" s="14" t="s">
        <v>14</v>
      </c>
      <c r="B26" s="14" t="s">
        <v>23</v>
      </c>
      <c r="C26" s="14"/>
      <c r="D26" s="14"/>
      <c r="E26" s="14"/>
      <c r="F26" s="14"/>
      <c r="G26" s="15">
        <v>42247</v>
      </c>
      <c r="H26" s="16"/>
      <c r="I26" s="16"/>
      <c r="J26" s="19">
        <f>IF(YEAR(Base[[#This Row],[Date]])=2015,ROUNDDOWN((MONTH(Base[[#This Row],[Date]])-1)/3,0)+1,"")</f>
        <v>3</v>
      </c>
      <c r="K26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6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6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6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6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6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6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6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6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6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6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6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6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6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6" s="19">
        <f>SUM(Base[[#This Row],[Qté MO ESC]:[Qté MO SRS]])</f>
        <v>0</v>
      </c>
      <c r="Z26" s="13">
        <f>EOMONTH(BaseActivité!$G26,0)</f>
        <v>42247</v>
      </c>
      <c r="AA26" s="1"/>
      <c r="AB26" s="1"/>
    </row>
    <row r="27" spans="1:28" x14ac:dyDescent="0.2">
      <c r="A27" s="14" t="s">
        <v>14</v>
      </c>
      <c r="B27" s="14" t="s">
        <v>23</v>
      </c>
      <c r="C27" s="14"/>
      <c r="D27" s="14"/>
      <c r="E27" s="14"/>
      <c r="F27" s="14"/>
      <c r="G27" s="15">
        <v>42277</v>
      </c>
      <c r="H27" s="16"/>
      <c r="I27" s="16"/>
      <c r="J27" s="19">
        <f>IF(YEAR(Base[[#This Row],[Date]])=2015,ROUNDDOWN((MONTH(Base[[#This Row],[Date]])-1)/3,0)+1,"")</f>
        <v>3</v>
      </c>
      <c r="K27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7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7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7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7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7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7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7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7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7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7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7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7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7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7" s="19">
        <f>SUM(Base[[#This Row],[Qté MO ESC]:[Qté MO SRS]])</f>
        <v>0</v>
      </c>
      <c r="Z27" s="13">
        <f>EOMONTH(BaseActivité!$G27,0)</f>
        <v>42277</v>
      </c>
      <c r="AA27" s="1"/>
      <c r="AB27" s="1"/>
    </row>
    <row r="28" spans="1:28" x14ac:dyDescent="0.2">
      <c r="A28" s="14" t="s">
        <v>14</v>
      </c>
      <c r="B28" s="14" t="s">
        <v>23</v>
      </c>
      <c r="C28" s="14"/>
      <c r="D28" s="14"/>
      <c r="E28" s="14"/>
      <c r="F28" s="14"/>
      <c r="G28" s="15">
        <v>42308</v>
      </c>
      <c r="H28" s="16"/>
      <c r="I28" s="16"/>
      <c r="J28" s="19">
        <f>IF(YEAR(Base[[#This Row],[Date]])=2015,ROUNDDOWN((MONTH(Base[[#This Row],[Date]])-1)/3,0)+1,"")</f>
        <v>4</v>
      </c>
      <c r="K28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8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8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8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8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8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8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8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8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8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8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8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8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8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8" s="19">
        <f>SUM(Base[[#This Row],[Qté MO ESC]:[Qté MO SRS]])</f>
        <v>0</v>
      </c>
      <c r="Z28" s="13">
        <f>EOMONTH(BaseActivité!$G28,0)</f>
        <v>42308</v>
      </c>
      <c r="AA28" s="1"/>
      <c r="AB28" s="1"/>
    </row>
    <row r="29" spans="1:28" x14ac:dyDescent="0.2">
      <c r="A29" s="14" t="s">
        <v>14</v>
      </c>
      <c r="B29" s="14" t="s">
        <v>23</v>
      </c>
      <c r="C29" s="14"/>
      <c r="D29" s="14"/>
      <c r="E29" s="14"/>
      <c r="F29" s="14"/>
      <c r="G29" s="15">
        <v>42338</v>
      </c>
      <c r="H29" s="16"/>
      <c r="I29" s="16"/>
      <c r="J29" s="19">
        <f>IF(YEAR(Base[[#This Row],[Date]])=2015,ROUNDDOWN((MONTH(Base[[#This Row],[Date]])-1)/3,0)+1,"")</f>
        <v>4</v>
      </c>
      <c r="K29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29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29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29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29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29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29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29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29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29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29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29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29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29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29" s="19">
        <f>SUM(Base[[#This Row],[Qté MO ESC]:[Qté MO SRS]])</f>
        <v>0</v>
      </c>
      <c r="Z29" s="13">
        <f>EOMONTH(BaseActivité!$G29,0)</f>
        <v>42338</v>
      </c>
      <c r="AA29" s="1"/>
      <c r="AB29" s="1"/>
    </row>
    <row r="30" spans="1:28" x14ac:dyDescent="0.2">
      <c r="A30" s="14" t="s">
        <v>14</v>
      </c>
      <c r="B30" s="14" t="s">
        <v>23</v>
      </c>
      <c r="C30" s="14"/>
      <c r="D30" s="14"/>
      <c r="E30" s="14"/>
      <c r="F30" s="14"/>
      <c r="G30" s="15">
        <v>42369</v>
      </c>
      <c r="H30" s="16"/>
      <c r="I30" s="16"/>
      <c r="J30" s="19">
        <f>IF(YEAR(Base[[#This Row],[Date]])=2015,ROUNDDOWN((MONTH(Base[[#This Row],[Date]])-1)/3,0)+1,"")</f>
        <v>4</v>
      </c>
      <c r="K30" s="24">
        <f>SUMPRODUCT((Base[[#This Row],[Produit]]=Tableau3[PRODUIT])*(Base[[#This Row],[Date]]=Tableau3[[#Headers],[31/01/2015]:[31/12/2015]])*(Base[[#This Row],[Statut]]=Tableau3[STATUT PROJET])*(Base[[#Headers],[Tot VTE]]=Tableau3[TYPE Autre])*(Tableau3[[31/01/2015]:[31/12/2015]]/1000))</f>
        <v>0</v>
      </c>
      <c r="L30" s="12">
        <f>SUMPRODUCT((Base[[#This Row],[Produit]]=Tableau3[PRODUIT])*(Base[[#This Row],[Date]]=Tableau3[[#Headers],[31/01/2015]:[31/12/2015]])*(Base[[#This Row],[Statut]]=Tableau3[STATUT PROJET])*(Base[[#Headers],[€TEC FERRRO-R&amp;D]]=Tableau3[TYPE Autre])*(Tableau3[[31/01/2015]:[31/12/2015]]/1000))</f>
        <v>0</v>
      </c>
      <c r="M30" s="12">
        <f>SUMPRODUCT((Base[[#This Row],[Produit]]=Tableau3[PRODUIT])*(Base[[#This Row],[Date]]=Tableau3[[#Headers],[31/01/2015]:[31/12/2015]])*(Base[[#This Row],[Statut]]=Tableau3[STATUT PROJET])*(Base[[#Headers],[€ACH ProdPVI]]=Tableau3[TYPE Autre])*(Tableau3[[31/01/2015]:[31/12/2015]]/1000))</f>
        <v>0</v>
      </c>
      <c r="N30" s="12">
        <f>SUMPRODUCT((Base[[#This Row],[Produit]]=Tableau3[PRODUIT])*(Base[[#This Row],[Date]]=Tableau3[[#Headers],[31/01/2015]:[31/12/2015]])*(Base[[#This Row],[Statut]]=Tableau3[STATUT PROJET])*(Base[[#Headers],[€ACH BBX]]=Tableau3[TYPE Autre])*(Tableau3[[31/01/2015]:[31/12/2015]]/1000))</f>
        <v>0</v>
      </c>
      <c r="O30" s="12">
        <f>SUMPRODUCT((Base[[#This Row],[Produit]]=Tableau3[PRODUIT])*(Base[[#This Row],[Date]]=Tableau3[[#Headers],[31/01/2015]:[31/12/2015]])*(Base[[#This Row],[Statut]]=Tableau3[STATUT PROJET])*(Base[[#Headers],[€ACH Chassis]]=Tableau3[TYPE Autre])*(Tableau3[[31/01/2015]:[31/12/2015]]/1000))</f>
        <v>0</v>
      </c>
      <c r="P30" s="12">
        <f>SUMPRODUCT((Base[[#This Row],[Produit]]=Tableau3[PRODUIT])*(Base[[#This Row],[Date]]=Tableau3[[#Headers],[31/01/2015]:[31/12/2015]])*(Base[[#This Row],[Statut]]=Tableau3[STATUT PROJET])*(Base[[#Headers],[€ACH Carross]]=Tableau3[TYPE Autre])*(Tableau3[[31/01/2015]:[31/12/2015]]/1000))</f>
        <v>0</v>
      </c>
      <c r="Q30" s="12">
        <f>SUMPRODUCT((Base[[#This Row],[Produit]]=Tableau3[PRODUIT])*(Base[[#This Row],[Date]]=Tableau3[[#Headers],[31/01/2015]:[31/12/2015]])*(Base[[#This Row],[Statut]]=Tableau3[STATUT PROJET])*(Base[[#Headers],[€ACH Sces+div]]=Tableau3[TYPE Autre])*(Tableau3[[31/01/2015]:[31/12/2015]]/1000))</f>
        <v>0</v>
      </c>
      <c r="R30" s="23">
        <f>SUMPRODUCT((Base[[#This Row],[Produit]]=Tableau3[PRODUIT])*(Base[[#This Row],[Date]]=Tableau3[[#Headers],[31/01/2015]:[31/12/2015]])*(Base[[#This Row],[Statut]]=Tableau3[STATUT PROJET])*(Base[[#Headers],[Qté MO ESC]]=Tableau3[TYPE Autre])*(Tableau3[[31/01/2015]:[31/12/2015]]/1000))</f>
        <v>0</v>
      </c>
      <c r="S30" s="23">
        <f>SUMPRODUCT((Base[[#This Row],[Produit]]=Tableau3[PRODUIT])*(Base[[#This Row],[Date]]=Tableau3[[#Headers],[31/01/2015]:[31/12/2015]])*(Base[[#This Row],[Statut]]=Tableau3[STATUT PROJET])*(Base[[#Headers],[Qté MO BE]]=Tableau3[TYPE Autre])*(Tableau3[[31/01/2015]:[31/12/2015]]/1000))</f>
        <v>0</v>
      </c>
      <c r="T30" s="23">
        <f>SUMPRODUCT((Base[[#This Row],[Produit]]=Tableau3[PRODUIT])*(Base[[#This Row],[Date]]=Tableau3[[#Headers],[31/01/2015]:[31/12/2015]])*(Base[[#This Row],[Statut]]=Tableau3[STATUT PROJET])*(Base[[#Headers],[Qté MO GTIE]]=Tableau3[TYPE Autre])*(Tableau3[[31/01/2015]:[31/12/2015]]/1000))</f>
        <v>0</v>
      </c>
      <c r="U30" s="23">
        <f>SUMPRODUCT((Base[[#This Row],[Produit]]=Tableau3[PRODUIT])*(Base[[#This Row],[Date]]=Tableau3[[#Headers],[31/01/2015]:[31/12/2015]])*(Base[[#This Row],[Statut]]=Tableau3[STATUT PROJET])*(Base[[#Headers],[Qté MO MNT]]=Tableau3[TYPE Autre])*(Tableau3[[31/01/2015]:[31/12/2015]]/1000))</f>
        <v>0</v>
      </c>
      <c r="V30" s="23">
        <f>SUMPRODUCT((Base[[#This Row],[Produit]]=Tableau3[PRODUIT])*(Base[[#This Row],[Date]]=Tableau3[[#Headers],[31/01/2015]:[31/12/2015]])*(Base[[#This Row],[Statut]]=Tableau3[STATUT PROJET])*(Base[[#Headers],[Qté MO PR]]=Tableau3[TYPE Autre])*(Tableau3[[31/01/2015]:[31/12/2015]]/1000))</f>
        <v>0</v>
      </c>
      <c r="W30" s="23">
        <f>SUMPRODUCT((Base[[#This Row],[Produit]]=Tableau3[PRODUIT])*(Base[[#This Row],[Date]]=Tableau3[[#Headers],[31/01/2015]:[31/12/2015]])*(Base[[#This Row],[Statut]]=Tableau3[STATUT PROJET])*(Base[[#Headers],[Qté MO PROD]]=Tableau3[TYPE Autre])*(Tableau3[[31/01/2015]:[31/12/2015]]/1000))</f>
        <v>0</v>
      </c>
      <c r="X30" s="23">
        <f>SUMPRODUCT((Base[[#This Row],[Produit]]=Tableau3[PRODUIT])*(Base[[#This Row],[Date]]=Tableau3[[#Headers],[31/01/2015]:[31/12/2015]])*(Base[[#This Row],[Statut]]=Tableau3[STATUT PROJET])*(Base[[#Headers],[Qté MO SRS]]=Tableau3[TYPE Autre])*(Tableau3[[31/01/2015]:[31/12/2015]]/1000))</f>
        <v>0</v>
      </c>
      <c r="Y30" s="19">
        <f>SUM(Base[[#This Row],[Qté MO ESC]:[Qté MO SRS]])</f>
        <v>0</v>
      </c>
      <c r="Z30" s="13">
        <f>EOMONTH(BaseActivité!$G30,0)</f>
        <v>42369</v>
      </c>
      <c r="AA30" s="1"/>
      <c r="AB30" s="1"/>
    </row>
    <row r="32" spans="1:28" ht="23.25" x14ac:dyDescent="0.35">
      <c r="K32" s="71" t="s">
        <v>100</v>
      </c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</row>
  </sheetData>
  <mergeCells count="1">
    <mergeCell ref="K32:Y32"/>
  </mergeCells>
  <conditionalFormatting sqref="B7:B30">
    <cfRule type="cellIs" dxfId="46" priority="586" operator="equal">
      <formula>"Prév"</formula>
    </cfRule>
    <cfRule type="cellIs" dxfId="45" priority="932" operator="equal">
      <formula>"Cdec"</formula>
    </cfRule>
    <cfRule type="cellIs" dxfId="44" priority="933" operator="equal">
      <formula>"Facturé"</formula>
    </cfRule>
  </conditionalFormatting>
  <dataValidations count="1">
    <dataValidation type="list" allowBlank="1" showInputMessage="1" showErrorMessage="1" sqref="B7:B30">
      <formula1>statuts</formula1>
    </dataValidation>
  </dataValidations>
  <pageMargins left="0.31496062992125984" right="0.31496062992125984" top="0.35433070866141736" bottom="0.35433070866141736" header="0.11811023622047245" footer="0.11811023622047245"/>
  <pageSetup paperSize="9" scale="15" fitToHeight="10" orientation="landscape" r:id="rId1"/>
  <headerFooter>
    <oddHeader>&amp;C&amp;A&amp;R&amp;F</oddHeader>
    <oddFooter>&amp;C&amp;P/&amp;N&amp;REdité le &amp;D à &amp;T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DIVERS!$I$2:$I$9</xm:f>
          </x14:formula1>
          <xm:sqref>A7:A30</xm:sqref>
        </x14:dataValidation>
        <x14:dataValidation type="list" allowBlank="1" showInputMessage="1" showErrorMessage="1">
          <x14:formula1>
            <xm:f>DIVERS!$K$2:$K$47</xm:f>
          </x14:formula1>
          <xm:sqref>D7:D30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DIVERS</vt:lpstr>
      <vt:lpstr>LIBELLE</vt:lpstr>
      <vt:lpstr>BASE BUDGETS</vt:lpstr>
      <vt:lpstr>BaseActivité</vt:lpstr>
      <vt:lpstr>'BASE BUDGETS'!Impression_des_titres</vt:lpstr>
      <vt:lpstr>BaseActivité!Impression_des_titres</vt:lpstr>
      <vt:lpstr>statuts</vt:lpstr>
      <vt:lpstr>Tableau_TxHRS</vt:lpstr>
      <vt:lpstr>TxBE</vt:lpstr>
      <vt:lpstr>TxESCAL</vt:lpstr>
      <vt:lpstr>TxGTIE</vt:lpstr>
      <vt:lpstr>txHRS</vt:lpstr>
      <vt:lpstr>TxMNT</vt:lpstr>
      <vt:lpstr>TxPROD</vt:lpstr>
      <vt:lpstr>TxSRS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DANSETTE Olivier</dc:creator>
  <cp:lastModifiedBy>Etienne Glikson</cp:lastModifiedBy>
  <cp:lastPrinted>2014-10-30T10:32:10Z</cp:lastPrinted>
  <dcterms:created xsi:type="dcterms:W3CDTF">2012-07-10T13:56:16Z</dcterms:created>
  <dcterms:modified xsi:type="dcterms:W3CDTF">2015-02-16T16:44:38Z</dcterms:modified>
</cp:coreProperties>
</file>