
<file path=[Content_Types].xml><?xml version="1.0" encoding="utf-8"?>
<Types xmlns="http://schemas.openxmlformats.org/package/2006/content-type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worksheets/sheet6.xml" ContentType="application/vnd.openxmlformats-officedocument.spreadsheetml.worksheet+xml"/>
  <Default Extension="jpeg" ContentType="image/jpeg"/>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hartsheets/sheet6.xml" ContentType="application/vnd.openxmlformats-officedocument.spreadsheetml.chartsheet+xml"/>
  <Override PartName="/xl/chartsheets/sheet7.xml" ContentType="application/vnd.openxmlformats-officedocument.spreadsheetml.chartsheet+xml"/>
  <Override PartName="/xl/chartsheets/sheet8.xml" ContentType="application/vnd.openxmlformats-officedocument.spreadsheetml.chartsheet+xml"/>
  <Override PartName="/xl/drawings/drawing1.xml" ContentType="application/vnd.openxmlformats-officedocument.drawing+xml"/>
  <Override PartName="/xl/worksheets/sheet1.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calcChain.xml" ContentType="application/vnd.openxmlformats-officedocument.spreadsheetml.calcChain+xml"/>
  <Override PartName="/xl/chartsheets/sheet2.xml" ContentType="application/vnd.openxmlformats-officedocument.spreadsheetml.chartsheet+xml"/>
  <Override PartName="/xl/chartsheets/sheet3.xml" ContentType="application/vnd.openxmlformats-officedocument.spreadsheetml.chartsheet+xml"/>
  <Override PartName="/xl/sharedStrings.xml" ContentType="application/vnd.openxmlformats-officedocument.spreadsheetml.sharedStrings+xml"/>
  <Override PartName="/xl/drawings/drawing10.xml" ContentType="application/vnd.openxmlformats-officedocument.drawing+xml"/>
  <Override PartName="/xl/chartsheets/sheet1.xml" ContentType="application/vnd.openxmlformats-officedocument.spreadsheetml.chartsheet+xml"/>
  <Override PartName="/xl/pivotCache/pivotCacheRecords1.xml" ContentType="application/vnd.openxmlformats-officedocument.spreadsheetml.pivotCacheRecords+xml"/>
  <Override PartName="/xl/charts/chart8.xml" ContentType="application/vnd.openxmlformats-officedocument.drawingml.chart+xml"/>
  <Override PartName="/docProps/core.xml" ContentType="application/vnd.openxmlformats-package.core-properties+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95" yWindow="-75" windowWidth="12120" windowHeight="9225" tabRatio="736" firstSheet="1" activeTab="2"/>
  </bookViews>
  <sheets>
    <sheet name="LES_PARIS_DU_JOUR" sheetId="30" r:id="rId1"/>
    <sheet name="les 5 derniers" sheetId="35" r:id="rId2"/>
    <sheet name="recap" sheetId="11" r:id="rId3"/>
    <sheet name="% bon par sport" sheetId="34" r:id="rId4"/>
    <sheet name="gain en cours" sheetId="32" r:id="rId5"/>
    <sheet name="gain réel par parieur " sheetId="28" r:id="rId6"/>
    <sheet name="TOTAL BWIN" sheetId="15" r:id="rId7"/>
    <sheet name="GAIN TOTAL" sheetId="24" r:id="rId8"/>
    <sheet name="YANN" sheetId="20" r:id="rId9"/>
    <sheet name="PHANE" sheetId="22" r:id="rId10"/>
    <sheet name="DJO" sheetId="21" r:id="rId11"/>
    <sheet name="TOF" sheetId="23" r:id="rId12"/>
    <sheet name="YOAN" sheetId="27" r:id="rId13"/>
    <sheet name="JEAN" sheetId="31" r:id="rId14"/>
  </sheets>
  <externalReferences>
    <externalReference r:id="rId15"/>
  </externalReferences>
  <definedNames>
    <definedName name="_xlnm._FilterDatabase" localSheetId="2" hidden="1">recap!$A$1:$Z$425</definedName>
    <definedName name="PARIEUR">#REF!</definedName>
  </definedNames>
  <calcPr calcId="125725"/>
  <pivotCaches>
    <pivotCache cacheId="9" r:id="rId16"/>
  </pivotCaches>
</workbook>
</file>

<file path=xl/calcChain.xml><?xml version="1.0" encoding="utf-8"?>
<calcChain xmlns="http://schemas.openxmlformats.org/spreadsheetml/2006/main">
  <c r="E7" i="35"/>
  <c r="G29"/>
  <c r="G27"/>
  <c r="G22"/>
  <c r="G17"/>
  <c r="G12"/>
  <c r="G7"/>
  <c r="E29"/>
  <c r="E27"/>
  <c r="E22"/>
  <c r="E17"/>
  <c r="E12"/>
  <c r="K21" i="30"/>
  <c r="J21"/>
  <c r="I21"/>
  <c r="H21"/>
  <c r="F21"/>
  <c r="E21"/>
  <c r="D21"/>
  <c r="B21"/>
  <c r="A21"/>
  <c r="M348" i="11"/>
  <c r="P348" s="1"/>
  <c r="N348"/>
  <c r="O348"/>
  <c r="M349"/>
  <c r="P349" s="1"/>
  <c r="N349"/>
  <c r="O349"/>
  <c r="M350"/>
  <c r="P350" s="1"/>
  <c r="N350"/>
  <c r="O350"/>
  <c r="M351"/>
  <c r="P351" s="1"/>
  <c r="N351"/>
  <c r="O351"/>
  <c r="M352"/>
  <c r="P352" s="1"/>
  <c r="N352"/>
  <c r="O352"/>
  <c r="M353"/>
  <c r="R353" s="1"/>
  <c r="Q353" s="1"/>
  <c r="N353"/>
  <c r="O353"/>
  <c r="M354"/>
  <c r="P354" s="1"/>
  <c r="N354"/>
  <c r="O354"/>
  <c r="Q354"/>
  <c r="R354"/>
  <c r="M355"/>
  <c r="R355" s="1"/>
  <c r="Q355" s="1"/>
  <c r="N355"/>
  <c r="O355"/>
  <c r="M356"/>
  <c r="P356" s="1"/>
  <c r="N356"/>
  <c r="O356"/>
  <c r="Q356"/>
  <c r="R356"/>
  <c r="M357"/>
  <c r="P357" s="1"/>
  <c r="N357"/>
  <c r="O357"/>
  <c r="M358"/>
  <c r="P358" s="1"/>
  <c r="N358"/>
  <c r="O358"/>
  <c r="M359"/>
  <c r="P359" s="1"/>
  <c r="N359"/>
  <c r="O359"/>
  <c r="M360"/>
  <c r="P360" s="1"/>
  <c r="N360"/>
  <c r="O360"/>
  <c r="Q360"/>
  <c r="R360"/>
  <c r="M361"/>
  <c r="P361" s="1"/>
  <c r="N361"/>
  <c r="O361"/>
  <c r="Q361"/>
  <c r="R361"/>
  <c r="M362"/>
  <c r="P362" s="1"/>
  <c r="N362"/>
  <c r="O362"/>
  <c r="M363"/>
  <c r="P363" s="1"/>
  <c r="N363"/>
  <c r="O363"/>
  <c r="Q363"/>
  <c r="R363"/>
  <c r="M364"/>
  <c r="P364" s="1"/>
  <c r="N364"/>
  <c r="O364"/>
  <c r="Q364"/>
  <c r="R364"/>
  <c r="M365"/>
  <c r="P365" s="1"/>
  <c r="N365"/>
  <c r="O365"/>
  <c r="Q365"/>
  <c r="R365"/>
  <c r="M366"/>
  <c r="P366" s="1"/>
  <c r="N366"/>
  <c r="O366"/>
  <c r="Q366"/>
  <c r="R366"/>
  <c r="M367"/>
  <c r="P367" s="1"/>
  <c r="N367"/>
  <c r="O367"/>
  <c r="Q367"/>
  <c r="R367"/>
  <c r="M368"/>
  <c r="P368" s="1"/>
  <c r="N368"/>
  <c r="O368"/>
  <c r="Q368"/>
  <c r="R368"/>
  <c r="M369"/>
  <c r="P369" s="1"/>
  <c r="N369"/>
  <c r="O369"/>
  <c r="Q369"/>
  <c r="R369"/>
  <c r="M370"/>
  <c r="P370" s="1"/>
  <c r="N370"/>
  <c r="O370"/>
  <c r="Q370"/>
  <c r="R370"/>
  <c r="M371"/>
  <c r="P371" s="1"/>
  <c r="N371"/>
  <c r="O371"/>
  <c r="Q371"/>
  <c r="R371"/>
  <c r="M372"/>
  <c r="P372" s="1"/>
  <c r="N372"/>
  <c r="O372"/>
  <c r="Q372"/>
  <c r="R372"/>
  <c r="M373"/>
  <c r="P373" s="1"/>
  <c r="N373"/>
  <c r="O373"/>
  <c r="Q373"/>
  <c r="R373"/>
  <c r="M374"/>
  <c r="P374" s="1"/>
  <c r="N374"/>
  <c r="O374"/>
  <c r="Q374"/>
  <c r="R374"/>
  <c r="M375"/>
  <c r="P375" s="1"/>
  <c r="N375"/>
  <c r="O375"/>
  <c r="Q375"/>
  <c r="R375"/>
  <c r="M376"/>
  <c r="P376" s="1"/>
  <c r="N376"/>
  <c r="O376"/>
  <c r="Q376"/>
  <c r="R376"/>
  <c r="M377"/>
  <c r="P377" s="1"/>
  <c r="N377"/>
  <c r="O377"/>
  <c r="Q377"/>
  <c r="R377"/>
  <c r="M378"/>
  <c r="P378" s="1"/>
  <c r="N378"/>
  <c r="O378"/>
  <c r="Q378"/>
  <c r="R378"/>
  <c r="M379"/>
  <c r="P379" s="1"/>
  <c r="N379"/>
  <c r="O379"/>
  <c r="Q379"/>
  <c r="R379"/>
  <c r="M380"/>
  <c r="P380" s="1"/>
  <c r="N380"/>
  <c r="O380"/>
  <c r="Q380"/>
  <c r="R380"/>
  <c r="M381"/>
  <c r="P381" s="1"/>
  <c r="N381"/>
  <c r="O381"/>
  <c r="Q381"/>
  <c r="R381"/>
  <c r="M382"/>
  <c r="P382" s="1"/>
  <c r="N382"/>
  <c r="O382"/>
  <c r="Q382"/>
  <c r="R382"/>
  <c r="M383"/>
  <c r="P383" s="1"/>
  <c r="N383"/>
  <c r="O383"/>
  <c r="Q383"/>
  <c r="R383"/>
  <c r="M384"/>
  <c r="P384" s="1"/>
  <c r="N384"/>
  <c r="O384"/>
  <c r="Q384"/>
  <c r="R384"/>
  <c r="M385"/>
  <c r="P385" s="1"/>
  <c r="N385"/>
  <c r="O385"/>
  <c r="Q385"/>
  <c r="R385"/>
  <c r="M386"/>
  <c r="P386" s="1"/>
  <c r="N386"/>
  <c r="O386"/>
  <c r="Q386"/>
  <c r="R386"/>
  <c r="M387"/>
  <c r="P387" s="1"/>
  <c r="N387"/>
  <c r="O387"/>
  <c r="Q387"/>
  <c r="R387"/>
  <c r="M388"/>
  <c r="P388" s="1"/>
  <c r="N388"/>
  <c r="O388"/>
  <c r="Q388"/>
  <c r="R388"/>
  <c r="M389"/>
  <c r="P389" s="1"/>
  <c r="N389"/>
  <c r="O389"/>
  <c r="Q389"/>
  <c r="R389"/>
  <c r="M390"/>
  <c r="P390" s="1"/>
  <c r="N390"/>
  <c r="O390"/>
  <c r="Q390"/>
  <c r="R390"/>
  <c r="M391"/>
  <c r="P391" s="1"/>
  <c r="N391"/>
  <c r="O391"/>
  <c r="Q391"/>
  <c r="R391"/>
  <c r="M392"/>
  <c r="P392" s="1"/>
  <c r="N392"/>
  <c r="O392"/>
  <c r="Q392"/>
  <c r="R392"/>
  <c r="M393"/>
  <c r="P393" s="1"/>
  <c r="N393"/>
  <c r="O393"/>
  <c r="Q393"/>
  <c r="R393"/>
  <c r="M394"/>
  <c r="P394" s="1"/>
  <c r="N394"/>
  <c r="O394"/>
  <c r="Q394"/>
  <c r="R394"/>
  <c r="M395"/>
  <c r="P395" s="1"/>
  <c r="N395"/>
  <c r="O395"/>
  <c r="Q395"/>
  <c r="R395"/>
  <c r="M347"/>
  <c r="P347" s="1"/>
  <c r="N347"/>
  <c r="O347"/>
  <c r="M270"/>
  <c r="P270" s="1"/>
  <c r="N270"/>
  <c r="O270"/>
  <c r="M271"/>
  <c r="P271" s="1"/>
  <c r="N271"/>
  <c r="O271"/>
  <c r="M272"/>
  <c r="P272" s="1"/>
  <c r="N272"/>
  <c r="O272"/>
  <c r="M273"/>
  <c r="P273" s="1"/>
  <c r="N273"/>
  <c r="O273"/>
  <c r="M274"/>
  <c r="P274" s="1"/>
  <c r="N274"/>
  <c r="O274"/>
  <c r="M275"/>
  <c r="P275" s="1"/>
  <c r="N275"/>
  <c r="O275"/>
  <c r="Q275"/>
  <c r="R275"/>
  <c r="M276"/>
  <c r="P276" s="1"/>
  <c r="N276"/>
  <c r="O276"/>
  <c r="M277"/>
  <c r="P277" s="1"/>
  <c r="N277"/>
  <c r="O277"/>
  <c r="M278"/>
  <c r="P278" s="1"/>
  <c r="N278"/>
  <c r="O278"/>
  <c r="M279"/>
  <c r="P279" s="1"/>
  <c r="N279"/>
  <c r="O279"/>
  <c r="M280"/>
  <c r="P280" s="1"/>
  <c r="N280"/>
  <c r="O280"/>
  <c r="M281"/>
  <c r="P281" s="1"/>
  <c r="N281"/>
  <c r="O281"/>
  <c r="M282"/>
  <c r="P282" s="1"/>
  <c r="N282"/>
  <c r="O282"/>
  <c r="M283"/>
  <c r="P283" s="1"/>
  <c r="N283"/>
  <c r="O283"/>
  <c r="M284"/>
  <c r="P284" s="1"/>
  <c r="N284"/>
  <c r="O284"/>
  <c r="M285"/>
  <c r="P285" s="1"/>
  <c r="N285"/>
  <c r="O285"/>
  <c r="M286"/>
  <c r="P286" s="1"/>
  <c r="N286"/>
  <c r="O286"/>
  <c r="M287"/>
  <c r="P287" s="1"/>
  <c r="N287"/>
  <c r="O287"/>
  <c r="M288"/>
  <c r="P288" s="1"/>
  <c r="N288"/>
  <c r="O288"/>
  <c r="M289"/>
  <c r="P289" s="1"/>
  <c r="N289"/>
  <c r="O289"/>
  <c r="M290"/>
  <c r="P290" s="1"/>
  <c r="N290"/>
  <c r="O290"/>
  <c r="M291"/>
  <c r="P291" s="1"/>
  <c r="N291"/>
  <c r="O291"/>
  <c r="M292"/>
  <c r="P292" s="1"/>
  <c r="N292"/>
  <c r="O292"/>
  <c r="M293"/>
  <c r="P293" s="1"/>
  <c r="N293"/>
  <c r="O293"/>
  <c r="M294"/>
  <c r="P294" s="1"/>
  <c r="N294"/>
  <c r="O294"/>
  <c r="M295"/>
  <c r="P295" s="1"/>
  <c r="N295"/>
  <c r="O295"/>
  <c r="M296"/>
  <c r="P296" s="1"/>
  <c r="N296"/>
  <c r="O296"/>
  <c r="M297"/>
  <c r="P297" s="1"/>
  <c r="N297"/>
  <c r="O297"/>
  <c r="M298"/>
  <c r="P298" s="1"/>
  <c r="N298"/>
  <c r="O298"/>
  <c r="M299"/>
  <c r="P299" s="1"/>
  <c r="N299"/>
  <c r="O299"/>
  <c r="M300"/>
  <c r="P300" s="1"/>
  <c r="N300"/>
  <c r="O300"/>
  <c r="M301"/>
  <c r="P301" s="1"/>
  <c r="N301"/>
  <c r="O301"/>
  <c r="M302"/>
  <c r="P302" s="1"/>
  <c r="N302"/>
  <c r="O302"/>
  <c r="M303"/>
  <c r="P303" s="1"/>
  <c r="N303"/>
  <c r="O303"/>
  <c r="M304"/>
  <c r="P304" s="1"/>
  <c r="N304"/>
  <c r="O304"/>
  <c r="M305"/>
  <c r="P305" s="1"/>
  <c r="N305"/>
  <c r="O305"/>
  <c r="Q305"/>
  <c r="R305"/>
  <c r="M306"/>
  <c r="P306" s="1"/>
  <c r="N306"/>
  <c r="O306"/>
  <c r="M307"/>
  <c r="P307" s="1"/>
  <c r="N307"/>
  <c r="O307"/>
  <c r="M308"/>
  <c r="P308" s="1"/>
  <c r="N308"/>
  <c r="O308"/>
  <c r="M309"/>
  <c r="P309" s="1"/>
  <c r="N309"/>
  <c r="O309"/>
  <c r="M310"/>
  <c r="P310" s="1"/>
  <c r="N310"/>
  <c r="O310"/>
  <c r="M311"/>
  <c r="P311" s="1"/>
  <c r="N311"/>
  <c r="O311"/>
  <c r="M312"/>
  <c r="P312" s="1"/>
  <c r="N312"/>
  <c r="O312"/>
  <c r="M313"/>
  <c r="P313" s="1"/>
  <c r="N313"/>
  <c r="O313"/>
  <c r="M314"/>
  <c r="P314" s="1"/>
  <c r="N314"/>
  <c r="O314"/>
  <c r="M315"/>
  <c r="P315" s="1"/>
  <c r="N315"/>
  <c r="O315"/>
  <c r="M316"/>
  <c r="P316" s="1"/>
  <c r="N316"/>
  <c r="O316"/>
  <c r="M317"/>
  <c r="P317" s="1"/>
  <c r="N317"/>
  <c r="O317"/>
  <c r="M318"/>
  <c r="P318" s="1"/>
  <c r="N318"/>
  <c r="O318"/>
  <c r="M319"/>
  <c r="P319" s="1"/>
  <c r="N319"/>
  <c r="O319"/>
  <c r="M320"/>
  <c r="P320" s="1"/>
  <c r="N320"/>
  <c r="O320"/>
  <c r="M321"/>
  <c r="P321" s="1"/>
  <c r="N321"/>
  <c r="O321"/>
  <c r="M322"/>
  <c r="P322" s="1"/>
  <c r="N322"/>
  <c r="O322"/>
  <c r="M323"/>
  <c r="P323" s="1"/>
  <c r="N323"/>
  <c r="O323"/>
  <c r="M324"/>
  <c r="P324" s="1"/>
  <c r="N324"/>
  <c r="O324"/>
  <c r="M325"/>
  <c r="R325" s="1"/>
  <c r="Q325" s="1"/>
  <c r="N325"/>
  <c r="O325"/>
  <c r="M326"/>
  <c r="P326" s="1"/>
  <c r="N326"/>
  <c r="O326"/>
  <c r="M327"/>
  <c r="R327" s="1"/>
  <c r="Q327" s="1"/>
  <c r="N327"/>
  <c r="O327"/>
  <c r="M328"/>
  <c r="R328" s="1"/>
  <c r="Q328" s="1"/>
  <c r="N328"/>
  <c r="O328"/>
  <c r="M329"/>
  <c r="P329" s="1"/>
  <c r="N329"/>
  <c r="O329"/>
  <c r="M330"/>
  <c r="R330" s="1"/>
  <c r="Q330" s="1"/>
  <c r="N330"/>
  <c r="O330"/>
  <c r="M331"/>
  <c r="R331" s="1"/>
  <c r="Q331" s="1"/>
  <c r="N331"/>
  <c r="O331"/>
  <c r="M332"/>
  <c r="R332" s="1"/>
  <c r="Q332" s="1"/>
  <c r="N332"/>
  <c r="O332"/>
  <c r="M333"/>
  <c r="P333" s="1"/>
  <c r="N333"/>
  <c r="O333"/>
  <c r="M334"/>
  <c r="R334" s="1"/>
  <c r="Q334" s="1"/>
  <c r="N334"/>
  <c r="O334"/>
  <c r="M335"/>
  <c r="R335" s="1"/>
  <c r="Q335" s="1"/>
  <c r="N335"/>
  <c r="O335"/>
  <c r="R321" l="1"/>
  <c r="Q321" s="1"/>
  <c r="I7" i="35"/>
  <c r="I12"/>
  <c r="I22"/>
  <c r="I17"/>
  <c r="I29"/>
  <c r="I27"/>
  <c r="H29"/>
  <c r="H12"/>
  <c r="J12" s="1"/>
  <c r="H7"/>
  <c r="J7" s="1"/>
  <c r="H27"/>
  <c r="J27" s="1"/>
  <c r="H22"/>
  <c r="J22" s="1"/>
  <c r="H17"/>
  <c r="J17" s="1"/>
  <c r="R320" i="11"/>
  <c r="Q320" s="1"/>
  <c r="R309"/>
  <c r="Q309" s="1"/>
  <c r="P325"/>
  <c r="R324"/>
  <c r="Q324" s="1"/>
  <c r="R323"/>
  <c r="Q323" s="1"/>
  <c r="R359"/>
  <c r="Q359" s="1"/>
  <c r="R358"/>
  <c r="Q358" s="1"/>
  <c r="R362"/>
  <c r="Q362" s="1"/>
  <c r="R294"/>
  <c r="Q294" s="1"/>
  <c r="R271"/>
  <c r="Q271" s="1"/>
  <c r="R352"/>
  <c r="Q352" s="1"/>
  <c r="R351"/>
  <c r="Q351" s="1"/>
  <c r="R317"/>
  <c r="Q317" s="1"/>
  <c r="R312"/>
  <c r="Q312" s="1"/>
  <c r="R304"/>
  <c r="Q304" s="1"/>
  <c r="R357"/>
  <c r="Q357" s="1"/>
  <c r="P327"/>
  <c r="R326"/>
  <c r="Q326" s="1"/>
  <c r="P335"/>
  <c r="P334"/>
  <c r="R333"/>
  <c r="Q333" s="1"/>
  <c r="R303"/>
  <c r="Q303" s="1"/>
  <c r="R302"/>
  <c r="Q302" s="1"/>
  <c r="R301"/>
  <c r="Q301" s="1"/>
  <c r="R300"/>
  <c r="Q300" s="1"/>
  <c r="R286"/>
  <c r="Q286" s="1"/>
  <c r="R276"/>
  <c r="Q276" s="1"/>
  <c r="P328"/>
  <c r="R278"/>
  <c r="Q278" s="1"/>
  <c r="R273"/>
  <c r="Q273" s="1"/>
  <c r="R311"/>
  <c r="Q311" s="1"/>
  <c r="R308"/>
  <c r="Q308" s="1"/>
  <c r="R307"/>
  <c r="Q307" s="1"/>
  <c r="P331"/>
  <c r="P330"/>
  <c r="R319"/>
  <c r="Q319" s="1"/>
  <c r="R316"/>
  <c r="Q316" s="1"/>
  <c r="R299"/>
  <c r="Q299" s="1"/>
  <c r="R298"/>
  <c r="Q298" s="1"/>
  <c r="R270"/>
  <c r="Q270" s="1"/>
  <c r="R315"/>
  <c r="Q315" s="1"/>
  <c r="R310"/>
  <c r="Q310" s="1"/>
  <c r="R297"/>
  <c r="Q297" s="1"/>
  <c r="R296"/>
  <c r="Q296" s="1"/>
  <c r="R293"/>
  <c r="Q293" s="1"/>
  <c r="R292"/>
  <c r="Q292" s="1"/>
  <c r="R285"/>
  <c r="Q285" s="1"/>
  <c r="R284"/>
  <c r="Q284" s="1"/>
  <c r="R272"/>
  <c r="Q272" s="1"/>
  <c r="P332"/>
  <c r="R322"/>
  <c r="Q322" s="1"/>
  <c r="R314"/>
  <c r="Q314" s="1"/>
  <c r="R313"/>
  <c r="Q313" s="1"/>
  <c r="R291"/>
  <c r="Q291" s="1"/>
  <c r="R290"/>
  <c r="Q290" s="1"/>
  <c r="R283"/>
  <c r="Q283" s="1"/>
  <c r="R282"/>
  <c r="Q282" s="1"/>
  <c r="R288"/>
  <c r="Q288" s="1"/>
  <c r="R280"/>
  <c r="Q280" s="1"/>
  <c r="R277"/>
  <c r="Q277" s="1"/>
  <c r="R295"/>
  <c r="Q295" s="1"/>
  <c r="R287"/>
  <c r="Q287" s="1"/>
  <c r="R279"/>
  <c r="Q279" s="1"/>
  <c r="R274"/>
  <c r="Q274" s="1"/>
  <c r="R329"/>
  <c r="Q329" s="1"/>
  <c r="R318"/>
  <c r="Q318" s="1"/>
  <c r="R306"/>
  <c r="Q306" s="1"/>
  <c r="R289"/>
  <c r="Q289" s="1"/>
  <c r="R281"/>
  <c r="Q281" s="1"/>
  <c r="R350"/>
  <c r="Q350" s="1"/>
  <c r="R347"/>
  <c r="Q347" s="1"/>
  <c r="R349"/>
  <c r="Q349" s="1"/>
  <c r="R348"/>
  <c r="Q348" s="1"/>
  <c r="P355"/>
  <c r="P353"/>
  <c r="M336"/>
  <c r="P336" s="1"/>
  <c r="N336"/>
  <c r="O336"/>
  <c r="M337"/>
  <c r="P337" s="1"/>
  <c r="N337"/>
  <c r="O337"/>
  <c r="M338"/>
  <c r="P338" s="1"/>
  <c r="N338"/>
  <c r="O338"/>
  <c r="M339"/>
  <c r="P339" s="1"/>
  <c r="N339"/>
  <c r="O339"/>
  <c r="M340"/>
  <c r="P340" s="1"/>
  <c r="N340"/>
  <c r="O340"/>
  <c r="M341"/>
  <c r="P341" s="1"/>
  <c r="N341"/>
  <c r="O341"/>
  <c r="M342"/>
  <c r="P342" s="1"/>
  <c r="N342"/>
  <c r="O342"/>
  <c r="M343"/>
  <c r="P343" s="1"/>
  <c r="N343"/>
  <c r="O343"/>
  <c r="M344"/>
  <c r="P344" s="1"/>
  <c r="N344"/>
  <c r="O344"/>
  <c r="M345"/>
  <c r="R345" s="1"/>
  <c r="Q345" s="1"/>
  <c r="N345"/>
  <c r="O345"/>
  <c r="M346"/>
  <c r="P346" s="1"/>
  <c r="N346"/>
  <c r="O346"/>
  <c r="E12" i="28"/>
  <c r="D12"/>
  <c r="O269" i="11"/>
  <c r="N269"/>
  <c r="M269"/>
  <c r="P269" s="1"/>
  <c r="O3"/>
  <c r="O4"/>
  <c r="O5"/>
  <c r="O6"/>
  <c r="O7"/>
  <c r="O8"/>
  <c r="O9"/>
  <c r="O10"/>
  <c r="O11"/>
  <c r="O12"/>
  <c r="O13"/>
  <c r="O14"/>
  <c r="O15"/>
  <c r="O16"/>
  <c r="O17"/>
  <c r="O18"/>
  <c r="O19"/>
  <c r="O20"/>
  <c r="O21"/>
  <c r="O22"/>
  <c r="O23"/>
  <c r="O24"/>
  <c r="O25"/>
  <c r="O26"/>
  <c r="O27"/>
  <c r="O28"/>
  <c r="O29"/>
  <c r="O30"/>
  <c r="O31"/>
  <c r="O32"/>
  <c r="O33"/>
  <c r="O34"/>
  <c r="O35"/>
  <c r="O36"/>
  <c r="O37"/>
  <c r="O38"/>
  <c r="O39"/>
  <c r="O40"/>
  <c r="O41"/>
  <c r="O42"/>
  <c r="O43"/>
  <c r="O44"/>
  <c r="O45"/>
  <c r="O46"/>
  <c r="O47"/>
  <c r="O48"/>
  <c r="O49"/>
  <c r="O50"/>
  <c r="O51"/>
  <c r="O52"/>
  <c r="O53"/>
  <c r="O54"/>
  <c r="O55"/>
  <c r="O56"/>
  <c r="O57"/>
  <c r="O58"/>
  <c r="O59"/>
  <c r="O60"/>
  <c r="O61"/>
  <c r="O62"/>
  <c r="O63"/>
  <c r="O64"/>
  <c r="O65"/>
  <c r="O66"/>
  <c r="O67"/>
  <c r="O68"/>
  <c r="O69"/>
  <c r="O70"/>
  <c r="O71"/>
  <c r="O72"/>
  <c r="O73"/>
  <c r="O74"/>
  <c r="O75"/>
  <c r="O76"/>
  <c r="O77"/>
  <c r="O78"/>
  <c r="O79"/>
  <c r="O80"/>
  <c r="O81"/>
  <c r="O82"/>
  <c r="O83"/>
  <c r="O84"/>
  <c r="O85"/>
  <c r="O86"/>
  <c r="O87"/>
  <c r="O88"/>
  <c r="O89"/>
  <c r="O90"/>
  <c r="O91"/>
  <c r="O92"/>
  <c r="O93"/>
  <c r="O94"/>
  <c r="O95"/>
  <c r="O96"/>
  <c r="O97"/>
  <c r="O98"/>
  <c r="O99"/>
  <c r="O100"/>
  <c r="O101"/>
  <c r="O102"/>
  <c r="O103"/>
  <c r="O104"/>
  <c r="O105"/>
  <c r="O106"/>
  <c r="O107"/>
  <c r="O108"/>
  <c r="O109"/>
  <c r="O110"/>
  <c r="O111"/>
  <c r="O112"/>
  <c r="O113"/>
  <c r="O114"/>
  <c r="O115"/>
  <c r="O116"/>
  <c r="O117"/>
  <c r="O118"/>
  <c r="O119"/>
  <c r="O120"/>
  <c r="O121"/>
  <c r="O122"/>
  <c r="O123"/>
  <c r="O124"/>
  <c r="O125"/>
  <c r="O126"/>
  <c r="O127"/>
  <c r="O128"/>
  <c r="O129"/>
  <c r="O130"/>
  <c r="O131"/>
  <c r="O132"/>
  <c r="O133"/>
  <c r="O134"/>
  <c r="O135"/>
  <c r="O136"/>
  <c r="O137"/>
  <c r="O138"/>
  <c r="O139"/>
  <c r="O140"/>
  <c r="O141"/>
  <c r="O142"/>
  <c r="O143"/>
  <c r="O144"/>
  <c r="O145"/>
  <c r="O146"/>
  <c r="O147"/>
  <c r="O148"/>
  <c r="O149"/>
  <c r="O150"/>
  <c r="O151"/>
  <c r="O152"/>
  <c r="O153"/>
  <c r="O154"/>
  <c r="O155"/>
  <c r="O156"/>
  <c r="O157"/>
  <c r="O158"/>
  <c r="O159"/>
  <c r="O160"/>
  <c r="O161"/>
  <c r="O162"/>
  <c r="O163"/>
  <c r="O164"/>
  <c r="O165"/>
  <c r="O166"/>
  <c r="O167"/>
  <c r="O168"/>
  <c r="O169"/>
  <c r="O170"/>
  <c r="O171"/>
  <c r="O172"/>
  <c r="O173"/>
  <c r="O174"/>
  <c r="O175"/>
  <c r="O176"/>
  <c r="O177"/>
  <c r="O178"/>
  <c r="O179"/>
  <c r="O180"/>
  <c r="O181"/>
  <c r="O182"/>
  <c r="O183"/>
  <c r="O184"/>
  <c r="O185"/>
  <c r="O186"/>
  <c r="O187"/>
  <c r="O188"/>
  <c r="O189"/>
  <c r="O190"/>
  <c r="O191"/>
  <c r="O192"/>
  <c r="O193"/>
  <c r="O194"/>
  <c r="O195"/>
  <c r="O196"/>
  <c r="O197"/>
  <c r="O198"/>
  <c r="O199"/>
  <c r="O200"/>
  <c r="O201"/>
  <c r="O202"/>
  <c r="O203"/>
  <c r="O204"/>
  <c r="O205"/>
  <c r="O206"/>
  <c r="O207"/>
  <c r="O208"/>
  <c r="O209"/>
  <c r="O210"/>
  <c r="O211"/>
  <c r="O212"/>
  <c r="O213"/>
  <c r="O214"/>
  <c r="O215"/>
  <c r="O216"/>
  <c r="O217"/>
  <c r="O218"/>
  <c r="O219"/>
  <c r="O220"/>
  <c r="O221"/>
  <c r="O222"/>
  <c r="O223"/>
  <c r="O224"/>
  <c r="O225"/>
  <c r="O226"/>
  <c r="O227"/>
  <c r="O228"/>
  <c r="O229"/>
  <c r="O230"/>
  <c r="O231"/>
  <c r="O232"/>
  <c r="O233"/>
  <c r="O234"/>
  <c r="O235"/>
  <c r="O236"/>
  <c r="O237"/>
  <c r="O238"/>
  <c r="O239"/>
  <c r="O240"/>
  <c r="O241"/>
  <c r="O242"/>
  <c r="O243"/>
  <c r="O244"/>
  <c r="O245"/>
  <c r="O246"/>
  <c r="O247"/>
  <c r="O248"/>
  <c r="O249"/>
  <c r="O250"/>
  <c r="O251"/>
  <c r="O252"/>
  <c r="O253"/>
  <c r="O254"/>
  <c r="O255"/>
  <c r="O256"/>
  <c r="O257"/>
  <c r="O258"/>
  <c r="O259"/>
  <c r="O260"/>
  <c r="O261"/>
  <c r="O262"/>
  <c r="O263"/>
  <c r="O264"/>
  <c r="O265"/>
  <c r="O266"/>
  <c r="O267"/>
  <c r="O268"/>
  <c r="O2"/>
  <c r="N3"/>
  <c r="N4"/>
  <c r="N5"/>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80"/>
  <c r="N81"/>
  <c r="N82"/>
  <c r="N83"/>
  <c r="N84"/>
  <c r="N85"/>
  <c r="N86"/>
  <c r="N87"/>
  <c r="N88"/>
  <c r="N89"/>
  <c r="N90"/>
  <c r="N91"/>
  <c r="N92"/>
  <c r="N93"/>
  <c r="N94"/>
  <c r="N95"/>
  <c r="N96"/>
  <c r="N97"/>
  <c r="N98"/>
  <c r="N99"/>
  <c r="N100"/>
  <c r="N101"/>
  <c r="N102"/>
  <c r="N103"/>
  <c r="N104"/>
  <c r="N105"/>
  <c r="N106"/>
  <c r="N107"/>
  <c r="N108"/>
  <c r="N109"/>
  <c r="N110"/>
  <c r="N111"/>
  <c r="N112"/>
  <c r="N113"/>
  <c r="N114"/>
  <c r="N115"/>
  <c r="N116"/>
  <c r="N117"/>
  <c r="N118"/>
  <c r="N119"/>
  <c r="N120"/>
  <c r="N121"/>
  <c r="N122"/>
  <c r="N123"/>
  <c r="N124"/>
  <c r="N125"/>
  <c r="N126"/>
  <c r="N127"/>
  <c r="N128"/>
  <c r="N129"/>
  <c r="N130"/>
  <c r="N131"/>
  <c r="N132"/>
  <c r="N133"/>
  <c r="N134"/>
  <c r="N135"/>
  <c r="N136"/>
  <c r="N137"/>
  <c r="N138"/>
  <c r="N139"/>
  <c r="N140"/>
  <c r="N141"/>
  <c r="N142"/>
  <c r="N143"/>
  <c r="N144"/>
  <c r="N145"/>
  <c r="N146"/>
  <c r="N147"/>
  <c r="N148"/>
  <c r="N149"/>
  <c r="N150"/>
  <c r="N151"/>
  <c r="N152"/>
  <c r="N153"/>
  <c r="N154"/>
  <c r="N155"/>
  <c r="N156"/>
  <c r="N157"/>
  <c r="N158"/>
  <c r="N159"/>
  <c r="N160"/>
  <c r="N161"/>
  <c r="N162"/>
  <c r="N163"/>
  <c r="N164"/>
  <c r="N165"/>
  <c r="N166"/>
  <c r="N167"/>
  <c r="N168"/>
  <c r="N169"/>
  <c r="N170"/>
  <c r="N171"/>
  <c r="N172"/>
  <c r="N173"/>
  <c r="N174"/>
  <c r="N175"/>
  <c r="N176"/>
  <c r="N177"/>
  <c r="N178"/>
  <c r="N179"/>
  <c r="N180"/>
  <c r="N181"/>
  <c r="N182"/>
  <c r="N183"/>
  <c r="N184"/>
  <c r="N185"/>
  <c r="N186"/>
  <c r="N187"/>
  <c r="N188"/>
  <c r="N189"/>
  <c r="N190"/>
  <c r="N191"/>
  <c r="N192"/>
  <c r="N193"/>
  <c r="N194"/>
  <c r="N195"/>
  <c r="N196"/>
  <c r="N197"/>
  <c r="N198"/>
  <c r="N199"/>
  <c r="N200"/>
  <c r="N201"/>
  <c r="N202"/>
  <c r="N203"/>
  <c r="N204"/>
  <c r="N205"/>
  <c r="N206"/>
  <c r="N207"/>
  <c r="N208"/>
  <c r="N209"/>
  <c r="N210"/>
  <c r="N211"/>
  <c r="N212"/>
  <c r="N213"/>
  <c r="N214"/>
  <c r="N215"/>
  <c r="N216"/>
  <c r="N217"/>
  <c r="N218"/>
  <c r="N219"/>
  <c r="N220"/>
  <c r="N221"/>
  <c r="N222"/>
  <c r="N223"/>
  <c r="N224"/>
  <c r="N225"/>
  <c r="N226"/>
  <c r="N227"/>
  <c r="N228"/>
  <c r="N229"/>
  <c r="N230"/>
  <c r="N231"/>
  <c r="N232"/>
  <c r="N233"/>
  <c r="N234"/>
  <c r="N235"/>
  <c r="N236"/>
  <c r="N237"/>
  <c r="N238"/>
  <c r="N239"/>
  <c r="N240"/>
  <c r="N241"/>
  <c r="N242"/>
  <c r="N243"/>
  <c r="N244"/>
  <c r="N245"/>
  <c r="N246"/>
  <c r="N247"/>
  <c r="N248"/>
  <c r="N249"/>
  <c r="N250"/>
  <c r="N251"/>
  <c r="N252"/>
  <c r="N253"/>
  <c r="N254"/>
  <c r="N255"/>
  <c r="N256"/>
  <c r="N257"/>
  <c r="N258"/>
  <c r="N259"/>
  <c r="N260"/>
  <c r="N261"/>
  <c r="N262"/>
  <c r="N263"/>
  <c r="N264"/>
  <c r="N265"/>
  <c r="N266"/>
  <c r="N267"/>
  <c r="N268"/>
  <c r="N2"/>
  <c r="P2"/>
  <c r="M241"/>
  <c r="M242"/>
  <c r="M243"/>
  <c r="M244"/>
  <c r="M245"/>
  <c r="M246"/>
  <c r="M247"/>
  <c r="P247" s="1"/>
  <c r="M248"/>
  <c r="P248" s="1"/>
  <c r="M249"/>
  <c r="M250"/>
  <c r="P250" s="1"/>
  <c r="M251"/>
  <c r="M252"/>
  <c r="P252" s="1"/>
  <c r="M253"/>
  <c r="P253" s="1"/>
  <c r="M254"/>
  <c r="P254" s="1"/>
  <c r="M255"/>
  <c r="P255" s="1"/>
  <c r="M256"/>
  <c r="P256" s="1"/>
  <c r="M257"/>
  <c r="P257" s="1"/>
  <c r="M258"/>
  <c r="P258" s="1"/>
  <c r="M259"/>
  <c r="P259" s="1"/>
  <c r="M260"/>
  <c r="P260" s="1"/>
  <c r="M261"/>
  <c r="P261" s="1"/>
  <c r="M262"/>
  <c r="R262" s="1"/>
  <c r="Q262" s="1"/>
  <c r="M263"/>
  <c r="R263" s="1"/>
  <c r="Q263" s="1"/>
  <c r="M264"/>
  <c r="P264" s="1"/>
  <c r="M265"/>
  <c r="P265" s="1"/>
  <c r="Q265"/>
  <c r="R265"/>
  <c r="M266"/>
  <c r="P266" s="1"/>
  <c r="Q266"/>
  <c r="R266"/>
  <c r="M267"/>
  <c r="P267" s="1"/>
  <c r="M268"/>
  <c r="P268" s="1"/>
  <c r="M239"/>
  <c r="M240"/>
  <c r="D20" i="34"/>
  <c r="D18"/>
  <c r="D32"/>
  <c r="D17"/>
  <c r="D21"/>
  <c r="D12"/>
  <c r="D11"/>
  <c r="D25"/>
  <c r="D8"/>
  <c r="D29"/>
  <c r="D10"/>
  <c r="D13"/>
  <c r="D24"/>
  <c r="D26"/>
  <c r="D14"/>
  <c r="D31"/>
  <c r="D6"/>
  <c r="C11" i="28"/>
  <c r="D19" i="34"/>
  <c r="D30"/>
  <c r="C8" i="28"/>
  <c r="D28" i="34"/>
  <c r="D15"/>
  <c r="D22"/>
  <c r="C5" i="28"/>
  <c r="D7" i="34"/>
  <c r="D27"/>
  <c r="D5"/>
  <c r="D16"/>
  <c r="D9"/>
  <c r="D23"/>
  <c r="J29" i="35" l="1"/>
  <c r="R337" i="11"/>
  <c r="Q337" s="1"/>
  <c r="R336"/>
  <c r="Q336" s="1"/>
  <c r="R341"/>
  <c r="Q341" s="1"/>
  <c r="R340"/>
  <c r="Q340" s="1"/>
  <c r="R339"/>
  <c r="Q339" s="1"/>
  <c r="R338"/>
  <c r="Q338" s="1"/>
  <c r="R343"/>
  <c r="Q343" s="1"/>
  <c r="R268"/>
  <c r="Q268" s="1"/>
  <c r="R258"/>
  <c r="Q258" s="1"/>
  <c r="R253"/>
  <c r="Q253" s="1"/>
  <c r="R342"/>
  <c r="Q342" s="1"/>
  <c r="R346"/>
  <c r="Q346" s="1"/>
  <c r="P345"/>
  <c r="R344"/>
  <c r="Q344" s="1"/>
  <c r="R260"/>
  <c r="Q260" s="1"/>
  <c r="R267"/>
  <c r="Q267" s="1"/>
  <c r="R264"/>
  <c r="Q264" s="1"/>
  <c r="R261"/>
  <c r="Q261" s="1"/>
  <c r="R259"/>
  <c r="Q259" s="1"/>
  <c r="R257"/>
  <c r="Q257" s="1"/>
  <c r="R255"/>
  <c r="Q255" s="1"/>
  <c r="R256"/>
  <c r="Q256" s="1"/>
  <c r="R254"/>
  <c r="Q254" s="1"/>
  <c r="R269"/>
  <c r="Q269" s="1"/>
  <c r="R252"/>
  <c r="Q252" s="1"/>
  <c r="R248"/>
  <c r="Q248" s="1"/>
  <c r="R247"/>
  <c r="Q247" s="1"/>
  <c r="R250"/>
  <c r="Q250" s="1"/>
  <c r="C15" i="32"/>
  <c r="C16"/>
  <c r="C10"/>
  <c r="C8"/>
  <c r="C12"/>
  <c r="C11"/>
  <c r="C9"/>
  <c r="C13"/>
  <c r="C6"/>
  <c r="C7"/>
  <c r="C4"/>
  <c r="C5"/>
  <c r="R240" i="11"/>
  <c r="Q240" s="1"/>
  <c r="P240"/>
  <c r="R239"/>
  <c r="Q239" s="1"/>
  <c r="P239"/>
  <c r="R251"/>
  <c r="Q251" s="1"/>
  <c r="P251"/>
  <c r="R249"/>
  <c r="Q249" s="1"/>
  <c r="P249"/>
  <c r="R246"/>
  <c r="Q246" s="1"/>
  <c r="P246"/>
  <c r="R245"/>
  <c r="Q245" s="1"/>
  <c r="P245"/>
  <c r="R244"/>
  <c r="Q244" s="1"/>
  <c r="P244"/>
  <c r="R243"/>
  <c r="Q243" s="1"/>
  <c r="P243"/>
  <c r="R242"/>
  <c r="Q242" s="1"/>
  <c r="P242"/>
  <c r="R241"/>
  <c r="Q241" s="1"/>
  <c r="P241"/>
  <c r="P263"/>
  <c r="P262"/>
  <c r="M223"/>
  <c r="P223" s="1"/>
  <c r="M222"/>
  <c r="M224"/>
  <c r="P224" s="1"/>
  <c r="M225"/>
  <c r="P225" s="1"/>
  <c r="M220"/>
  <c r="M221"/>
  <c r="Q224"/>
  <c r="R224"/>
  <c r="M226"/>
  <c r="M227"/>
  <c r="M228"/>
  <c r="M229"/>
  <c r="M230"/>
  <c r="M231"/>
  <c r="M232"/>
  <c r="M233"/>
  <c r="M234"/>
  <c r="M235"/>
  <c r="M236"/>
  <c r="M237"/>
  <c r="M238"/>
  <c r="M219"/>
  <c r="C6" i="28"/>
  <c r="C7"/>
  <c r="R223" i="11" l="1"/>
  <c r="Q223" s="1"/>
  <c r="C24" i="32"/>
  <c r="C25"/>
  <c r="D15"/>
  <c r="D12"/>
  <c r="D8"/>
  <c r="D10"/>
  <c r="D6"/>
  <c r="D4"/>
  <c r="R219" i="11"/>
  <c r="Q219" s="1"/>
  <c r="P219"/>
  <c r="R238"/>
  <c r="Q238" s="1"/>
  <c r="P238"/>
  <c r="R237"/>
  <c r="Q237" s="1"/>
  <c r="P237"/>
  <c r="R236"/>
  <c r="Q236" s="1"/>
  <c r="P236"/>
  <c r="R235"/>
  <c r="Q235" s="1"/>
  <c r="P235"/>
  <c r="R234"/>
  <c r="Q234" s="1"/>
  <c r="P234"/>
  <c r="R233"/>
  <c r="Q233" s="1"/>
  <c r="P233"/>
  <c r="R232"/>
  <c r="Q232" s="1"/>
  <c r="P232"/>
  <c r="R231"/>
  <c r="Q231" s="1"/>
  <c r="P231"/>
  <c r="R230"/>
  <c r="Q230" s="1"/>
  <c r="P230"/>
  <c r="R229"/>
  <c r="Q229" s="1"/>
  <c r="P229"/>
  <c r="R228"/>
  <c r="Q228" s="1"/>
  <c r="P228"/>
  <c r="R227"/>
  <c r="Q227" s="1"/>
  <c r="P227"/>
  <c r="R226"/>
  <c r="Q226" s="1"/>
  <c r="P226"/>
  <c r="R221"/>
  <c r="Q221" s="1"/>
  <c r="P221"/>
  <c r="R220"/>
  <c r="Q220" s="1"/>
  <c r="P220"/>
  <c r="R222"/>
  <c r="Q222" s="1"/>
  <c r="P222"/>
  <c r="R225"/>
  <c r="C12" i="28"/>
  <c r="R9" i="11"/>
  <c r="R19"/>
  <c r="R25"/>
  <c r="R216"/>
  <c r="Q216"/>
  <c r="M218"/>
  <c r="M217"/>
  <c r="M216"/>
  <c r="P216" s="1"/>
  <c r="M215"/>
  <c r="P215" s="1"/>
  <c r="M214"/>
  <c r="M213"/>
  <c r="M212"/>
  <c r="M211"/>
  <c r="M210"/>
  <c r="M209"/>
  <c r="M208"/>
  <c r="M207"/>
  <c r="M206"/>
  <c r="M205"/>
  <c r="M204"/>
  <c r="M203"/>
  <c r="M202"/>
  <c r="M201"/>
  <c r="M200"/>
  <c r="M199"/>
  <c r="M198"/>
  <c r="M197"/>
  <c r="M196"/>
  <c r="M195"/>
  <c r="M194"/>
  <c r="M193"/>
  <c r="M192"/>
  <c r="M191"/>
  <c r="M190"/>
  <c r="M189"/>
  <c r="M188"/>
  <c r="M187"/>
  <c r="M186"/>
  <c r="M185"/>
  <c r="M184"/>
  <c r="M183"/>
  <c r="M182"/>
  <c r="M181"/>
  <c r="M180"/>
  <c r="M179"/>
  <c r="M178"/>
  <c r="M177"/>
  <c r="M176"/>
  <c r="M175"/>
  <c r="M174"/>
  <c r="M173"/>
  <c r="M172"/>
  <c r="M171"/>
  <c r="M170"/>
  <c r="M169"/>
  <c r="M168"/>
  <c r="M167"/>
  <c r="M166"/>
  <c r="M165"/>
  <c r="M164"/>
  <c r="M163"/>
  <c r="M162"/>
  <c r="M161"/>
  <c r="M160"/>
  <c r="M159"/>
  <c r="M158"/>
  <c r="M157"/>
  <c r="M156"/>
  <c r="M155"/>
  <c r="M154"/>
  <c r="M153"/>
  <c r="M152"/>
  <c r="M151"/>
  <c r="M150"/>
  <c r="M149"/>
  <c r="M148"/>
  <c r="M147"/>
  <c r="M146"/>
  <c r="M145"/>
  <c r="M144"/>
  <c r="M143"/>
  <c r="M142"/>
  <c r="M141"/>
  <c r="M140"/>
  <c r="M139"/>
  <c r="M138"/>
  <c r="M137"/>
  <c r="M136"/>
  <c r="M135"/>
  <c r="M134"/>
  <c r="M133"/>
  <c r="M132"/>
  <c r="M131"/>
  <c r="M130"/>
  <c r="M129"/>
  <c r="M128"/>
  <c r="M127"/>
  <c r="M126"/>
  <c r="M125"/>
  <c r="M124"/>
  <c r="M123"/>
  <c r="M122"/>
  <c r="M121"/>
  <c r="M120"/>
  <c r="M119"/>
  <c r="M118"/>
  <c r="M117"/>
  <c r="M116"/>
  <c r="M115"/>
  <c r="M114"/>
  <c r="M113"/>
  <c r="M112"/>
  <c r="M111"/>
  <c r="M110"/>
  <c r="M109"/>
  <c r="M108"/>
  <c r="M107"/>
  <c r="M10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19"/>
  <c r="P19" s="1"/>
  <c r="Q19"/>
  <c r="M20"/>
  <c r="M21"/>
  <c r="M22"/>
  <c r="M23"/>
  <c r="M24"/>
  <c r="M25"/>
  <c r="P25" s="1"/>
  <c r="Q25"/>
  <c r="M26"/>
  <c r="M27"/>
  <c r="E15" i="32" l="1"/>
  <c r="F15"/>
  <c r="D24"/>
  <c r="X221" i="11"/>
  <c r="X222" s="1"/>
  <c r="X223" s="1"/>
  <c r="X224" s="1"/>
  <c r="X225" s="1"/>
  <c r="X226" s="1"/>
  <c r="X227" s="1"/>
  <c r="X228" s="1"/>
  <c r="X229" s="1"/>
  <c r="X230" s="1"/>
  <c r="X231" s="1"/>
  <c r="X232" s="1"/>
  <c r="X233" s="1"/>
  <c r="X234" s="1"/>
  <c r="X235" s="1"/>
  <c r="X236" s="1"/>
  <c r="X237" s="1"/>
  <c r="X238" s="1"/>
  <c r="X239" s="1"/>
  <c r="X240" s="1"/>
  <c r="X241" s="1"/>
  <c r="X242" s="1"/>
  <c r="X243" s="1"/>
  <c r="X244" s="1"/>
  <c r="X245" s="1"/>
  <c r="X246" s="1"/>
  <c r="X247" s="1"/>
  <c r="X248" s="1"/>
  <c r="X249" s="1"/>
  <c r="X250" s="1"/>
  <c r="X251" s="1"/>
  <c r="X252" s="1"/>
  <c r="X253" s="1"/>
  <c r="X254" s="1"/>
  <c r="X255" s="1"/>
  <c r="X256" s="1"/>
  <c r="X257" s="1"/>
  <c r="X258" s="1"/>
  <c r="X259" s="1"/>
  <c r="X260" s="1"/>
  <c r="X261" s="1"/>
  <c r="X262" s="1"/>
  <c r="X263" s="1"/>
  <c r="X264" s="1"/>
  <c r="X265" s="1"/>
  <c r="X266" s="1"/>
  <c r="X267" s="1"/>
  <c r="X268" s="1"/>
  <c r="X269" s="1"/>
  <c r="H15" i="32"/>
  <c r="R27" i="11"/>
  <c r="W27" s="1"/>
  <c r="P27"/>
  <c r="R26"/>
  <c r="Q26" s="1"/>
  <c r="P26"/>
  <c r="R24"/>
  <c r="P24"/>
  <c r="R23"/>
  <c r="Q23" s="1"/>
  <c r="P23"/>
  <c r="R22"/>
  <c r="P22"/>
  <c r="R21"/>
  <c r="V21" s="1"/>
  <c r="P21"/>
  <c r="R20"/>
  <c r="Q20" s="1"/>
  <c r="P20"/>
  <c r="R28"/>
  <c r="P28"/>
  <c r="R29"/>
  <c r="Q29" s="1"/>
  <c r="P29"/>
  <c r="R30"/>
  <c r="Q30" s="1"/>
  <c r="P30"/>
  <c r="R31"/>
  <c r="Q31" s="1"/>
  <c r="P31"/>
  <c r="R32"/>
  <c r="H6" i="32" s="1"/>
  <c r="P32" i="11"/>
  <c r="F6" i="32" s="1"/>
  <c r="R33" i="11"/>
  <c r="Q33" s="1"/>
  <c r="P33"/>
  <c r="R34"/>
  <c r="Q34" s="1"/>
  <c r="P34"/>
  <c r="R35"/>
  <c r="Q35" s="1"/>
  <c r="P35"/>
  <c r="R36"/>
  <c r="Q36" s="1"/>
  <c r="P36"/>
  <c r="R37"/>
  <c r="Q37" s="1"/>
  <c r="P37"/>
  <c r="R38"/>
  <c r="Q38" s="1"/>
  <c r="P38"/>
  <c r="R39"/>
  <c r="Q39" s="1"/>
  <c r="P39"/>
  <c r="R40"/>
  <c r="Q40" s="1"/>
  <c r="P40"/>
  <c r="R41"/>
  <c r="Q41" s="1"/>
  <c r="P41"/>
  <c r="R42"/>
  <c r="Q42" s="1"/>
  <c r="P42"/>
  <c r="R43"/>
  <c r="Q43" s="1"/>
  <c r="P43"/>
  <c r="R44"/>
  <c r="Q44" s="1"/>
  <c r="P44"/>
  <c r="R45"/>
  <c r="Q45" s="1"/>
  <c r="P45"/>
  <c r="R46"/>
  <c r="Q46" s="1"/>
  <c r="P46"/>
  <c r="R47"/>
  <c r="Q47" s="1"/>
  <c r="P47"/>
  <c r="R48"/>
  <c r="Q48" s="1"/>
  <c r="P48"/>
  <c r="R49"/>
  <c r="Q49" s="1"/>
  <c r="P49"/>
  <c r="R50"/>
  <c r="Q50" s="1"/>
  <c r="P50"/>
  <c r="R51"/>
  <c r="Q51" s="1"/>
  <c r="P51"/>
  <c r="R52"/>
  <c r="Q52" s="1"/>
  <c r="P52"/>
  <c r="R53"/>
  <c r="Q53" s="1"/>
  <c r="P53"/>
  <c r="R54"/>
  <c r="Q54" s="1"/>
  <c r="P54"/>
  <c r="R55"/>
  <c r="Q55" s="1"/>
  <c r="P55"/>
  <c r="R56"/>
  <c r="Q56" s="1"/>
  <c r="P56"/>
  <c r="R57"/>
  <c r="Q57" s="1"/>
  <c r="P57"/>
  <c r="R58"/>
  <c r="Q58" s="1"/>
  <c r="P58"/>
  <c r="R59"/>
  <c r="Q59" s="1"/>
  <c r="P59"/>
  <c r="R60"/>
  <c r="Q60" s="1"/>
  <c r="P60"/>
  <c r="R61"/>
  <c r="Q61" s="1"/>
  <c r="P61"/>
  <c r="R62"/>
  <c r="Q62" s="1"/>
  <c r="P62"/>
  <c r="R63"/>
  <c r="Q63" s="1"/>
  <c r="P63"/>
  <c r="R64"/>
  <c r="Q64" s="1"/>
  <c r="P64"/>
  <c r="R65"/>
  <c r="Q65" s="1"/>
  <c r="P65"/>
  <c r="R66"/>
  <c r="Q66" s="1"/>
  <c r="P66"/>
  <c r="R67"/>
  <c r="Q67" s="1"/>
  <c r="P67"/>
  <c r="R68"/>
  <c r="Q68" s="1"/>
  <c r="P68"/>
  <c r="R69"/>
  <c r="Q69" s="1"/>
  <c r="P69"/>
  <c r="R70"/>
  <c r="Q70" s="1"/>
  <c r="P70"/>
  <c r="R71"/>
  <c r="Q71" s="1"/>
  <c r="P71"/>
  <c r="R72"/>
  <c r="Q72" s="1"/>
  <c r="P72"/>
  <c r="R73"/>
  <c r="Q73" s="1"/>
  <c r="P73"/>
  <c r="R74"/>
  <c r="Q74" s="1"/>
  <c r="P74"/>
  <c r="R75"/>
  <c r="Q75" s="1"/>
  <c r="P75"/>
  <c r="R76"/>
  <c r="Q76" s="1"/>
  <c r="P76"/>
  <c r="R77"/>
  <c r="Q77" s="1"/>
  <c r="P77"/>
  <c r="R78"/>
  <c r="Q78" s="1"/>
  <c r="P78"/>
  <c r="R79"/>
  <c r="Q79" s="1"/>
  <c r="P79"/>
  <c r="R80"/>
  <c r="Q80" s="1"/>
  <c r="P80"/>
  <c r="R81"/>
  <c r="Q81" s="1"/>
  <c r="P81"/>
  <c r="R82"/>
  <c r="Q82" s="1"/>
  <c r="P82"/>
  <c r="R83"/>
  <c r="Q83" s="1"/>
  <c r="P83"/>
  <c r="R84"/>
  <c r="Q84" s="1"/>
  <c r="P84"/>
  <c r="R85"/>
  <c r="Q85" s="1"/>
  <c r="P85"/>
  <c r="R86"/>
  <c r="Q86" s="1"/>
  <c r="P86"/>
  <c r="R87"/>
  <c r="Q87" s="1"/>
  <c r="P87"/>
  <c r="R88"/>
  <c r="Q88" s="1"/>
  <c r="P88"/>
  <c r="R89"/>
  <c r="Q89" s="1"/>
  <c r="P89"/>
  <c r="R90"/>
  <c r="Q90" s="1"/>
  <c r="P90"/>
  <c r="R91"/>
  <c r="Q91" s="1"/>
  <c r="P91"/>
  <c r="R92"/>
  <c r="Q92" s="1"/>
  <c r="P92"/>
  <c r="R93"/>
  <c r="Q93" s="1"/>
  <c r="P93"/>
  <c r="R94"/>
  <c r="Q94" s="1"/>
  <c r="P94"/>
  <c r="R95"/>
  <c r="Q95" s="1"/>
  <c r="P95"/>
  <c r="R96"/>
  <c r="Q96" s="1"/>
  <c r="P96"/>
  <c r="R97"/>
  <c r="Q97" s="1"/>
  <c r="P97"/>
  <c r="R98"/>
  <c r="Q98" s="1"/>
  <c r="P98"/>
  <c r="R99"/>
  <c r="Q99" s="1"/>
  <c r="P99"/>
  <c r="R100"/>
  <c r="Q100" s="1"/>
  <c r="P100"/>
  <c r="R101"/>
  <c r="Q101" s="1"/>
  <c r="P101"/>
  <c r="R102"/>
  <c r="Q102" s="1"/>
  <c r="P102"/>
  <c r="R103"/>
  <c r="Q103" s="1"/>
  <c r="P103"/>
  <c r="R104"/>
  <c r="Q104" s="1"/>
  <c r="P104"/>
  <c r="R105"/>
  <c r="Q105" s="1"/>
  <c r="P105"/>
  <c r="R106"/>
  <c r="Q106" s="1"/>
  <c r="P106"/>
  <c r="R107"/>
  <c r="Q107" s="1"/>
  <c r="P107"/>
  <c r="R108"/>
  <c r="Q108" s="1"/>
  <c r="P108"/>
  <c r="R109"/>
  <c r="Q109" s="1"/>
  <c r="P109"/>
  <c r="R110"/>
  <c r="Q110" s="1"/>
  <c r="P110"/>
  <c r="R111"/>
  <c r="Q111" s="1"/>
  <c r="P111"/>
  <c r="R112"/>
  <c r="Q112" s="1"/>
  <c r="P112"/>
  <c r="R113"/>
  <c r="Q113" s="1"/>
  <c r="P113"/>
  <c r="R114"/>
  <c r="Q114" s="1"/>
  <c r="P114"/>
  <c r="R115"/>
  <c r="Q115" s="1"/>
  <c r="P115"/>
  <c r="R116"/>
  <c r="Q116" s="1"/>
  <c r="P116"/>
  <c r="R117"/>
  <c r="Q117" s="1"/>
  <c r="P117"/>
  <c r="R118"/>
  <c r="Q118" s="1"/>
  <c r="P118"/>
  <c r="R119"/>
  <c r="Q119" s="1"/>
  <c r="P119"/>
  <c r="R120"/>
  <c r="Q120" s="1"/>
  <c r="P120"/>
  <c r="R121"/>
  <c r="Q121" s="1"/>
  <c r="P121"/>
  <c r="R122"/>
  <c r="Q122" s="1"/>
  <c r="P122"/>
  <c r="R123"/>
  <c r="Q123" s="1"/>
  <c r="P123"/>
  <c r="R124"/>
  <c r="Q124" s="1"/>
  <c r="P124"/>
  <c r="R125"/>
  <c r="Q125" s="1"/>
  <c r="P125"/>
  <c r="R126"/>
  <c r="Q126" s="1"/>
  <c r="P126"/>
  <c r="R127"/>
  <c r="Q127" s="1"/>
  <c r="P127"/>
  <c r="R128"/>
  <c r="Q128" s="1"/>
  <c r="P128"/>
  <c r="R129"/>
  <c r="Q129" s="1"/>
  <c r="P129"/>
  <c r="R130"/>
  <c r="Q130" s="1"/>
  <c r="P130"/>
  <c r="R131"/>
  <c r="Q131" s="1"/>
  <c r="P131"/>
  <c r="R132"/>
  <c r="Q132" s="1"/>
  <c r="P132"/>
  <c r="R133"/>
  <c r="Q133" s="1"/>
  <c r="P133"/>
  <c r="R134"/>
  <c r="Q134" s="1"/>
  <c r="P134"/>
  <c r="R135"/>
  <c r="Q135" s="1"/>
  <c r="P135"/>
  <c r="R136"/>
  <c r="Q136" s="1"/>
  <c r="P136"/>
  <c r="R137"/>
  <c r="Q137" s="1"/>
  <c r="P137"/>
  <c r="R138"/>
  <c r="Q138" s="1"/>
  <c r="P138"/>
  <c r="R139"/>
  <c r="Q139" s="1"/>
  <c r="P139"/>
  <c r="R140"/>
  <c r="Q140" s="1"/>
  <c r="P140"/>
  <c r="R141"/>
  <c r="Q141" s="1"/>
  <c r="P141"/>
  <c r="R142"/>
  <c r="Q142" s="1"/>
  <c r="P142"/>
  <c r="R143"/>
  <c r="Q143" s="1"/>
  <c r="P143"/>
  <c r="R144"/>
  <c r="Q144" s="1"/>
  <c r="P144"/>
  <c r="R145"/>
  <c r="Q145" s="1"/>
  <c r="P145"/>
  <c r="R146"/>
  <c r="Q146" s="1"/>
  <c r="P146"/>
  <c r="R147"/>
  <c r="Q147" s="1"/>
  <c r="P147"/>
  <c r="R148"/>
  <c r="Q148" s="1"/>
  <c r="P148"/>
  <c r="R149"/>
  <c r="Q149" s="1"/>
  <c r="P149"/>
  <c r="R150"/>
  <c r="Q150" s="1"/>
  <c r="P150"/>
  <c r="R151"/>
  <c r="Q151" s="1"/>
  <c r="P151"/>
  <c r="R152"/>
  <c r="Q152" s="1"/>
  <c r="P152"/>
  <c r="R153"/>
  <c r="Q153" s="1"/>
  <c r="P153"/>
  <c r="R154"/>
  <c r="Q154" s="1"/>
  <c r="P154"/>
  <c r="R155"/>
  <c r="Q155" s="1"/>
  <c r="P155"/>
  <c r="R156"/>
  <c r="Q156" s="1"/>
  <c r="P156"/>
  <c r="R157"/>
  <c r="Q157" s="1"/>
  <c r="P157"/>
  <c r="R158"/>
  <c r="Q158" s="1"/>
  <c r="P158"/>
  <c r="R159"/>
  <c r="Q159" s="1"/>
  <c r="P159"/>
  <c r="R160"/>
  <c r="Q160" s="1"/>
  <c r="P160"/>
  <c r="R161"/>
  <c r="Q161" s="1"/>
  <c r="P161"/>
  <c r="R162"/>
  <c r="Q162" s="1"/>
  <c r="P162"/>
  <c r="R163"/>
  <c r="Q163" s="1"/>
  <c r="P163"/>
  <c r="R164"/>
  <c r="Q164" s="1"/>
  <c r="P164"/>
  <c r="R165"/>
  <c r="Q165" s="1"/>
  <c r="P165"/>
  <c r="R166"/>
  <c r="Q166" s="1"/>
  <c r="P166"/>
  <c r="R167"/>
  <c r="Q167" s="1"/>
  <c r="P167"/>
  <c r="R168"/>
  <c r="Q168" s="1"/>
  <c r="P168"/>
  <c r="R169"/>
  <c r="Q169" s="1"/>
  <c r="P169"/>
  <c r="R170"/>
  <c r="Q170" s="1"/>
  <c r="P170"/>
  <c r="R171"/>
  <c r="Q171" s="1"/>
  <c r="P171"/>
  <c r="R172"/>
  <c r="Q172" s="1"/>
  <c r="P172"/>
  <c r="R173"/>
  <c r="Q173" s="1"/>
  <c r="P173"/>
  <c r="R174"/>
  <c r="Q174" s="1"/>
  <c r="P174"/>
  <c r="R175"/>
  <c r="Q175" s="1"/>
  <c r="P175"/>
  <c r="R176"/>
  <c r="Q176" s="1"/>
  <c r="P176"/>
  <c r="R177"/>
  <c r="Q177" s="1"/>
  <c r="P177"/>
  <c r="R178"/>
  <c r="Q178" s="1"/>
  <c r="P178"/>
  <c r="R179"/>
  <c r="Q179" s="1"/>
  <c r="P179"/>
  <c r="R180"/>
  <c r="Q180" s="1"/>
  <c r="P180"/>
  <c r="R181"/>
  <c r="Q181" s="1"/>
  <c r="P181"/>
  <c r="R182"/>
  <c r="Q182" s="1"/>
  <c r="P182"/>
  <c r="R183"/>
  <c r="Q183" s="1"/>
  <c r="P183"/>
  <c r="R184"/>
  <c r="Q184" s="1"/>
  <c r="P184"/>
  <c r="R185"/>
  <c r="Q185" s="1"/>
  <c r="P185"/>
  <c r="R186"/>
  <c r="Q186" s="1"/>
  <c r="P186"/>
  <c r="R187"/>
  <c r="Q187" s="1"/>
  <c r="P187"/>
  <c r="R188"/>
  <c r="Q188" s="1"/>
  <c r="P188"/>
  <c r="R189"/>
  <c r="Q189" s="1"/>
  <c r="P189"/>
  <c r="R190"/>
  <c r="Q190" s="1"/>
  <c r="P190"/>
  <c r="R191"/>
  <c r="Q191" s="1"/>
  <c r="P191"/>
  <c r="R192"/>
  <c r="Q192" s="1"/>
  <c r="P192"/>
  <c r="R193"/>
  <c r="Q193" s="1"/>
  <c r="P193"/>
  <c r="R194"/>
  <c r="Q194" s="1"/>
  <c r="P194"/>
  <c r="R195"/>
  <c r="Q195" s="1"/>
  <c r="P195"/>
  <c r="R196"/>
  <c r="Q196" s="1"/>
  <c r="P196"/>
  <c r="R197"/>
  <c r="Q197" s="1"/>
  <c r="P197"/>
  <c r="R198"/>
  <c r="Q198" s="1"/>
  <c r="P198"/>
  <c r="R199"/>
  <c r="Q199" s="1"/>
  <c r="P199"/>
  <c r="R200"/>
  <c r="Q200" s="1"/>
  <c r="P200"/>
  <c r="R201"/>
  <c r="Q201" s="1"/>
  <c r="P201"/>
  <c r="R202"/>
  <c r="Q202" s="1"/>
  <c r="P202"/>
  <c r="R203"/>
  <c r="Q203" s="1"/>
  <c r="P203"/>
  <c r="R204"/>
  <c r="Q204" s="1"/>
  <c r="P204"/>
  <c r="R205"/>
  <c r="Q205" s="1"/>
  <c r="P205"/>
  <c r="R206"/>
  <c r="Q206" s="1"/>
  <c r="P206"/>
  <c r="R207"/>
  <c r="Q207" s="1"/>
  <c r="P207"/>
  <c r="R208"/>
  <c r="Q208" s="1"/>
  <c r="P208"/>
  <c r="R209"/>
  <c r="Q209" s="1"/>
  <c r="P209"/>
  <c r="R210"/>
  <c r="Q210" s="1"/>
  <c r="P210"/>
  <c r="R211"/>
  <c r="Q211" s="1"/>
  <c r="P211"/>
  <c r="R212"/>
  <c r="Q212" s="1"/>
  <c r="P212"/>
  <c r="R213"/>
  <c r="Q213" s="1"/>
  <c r="P213"/>
  <c r="R214"/>
  <c r="Q214" s="1"/>
  <c r="P214"/>
  <c r="R217"/>
  <c r="Q217" s="1"/>
  <c r="P217"/>
  <c r="R218"/>
  <c r="Q218" s="1"/>
  <c r="P218"/>
  <c r="Q225"/>
  <c r="Y225"/>
  <c r="Y226" s="1"/>
  <c r="Y227" s="1"/>
  <c r="Y228" s="1"/>
  <c r="Y229" s="1"/>
  <c r="Y230" s="1"/>
  <c r="Y231" s="1"/>
  <c r="Y232" s="1"/>
  <c r="Y233" s="1"/>
  <c r="Y234" s="1"/>
  <c r="Y235" s="1"/>
  <c r="Y236" s="1"/>
  <c r="Y237" s="1"/>
  <c r="Y238" s="1"/>
  <c r="Y239" s="1"/>
  <c r="Y240" s="1"/>
  <c r="Y241" s="1"/>
  <c r="Y242" s="1"/>
  <c r="Y243" s="1"/>
  <c r="Y244" s="1"/>
  <c r="Y245" s="1"/>
  <c r="Y246" s="1"/>
  <c r="Y247" s="1"/>
  <c r="Y248" s="1"/>
  <c r="Y249" s="1"/>
  <c r="Y250" s="1"/>
  <c r="Y251" s="1"/>
  <c r="Y252" s="1"/>
  <c r="Y253" s="1"/>
  <c r="Y254" s="1"/>
  <c r="Y255" s="1"/>
  <c r="Y256" s="1"/>
  <c r="Y257" s="1"/>
  <c r="Y258" s="1"/>
  <c r="Y259" s="1"/>
  <c r="Y260" s="1"/>
  <c r="Y261" s="1"/>
  <c r="Y262" s="1"/>
  <c r="Y263" s="1"/>
  <c r="Y264" s="1"/>
  <c r="Y265" s="1"/>
  <c r="Y266" s="1"/>
  <c r="Y267" s="1"/>
  <c r="Y268" s="1"/>
  <c r="Y269" s="1"/>
  <c r="R215"/>
  <c r="Q215" s="1"/>
  <c r="Q24"/>
  <c r="Q22"/>
  <c r="Q9"/>
  <c r="Q21" l="1"/>
  <c r="Q32"/>
  <c r="Q27"/>
  <c r="V22"/>
  <c r="V23" s="1"/>
  <c r="V24" s="1"/>
  <c r="V25" s="1"/>
  <c r="V26" s="1"/>
  <c r="V27" s="1"/>
  <c r="V28" s="1"/>
  <c r="V29" s="1"/>
  <c r="V30" s="1"/>
  <c r="V31" s="1"/>
  <c r="V32" s="1"/>
  <c r="V33" s="1"/>
  <c r="V34" s="1"/>
  <c r="V35" s="1"/>
  <c r="V36" s="1"/>
  <c r="V37" s="1"/>
  <c r="V38" s="1"/>
  <c r="V39" s="1"/>
  <c r="V40" s="1"/>
  <c r="V41" s="1"/>
  <c r="V42" s="1"/>
  <c r="V43" s="1"/>
  <c r="V44" s="1"/>
  <c r="V45" s="1"/>
  <c r="V46" s="1"/>
  <c r="V47" s="1"/>
  <c r="V48" s="1"/>
  <c r="V49" s="1"/>
  <c r="V50" s="1"/>
  <c r="V51" s="1"/>
  <c r="V52" s="1"/>
  <c r="V53" s="1"/>
  <c r="V54" s="1"/>
  <c r="V55" s="1"/>
  <c r="V56" s="1"/>
  <c r="V57" s="1"/>
  <c r="V58" s="1"/>
  <c r="V59" s="1"/>
  <c r="V60" s="1"/>
  <c r="V61" s="1"/>
  <c r="V62" s="1"/>
  <c r="V63" s="1"/>
  <c r="V64" s="1"/>
  <c r="V65" s="1"/>
  <c r="V66" s="1"/>
  <c r="V67" s="1"/>
  <c r="V68" s="1"/>
  <c r="V69" s="1"/>
  <c r="V70" s="1"/>
  <c r="V71" s="1"/>
  <c r="V72" s="1"/>
  <c r="V73" s="1"/>
  <c r="V74" s="1"/>
  <c r="V75" s="1"/>
  <c r="V76" s="1"/>
  <c r="V77" s="1"/>
  <c r="V78" s="1"/>
  <c r="V79" s="1"/>
  <c r="V80" s="1"/>
  <c r="V81" s="1"/>
  <c r="V82" s="1"/>
  <c r="V83" s="1"/>
  <c r="V84" s="1"/>
  <c r="V85" s="1"/>
  <c r="V86" s="1"/>
  <c r="V87" s="1"/>
  <c r="V88" s="1"/>
  <c r="V89" s="1"/>
  <c r="V90" s="1"/>
  <c r="V91" s="1"/>
  <c r="V92" s="1"/>
  <c r="V93" s="1"/>
  <c r="V94" s="1"/>
  <c r="V95" s="1"/>
  <c r="V96" s="1"/>
  <c r="V97" s="1"/>
  <c r="V98" s="1"/>
  <c r="V99" s="1"/>
  <c r="V100" s="1"/>
  <c r="V101" s="1"/>
  <c r="V102" s="1"/>
  <c r="V103" s="1"/>
  <c r="V104" s="1"/>
  <c r="V105" s="1"/>
  <c r="V106" s="1"/>
  <c r="V107" s="1"/>
  <c r="V108" s="1"/>
  <c r="V109" s="1"/>
  <c r="V110" s="1"/>
  <c r="V111" s="1"/>
  <c r="V112" s="1"/>
  <c r="V113" s="1"/>
  <c r="V114" s="1"/>
  <c r="V115" s="1"/>
  <c r="V116" s="1"/>
  <c r="V117" s="1"/>
  <c r="V118" s="1"/>
  <c r="V119" s="1"/>
  <c r="V120" s="1"/>
  <c r="V121" s="1"/>
  <c r="V122" s="1"/>
  <c r="V123" s="1"/>
  <c r="V124" s="1"/>
  <c r="V125" s="1"/>
  <c r="V126" s="1"/>
  <c r="V127" s="1"/>
  <c r="V128" s="1"/>
  <c r="V129" s="1"/>
  <c r="V130" s="1"/>
  <c r="V131" s="1"/>
  <c r="V132" s="1"/>
  <c r="V133" s="1"/>
  <c r="V134" s="1"/>
  <c r="V135" s="1"/>
  <c r="V136" s="1"/>
  <c r="V137" s="1"/>
  <c r="V138" s="1"/>
  <c r="V139" s="1"/>
  <c r="V140" s="1"/>
  <c r="V141" s="1"/>
  <c r="V142" s="1"/>
  <c r="V143" s="1"/>
  <c r="V144" s="1"/>
  <c r="V145" s="1"/>
  <c r="V146" s="1"/>
  <c r="V147" s="1"/>
  <c r="V148" s="1"/>
  <c r="V149" s="1"/>
  <c r="V150" s="1"/>
  <c r="V151" s="1"/>
  <c r="V152" s="1"/>
  <c r="V153" s="1"/>
  <c r="V154" s="1"/>
  <c r="V155" s="1"/>
  <c r="V156" s="1"/>
  <c r="V157" s="1"/>
  <c r="V158" s="1"/>
  <c r="V159" s="1"/>
  <c r="V160" s="1"/>
  <c r="V161" s="1"/>
  <c r="V162" s="1"/>
  <c r="V163" s="1"/>
  <c r="V164" s="1"/>
  <c r="V165" s="1"/>
  <c r="V166" s="1"/>
  <c r="V167" s="1"/>
  <c r="V168" s="1"/>
  <c r="V169" s="1"/>
  <c r="V170" s="1"/>
  <c r="V171" s="1"/>
  <c r="V172" s="1"/>
  <c r="V173" s="1"/>
  <c r="V174" s="1"/>
  <c r="V175" s="1"/>
  <c r="V176" s="1"/>
  <c r="V177" s="1"/>
  <c r="V178" s="1"/>
  <c r="V179" s="1"/>
  <c r="V180" s="1"/>
  <c r="V181" s="1"/>
  <c r="V182" s="1"/>
  <c r="V183" s="1"/>
  <c r="V184" s="1"/>
  <c r="V185" s="1"/>
  <c r="V186" s="1"/>
  <c r="V187" s="1"/>
  <c r="V188" s="1"/>
  <c r="V189" s="1"/>
  <c r="V190" s="1"/>
  <c r="V191" s="1"/>
  <c r="V192" s="1"/>
  <c r="V193" s="1"/>
  <c r="V194" s="1"/>
  <c r="V195" s="1"/>
  <c r="V196" s="1"/>
  <c r="V197" s="1"/>
  <c r="V198" s="1"/>
  <c r="V199" s="1"/>
  <c r="V200" s="1"/>
  <c r="V201" s="1"/>
  <c r="V202" s="1"/>
  <c r="V203" s="1"/>
  <c r="V204" s="1"/>
  <c r="V205" s="1"/>
  <c r="V206" s="1"/>
  <c r="V207" s="1"/>
  <c r="V208" s="1"/>
  <c r="V209" s="1"/>
  <c r="V210" s="1"/>
  <c r="V211" s="1"/>
  <c r="V212" s="1"/>
  <c r="V213" s="1"/>
  <c r="V214" s="1"/>
  <c r="V215" s="1"/>
  <c r="V216" s="1"/>
  <c r="V217" s="1"/>
  <c r="V218" s="1"/>
  <c r="V219" s="1"/>
  <c r="V220" s="1"/>
  <c r="V221" s="1"/>
  <c r="V222" s="1"/>
  <c r="V223" s="1"/>
  <c r="V224" s="1"/>
  <c r="V225" s="1"/>
  <c r="V226" s="1"/>
  <c r="V227" s="1"/>
  <c r="V228" s="1"/>
  <c r="V229" s="1"/>
  <c r="V230" s="1"/>
  <c r="V231" s="1"/>
  <c r="V232" s="1"/>
  <c r="V233" s="1"/>
  <c r="V234" s="1"/>
  <c r="V235" s="1"/>
  <c r="V236" s="1"/>
  <c r="V237" s="1"/>
  <c r="V238" s="1"/>
  <c r="V239" s="1"/>
  <c r="V240" s="1"/>
  <c r="V241" s="1"/>
  <c r="V242" s="1"/>
  <c r="V243" s="1"/>
  <c r="V244" s="1"/>
  <c r="V245" s="1"/>
  <c r="V246" s="1"/>
  <c r="V247" s="1"/>
  <c r="V248" s="1"/>
  <c r="V249" s="1"/>
  <c r="V250" s="1"/>
  <c r="V251" s="1"/>
  <c r="V252" s="1"/>
  <c r="V253" s="1"/>
  <c r="V254" s="1"/>
  <c r="V255" s="1"/>
  <c r="V256" s="1"/>
  <c r="V257" s="1"/>
  <c r="V258" s="1"/>
  <c r="V259" s="1"/>
  <c r="V260" s="1"/>
  <c r="V261" s="1"/>
  <c r="V262" s="1"/>
  <c r="V263" s="1"/>
  <c r="V264" s="1"/>
  <c r="V265" s="1"/>
  <c r="V266" s="1"/>
  <c r="V267" s="1"/>
  <c r="V268" s="1"/>
  <c r="V269" s="1"/>
  <c r="G15" i="32"/>
  <c r="E6"/>
  <c r="G6" s="1"/>
  <c r="Y270" i="11"/>
  <c r="Y271" s="1"/>
  <c r="Y272" s="1"/>
  <c r="Y273" s="1"/>
  <c r="Y274" s="1"/>
  <c r="Y275" s="1"/>
  <c r="Y276" s="1"/>
  <c r="Y277" s="1"/>
  <c r="Y278" s="1"/>
  <c r="Y279" s="1"/>
  <c r="Y280" s="1"/>
  <c r="Y281" s="1"/>
  <c r="Y282" s="1"/>
  <c r="Y283" s="1"/>
  <c r="Y284" s="1"/>
  <c r="Y285" s="1"/>
  <c r="Y286" s="1"/>
  <c r="Y287" s="1"/>
  <c r="Y288" s="1"/>
  <c r="Y289" s="1"/>
  <c r="Y290" s="1"/>
  <c r="Y291" s="1"/>
  <c r="Y292" s="1"/>
  <c r="Y293" s="1"/>
  <c r="Y294" s="1"/>
  <c r="Y295" s="1"/>
  <c r="Y296" s="1"/>
  <c r="Y297" s="1"/>
  <c r="Y298" s="1"/>
  <c r="Y299" s="1"/>
  <c r="Y300" s="1"/>
  <c r="Y301" s="1"/>
  <c r="Y302" s="1"/>
  <c r="Y303" s="1"/>
  <c r="Y304" s="1"/>
  <c r="Y305" s="1"/>
  <c r="Y306" s="1"/>
  <c r="Y307" s="1"/>
  <c r="Y308" s="1"/>
  <c r="Y309" s="1"/>
  <c r="Y310" s="1"/>
  <c r="Y311" s="1"/>
  <c r="Y312" s="1"/>
  <c r="Y313" s="1"/>
  <c r="Y314" s="1"/>
  <c r="Y315" s="1"/>
  <c r="Y316" s="1"/>
  <c r="Y317" s="1"/>
  <c r="Y318" s="1"/>
  <c r="Y319" s="1"/>
  <c r="Y320" s="1"/>
  <c r="Y321" s="1"/>
  <c r="Y322" s="1"/>
  <c r="Y323" s="1"/>
  <c r="Y324" s="1"/>
  <c r="Y325" s="1"/>
  <c r="Y326" s="1"/>
  <c r="Y327" s="1"/>
  <c r="Y328" s="1"/>
  <c r="Y329" s="1"/>
  <c r="Y330" s="1"/>
  <c r="Y331" s="1"/>
  <c r="Y332" s="1"/>
  <c r="Y333" s="1"/>
  <c r="Y334" s="1"/>
  <c r="Y335" s="1"/>
  <c r="Y336" s="1"/>
  <c r="Y337" s="1"/>
  <c r="Y338" s="1"/>
  <c r="Y339" s="1"/>
  <c r="Y340" s="1"/>
  <c r="Y341" s="1"/>
  <c r="Y342" s="1"/>
  <c r="Y343" s="1"/>
  <c r="Y344" s="1"/>
  <c r="Y345" s="1"/>
  <c r="Y346" s="1"/>
  <c r="Y347" s="1"/>
  <c r="Y348" s="1"/>
  <c r="Y349" s="1"/>
  <c r="Y350" s="1"/>
  <c r="Y351" s="1"/>
  <c r="Y352" s="1"/>
  <c r="Y353" s="1"/>
  <c r="Y354" s="1"/>
  <c r="Y355" s="1"/>
  <c r="Y356" s="1"/>
  <c r="Y357" s="1"/>
  <c r="Y358" s="1"/>
  <c r="Y359" s="1"/>
  <c r="Y360" s="1"/>
  <c r="Y361" s="1"/>
  <c r="Y362" s="1"/>
  <c r="Y363" s="1"/>
  <c r="Y364" s="1"/>
  <c r="Y365" s="1"/>
  <c r="Y366" s="1"/>
  <c r="Y367" s="1"/>
  <c r="Y368" s="1"/>
  <c r="Y369" s="1"/>
  <c r="Y370" s="1"/>
  <c r="Y371" s="1"/>
  <c r="Y372" s="1"/>
  <c r="Y373" s="1"/>
  <c r="Y374" s="1"/>
  <c r="Y375" s="1"/>
  <c r="Y376" s="1"/>
  <c r="Y377" s="1"/>
  <c r="Y378" s="1"/>
  <c r="Y379" s="1"/>
  <c r="Y380" s="1"/>
  <c r="Y381" s="1"/>
  <c r="Y382" s="1"/>
  <c r="Y383" s="1"/>
  <c r="Y384" s="1"/>
  <c r="Y385" s="1"/>
  <c r="Y386" s="1"/>
  <c r="Y387" s="1"/>
  <c r="Y388" s="1"/>
  <c r="Y389" s="1"/>
  <c r="Y390" s="1"/>
  <c r="Y391" s="1"/>
  <c r="Y392" s="1"/>
  <c r="Y393" s="1"/>
  <c r="Y394" s="1"/>
  <c r="Y395" s="1"/>
  <c r="X270"/>
  <c r="X271" s="1"/>
  <c r="X272" s="1"/>
  <c r="X273" s="1"/>
  <c r="X274" s="1"/>
  <c r="X275" s="1"/>
  <c r="X276" s="1"/>
  <c r="X277" s="1"/>
  <c r="X278" s="1"/>
  <c r="X279" s="1"/>
  <c r="X280" s="1"/>
  <c r="X281" s="1"/>
  <c r="X282" s="1"/>
  <c r="X283" s="1"/>
  <c r="X284" s="1"/>
  <c r="X285" s="1"/>
  <c r="X286" s="1"/>
  <c r="X287" s="1"/>
  <c r="X288" s="1"/>
  <c r="X289" s="1"/>
  <c r="X290" s="1"/>
  <c r="X291" s="1"/>
  <c r="X292" s="1"/>
  <c r="X293" s="1"/>
  <c r="X294" s="1"/>
  <c r="X295" s="1"/>
  <c r="X296" s="1"/>
  <c r="X297" s="1"/>
  <c r="X298" s="1"/>
  <c r="X299" s="1"/>
  <c r="X300" s="1"/>
  <c r="X301" s="1"/>
  <c r="X302" s="1"/>
  <c r="X303" s="1"/>
  <c r="X304" s="1"/>
  <c r="X305" s="1"/>
  <c r="X306" s="1"/>
  <c r="X307" s="1"/>
  <c r="X308" s="1"/>
  <c r="X309" s="1"/>
  <c r="X310" s="1"/>
  <c r="X311" s="1"/>
  <c r="X312" s="1"/>
  <c r="X313" s="1"/>
  <c r="X314" s="1"/>
  <c r="X315" s="1"/>
  <c r="X316" s="1"/>
  <c r="X317" s="1"/>
  <c r="X318" s="1"/>
  <c r="X319" s="1"/>
  <c r="X320" s="1"/>
  <c r="X321" s="1"/>
  <c r="X322" s="1"/>
  <c r="X323" s="1"/>
  <c r="X324" s="1"/>
  <c r="X325" s="1"/>
  <c r="X326" s="1"/>
  <c r="X327" s="1"/>
  <c r="X328" s="1"/>
  <c r="X329" s="1"/>
  <c r="X330" s="1"/>
  <c r="X331" s="1"/>
  <c r="X332" s="1"/>
  <c r="X333" s="1"/>
  <c r="X334" s="1"/>
  <c r="X335" s="1"/>
  <c r="X336" s="1"/>
  <c r="X337" s="1"/>
  <c r="X338" s="1"/>
  <c r="X339" s="1"/>
  <c r="X340" s="1"/>
  <c r="X341" s="1"/>
  <c r="X342" s="1"/>
  <c r="X343" s="1"/>
  <c r="X344" s="1"/>
  <c r="X345" s="1"/>
  <c r="X346" s="1"/>
  <c r="X347" s="1"/>
  <c r="X348" s="1"/>
  <c r="X349" s="1"/>
  <c r="X350" s="1"/>
  <c r="X351" s="1"/>
  <c r="X352" s="1"/>
  <c r="X353" s="1"/>
  <c r="X354" s="1"/>
  <c r="X355" s="1"/>
  <c r="X356" s="1"/>
  <c r="X357" s="1"/>
  <c r="X358" s="1"/>
  <c r="X359" s="1"/>
  <c r="X360" s="1"/>
  <c r="X361" s="1"/>
  <c r="X362" s="1"/>
  <c r="X363" s="1"/>
  <c r="X364" s="1"/>
  <c r="X365" s="1"/>
  <c r="X366" s="1"/>
  <c r="X367" s="1"/>
  <c r="X368" s="1"/>
  <c r="X369" s="1"/>
  <c r="X370" s="1"/>
  <c r="X371" s="1"/>
  <c r="X372" s="1"/>
  <c r="X373" s="1"/>
  <c r="X374" s="1"/>
  <c r="X375" s="1"/>
  <c r="X376" s="1"/>
  <c r="X377" s="1"/>
  <c r="X378" s="1"/>
  <c r="X379" s="1"/>
  <c r="X380" s="1"/>
  <c r="X381" s="1"/>
  <c r="X382" s="1"/>
  <c r="X383" s="1"/>
  <c r="X384" s="1"/>
  <c r="X385" s="1"/>
  <c r="X386" s="1"/>
  <c r="X387" s="1"/>
  <c r="X388" s="1"/>
  <c r="X389" s="1"/>
  <c r="X390" s="1"/>
  <c r="X391" s="1"/>
  <c r="X392" s="1"/>
  <c r="X393" s="1"/>
  <c r="X394" s="1"/>
  <c r="X395" s="1"/>
  <c r="F8" i="32"/>
  <c r="F10"/>
  <c r="H8"/>
  <c r="H10"/>
  <c r="W28" i="11"/>
  <c r="W29" s="1"/>
  <c r="W30" s="1"/>
  <c r="W31" s="1"/>
  <c r="W32" s="1"/>
  <c r="W33" s="1"/>
  <c r="W34" s="1"/>
  <c r="W35" s="1"/>
  <c r="W36" s="1"/>
  <c r="W37" s="1"/>
  <c r="W38" s="1"/>
  <c r="W39" s="1"/>
  <c r="W40" s="1"/>
  <c r="W41" s="1"/>
  <c r="W42" s="1"/>
  <c r="W43" s="1"/>
  <c r="W44" s="1"/>
  <c r="W45" s="1"/>
  <c r="W46" s="1"/>
  <c r="W47" s="1"/>
  <c r="W48" s="1"/>
  <c r="W49" s="1"/>
  <c r="W50" s="1"/>
  <c r="W51" s="1"/>
  <c r="W52" s="1"/>
  <c r="W53" s="1"/>
  <c r="W54" s="1"/>
  <c r="W55" s="1"/>
  <c r="W56" s="1"/>
  <c r="W57" s="1"/>
  <c r="W58" s="1"/>
  <c r="W59" s="1"/>
  <c r="W60" s="1"/>
  <c r="W61" s="1"/>
  <c r="W62" s="1"/>
  <c r="W63" s="1"/>
  <c r="W64" s="1"/>
  <c r="W65" s="1"/>
  <c r="W66" s="1"/>
  <c r="W67" s="1"/>
  <c r="W68" s="1"/>
  <c r="W69" s="1"/>
  <c r="W70" s="1"/>
  <c r="W71" s="1"/>
  <c r="W72" s="1"/>
  <c r="W73" s="1"/>
  <c r="W74" s="1"/>
  <c r="W75" s="1"/>
  <c r="W76" s="1"/>
  <c r="W77" s="1"/>
  <c r="W78" s="1"/>
  <c r="W79" s="1"/>
  <c r="W80" s="1"/>
  <c r="W81" s="1"/>
  <c r="W82" s="1"/>
  <c r="W83" s="1"/>
  <c r="W84" s="1"/>
  <c r="W85" s="1"/>
  <c r="W86" s="1"/>
  <c r="W87" s="1"/>
  <c r="W88" s="1"/>
  <c r="W89" s="1"/>
  <c r="W90" s="1"/>
  <c r="W91" s="1"/>
  <c r="W92" s="1"/>
  <c r="W93" s="1"/>
  <c r="W94" s="1"/>
  <c r="W95" s="1"/>
  <c r="W96" s="1"/>
  <c r="W97" s="1"/>
  <c r="W98" s="1"/>
  <c r="W99" s="1"/>
  <c r="W100" s="1"/>
  <c r="W101" s="1"/>
  <c r="W102" s="1"/>
  <c r="W103" s="1"/>
  <c r="W104" s="1"/>
  <c r="W105" s="1"/>
  <c r="W106" s="1"/>
  <c r="W107" s="1"/>
  <c r="W108" s="1"/>
  <c r="W109" s="1"/>
  <c r="W110" s="1"/>
  <c r="W111" s="1"/>
  <c r="W112" s="1"/>
  <c r="W113" s="1"/>
  <c r="W114" s="1"/>
  <c r="W115" s="1"/>
  <c r="W116" s="1"/>
  <c r="W117" s="1"/>
  <c r="W118" s="1"/>
  <c r="W119" s="1"/>
  <c r="W120" s="1"/>
  <c r="W121" s="1"/>
  <c r="W122" s="1"/>
  <c r="W123" s="1"/>
  <c r="W124" s="1"/>
  <c r="W125" s="1"/>
  <c r="W126" s="1"/>
  <c r="W127" s="1"/>
  <c r="W128" s="1"/>
  <c r="W129" s="1"/>
  <c r="W130" s="1"/>
  <c r="W131" s="1"/>
  <c r="W132" s="1"/>
  <c r="W133" s="1"/>
  <c r="W134" s="1"/>
  <c r="W135" s="1"/>
  <c r="W136" s="1"/>
  <c r="W137" s="1"/>
  <c r="W138" s="1"/>
  <c r="W139" s="1"/>
  <c r="W140" s="1"/>
  <c r="W141" s="1"/>
  <c r="W142" s="1"/>
  <c r="W143" s="1"/>
  <c r="W144" s="1"/>
  <c r="W145" s="1"/>
  <c r="W146" s="1"/>
  <c r="W147" s="1"/>
  <c r="W148" s="1"/>
  <c r="W149" s="1"/>
  <c r="W150" s="1"/>
  <c r="W151" s="1"/>
  <c r="W152" s="1"/>
  <c r="W153" s="1"/>
  <c r="W154" s="1"/>
  <c r="W155" s="1"/>
  <c r="W156" s="1"/>
  <c r="W157" s="1"/>
  <c r="W158" s="1"/>
  <c r="W159" s="1"/>
  <c r="W160" s="1"/>
  <c r="W161" s="1"/>
  <c r="W162" s="1"/>
  <c r="W163" s="1"/>
  <c r="W164" s="1"/>
  <c r="W165" s="1"/>
  <c r="W166" s="1"/>
  <c r="W167" s="1"/>
  <c r="W168" s="1"/>
  <c r="W169" s="1"/>
  <c r="W170" s="1"/>
  <c r="W171" s="1"/>
  <c r="W172" s="1"/>
  <c r="W173" s="1"/>
  <c r="W174" s="1"/>
  <c r="W175" s="1"/>
  <c r="W176" s="1"/>
  <c r="W177" s="1"/>
  <c r="W178" s="1"/>
  <c r="W179" s="1"/>
  <c r="W180" s="1"/>
  <c r="W181" s="1"/>
  <c r="W182" s="1"/>
  <c r="W183" s="1"/>
  <c r="W184" s="1"/>
  <c r="W185" s="1"/>
  <c r="W186" s="1"/>
  <c r="W187" s="1"/>
  <c r="W188" s="1"/>
  <c r="W189" s="1"/>
  <c r="W190" s="1"/>
  <c r="W191" s="1"/>
  <c r="W192" s="1"/>
  <c r="W193" s="1"/>
  <c r="W194" s="1"/>
  <c r="W195" s="1"/>
  <c r="W196" s="1"/>
  <c r="W197" s="1"/>
  <c r="W198" s="1"/>
  <c r="W199" s="1"/>
  <c r="W200" s="1"/>
  <c r="W201" s="1"/>
  <c r="W202" s="1"/>
  <c r="W203" s="1"/>
  <c r="W204" s="1"/>
  <c r="W205" s="1"/>
  <c r="W206" s="1"/>
  <c r="W207" s="1"/>
  <c r="W208" s="1"/>
  <c r="W209" s="1"/>
  <c r="W210" s="1"/>
  <c r="W211" s="1"/>
  <c r="W212" s="1"/>
  <c r="W213" s="1"/>
  <c r="W214" s="1"/>
  <c r="W215" s="1"/>
  <c r="W216" s="1"/>
  <c r="W217" s="1"/>
  <c r="W218" s="1"/>
  <c r="W219" s="1"/>
  <c r="Q28"/>
  <c r="M11"/>
  <c r="M10"/>
  <c r="M8"/>
  <c r="M7"/>
  <c r="M6"/>
  <c r="M9"/>
  <c r="P9" s="1"/>
  <c r="M12"/>
  <c r="M13"/>
  <c r="M14"/>
  <c r="M15"/>
  <c r="M16"/>
  <c r="M17"/>
  <c r="M18"/>
  <c r="E8" i="32" l="1"/>
  <c r="G8" s="1"/>
  <c r="E10"/>
  <c r="G10" s="1"/>
  <c r="I15"/>
  <c r="I6"/>
  <c r="V270" i="11"/>
  <c r="V271" s="1"/>
  <c r="V272" s="1"/>
  <c r="V273" s="1"/>
  <c r="V274" s="1"/>
  <c r="V275" s="1"/>
  <c r="V276" s="1"/>
  <c r="V277" s="1"/>
  <c r="V278" s="1"/>
  <c r="V279" s="1"/>
  <c r="V280" s="1"/>
  <c r="V281" s="1"/>
  <c r="V282" s="1"/>
  <c r="V283" s="1"/>
  <c r="V284" s="1"/>
  <c r="V285" s="1"/>
  <c r="V286" s="1"/>
  <c r="V287" s="1"/>
  <c r="V288" s="1"/>
  <c r="V289" s="1"/>
  <c r="V290" s="1"/>
  <c r="V291" s="1"/>
  <c r="V292" s="1"/>
  <c r="V293" s="1"/>
  <c r="V294" s="1"/>
  <c r="V295" s="1"/>
  <c r="V296" s="1"/>
  <c r="V297" s="1"/>
  <c r="V298" s="1"/>
  <c r="V299" s="1"/>
  <c r="V300" s="1"/>
  <c r="V301" s="1"/>
  <c r="V302" s="1"/>
  <c r="V303" s="1"/>
  <c r="V304" s="1"/>
  <c r="V305" s="1"/>
  <c r="V306" s="1"/>
  <c r="V307" s="1"/>
  <c r="V308" s="1"/>
  <c r="V309" s="1"/>
  <c r="V310" s="1"/>
  <c r="V311" s="1"/>
  <c r="V312" s="1"/>
  <c r="V313" s="1"/>
  <c r="V314" s="1"/>
  <c r="V315" s="1"/>
  <c r="V316" s="1"/>
  <c r="V317" s="1"/>
  <c r="V318" s="1"/>
  <c r="V319" s="1"/>
  <c r="V320" s="1"/>
  <c r="V321" s="1"/>
  <c r="V322" s="1"/>
  <c r="V323" s="1"/>
  <c r="V324" s="1"/>
  <c r="V325" s="1"/>
  <c r="V326" s="1"/>
  <c r="V327" s="1"/>
  <c r="V328" s="1"/>
  <c r="V329" s="1"/>
  <c r="V330" s="1"/>
  <c r="V331" s="1"/>
  <c r="V332" s="1"/>
  <c r="V333" s="1"/>
  <c r="V334" s="1"/>
  <c r="V335" s="1"/>
  <c r="V336" s="1"/>
  <c r="V337" s="1"/>
  <c r="V338" s="1"/>
  <c r="V339" s="1"/>
  <c r="V340" s="1"/>
  <c r="V341" s="1"/>
  <c r="V342" s="1"/>
  <c r="V343" s="1"/>
  <c r="V344" s="1"/>
  <c r="V345" s="1"/>
  <c r="V346" s="1"/>
  <c r="V347" s="1"/>
  <c r="V348" s="1"/>
  <c r="V349" s="1"/>
  <c r="V350" s="1"/>
  <c r="V351" s="1"/>
  <c r="V352" s="1"/>
  <c r="V353" s="1"/>
  <c r="V354" s="1"/>
  <c r="V355" s="1"/>
  <c r="V356" s="1"/>
  <c r="V357" s="1"/>
  <c r="V358" s="1"/>
  <c r="V359" s="1"/>
  <c r="V360" s="1"/>
  <c r="V361" s="1"/>
  <c r="V362" s="1"/>
  <c r="V363" s="1"/>
  <c r="V364" s="1"/>
  <c r="V365" s="1"/>
  <c r="V366" s="1"/>
  <c r="V367" s="1"/>
  <c r="V368" s="1"/>
  <c r="V369" s="1"/>
  <c r="V370" s="1"/>
  <c r="V371" s="1"/>
  <c r="V372" s="1"/>
  <c r="V373" s="1"/>
  <c r="V374" s="1"/>
  <c r="V375" s="1"/>
  <c r="V376" s="1"/>
  <c r="V377" s="1"/>
  <c r="V378" s="1"/>
  <c r="V379" s="1"/>
  <c r="V380" s="1"/>
  <c r="V381" s="1"/>
  <c r="V382" s="1"/>
  <c r="V383" s="1"/>
  <c r="V384" s="1"/>
  <c r="V385" s="1"/>
  <c r="V386" s="1"/>
  <c r="V387" s="1"/>
  <c r="V388" s="1"/>
  <c r="V389" s="1"/>
  <c r="V390" s="1"/>
  <c r="V391" s="1"/>
  <c r="V392" s="1"/>
  <c r="V393" s="1"/>
  <c r="V394" s="1"/>
  <c r="V395" s="1"/>
  <c r="R18"/>
  <c r="Q18" s="1"/>
  <c r="P18"/>
  <c r="R17"/>
  <c r="Q17" s="1"/>
  <c r="P17"/>
  <c r="R16"/>
  <c r="Q16" s="1"/>
  <c r="P16"/>
  <c r="R15"/>
  <c r="Q15" s="1"/>
  <c r="P15"/>
  <c r="R14"/>
  <c r="Q14" s="1"/>
  <c r="P14"/>
  <c r="R13"/>
  <c r="Q13" s="1"/>
  <c r="P13"/>
  <c r="R12"/>
  <c r="Q12" s="1"/>
  <c r="P12"/>
  <c r="R6"/>
  <c r="Q6" s="1"/>
  <c r="P6"/>
  <c r="R7"/>
  <c r="U7" s="1"/>
  <c r="P7"/>
  <c r="R8"/>
  <c r="Q8" s="1"/>
  <c r="P8"/>
  <c r="R10"/>
  <c r="Q10" s="1"/>
  <c r="P10"/>
  <c r="R11"/>
  <c r="Q11" s="1"/>
  <c r="P11"/>
  <c r="W220"/>
  <c r="W221" s="1"/>
  <c r="W222" s="1"/>
  <c r="W223" s="1"/>
  <c r="W224" s="1"/>
  <c r="W225" s="1"/>
  <c r="W226" s="1"/>
  <c r="W227" s="1"/>
  <c r="W228" s="1"/>
  <c r="W229" s="1"/>
  <c r="W230" s="1"/>
  <c r="W231" s="1"/>
  <c r="W232" s="1"/>
  <c r="W233" s="1"/>
  <c r="W234" s="1"/>
  <c r="W235" s="1"/>
  <c r="W236" s="1"/>
  <c r="W237" s="1"/>
  <c r="W238" s="1"/>
  <c r="W239" s="1"/>
  <c r="W240" s="1"/>
  <c r="W241" s="1"/>
  <c r="W242" s="1"/>
  <c r="W243" s="1"/>
  <c r="W244" s="1"/>
  <c r="W245" s="1"/>
  <c r="W246" s="1"/>
  <c r="W247" s="1"/>
  <c r="W248" s="1"/>
  <c r="W249" s="1"/>
  <c r="W250" s="1"/>
  <c r="W251" s="1"/>
  <c r="W252" s="1"/>
  <c r="W253" s="1"/>
  <c r="W254" s="1"/>
  <c r="W255" s="1"/>
  <c r="W256" s="1"/>
  <c r="W257" s="1"/>
  <c r="W258" s="1"/>
  <c r="W259" s="1"/>
  <c r="W260" s="1"/>
  <c r="W261" s="1"/>
  <c r="W262" s="1"/>
  <c r="W263" s="1"/>
  <c r="W264" s="1"/>
  <c r="W265" s="1"/>
  <c r="W266" s="1"/>
  <c r="W267" s="1"/>
  <c r="W268" s="1"/>
  <c r="W269" s="1"/>
  <c r="M5"/>
  <c r="P5" s="1"/>
  <c r="M4"/>
  <c r="P4" s="1"/>
  <c r="M3"/>
  <c r="I8" i="32" l="1"/>
  <c r="W270" i="11"/>
  <c r="W271" s="1"/>
  <c r="W272" s="1"/>
  <c r="W273" s="1"/>
  <c r="W274" s="1"/>
  <c r="W275" s="1"/>
  <c r="W276" s="1"/>
  <c r="W277" s="1"/>
  <c r="W278" s="1"/>
  <c r="W279" s="1"/>
  <c r="W280" s="1"/>
  <c r="W281" s="1"/>
  <c r="W282" s="1"/>
  <c r="W283" s="1"/>
  <c r="W284" s="1"/>
  <c r="W285" s="1"/>
  <c r="W286" s="1"/>
  <c r="W287" s="1"/>
  <c r="W288" s="1"/>
  <c r="W289" s="1"/>
  <c r="W290" s="1"/>
  <c r="W291" s="1"/>
  <c r="W292" s="1"/>
  <c r="W293" s="1"/>
  <c r="W294" s="1"/>
  <c r="W295" s="1"/>
  <c r="W296" s="1"/>
  <c r="W297" s="1"/>
  <c r="W298" s="1"/>
  <c r="W299" s="1"/>
  <c r="W300" s="1"/>
  <c r="W301" s="1"/>
  <c r="W302" s="1"/>
  <c r="W303" s="1"/>
  <c r="W304" s="1"/>
  <c r="W305" s="1"/>
  <c r="W306" s="1"/>
  <c r="W307" s="1"/>
  <c r="W308" s="1"/>
  <c r="W309" s="1"/>
  <c r="W310" s="1"/>
  <c r="W311" s="1"/>
  <c r="W312" s="1"/>
  <c r="W313" s="1"/>
  <c r="W314" s="1"/>
  <c r="W315" s="1"/>
  <c r="W316" s="1"/>
  <c r="W317" s="1"/>
  <c r="W318" s="1"/>
  <c r="W319" s="1"/>
  <c r="W320" s="1"/>
  <c r="W321" s="1"/>
  <c r="W322" s="1"/>
  <c r="W323" s="1"/>
  <c r="W324" s="1"/>
  <c r="W325" s="1"/>
  <c r="W326" s="1"/>
  <c r="W327" s="1"/>
  <c r="W328" s="1"/>
  <c r="W329" s="1"/>
  <c r="W330" s="1"/>
  <c r="W331" s="1"/>
  <c r="W332" s="1"/>
  <c r="W333" s="1"/>
  <c r="W334" s="1"/>
  <c r="W335" s="1"/>
  <c r="W336" s="1"/>
  <c r="W337" s="1"/>
  <c r="W338" s="1"/>
  <c r="W339" s="1"/>
  <c r="W340" s="1"/>
  <c r="W341" s="1"/>
  <c r="W342" s="1"/>
  <c r="W343" s="1"/>
  <c r="W344" s="1"/>
  <c r="W345" s="1"/>
  <c r="W346" s="1"/>
  <c r="W347" s="1"/>
  <c r="W348" s="1"/>
  <c r="W349" s="1"/>
  <c r="W350" s="1"/>
  <c r="W351" s="1"/>
  <c r="W352" s="1"/>
  <c r="W353" s="1"/>
  <c r="W354" s="1"/>
  <c r="W355" s="1"/>
  <c r="W356" s="1"/>
  <c r="W357" s="1"/>
  <c r="W358" s="1"/>
  <c r="W359" s="1"/>
  <c r="W360" s="1"/>
  <c r="W361" s="1"/>
  <c r="W362" s="1"/>
  <c r="W363" s="1"/>
  <c r="W364" s="1"/>
  <c r="W365" s="1"/>
  <c r="W366" s="1"/>
  <c r="W367" s="1"/>
  <c r="W368" s="1"/>
  <c r="W369" s="1"/>
  <c r="W370" s="1"/>
  <c r="W371" s="1"/>
  <c r="W372" s="1"/>
  <c r="W373" s="1"/>
  <c r="W374" s="1"/>
  <c r="W375" s="1"/>
  <c r="W376" s="1"/>
  <c r="W377" s="1"/>
  <c r="W378" s="1"/>
  <c r="W379" s="1"/>
  <c r="W380" s="1"/>
  <c r="W381" s="1"/>
  <c r="W382" s="1"/>
  <c r="W383" s="1"/>
  <c r="W384" s="1"/>
  <c r="W385" s="1"/>
  <c r="W386" s="1"/>
  <c r="W387" s="1"/>
  <c r="W388" s="1"/>
  <c r="W389" s="1"/>
  <c r="W390" s="1"/>
  <c r="W391" s="1"/>
  <c r="W392" s="1"/>
  <c r="W393" s="1"/>
  <c r="W394" s="1"/>
  <c r="W395" s="1"/>
  <c r="U8"/>
  <c r="U9" s="1"/>
  <c r="U10" s="1"/>
  <c r="U11" s="1"/>
  <c r="U12" s="1"/>
  <c r="U13" s="1"/>
  <c r="U14" s="1"/>
  <c r="U15" s="1"/>
  <c r="U16" s="1"/>
  <c r="U17" s="1"/>
  <c r="U18" s="1"/>
  <c r="U19" s="1"/>
  <c r="U20" s="1"/>
  <c r="U21" s="1"/>
  <c r="U22" s="1"/>
  <c r="U23" s="1"/>
  <c r="U24" s="1"/>
  <c r="U25" s="1"/>
  <c r="U26" s="1"/>
  <c r="U27" s="1"/>
  <c r="U28" s="1"/>
  <c r="U29" s="1"/>
  <c r="U30" s="1"/>
  <c r="U31" s="1"/>
  <c r="U32" s="1"/>
  <c r="U33" s="1"/>
  <c r="U34" s="1"/>
  <c r="U35" s="1"/>
  <c r="U36" s="1"/>
  <c r="U37" s="1"/>
  <c r="U38" s="1"/>
  <c r="U39" s="1"/>
  <c r="U40" s="1"/>
  <c r="U41" s="1"/>
  <c r="U42" s="1"/>
  <c r="U43" s="1"/>
  <c r="U44" s="1"/>
  <c r="U45" s="1"/>
  <c r="U46" s="1"/>
  <c r="U47" s="1"/>
  <c r="U48" s="1"/>
  <c r="U49" s="1"/>
  <c r="U50" s="1"/>
  <c r="U51" s="1"/>
  <c r="U52" s="1"/>
  <c r="U53" s="1"/>
  <c r="U54" s="1"/>
  <c r="U55" s="1"/>
  <c r="U56" s="1"/>
  <c r="U57" s="1"/>
  <c r="U58" s="1"/>
  <c r="U59" s="1"/>
  <c r="U60" s="1"/>
  <c r="U61" s="1"/>
  <c r="U62" s="1"/>
  <c r="U63" s="1"/>
  <c r="U64" s="1"/>
  <c r="U65" s="1"/>
  <c r="U66" s="1"/>
  <c r="U67" s="1"/>
  <c r="U68" s="1"/>
  <c r="U69" s="1"/>
  <c r="U70" s="1"/>
  <c r="U71" s="1"/>
  <c r="U72" s="1"/>
  <c r="U73" s="1"/>
  <c r="U74" s="1"/>
  <c r="U75" s="1"/>
  <c r="U76" s="1"/>
  <c r="U77" s="1"/>
  <c r="U78" s="1"/>
  <c r="U79" s="1"/>
  <c r="U80" s="1"/>
  <c r="U81" s="1"/>
  <c r="U82" s="1"/>
  <c r="U83" s="1"/>
  <c r="U84" s="1"/>
  <c r="U85" s="1"/>
  <c r="U86" s="1"/>
  <c r="U87" s="1"/>
  <c r="U88" s="1"/>
  <c r="U89" s="1"/>
  <c r="U90" s="1"/>
  <c r="U91" s="1"/>
  <c r="U92" s="1"/>
  <c r="U93" s="1"/>
  <c r="U94" s="1"/>
  <c r="U95" s="1"/>
  <c r="U96" s="1"/>
  <c r="U97" s="1"/>
  <c r="U98" s="1"/>
  <c r="U99" s="1"/>
  <c r="U100" s="1"/>
  <c r="U101" s="1"/>
  <c r="U102" s="1"/>
  <c r="U103" s="1"/>
  <c r="U104" s="1"/>
  <c r="U105" s="1"/>
  <c r="U106" s="1"/>
  <c r="U107" s="1"/>
  <c r="U108" s="1"/>
  <c r="U109" s="1"/>
  <c r="U110" s="1"/>
  <c r="U111" s="1"/>
  <c r="U112" s="1"/>
  <c r="U113" s="1"/>
  <c r="U114" s="1"/>
  <c r="U115" s="1"/>
  <c r="U116" s="1"/>
  <c r="U117" s="1"/>
  <c r="U118" s="1"/>
  <c r="U119" s="1"/>
  <c r="U120" s="1"/>
  <c r="U121" s="1"/>
  <c r="U122" s="1"/>
  <c r="U123" s="1"/>
  <c r="U124" s="1"/>
  <c r="U125" s="1"/>
  <c r="U126" s="1"/>
  <c r="U127" s="1"/>
  <c r="U128" s="1"/>
  <c r="U129" s="1"/>
  <c r="U130" s="1"/>
  <c r="U131" s="1"/>
  <c r="U132" s="1"/>
  <c r="U133" s="1"/>
  <c r="U134" s="1"/>
  <c r="U135" s="1"/>
  <c r="U136" s="1"/>
  <c r="U137" s="1"/>
  <c r="U138" s="1"/>
  <c r="U139" s="1"/>
  <c r="U140" s="1"/>
  <c r="U141" s="1"/>
  <c r="U142" s="1"/>
  <c r="U143" s="1"/>
  <c r="U144" s="1"/>
  <c r="U145" s="1"/>
  <c r="U146" s="1"/>
  <c r="U147" s="1"/>
  <c r="U148" s="1"/>
  <c r="U149" s="1"/>
  <c r="U150" s="1"/>
  <c r="U151" s="1"/>
  <c r="U152" s="1"/>
  <c r="U153" s="1"/>
  <c r="U154" s="1"/>
  <c r="U155" s="1"/>
  <c r="U156" s="1"/>
  <c r="U157" s="1"/>
  <c r="U158" s="1"/>
  <c r="U159" s="1"/>
  <c r="U160" s="1"/>
  <c r="U161" s="1"/>
  <c r="U162" s="1"/>
  <c r="U163" s="1"/>
  <c r="U164" s="1"/>
  <c r="U165" s="1"/>
  <c r="U166" s="1"/>
  <c r="U167" s="1"/>
  <c r="U168" s="1"/>
  <c r="U169" s="1"/>
  <c r="U170" s="1"/>
  <c r="U171" s="1"/>
  <c r="U172" s="1"/>
  <c r="U173" s="1"/>
  <c r="U174" s="1"/>
  <c r="U175" s="1"/>
  <c r="U176" s="1"/>
  <c r="U177" s="1"/>
  <c r="U178" s="1"/>
  <c r="U179" s="1"/>
  <c r="U180" s="1"/>
  <c r="U181" s="1"/>
  <c r="U182" s="1"/>
  <c r="U183" s="1"/>
  <c r="U184" s="1"/>
  <c r="U185" s="1"/>
  <c r="U186" s="1"/>
  <c r="U187" s="1"/>
  <c r="U188" s="1"/>
  <c r="U189" s="1"/>
  <c r="U190" s="1"/>
  <c r="U191" s="1"/>
  <c r="U192" s="1"/>
  <c r="U193" s="1"/>
  <c r="U194" s="1"/>
  <c r="U195" s="1"/>
  <c r="U196" s="1"/>
  <c r="U197" s="1"/>
  <c r="U198" s="1"/>
  <c r="U199" s="1"/>
  <c r="U200" s="1"/>
  <c r="U201" s="1"/>
  <c r="U202" s="1"/>
  <c r="U203" s="1"/>
  <c r="U204" s="1"/>
  <c r="U205" s="1"/>
  <c r="U206" s="1"/>
  <c r="U207" s="1"/>
  <c r="U208" s="1"/>
  <c r="U209" s="1"/>
  <c r="U210" s="1"/>
  <c r="U211" s="1"/>
  <c r="U212" s="1"/>
  <c r="U213" s="1"/>
  <c r="U214" s="1"/>
  <c r="U215" s="1"/>
  <c r="U216" s="1"/>
  <c r="U217" s="1"/>
  <c r="U218" s="1"/>
  <c r="U219" s="1"/>
  <c r="U220" s="1"/>
  <c r="U221" s="1"/>
  <c r="U222" s="1"/>
  <c r="U223" s="1"/>
  <c r="U224" s="1"/>
  <c r="U225" s="1"/>
  <c r="U226" s="1"/>
  <c r="U227" s="1"/>
  <c r="U228" s="1"/>
  <c r="U229" s="1"/>
  <c r="U230" s="1"/>
  <c r="U231" s="1"/>
  <c r="U232" s="1"/>
  <c r="U233" s="1"/>
  <c r="U234" s="1"/>
  <c r="U235" s="1"/>
  <c r="U236" s="1"/>
  <c r="U237" s="1"/>
  <c r="U238" s="1"/>
  <c r="U239" s="1"/>
  <c r="U240" s="1"/>
  <c r="U241" s="1"/>
  <c r="U242" s="1"/>
  <c r="U243" s="1"/>
  <c r="U244" s="1"/>
  <c r="U245" s="1"/>
  <c r="U246" s="1"/>
  <c r="U247" s="1"/>
  <c r="U248" s="1"/>
  <c r="U249" s="1"/>
  <c r="U250" s="1"/>
  <c r="U251" s="1"/>
  <c r="U252" s="1"/>
  <c r="U253" s="1"/>
  <c r="U254" s="1"/>
  <c r="U255" s="1"/>
  <c r="U256" s="1"/>
  <c r="U257" s="1"/>
  <c r="U258" s="1"/>
  <c r="U259" s="1"/>
  <c r="U260" s="1"/>
  <c r="U261" s="1"/>
  <c r="U262" s="1"/>
  <c r="U263" s="1"/>
  <c r="U264" s="1"/>
  <c r="U265" s="1"/>
  <c r="U266" s="1"/>
  <c r="U267" s="1"/>
  <c r="U268" s="1"/>
  <c r="U269" s="1"/>
  <c r="Q7"/>
  <c r="F4" i="32"/>
  <c r="H4"/>
  <c r="E4"/>
  <c r="R3" i="11"/>
  <c r="Z3" s="1"/>
  <c r="P3"/>
  <c r="F12" i="32" s="1"/>
  <c r="R4" i="11"/>
  <c r="Q4" s="1"/>
  <c r="R5"/>
  <c r="Q5" s="1"/>
  <c r="Q3"/>
  <c r="S3"/>
  <c r="I10" i="32" l="1"/>
  <c r="U270" i="11"/>
  <c r="U271" s="1"/>
  <c r="U272" s="1"/>
  <c r="U273" s="1"/>
  <c r="U274" s="1"/>
  <c r="U275" s="1"/>
  <c r="U276" s="1"/>
  <c r="U277" s="1"/>
  <c r="U278" s="1"/>
  <c r="U279" s="1"/>
  <c r="U280" s="1"/>
  <c r="U281" s="1"/>
  <c r="U282" s="1"/>
  <c r="U283" s="1"/>
  <c r="U284" s="1"/>
  <c r="U285" s="1"/>
  <c r="U286" s="1"/>
  <c r="U287" s="1"/>
  <c r="U288" s="1"/>
  <c r="U289" s="1"/>
  <c r="U290" s="1"/>
  <c r="U291" s="1"/>
  <c r="U292" s="1"/>
  <c r="U293" s="1"/>
  <c r="U294" s="1"/>
  <c r="U295" s="1"/>
  <c r="U296" s="1"/>
  <c r="U297" s="1"/>
  <c r="U298" s="1"/>
  <c r="U299" s="1"/>
  <c r="U300" s="1"/>
  <c r="U301" s="1"/>
  <c r="U302" s="1"/>
  <c r="U303" s="1"/>
  <c r="U304" s="1"/>
  <c r="U305" s="1"/>
  <c r="U306" s="1"/>
  <c r="U307" s="1"/>
  <c r="U308" s="1"/>
  <c r="U309" s="1"/>
  <c r="U310" s="1"/>
  <c r="U311" s="1"/>
  <c r="U312" s="1"/>
  <c r="U313" s="1"/>
  <c r="U314" s="1"/>
  <c r="U315" s="1"/>
  <c r="U316" s="1"/>
  <c r="U317" s="1"/>
  <c r="U318" s="1"/>
  <c r="U319" s="1"/>
  <c r="U320" s="1"/>
  <c r="U321" s="1"/>
  <c r="U322" s="1"/>
  <c r="U323" s="1"/>
  <c r="U324" s="1"/>
  <c r="U325" s="1"/>
  <c r="U326" s="1"/>
  <c r="U327" s="1"/>
  <c r="U328" s="1"/>
  <c r="U329" s="1"/>
  <c r="U330" s="1"/>
  <c r="U331" s="1"/>
  <c r="U332" s="1"/>
  <c r="U333" s="1"/>
  <c r="U334" s="1"/>
  <c r="U335" s="1"/>
  <c r="U336" s="1"/>
  <c r="U337" s="1"/>
  <c r="U338" s="1"/>
  <c r="U339" s="1"/>
  <c r="U340" s="1"/>
  <c r="U341" s="1"/>
  <c r="U342" s="1"/>
  <c r="U343" s="1"/>
  <c r="U344" s="1"/>
  <c r="U345" s="1"/>
  <c r="U346" s="1"/>
  <c r="U347" s="1"/>
  <c r="U348" s="1"/>
  <c r="U349" s="1"/>
  <c r="U350" s="1"/>
  <c r="U351" s="1"/>
  <c r="U352" s="1"/>
  <c r="U353" s="1"/>
  <c r="U354" s="1"/>
  <c r="U355" s="1"/>
  <c r="U356" s="1"/>
  <c r="U357" s="1"/>
  <c r="U358" s="1"/>
  <c r="U359" s="1"/>
  <c r="U360" s="1"/>
  <c r="U361" s="1"/>
  <c r="U362" s="1"/>
  <c r="U363" s="1"/>
  <c r="U364" s="1"/>
  <c r="U365" s="1"/>
  <c r="U366" s="1"/>
  <c r="U367" s="1"/>
  <c r="U368" s="1"/>
  <c r="U369" s="1"/>
  <c r="U370" s="1"/>
  <c r="U371" s="1"/>
  <c r="U372" s="1"/>
  <c r="U373" s="1"/>
  <c r="U374" s="1"/>
  <c r="U375" s="1"/>
  <c r="U376" s="1"/>
  <c r="U377" s="1"/>
  <c r="U378" s="1"/>
  <c r="U379" s="1"/>
  <c r="U380" s="1"/>
  <c r="U381" s="1"/>
  <c r="U382" s="1"/>
  <c r="U383" s="1"/>
  <c r="U384" s="1"/>
  <c r="U385" s="1"/>
  <c r="U386" s="1"/>
  <c r="U387" s="1"/>
  <c r="U388" s="1"/>
  <c r="U389" s="1"/>
  <c r="U390" s="1"/>
  <c r="U391" s="1"/>
  <c r="U392" s="1"/>
  <c r="U393" s="1"/>
  <c r="U394" s="1"/>
  <c r="U395" s="1"/>
  <c r="E12" i="32"/>
  <c r="E24" s="1"/>
  <c r="F24"/>
  <c r="H12"/>
  <c r="H24" s="1"/>
  <c r="G4"/>
  <c r="P396" i="11"/>
  <c r="L396"/>
  <c r="T4"/>
  <c r="T5" s="1"/>
  <c r="T6" s="1"/>
  <c r="T7" s="1"/>
  <c r="T8" s="1"/>
  <c r="T9" s="1"/>
  <c r="T10" s="1"/>
  <c r="T11" s="1"/>
  <c r="T12" s="1"/>
  <c r="T13" s="1"/>
  <c r="T14" s="1"/>
  <c r="T15" s="1"/>
  <c r="T16" s="1"/>
  <c r="T17" s="1"/>
  <c r="T18" s="1"/>
  <c r="T19" s="1"/>
  <c r="T20" s="1"/>
  <c r="T21" s="1"/>
  <c r="T22" s="1"/>
  <c r="T23" s="1"/>
  <c r="T24" s="1"/>
  <c r="T25" s="1"/>
  <c r="T26" s="1"/>
  <c r="T27" s="1"/>
  <c r="T28" s="1"/>
  <c r="T29" s="1"/>
  <c r="T30" s="1"/>
  <c r="T31" s="1"/>
  <c r="T32" s="1"/>
  <c r="T33" s="1"/>
  <c r="T34" s="1"/>
  <c r="T35" s="1"/>
  <c r="T36" s="1"/>
  <c r="T37" s="1"/>
  <c r="T38" s="1"/>
  <c r="T39" s="1"/>
  <c r="T40" s="1"/>
  <c r="T41" s="1"/>
  <c r="T42" s="1"/>
  <c r="T43" s="1"/>
  <c r="T44" s="1"/>
  <c r="T45" s="1"/>
  <c r="T46" s="1"/>
  <c r="T47" s="1"/>
  <c r="T48" s="1"/>
  <c r="T49" s="1"/>
  <c r="T50" s="1"/>
  <c r="T51" s="1"/>
  <c r="T52" s="1"/>
  <c r="T53" s="1"/>
  <c r="T54" s="1"/>
  <c r="T55" s="1"/>
  <c r="T56" s="1"/>
  <c r="T57" s="1"/>
  <c r="T58" s="1"/>
  <c r="T59" s="1"/>
  <c r="T60" s="1"/>
  <c r="T61" s="1"/>
  <c r="T62" s="1"/>
  <c r="T63" s="1"/>
  <c r="T64" s="1"/>
  <c r="T65" s="1"/>
  <c r="T66" s="1"/>
  <c r="T67" s="1"/>
  <c r="T68" s="1"/>
  <c r="T69" s="1"/>
  <c r="T70" s="1"/>
  <c r="T71" s="1"/>
  <c r="T72" s="1"/>
  <c r="T73" s="1"/>
  <c r="T74" s="1"/>
  <c r="T75" s="1"/>
  <c r="T76" s="1"/>
  <c r="T77" s="1"/>
  <c r="T78" s="1"/>
  <c r="T79" s="1"/>
  <c r="T80" s="1"/>
  <c r="T81" s="1"/>
  <c r="T82" s="1"/>
  <c r="T83" s="1"/>
  <c r="T84" s="1"/>
  <c r="T85" s="1"/>
  <c r="T86" s="1"/>
  <c r="T87" s="1"/>
  <c r="T88" s="1"/>
  <c r="T89" s="1"/>
  <c r="T90" s="1"/>
  <c r="T91" s="1"/>
  <c r="T92" s="1"/>
  <c r="T93" s="1"/>
  <c r="T94" s="1"/>
  <c r="T95" s="1"/>
  <c r="T96" s="1"/>
  <c r="T97" s="1"/>
  <c r="T98" s="1"/>
  <c r="T99" s="1"/>
  <c r="T100" s="1"/>
  <c r="T101" s="1"/>
  <c r="T102" s="1"/>
  <c r="T103" s="1"/>
  <c r="T104" s="1"/>
  <c r="T105" s="1"/>
  <c r="T106" s="1"/>
  <c r="T107" s="1"/>
  <c r="T108" s="1"/>
  <c r="T109" s="1"/>
  <c r="T110" s="1"/>
  <c r="T111" s="1"/>
  <c r="T112" s="1"/>
  <c r="T113" s="1"/>
  <c r="T114" s="1"/>
  <c r="T115" s="1"/>
  <c r="T116" s="1"/>
  <c r="T117" s="1"/>
  <c r="T118" s="1"/>
  <c r="T119" s="1"/>
  <c r="T120" s="1"/>
  <c r="T121" s="1"/>
  <c r="T122" s="1"/>
  <c r="T123" s="1"/>
  <c r="T124" s="1"/>
  <c r="T125" s="1"/>
  <c r="T126" s="1"/>
  <c r="T127" s="1"/>
  <c r="T128" s="1"/>
  <c r="T129" s="1"/>
  <c r="T130" s="1"/>
  <c r="T131" s="1"/>
  <c r="T132" s="1"/>
  <c r="T133" s="1"/>
  <c r="T134" s="1"/>
  <c r="T135" s="1"/>
  <c r="T136" s="1"/>
  <c r="T137" s="1"/>
  <c r="T138" s="1"/>
  <c r="T139" s="1"/>
  <c r="T140" s="1"/>
  <c r="T141" s="1"/>
  <c r="T142" s="1"/>
  <c r="T143" s="1"/>
  <c r="T144" s="1"/>
  <c r="T145" s="1"/>
  <c r="T146" s="1"/>
  <c r="T147" s="1"/>
  <c r="T148" s="1"/>
  <c r="T149" s="1"/>
  <c r="T150" s="1"/>
  <c r="T151" s="1"/>
  <c r="T152" s="1"/>
  <c r="T153" s="1"/>
  <c r="T154" s="1"/>
  <c r="T155" s="1"/>
  <c r="T156" s="1"/>
  <c r="T157" s="1"/>
  <c r="T158" s="1"/>
  <c r="T159" s="1"/>
  <c r="T160" s="1"/>
  <c r="T161" s="1"/>
  <c r="T162" s="1"/>
  <c r="T163" s="1"/>
  <c r="T164" s="1"/>
  <c r="T165" s="1"/>
  <c r="T166" s="1"/>
  <c r="T167" s="1"/>
  <c r="T168" s="1"/>
  <c r="T169" s="1"/>
  <c r="T170" s="1"/>
  <c r="T171" s="1"/>
  <c r="T172" s="1"/>
  <c r="T173" s="1"/>
  <c r="T174" s="1"/>
  <c r="T175" s="1"/>
  <c r="T176" s="1"/>
  <c r="T177" s="1"/>
  <c r="T178" s="1"/>
  <c r="T179" s="1"/>
  <c r="T180" s="1"/>
  <c r="T181" s="1"/>
  <c r="T182" s="1"/>
  <c r="T183" s="1"/>
  <c r="T184" s="1"/>
  <c r="T185" s="1"/>
  <c r="T186" s="1"/>
  <c r="T187" s="1"/>
  <c r="T188" s="1"/>
  <c r="T189" s="1"/>
  <c r="T190" s="1"/>
  <c r="T191" s="1"/>
  <c r="T192" s="1"/>
  <c r="T193" s="1"/>
  <c r="T194" s="1"/>
  <c r="T195" s="1"/>
  <c r="T196" s="1"/>
  <c r="T197" s="1"/>
  <c r="T198" s="1"/>
  <c r="T199" s="1"/>
  <c r="T200" s="1"/>
  <c r="T201" s="1"/>
  <c r="T202" s="1"/>
  <c r="T203" s="1"/>
  <c r="T204" s="1"/>
  <c r="T205" s="1"/>
  <c r="T206" s="1"/>
  <c r="T207" s="1"/>
  <c r="T208" s="1"/>
  <c r="T209" s="1"/>
  <c r="T210" s="1"/>
  <c r="T211" s="1"/>
  <c r="T212" s="1"/>
  <c r="T213" s="1"/>
  <c r="T214" s="1"/>
  <c r="T215" s="1"/>
  <c r="T216" s="1"/>
  <c r="T217" s="1"/>
  <c r="T218" s="1"/>
  <c r="T219" s="1"/>
  <c r="T220" s="1"/>
  <c r="T221" s="1"/>
  <c r="T222" s="1"/>
  <c r="T223" s="1"/>
  <c r="T224" s="1"/>
  <c r="T225" s="1"/>
  <c r="T226" s="1"/>
  <c r="T227" s="1"/>
  <c r="T228" s="1"/>
  <c r="T229" s="1"/>
  <c r="T230" s="1"/>
  <c r="T231" s="1"/>
  <c r="T232" s="1"/>
  <c r="T233" s="1"/>
  <c r="T234" s="1"/>
  <c r="T235" s="1"/>
  <c r="T236" s="1"/>
  <c r="T237" s="1"/>
  <c r="T238" s="1"/>
  <c r="T239" s="1"/>
  <c r="T240" s="1"/>
  <c r="T241" s="1"/>
  <c r="T242" s="1"/>
  <c r="T243" s="1"/>
  <c r="T244" s="1"/>
  <c r="T245" s="1"/>
  <c r="T246" s="1"/>
  <c r="T247" s="1"/>
  <c r="T248" s="1"/>
  <c r="T249" s="1"/>
  <c r="T250" s="1"/>
  <c r="T251" s="1"/>
  <c r="T252" s="1"/>
  <c r="T253" s="1"/>
  <c r="T254" s="1"/>
  <c r="T255" s="1"/>
  <c r="T256" s="1"/>
  <c r="T257" s="1"/>
  <c r="T258" s="1"/>
  <c r="T259" s="1"/>
  <c r="T260" s="1"/>
  <c r="T261" s="1"/>
  <c r="T262" s="1"/>
  <c r="T263" s="1"/>
  <c r="T264" s="1"/>
  <c r="T265" s="1"/>
  <c r="T266" s="1"/>
  <c r="T267" s="1"/>
  <c r="T268" s="1"/>
  <c r="T269" s="1"/>
  <c r="Z4"/>
  <c r="S4"/>
  <c r="I4" i="32" l="1"/>
  <c r="T270" i="11"/>
  <c r="T271" s="1"/>
  <c r="T272" s="1"/>
  <c r="T273" s="1"/>
  <c r="T274" s="1"/>
  <c r="T275" s="1"/>
  <c r="T276" s="1"/>
  <c r="T277" s="1"/>
  <c r="T278" s="1"/>
  <c r="T279" s="1"/>
  <c r="T280" s="1"/>
  <c r="T281" s="1"/>
  <c r="T282" s="1"/>
  <c r="T283" s="1"/>
  <c r="T284" s="1"/>
  <c r="T285" s="1"/>
  <c r="T286" s="1"/>
  <c r="T287" s="1"/>
  <c r="T288" s="1"/>
  <c r="T289" s="1"/>
  <c r="T290" s="1"/>
  <c r="T291" s="1"/>
  <c r="T292" s="1"/>
  <c r="T293" s="1"/>
  <c r="T294" s="1"/>
  <c r="T295" s="1"/>
  <c r="T296" s="1"/>
  <c r="T297" s="1"/>
  <c r="T298" s="1"/>
  <c r="T299" s="1"/>
  <c r="T300" s="1"/>
  <c r="T301" s="1"/>
  <c r="T302" s="1"/>
  <c r="T303" s="1"/>
  <c r="T304" s="1"/>
  <c r="T305" s="1"/>
  <c r="T306" s="1"/>
  <c r="T307" s="1"/>
  <c r="T308" s="1"/>
  <c r="T309" s="1"/>
  <c r="T310" s="1"/>
  <c r="T311" s="1"/>
  <c r="T312" s="1"/>
  <c r="T313" s="1"/>
  <c r="T314" s="1"/>
  <c r="T315" s="1"/>
  <c r="T316" s="1"/>
  <c r="T317" s="1"/>
  <c r="T318" s="1"/>
  <c r="T319" s="1"/>
  <c r="T320" s="1"/>
  <c r="T321" s="1"/>
  <c r="T322" s="1"/>
  <c r="T323" s="1"/>
  <c r="T324" s="1"/>
  <c r="T325" s="1"/>
  <c r="T326" s="1"/>
  <c r="T327" s="1"/>
  <c r="T328" s="1"/>
  <c r="T329" s="1"/>
  <c r="T330" s="1"/>
  <c r="T331" s="1"/>
  <c r="T332" s="1"/>
  <c r="T333" s="1"/>
  <c r="T334" s="1"/>
  <c r="T335" s="1"/>
  <c r="T336" s="1"/>
  <c r="T337" s="1"/>
  <c r="T338" s="1"/>
  <c r="T339" s="1"/>
  <c r="T340" s="1"/>
  <c r="T341" s="1"/>
  <c r="T342" s="1"/>
  <c r="T343" s="1"/>
  <c r="T344" s="1"/>
  <c r="T345" s="1"/>
  <c r="T346" s="1"/>
  <c r="T347" s="1"/>
  <c r="T348" s="1"/>
  <c r="T349" s="1"/>
  <c r="T350" s="1"/>
  <c r="T351" s="1"/>
  <c r="T352" s="1"/>
  <c r="T353" s="1"/>
  <c r="T354" s="1"/>
  <c r="T355" s="1"/>
  <c r="T356" s="1"/>
  <c r="T357" s="1"/>
  <c r="T358" s="1"/>
  <c r="T359" s="1"/>
  <c r="T360" s="1"/>
  <c r="T361" s="1"/>
  <c r="T362" s="1"/>
  <c r="T363" s="1"/>
  <c r="T364" s="1"/>
  <c r="T365" s="1"/>
  <c r="T366" s="1"/>
  <c r="T367" s="1"/>
  <c r="T368" s="1"/>
  <c r="T369" s="1"/>
  <c r="T370" s="1"/>
  <c r="T371" s="1"/>
  <c r="T372" s="1"/>
  <c r="T373" s="1"/>
  <c r="T374" s="1"/>
  <c r="T375" s="1"/>
  <c r="T376" s="1"/>
  <c r="T377" s="1"/>
  <c r="T378" s="1"/>
  <c r="T379" s="1"/>
  <c r="T380" s="1"/>
  <c r="T381" s="1"/>
  <c r="T382" s="1"/>
  <c r="T383" s="1"/>
  <c r="T384" s="1"/>
  <c r="T385" s="1"/>
  <c r="T386" s="1"/>
  <c r="T387" s="1"/>
  <c r="T388" s="1"/>
  <c r="T389" s="1"/>
  <c r="T390" s="1"/>
  <c r="T391" s="1"/>
  <c r="T392" s="1"/>
  <c r="T393" s="1"/>
  <c r="T394" s="1"/>
  <c r="T395" s="1"/>
  <c r="G12" i="32"/>
  <c r="G24" s="1"/>
  <c r="Z5" i="11"/>
  <c r="S5"/>
  <c r="L398"/>
  <c r="I12" i="32" l="1"/>
  <c r="Z6" i="11"/>
  <c r="S6"/>
  <c r="S7" s="1"/>
  <c r="S8" s="1"/>
  <c r="Z7" l="1"/>
  <c r="S9"/>
  <c r="Z8" l="1"/>
  <c r="S10"/>
  <c r="S11" s="1"/>
  <c r="Z9" l="1"/>
  <c r="S12"/>
  <c r="Z10" l="1"/>
  <c r="S13"/>
  <c r="Z11" l="1"/>
  <c r="S14"/>
  <c r="Z12" l="1"/>
  <c r="S15"/>
  <c r="Z13" l="1"/>
  <c r="S16"/>
  <c r="Z14" l="1"/>
  <c r="S17"/>
  <c r="S18" s="1"/>
  <c r="S19" s="1"/>
  <c r="Z15" l="1"/>
  <c r="S20"/>
  <c r="Z16" l="1"/>
  <c r="S21"/>
  <c r="Z17" l="1"/>
  <c r="S22"/>
  <c r="Z18" l="1"/>
  <c r="S23"/>
  <c r="Z19" l="1"/>
  <c r="S24"/>
  <c r="Z20" l="1"/>
  <c r="S25"/>
  <c r="Z21" l="1"/>
  <c r="S26"/>
  <c r="Z22" l="1"/>
  <c r="S27"/>
  <c r="S28" s="1"/>
  <c r="Z23" l="1"/>
  <c r="S29"/>
  <c r="Z24" l="1"/>
  <c r="S30"/>
  <c r="Z25" l="1"/>
  <c r="S31"/>
  <c r="Z26" l="1"/>
  <c r="S32"/>
  <c r="Z27" l="1"/>
  <c r="S33"/>
  <c r="Z28" l="1"/>
  <c r="S34"/>
  <c r="Z29" l="1"/>
  <c r="S35"/>
  <c r="Z30" l="1"/>
  <c r="S36"/>
  <c r="Z31" l="1"/>
  <c r="S37"/>
  <c r="Z32" l="1"/>
  <c r="S38"/>
  <c r="Z33" l="1"/>
  <c r="S39"/>
  <c r="Z34" l="1"/>
  <c r="S40"/>
  <c r="Z35" l="1"/>
  <c r="S41"/>
  <c r="Z36" l="1"/>
  <c r="S42"/>
  <c r="Z37" l="1"/>
  <c r="S43"/>
  <c r="Z38" l="1"/>
  <c r="S44"/>
  <c r="Z39" l="1"/>
  <c r="S45"/>
  <c r="Z40" l="1"/>
  <c r="S46"/>
  <c r="Z41" l="1"/>
  <c r="S47"/>
  <c r="Z42" l="1"/>
  <c r="S48"/>
  <c r="Z43" l="1"/>
  <c r="S49"/>
  <c r="Z44" l="1"/>
  <c r="S50"/>
  <c r="Z45" l="1"/>
  <c r="S51"/>
  <c r="Z46" l="1"/>
  <c r="S52"/>
  <c r="Z47" l="1"/>
  <c r="S53"/>
  <c r="Z48" l="1"/>
  <c r="S54"/>
  <c r="Z49" l="1"/>
  <c r="S55"/>
  <c r="Z50" l="1"/>
  <c r="S56"/>
  <c r="Z51" l="1"/>
  <c r="S57"/>
  <c r="Z52" l="1"/>
  <c r="S58"/>
  <c r="Z53" l="1"/>
  <c r="S59"/>
  <c r="Z54" l="1"/>
  <c r="S60"/>
  <c r="Z55" l="1"/>
  <c r="S61"/>
  <c r="Z56" l="1"/>
  <c r="S62"/>
  <c r="Z57" l="1"/>
  <c r="S63"/>
  <c r="Z58" l="1"/>
  <c r="S64"/>
  <c r="Z59" l="1"/>
  <c r="S65"/>
  <c r="Z60" l="1"/>
  <c r="S66"/>
  <c r="Z61" l="1"/>
  <c r="S67"/>
  <c r="Z62" l="1"/>
  <c r="S68"/>
  <c r="Z63" l="1"/>
  <c r="S69"/>
  <c r="Z64" l="1"/>
  <c r="S70"/>
  <c r="Z65" l="1"/>
  <c r="S71"/>
  <c r="Z66" l="1"/>
  <c r="S72"/>
  <c r="Z67" l="1"/>
  <c r="S73"/>
  <c r="Z68" l="1"/>
  <c r="S74"/>
  <c r="Z69" l="1"/>
  <c r="S75"/>
  <c r="Z70" l="1"/>
  <c r="S76"/>
  <c r="Z71" l="1"/>
  <c r="S77"/>
  <c r="Z72" l="1"/>
  <c r="S78"/>
  <c r="Z73" l="1"/>
  <c r="S79"/>
  <c r="Z74" l="1"/>
  <c r="S80"/>
  <c r="Z75" l="1"/>
  <c r="S81"/>
  <c r="Z76" l="1"/>
  <c r="S82"/>
  <c r="Z77" l="1"/>
  <c r="S83"/>
  <c r="Z78" l="1"/>
  <c r="S84"/>
  <c r="Z79" l="1"/>
  <c r="S85"/>
  <c r="Z80" l="1"/>
  <c r="S86"/>
  <c r="Z81" l="1"/>
  <c r="S87"/>
  <c r="Z82" l="1"/>
  <c r="S88"/>
  <c r="Z83" l="1"/>
  <c r="S89"/>
  <c r="Z84" l="1"/>
  <c r="S90"/>
  <c r="Z85" l="1"/>
  <c r="S91"/>
  <c r="Z86" l="1"/>
  <c r="S92"/>
  <c r="Z87" l="1"/>
  <c r="S93"/>
  <c r="Z88" l="1"/>
  <c r="S94"/>
  <c r="Z89" l="1"/>
  <c r="S95"/>
  <c r="Z90" l="1"/>
  <c r="S96"/>
  <c r="Z91" l="1"/>
  <c r="S97"/>
  <c r="Z92" l="1"/>
  <c r="S98"/>
  <c r="Z93" l="1"/>
  <c r="S99"/>
  <c r="Z94" l="1"/>
  <c r="S100"/>
  <c r="Z95" l="1"/>
  <c r="S101"/>
  <c r="Z96" l="1"/>
  <c r="S102"/>
  <c r="Z97" l="1"/>
  <c r="S103"/>
  <c r="Z98" l="1"/>
  <c r="S104"/>
  <c r="Z99" l="1"/>
  <c r="S105"/>
  <c r="Z100" l="1"/>
  <c r="S106"/>
  <c r="Z101" l="1"/>
  <c r="S107"/>
  <c r="Z102" l="1"/>
  <c r="S108"/>
  <c r="Z103" l="1"/>
  <c r="S109"/>
  <c r="Z104" l="1"/>
  <c r="S110"/>
  <c r="Z105" l="1"/>
  <c r="S111"/>
  <c r="Z106" l="1"/>
  <c r="S112"/>
  <c r="Z107" l="1"/>
  <c r="S113"/>
  <c r="Z108" l="1"/>
  <c r="S114"/>
  <c r="Z109" l="1"/>
  <c r="S115"/>
  <c r="Z110" l="1"/>
  <c r="S116"/>
  <c r="Z111" l="1"/>
  <c r="S117"/>
  <c r="Z112" l="1"/>
  <c r="S118"/>
  <c r="Z113" l="1"/>
  <c r="S119"/>
  <c r="Z114" l="1"/>
  <c r="S120"/>
  <c r="Z115" l="1"/>
  <c r="S121"/>
  <c r="Z116" l="1"/>
  <c r="S122"/>
  <c r="Z117" l="1"/>
  <c r="S123"/>
  <c r="Z118" l="1"/>
  <c r="S124"/>
  <c r="Z119" l="1"/>
  <c r="S125"/>
  <c r="Z120" l="1"/>
  <c r="S126"/>
  <c r="Z121" l="1"/>
  <c r="S127"/>
  <c r="Z122" l="1"/>
  <c r="S128"/>
  <c r="Z123" l="1"/>
  <c r="S129"/>
  <c r="Z124" l="1"/>
  <c r="S130"/>
  <c r="Z125" l="1"/>
  <c r="S131"/>
  <c r="Z126" l="1"/>
  <c r="S132"/>
  <c r="Z127" l="1"/>
  <c r="S133"/>
  <c r="Z128" l="1"/>
  <c r="S134"/>
  <c r="Z129" l="1"/>
  <c r="S135"/>
  <c r="Z130" l="1"/>
  <c r="S136"/>
  <c r="Z131" l="1"/>
  <c r="S137"/>
  <c r="Z132" l="1"/>
  <c r="S138"/>
  <c r="Z133" l="1"/>
  <c r="S139"/>
  <c r="Z134" l="1"/>
  <c r="S140"/>
  <c r="Z135" l="1"/>
  <c r="S141"/>
  <c r="Z136" l="1"/>
  <c r="S142"/>
  <c r="Z137" l="1"/>
  <c r="S143"/>
  <c r="Z138" l="1"/>
  <c r="S144"/>
  <c r="Z139" l="1"/>
  <c r="S145"/>
  <c r="Z140" l="1"/>
  <c r="S146"/>
  <c r="Z141" l="1"/>
  <c r="S147"/>
  <c r="Z142" l="1"/>
  <c r="S148"/>
  <c r="Z143" l="1"/>
  <c r="S149"/>
  <c r="Z144" l="1"/>
  <c r="S150"/>
  <c r="Z145" l="1"/>
  <c r="S151"/>
  <c r="Z146" l="1"/>
  <c r="S152"/>
  <c r="Z147" l="1"/>
  <c r="S153"/>
  <c r="Z148" l="1"/>
  <c r="S154"/>
  <c r="Z149" l="1"/>
  <c r="S155"/>
  <c r="Z150" l="1"/>
  <c r="S156"/>
  <c r="Z151" l="1"/>
  <c r="S157"/>
  <c r="Z152" l="1"/>
  <c r="S158"/>
  <c r="Z153" l="1"/>
  <c r="S159"/>
  <c r="Z154" l="1"/>
  <c r="S160"/>
  <c r="Z155" l="1"/>
  <c r="S161"/>
  <c r="Z156" l="1"/>
  <c r="S162"/>
  <c r="Z157" l="1"/>
  <c r="S163"/>
  <c r="Z158" l="1"/>
  <c r="S164"/>
  <c r="Z159" l="1"/>
  <c r="S165"/>
  <c r="Z160" l="1"/>
  <c r="S166"/>
  <c r="Z161" l="1"/>
  <c r="S167"/>
  <c r="Z162" l="1"/>
  <c r="S168"/>
  <c r="Z163" l="1"/>
  <c r="S169"/>
  <c r="Z164" l="1"/>
  <c r="S170"/>
  <c r="Z165" l="1"/>
  <c r="S171"/>
  <c r="Z166" l="1"/>
  <c r="S172"/>
  <c r="Z167" l="1"/>
  <c r="S173"/>
  <c r="Z168" l="1"/>
  <c r="S174"/>
  <c r="Z169" l="1"/>
  <c r="S175"/>
  <c r="Z170" l="1"/>
  <c r="S176"/>
  <c r="Z171" l="1"/>
  <c r="S177"/>
  <c r="Z172" l="1"/>
  <c r="S178"/>
  <c r="Z173" l="1"/>
  <c r="S179"/>
  <c r="Z174" l="1"/>
  <c r="S180"/>
  <c r="Z175" l="1"/>
  <c r="S181"/>
  <c r="Z176" l="1"/>
  <c r="S182"/>
  <c r="Z177" l="1"/>
  <c r="S183"/>
  <c r="Z178" l="1"/>
  <c r="S184"/>
  <c r="Z179" l="1"/>
  <c r="S185"/>
  <c r="Z180" l="1"/>
  <c r="S186"/>
  <c r="Z181" l="1"/>
  <c r="S187"/>
  <c r="Z182" l="1"/>
  <c r="S188"/>
  <c r="Z183" l="1"/>
  <c r="S189"/>
  <c r="Z184" l="1"/>
  <c r="S190"/>
  <c r="Z185" l="1"/>
  <c r="S191"/>
  <c r="Z186" l="1"/>
  <c r="S192"/>
  <c r="Z187" l="1"/>
  <c r="S193"/>
  <c r="Z188" l="1"/>
  <c r="S194"/>
  <c r="Z189" l="1"/>
  <c r="S195"/>
  <c r="Z190" l="1"/>
  <c r="S196"/>
  <c r="Z191" l="1"/>
  <c r="S197"/>
  <c r="Z192" l="1"/>
  <c r="S198"/>
  <c r="Z193" l="1"/>
  <c r="S199"/>
  <c r="Z194" l="1"/>
  <c r="S200"/>
  <c r="Z195" l="1"/>
  <c r="S201"/>
  <c r="Z196" l="1"/>
  <c r="S202"/>
  <c r="Z197" l="1"/>
  <c r="S203"/>
  <c r="Z198" l="1"/>
  <c r="S204"/>
  <c r="Z199" l="1"/>
  <c r="S205"/>
  <c r="Z200" l="1"/>
  <c r="S206"/>
  <c r="Z201" l="1"/>
  <c r="S207"/>
  <c r="Z202" l="1"/>
  <c r="S208"/>
  <c r="Z203" l="1"/>
  <c r="S209"/>
  <c r="Z204" l="1"/>
  <c r="S210"/>
  <c r="Z205" l="1"/>
  <c r="S211"/>
  <c r="Z206" l="1"/>
  <c r="S212"/>
  <c r="Z207" l="1"/>
  <c r="S213"/>
  <c r="Z208" l="1"/>
  <c r="S214"/>
  <c r="Z209" l="1"/>
  <c r="S215"/>
  <c r="Z210" l="1"/>
  <c r="S216"/>
  <c r="Z211" l="1"/>
  <c r="S217"/>
  <c r="Z212" l="1"/>
  <c r="S218"/>
  <c r="Z213" l="1"/>
  <c r="S219"/>
  <c r="Z214" l="1"/>
  <c r="S220"/>
  <c r="Z215" l="1"/>
  <c r="S221"/>
  <c r="Z216" l="1"/>
  <c r="S222"/>
  <c r="Z217" l="1"/>
  <c r="S223"/>
  <c r="Z218" l="1"/>
  <c r="S224"/>
  <c r="Z219" l="1"/>
  <c r="S225"/>
  <c r="Z220" l="1"/>
  <c r="S226"/>
  <c r="S227" s="1"/>
  <c r="S228" s="1"/>
  <c r="S229" s="1"/>
  <c r="S230" s="1"/>
  <c r="S231" s="1"/>
  <c r="S232" s="1"/>
  <c r="S233" s="1"/>
  <c r="S234" s="1"/>
  <c r="S235" s="1"/>
  <c r="Z221" l="1"/>
  <c r="S236"/>
  <c r="Z222" l="1"/>
  <c r="S237"/>
  <c r="S238" s="1"/>
  <c r="S239" s="1"/>
  <c r="Z223" l="1"/>
  <c r="S240"/>
  <c r="S241" s="1"/>
  <c r="S242" s="1"/>
  <c r="S243" s="1"/>
  <c r="S244" s="1"/>
  <c r="S245" s="1"/>
  <c r="S246" s="1"/>
  <c r="S247" s="1"/>
  <c r="S248" s="1"/>
  <c r="S249" s="1"/>
  <c r="S250" s="1"/>
  <c r="S251" s="1"/>
  <c r="S252" s="1"/>
  <c r="S253" s="1"/>
  <c r="S254" s="1"/>
  <c r="S255" s="1"/>
  <c r="S256" s="1"/>
  <c r="S257" s="1"/>
  <c r="S258" s="1"/>
  <c r="S259" s="1"/>
  <c r="S260" s="1"/>
  <c r="S261" s="1"/>
  <c r="S262" s="1"/>
  <c r="S263" s="1"/>
  <c r="S264" l="1"/>
  <c r="S265" s="1"/>
  <c r="S266" s="1"/>
  <c r="S267" s="1"/>
  <c r="S268" s="1"/>
  <c r="S269" s="1"/>
  <c r="Z224"/>
  <c r="S270" l="1"/>
  <c r="S271" s="1"/>
  <c r="S272" s="1"/>
  <c r="S273" s="1"/>
  <c r="S274" s="1"/>
  <c r="S275" s="1"/>
  <c r="S276" s="1"/>
  <c r="S277" s="1"/>
  <c r="S278" s="1"/>
  <c r="S279" s="1"/>
  <c r="S280" s="1"/>
  <c r="S281" s="1"/>
  <c r="S282" s="1"/>
  <c r="S283" s="1"/>
  <c r="S284" s="1"/>
  <c r="S285" s="1"/>
  <c r="S286" s="1"/>
  <c r="S287" s="1"/>
  <c r="S288" s="1"/>
  <c r="S289" s="1"/>
  <c r="S290" s="1"/>
  <c r="S291" s="1"/>
  <c r="S292" s="1"/>
  <c r="S293" s="1"/>
  <c r="S294" s="1"/>
  <c r="S295" s="1"/>
  <c r="S296" s="1"/>
  <c r="S297" s="1"/>
  <c r="S298" s="1"/>
  <c r="S299" s="1"/>
  <c r="S300" s="1"/>
  <c r="S301" s="1"/>
  <c r="S302" s="1"/>
  <c r="S303" s="1"/>
  <c r="S304" s="1"/>
  <c r="S305" s="1"/>
  <c r="S306" s="1"/>
  <c r="S307" s="1"/>
  <c r="S308" s="1"/>
  <c r="S309" s="1"/>
  <c r="S310" s="1"/>
  <c r="S311" s="1"/>
  <c r="S312" s="1"/>
  <c r="S313" s="1"/>
  <c r="S314" s="1"/>
  <c r="S315" s="1"/>
  <c r="S316" s="1"/>
  <c r="S317" s="1"/>
  <c r="S318" s="1"/>
  <c r="S319" s="1"/>
  <c r="S320" s="1"/>
  <c r="S321" s="1"/>
  <c r="S322" s="1"/>
  <c r="S323" s="1"/>
  <c r="S324" s="1"/>
  <c r="S325" s="1"/>
  <c r="S326" s="1"/>
  <c r="S327" s="1"/>
  <c r="S328" s="1"/>
  <c r="S329" s="1"/>
  <c r="S330" s="1"/>
  <c r="S331" s="1"/>
  <c r="S332" s="1"/>
  <c r="S333" s="1"/>
  <c r="S334" s="1"/>
  <c r="S335" s="1"/>
  <c r="S336" s="1"/>
  <c r="S337" s="1"/>
  <c r="S338" s="1"/>
  <c r="S339" s="1"/>
  <c r="S340" s="1"/>
  <c r="S341" s="1"/>
  <c r="S342" s="1"/>
  <c r="S343" s="1"/>
  <c r="S344" s="1"/>
  <c r="S345" s="1"/>
  <c r="S346" s="1"/>
  <c r="S347" s="1"/>
  <c r="S348" s="1"/>
  <c r="S349" s="1"/>
  <c r="S350" s="1"/>
  <c r="S351" s="1"/>
  <c r="S352" s="1"/>
  <c r="S353" s="1"/>
  <c r="S354" s="1"/>
  <c r="S355" s="1"/>
  <c r="S356" s="1"/>
  <c r="S357" s="1"/>
  <c r="S358" s="1"/>
  <c r="S359" s="1"/>
  <c r="S360" s="1"/>
  <c r="S361" s="1"/>
  <c r="S362" s="1"/>
  <c r="S363" s="1"/>
  <c r="S364" s="1"/>
  <c r="S365" s="1"/>
  <c r="S366" s="1"/>
  <c r="S367" s="1"/>
  <c r="S368" s="1"/>
  <c r="S369" s="1"/>
  <c r="S370" s="1"/>
  <c r="S371" s="1"/>
  <c r="S372" s="1"/>
  <c r="S373" s="1"/>
  <c r="S374" s="1"/>
  <c r="S375" s="1"/>
  <c r="S376" s="1"/>
  <c r="S377" s="1"/>
  <c r="S378" s="1"/>
  <c r="S379" s="1"/>
  <c r="S380" s="1"/>
  <c r="S381" s="1"/>
  <c r="S382" s="1"/>
  <c r="S383" s="1"/>
  <c r="S384" s="1"/>
  <c r="S385" s="1"/>
  <c r="S386" s="1"/>
  <c r="S387" s="1"/>
  <c r="S388" s="1"/>
  <c r="S389" s="1"/>
  <c r="S390" s="1"/>
  <c r="S391" s="1"/>
  <c r="S392" s="1"/>
  <c r="S393" s="1"/>
  <c r="S394" s="1"/>
  <c r="S395" s="1"/>
  <c r="Z225"/>
  <c r="Z226" l="1"/>
  <c r="Z227" l="1"/>
  <c r="Z228" l="1"/>
  <c r="S396" l="1"/>
  <c r="Z229"/>
  <c r="Z230" l="1"/>
  <c r="Z231" l="1"/>
  <c r="Z232" l="1"/>
  <c r="Z233" l="1"/>
  <c r="Z234" l="1"/>
  <c r="Z235" l="1"/>
  <c r="Z236" l="1"/>
  <c r="Z237" l="1"/>
  <c r="Z238" l="1"/>
  <c r="Z239" l="1"/>
  <c r="Z240" l="1"/>
  <c r="Z241" s="1"/>
  <c r="Z242" l="1"/>
  <c r="Z243" l="1"/>
  <c r="S398"/>
  <c r="Z244" l="1"/>
  <c r="Z245" l="1"/>
  <c r="Z246" l="1"/>
  <c r="Z247" l="1"/>
  <c r="Z248" l="1"/>
  <c r="Z249" l="1"/>
  <c r="Z250" l="1"/>
  <c r="Z251" l="1"/>
  <c r="Z252" l="1"/>
  <c r="Z253" l="1"/>
  <c r="Z254" l="1"/>
  <c r="Z255" l="1"/>
  <c r="Z256" l="1"/>
  <c r="Z257" l="1"/>
  <c r="Z258" l="1"/>
  <c r="Z259" l="1"/>
  <c r="Z260" l="1"/>
  <c r="Z261" l="1"/>
  <c r="Z262" l="1"/>
  <c r="Z263" l="1"/>
  <c r="Z264" l="1"/>
  <c r="Z265" l="1"/>
  <c r="Z266" l="1"/>
  <c r="Z267" l="1"/>
  <c r="Z268" l="1"/>
  <c r="Z269" s="1"/>
  <c r="Z270" l="1"/>
  <c r="Z271" s="1"/>
  <c r="Z272" s="1"/>
  <c r="Z273" s="1"/>
  <c r="Z274" s="1"/>
  <c r="Z275" s="1"/>
  <c r="Z276" s="1"/>
  <c r="Z277" s="1"/>
  <c r="Z278" s="1"/>
  <c r="Z279" s="1"/>
  <c r="Z280" s="1"/>
  <c r="Z281" s="1"/>
  <c r="Z282" s="1"/>
  <c r="Z283" s="1"/>
  <c r="Z284" s="1"/>
  <c r="Z285" s="1"/>
  <c r="Z286" s="1"/>
  <c r="Z287" s="1"/>
  <c r="Z288" s="1"/>
  <c r="Z289" s="1"/>
  <c r="Z290" s="1"/>
  <c r="Z291" s="1"/>
  <c r="Z292" s="1"/>
  <c r="Z293" s="1"/>
  <c r="Z294" s="1"/>
  <c r="Z295" s="1"/>
  <c r="Z296" s="1"/>
  <c r="Z297" s="1"/>
  <c r="Z298" s="1"/>
  <c r="Z299" s="1"/>
  <c r="Z300" s="1"/>
  <c r="Z301" s="1"/>
  <c r="Z302" s="1"/>
  <c r="Z303" s="1"/>
  <c r="Z304" s="1"/>
  <c r="Z305" s="1"/>
  <c r="Z306" s="1"/>
  <c r="Z307" s="1"/>
  <c r="Z308" s="1"/>
  <c r="Z309" s="1"/>
  <c r="Z310" s="1"/>
  <c r="Z311" s="1"/>
  <c r="Z312" s="1"/>
  <c r="Z313" s="1"/>
  <c r="Z314" s="1"/>
  <c r="Z315" s="1"/>
  <c r="Z316" s="1"/>
  <c r="Z317" s="1"/>
  <c r="Z318" s="1"/>
  <c r="Z319" s="1"/>
  <c r="Z320" s="1"/>
  <c r="Z321" s="1"/>
  <c r="Z322" s="1"/>
  <c r="Z323" s="1"/>
  <c r="Z324" s="1"/>
  <c r="Z325" s="1"/>
  <c r="Z326" s="1"/>
  <c r="Z327" s="1"/>
  <c r="Z328" s="1"/>
  <c r="Z329" s="1"/>
  <c r="Z330" s="1"/>
  <c r="Z331" s="1"/>
  <c r="Z332" s="1"/>
  <c r="Z333" s="1"/>
  <c r="Z334" s="1"/>
  <c r="Z335" s="1"/>
  <c r="Z336" s="1"/>
  <c r="Z337" s="1"/>
  <c r="Z338" s="1"/>
  <c r="Z339" s="1"/>
  <c r="Z340" s="1"/>
  <c r="Z341" s="1"/>
  <c r="Z342" s="1"/>
  <c r="Z343" s="1"/>
  <c r="Z344" s="1"/>
  <c r="Z345" s="1"/>
  <c r="Z346" s="1"/>
  <c r="Z347" s="1"/>
  <c r="Z348" s="1"/>
  <c r="Z349" s="1"/>
  <c r="Z350" s="1"/>
  <c r="Z351" s="1"/>
  <c r="Z352" s="1"/>
  <c r="Z353" s="1"/>
  <c r="Z354" s="1"/>
  <c r="Z355" s="1"/>
  <c r="Z356" s="1"/>
  <c r="Z357" s="1"/>
  <c r="Z358" s="1"/>
  <c r="Z359" s="1"/>
  <c r="Z360" s="1"/>
  <c r="Z361" s="1"/>
  <c r="Z362" s="1"/>
  <c r="Z363" s="1"/>
  <c r="Z364" s="1"/>
  <c r="Z365" s="1"/>
  <c r="Z366" s="1"/>
  <c r="Z367" s="1"/>
  <c r="Z368" s="1"/>
  <c r="Z369" s="1"/>
  <c r="Z370" s="1"/>
  <c r="Z371" s="1"/>
  <c r="Z372" s="1"/>
  <c r="Z373" s="1"/>
  <c r="Z374" s="1"/>
  <c r="Z375" s="1"/>
  <c r="Z376" s="1"/>
  <c r="Z377" s="1"/>
  <c r="Z378" s="1"/>
  <c r="Z379" s="1"/>
  <c r="Z380" s="1"/>
  <c r="Z381" s="1"/>
  <c r="Z382" s="1"/>
  <c r="Z383" s="1"/>
  <c r="Z384" s="1"/>
  <c r="Z385" s="1"/>
  <c r="Z386" s="1"/>
  <c r="Z387" s="1"/>
  <c r="Z388" s="1"/>
  <c r="Z389" s="1"/>
  <c r="Z390" s="1"/>
  <c r="Z391" s="1"/>
  <c r="Z392" s="1"/>
  <c r="Z393" s="1"/>
  <c r="Z394" s="1"/>
  <c r="Z395" s="1"/>
  <c r="AA395" l="1"/>
  <c r="I24" i="32"/>
</calcChain>
</file>

<file path=xl/sharedStrings.xml><?xml version="1.0" encoding="utf-8"?>
<sst xmlns="http://schemas.openxmlformats.org/spreadsheetml/2006/main" count="2821" uniqueCount="754">
  <si>
    <t>PARIEUR</t>
  </si>
  <si>
    <t>BWIN</t>
  </si>
  <si>
    <t>DJO</t>
  </si>
  <si>
    <t>FOOT</t>
  </si>
  <si>
    <t>Real Sociedad</t>
  </si>
  <si>
    <t>PERDU</t>
  </si>
  <si>
    <t>Hanovre 96</t>
  </si>
  <si>
    <t>BON</t>
  </si>
  <si>
    <t>YANN</t>
  </si>
  <si>
    <t>BASKET</t>
  </si>
  <si>
    <t>Cajasol (ESP) - Orléans (FRA)</t>
  </si>
  <si>
    <t>Cajasol (ESP) par 1-5</t>
  </si>
  <si>
    <t xml:space="preserve">Lazio Rome - Udinese </t>
  </si>
  <si>
    <t>Pacos Ferreira</t>
  </si>
  <si>
    <t xml:space="preserve">AS Saint-Etienne - Paris Saint-Germain </t>
  </si>
  <si>
    <t>Paris Saint-Germain</t>
  </si>
  <si>
    <t>(vide)</t>
  </si>
  <si>
    <t>Total général</t>
  </si>
  <si>
    <t>GAIN REEL</t>
  </si>
  <si>
    <t xml:space="preserve">Nombre de buts marqués </t>
  </si>
  <si>
    <t>Plus de 2,5</t>
  </si>
  <si>
    <t>Épreuve</t>
  </si>
  <si>
    <t>Pari</t>
  </si>
  <si>
    <t>Pronostic</t>
  </si>
  <si>
    <t>Cote</t>
  </si>
  <si>
    <t>Mise par pari</t>
  </si>
  <si>
    <t>Heure du match</t>
  </si>
  <si>
    <t>Qui va se qualifier ?</t>
  </si>
  <si>
    <t>SPORT</t>
  </si>
  <si>
    <t>Avance du vainqueur (en pts, buts ou temps)</t>
  </si>
  <si>
    <t xml:space="preserve">Hanovre 96 - Greuther Fürth </t>
  </si>
  <si>
    <t>1 X 2</t>
  </si>
  <si>
    <t>Real Sociedad - Cordoba</t>
  </si>
  <si>
    <t>Pacos Ferreira - Maritimo Funchal</t>
  </si>
  <si>
    <t>Étiquettes de lignes</t>
  </si>
  <si>
    <t>BON ou PERDU</t>
  </si>
  <si>
    <t>si bon</t>
  </si>
  <si>
    <t>Somme de GAIN REEL</t>
  </si>
  <si>
    <t>GAIN</t>
  </si>
  <si>
    <t>CTRL onglets</t>
  </si>
  <si>
    <t>Date du Pari</t>
  </si>
  <si>
    <t xml:space="preserve">AS Monaco FC - CS Sedan Ardennes </t>
  </si>
  <si>
    <t>AS Monaco FC</t>
  </si>
  <si>
    <t xml:space="preserve">Girondins de Bordeaux - FC Sochaux Montbéliard </t>
  </si>
  <si>
    <t>Girondins de Bordeaux</t>
  </si>
  <si>
    <t xml:space="preserve">LOSC Lille Métropole - SC Bastia </t>
  </si>
  <si>
    <t>LOSC Lille Métropole</t>
  </si>
  <si>
    <t>Paris Combiné</t>
  </si>
  <si>
    <t>DIVERS</t>
  </si>
  <si>
    <t>Girondins de Bordeaux - FC Sochaux Montbéliard</t>
  </si>
  <si>
    <t>LOSC Lille Métropole - SC Bastia</t>
  </si>
  <si>
    <t>AS Monaco FC - CS Sedan Ardennes</t>
  </si>
  <si>
    <t>Ospreys - Cardiff Blues</t>
  </si>
  <si>
    <t>RUGBY</t>
  </si>
  <si>
    <t>Cardiff Blues</t>
  </si>
  <si>
    <t>Perpignan - Agen</t>
  </si>
  <si>
    <t>Avance du vainqueur (en pts, buts ou temps</t>
  </si>
  <si>
    <t>Perpignan par 1-5</t>
  </si>
  <si>
    <t>PHANE</t>
  </si>
  <si>
    <t xml:space="preserve">FC Barcelone - Benfica </t>
  </si>
  <si>
    <t>FC Barcelone</t>
  </si>
  <si>
    <t>Pari combiné</t>
  </si>
  <si>
    <t>Valenciennes FC - Stade de Reims</t>
  </si>
  <si>
    <t>Valenciennes FC</t>
  </si>
  <si>
    <r>
      <t xml:space="preserve">Dépôt via Mastercard / Dépôt via Mastercard </t>
    </r>
    <r>
      <rPr>
        <b/>
        <sz val="9"/>
        <color rgb="FFFF0000"/>
        <rFont val="Verdana"/>
        <family val="2"/>
      </rPr>
      <t>YANN</t>
    </r>
  </si>
  <si>
    <r>
      <t xml:space="preserve">Dépôt via VISA / Dépôt via VISA </t>
    </r>
    <r>
      <rPr>
        <b/>
        <sz val="9"/>
        <color rgb="FFFF0000"/>
        <rFont val="Verdana"/>
        <family val="2"/>
      </rPr>
      <t>DJO</t>
    </r>
  </si>
  <si>
    <r>
      <t xml:space="preserve">Dépôt via VISA / Dépôt via VISA </t>
    </r>
    <r>
      <rPr>
        <b/>
        <sz val="9"/>
        <color rgb="FFFF0000"/>
        <rFont val="Verdana"/>
        <family val="2"/>
      </rPr>
      <t>PHANE</t>
    </r>
  </si>
  <si>
    <t>TOF</t>
  </si>
  <si>
    <t>Milan AC - FC Zenit St. Petersburg</t>
  </si>
  <si>
    <t>Milan AC</t>
  </si>
  <si>
    <t>OGC Nice - Paris Saint-Germain</t>
  </si>
  <si>
    <r>
      <t xml:space="preserve">Dépôt via Mastercard / Dépôt via Mastercard </t>
    </r>
    <r>
      <rPr>
        <b/>
        <sz val="9"/>
        <color rgb="FFFF0000"/>
        <rFont val="Verdana"/>
        <family val="2"/>
      </rPr>
      <t>TOF</t>
    </r>
  </si>
  <si>
    <t>Real Madrid - Atletico Madrid</t>
  </si>
  <si>
    <t>Real Madrid</t>
  </si>
  <si>
    <t>Limoges - Le Havre</t>
  </si>
  <si>
    <t>Limoges</t>
  </si>
  <si>
    <t>Olympique Lyonnais - Montpellier HSC</t>
  </si>
  <si>
    <t>X</t>
  </si>
  <si>
    <t>Paris Saint-Germain - FC Porto</t>
  </si>
  <si>
    <t>Real Madrid - Ajax Amsterdam</t>
  </si>
  <si>
    <t>FC Lorient - Toulouse FC</t>
  </si>
  <si>
    <t>FC Lorient</t>
  </si>
  <si>
    <t xml:space="preserve">Astra Ploiesti - Gloria Bistrita </t>
  </si>
  <si>
    <t>Astra Ploiesti gagne avec 2 buts d'avance ou plus</t>
  </si>
  <si>
    <t xml:space="preserve">FC Séville - Real Valladolid </t>
  </si>
  <si>
    <t>FC Séville</t>
  </si>
  <si>
    <t>Energie Cottbus - Hertha Berlin</t>
  </si>
  <si>
    <t>Celtic - Spartak Moscou</t>
  </si>
  <si>
    <t>Celtic</t>
  </si>
  <si>
    <t xml:space="preserve">chelsea - FC Nordsjælland </t>
  </si>
  <si>
    <t>gagne les 2 mi-temps</t>
  </si>
  <si>
    <t>chelsea</t>
  </si>
  <si>
    <t xml:space="preserve">FC Bayern Munich - Bate Borisov </t>
  </si>
  <si>
    <t xml:space="preserve">Résultat à la mi-temps </t>
  </si>
  <si>
    <t>FC Bayern Munich</t>
  </si>
  <si>
    <t xml:space="preserve">Hypo Tirol Innsbruck // Knack Roeselare </t>
  </si>
  <si>
    <t>VOLLEYBALL</t>
  </si>
  <si>
    <t>Quelle équipe va gagner le premier set?</t>
  </si>
  <si>
    <t>Hypo Tirol Volleyball team</t>
  </si>
  <si>
    <t>GAIN YANN</t>
  </si>
  <si>
    <t>GAIN DJO</t>
  </si>
  <si>
    <t>GAIN PHANE</t>
  </si>
  <si>
    <t>GAIN TOF</t>
  </si>
  <si>
    <t>GAIN TOTAL</t>
  </si>
  <si>
    <t xml:space="preserve">BSC Young Boys - Anzhi Makhachkala </t>
  </si>
  <si>
    <t>BSC Young Boys</t>
  </si>
  <si>
    <t>Bayer Leverkusen - Rosenborg</t>
  </si>
  <si>
    <t>Bayer Leverkusen</t>
  </si>
  <si>
    <t>Toulouse FC - SC Bastia</t>
  </si>
  <si>
    <t>Toulouse FC</t>
  </si>
  <si>
    <t>Hambourg SV - 1899 Hoffenheim</t>
  </si>
  <si>
    <t>Hambourg SV</t>
  </si>
  <si>
    <t>Standard - SC Charleroi</t>
  </si>
  <si>
    <t>Standard</t>
  </si>
  <si>
    <t>perpignan</t>
  </si>
  <si>
    <t xml:space="preserve">Worcester Warriors - Perpignan </t>
  </si>
  <si>
    <t>Udinese - Liverpool</t>
  </si>
  <si>
    <t>Les deux équipes marqueront-elles lors de la rencontre ?</t>
  </si>
  <si>
    <t>Dunkerque Handball Grand Littoral - Chambery Savoie HB</t>
  </si>
  <si>
    <t>HAND</t>
  </si>
  <si>
    <t>Chambery Savoie HB</t>
  </si>
  <si>
    <t>Montpellier HSC - AC Ajaccio</t>
  </si>
  <si>
    <t>Montpellier HSC</t>
  </si>
  <si>
    <t>AS Nancy Lorraine - Valenciennes FC</t>
  </si>
  <si>
    <t>SonderjyskE - Brøndby IF</t>
  </si>
  <si>
    <t>Nombre de buts marqués</t>
  </si>
  <si>
    <t>Real Valladolid - Real Madrid</t>
  </si>
  <si>
    <t>Real Valladolid</t>
  </si>
  <si>
    <t>Paris Saint-Germain - Evian-TG FC</t>
  </si>
  <si>
    <t>1X2 et nombre de buts marqués</t>
  </si>
  <si>
    <t>L'équipe 1 gagne et il y a un total de plus de 2,5 buts dans le match</t>
  </si>
  <si>
    <t>Sale Sharks - Toulon</t>
  </si>
  <si>
    <t>Toulon par 11-15</t>
  </si>
  <si>
    <t>AS Rome - Fiorentina</t>
  </si>
  <si>
    <t>AS Rome</t>
  </si>
  <si>
    <t>Inter Milan - SSC Naples</t>
  </si>
  <si>
    <t>Inter Milan</t>
  </si>
  <si>
    <t>Atletico Madrid - Deportivo La Corogne</t>
  </si>
  <si>
    <t>Atletico Madrid</t>
  </si>
  <si>
    <t>Rayo Vallecano - Real Saragosse</t>
  </si>
  <si>
    <t>Rayo Vallecano</t>
  </si>
  <si>
    <t>Clermont Auvergne par 6-10</t>
  </si>
  <si>
    <t>Plus de 3,5</t>
  </si>
  <si>
    <t>Betis Seville</t>
  </si>
  <si>
    <t>PSV Eindhoven</t>
  </si>
  <si>
    <t>Clermont - Leinster</t>
  </si>
  <si>
    <t>Manchester City - Manchester Utd</t>
  </si>
  <si>
    <t>Betis Seville - FC Barcelone (1 X 2)</t>
  </si>
  <si>
    <t>PSV Eindhoven - FC Twente (1 X 2)</t>
  </si>
  <si>
    <t>Racing Genk - Lierse SK</t>
  </si>
  <si>
    <t>Ecart entre les équipes</t>
  </si>
  <si>
    <t>Racing Genk gagne avec 2 buts d'avance ou plus</t>
  </si>
  <si>
    <t>Baltimore Ravens chez Washington Redskins</t>
  </si>
  <si>
    <t>US FOOT</t>
  </si>
  <si>
    <t>Pari sur le vainqueur</t>
  </si>
  <si>
    <t>Washington Redskins</t>
  </si>
  <si>
    <t xml:space="preserve">San Antonio Spurs chez Houston Rockets </t>
  </si>
  <si>
    <t>Pari sur le vainqueur (US)</t>
  </si>
  <si>
    <t>San Antonio Spurs</t>
  </si>
  <si>
    <t>max</t>
  </si>
  <si>
    <t>mini</t>
  </si>
  <si>
    <t>Rubin Kazan - Spartak Moscou</t>
  </si>
  <si>
    <t>Rubin Kazan</t>
  </si>
  <si>
    <t>Clermont Foot - FC Nantes</t>
  </si>
  <si>
    <t>FC Nantes</t>
  </si>
  <si>
    <t>Valenciennes FC - Paris Saint-Germain</t>
  </si>
  <si>
    <t>Osasuna - Valence CF</t>
  </si>
  <si>
    <t>Chance double</t>
  </si>
  <si>
    <t>X ou Valence CF</t>
  </si>
  <si>
    <t>AS Rome - Atalanta Bergame</t>
  </si>
  <si>
    <t>Bradford City - Arsenal</t>
  </si>
  <si>
    <t>Arsenal</t>
  </si>
  <si>
    <t>Olympique Lyonnais - AS Nancy Lorraine</t>
  </si>
  <si>
    <t>Olympique Lyonnais</t>
  </si>
  <si>
    <t>Celta Vigo - Real Madrid</t>
  </si>
  <si>
    <t>Cordoba - FC Barcelone</t>
  </si>
  <si>
    <t>FC Barcelone gagne avec 2 buts d'avance ou plus</t>
  </si>
  <si>
    <t>Juventus - Cagliari</t>
  </si>
  <si>
    <t>Résultat à la mi-temps</t>
  </si>
  <si>
    <t>Juventus</t>
  </si>
  <si>
    <t>Stade Malherbe Caen - AS Monaco FC</t>
  </si>
  <si>
    <t>Sunderland - Reading</t>
  </si>
  <si>
    <t>Sunderland</t>
  </si>
  <si>
    <t>AS Rome - Atalanta Bergame (1 X 2)</t>
  </si>
  <si>
    <t>Bradford City - Arsenal (1 X 2)</t>
  </si>
  <si>
    <t>FC Lorient - FC Sochaux Montbéliard</t>
  </si>
  <si>
    <t>Montpellier HSC - SC Bastia</t>
  </si>
  <si>
    <t>Paris Saint-Germain - Olympique Lyonnais</t>
  </si>
  <si>
    <t>Cholet (FRA) - Spartak St. Pétersbourg (RUS)</t>
  </si>
  <si>
    <t>Cholet (FRA) par 1-5</t>
  </si>
  <si>
    <t xml:space="preserve">Olympique Lyonnais - AS Nancy Lorraine </t>
  </si>
  <si>
    <t>Quel joueur va marquer un but au cours du match (temps régl./but contre son camp exclu) ?</t>
  </si>
  <si>
    <t>Bafetimbi Gomis (Lyo)</t>
  </si>
  <si>
    <t>SC Bastia - Olympique de Marseille</t>
  </si>
  <si>
    <t>Olympique de Marseille</t>
  </si>
  <si>
    <t>San Antonio Spurs chez Utah Jazz</t>
  </si>
  <si>
    <t>Brooklyn Nets chez Toronto Raptors (Pari sur le vainqueur (US))</t>
  </si>
  <si>
    <t>Brooklyn Nets</t>
  </si>
  <si>
    <t>Monterrey - Chelsea</t>
  </si>
  <si>
    <t>Chelsea</t>
  </si>
  <si>
    <t>Levante - Real Saragosse</t>
  </si>
  <si>
    <t>Levante</t>
  </si>
  <si>
    <t>Châteauroux - Clermont Foot</t>
  </si>
  <si>
    <t>Châteauroux</t>
  </si>
  <si>
    <t>Vitoria Setubal - FC Porto</t>
  </si>
  <si>
    <t>FC Porto</t>
  </si>
  <si>
    <t xml:space="preserve">AS Monaco FC - Nîmes Olympique </t>
  </si>
  <si>
    <t>FC Bayern Munich - Borussia M'Gladbach</t>
  </si>
  <si>
    <t>FC Bayern Munich gagne avec 2 buts d'avance ou plus</t>
  </si>
  <si>
    <t>Inter Milan - Hellas Verona</t>
  </si>
  <si>
    <t>Girondins de Bordeaux - AS Saint-Etienne</t>
  </si>
  <si>
    <t>Fenerbahce Ulker (TUR) - Pallacanestro Cantu (ITA)</t>
  </si>
  <si>
    <t>Pallacanestro Cantu (ITA)</t>
  </si>
  <si>
    <t>Total 1ère mi-temps</t>
  </si>
  <si>
    <t>Plus de 71,5</t>
  </si>
  <si>
    <t>Milan AC - Reggina</t>
  </si>
  <si>
    <t>Nombre de buts marqués en 1ère mi-temps</t>
  </si>
  <si>
    <t>Plus de 0,5</t>
  </si>
  <si>
    <t>L'équipe 1 gagnera-t-elle sans encaisser de but ?</t>
  </si>
  <si>
    <t>Oui</t>
  </si>
  <si>
    <t>en cours</t>
  </si>
  <si>
    <t>reste à parier</t>
  </si>
  <si>
    <t>Roanne - ASVEL</t>
  </si>
  <si>
    <t>Total - 1er quart-temps</t>
  </si>
  <si>
    <t>Moins de 36.5</t>
  </si>
  <si>
    <t>L'équipe 2 gagne et il y a un total de plus de 2,5 buts dans le match</t>
  </si>
  <si>
    <t>Livourne - Ternana</t>
  </si>
  <si>
    <t>oui</t>
  </si>
  <si>
    <t>Les deux équipes marqueront-elles lors de la rencontre</t>
  </si>
  <si>
    <t>New York Knicks</t>
  </si>
  <si>
    <t>New York</t>
  </si>
  <si>
    <t>Norwich City - Wigan Athletic</t>
  </si>
  <si>
    <t>Norwich City</t>
  </si>
  <si>
    <t>CAI Zaragoza - Unicaja Malaga</t>
  </si>
  <si>
    <t>CAI Zaragoza</t>
  </si>
  <si>
    <t>London Welsh - Grenoble</t>
  </si>
  <si>
    <t>Grenoble</t>
  </si>
  <si>
    <t>Los Angeles Lakers chez New York Knicks</t>
  </si>
  <si>
    <t>SSC Naples - Bologne</t>
  </si>
  <si>
    <t>SSC Naples</t>
  </si>
  <si>
    <t>Massy - Colomiers</t>
  </si>
  <si>
    <t>Massy</t>
  </si>
  <si>
    <t>Poitiers - Orléans</t>
  </si>
  <si>
    <t>Orléans</t>
  </si>
  <si>
    <t>FC Sochaux Montbéliard - Stade Brestois 29</t>
  </si>
  <si>
    <t>FC Sochaux Montbéliard</t>
  </si>
  <si>
    <t>OGC Nice - Evian-TG FC</t>
  </si>
  <si>
    <t>OGC Nice</t>
  </si>
  <si>
    <t>Memphis Grizzlies chez Utah Jazz</t>
  </si>
  <si>
    <t>Memphis Grizzlies</t>
  </si>
  <si>
    <t>Brooklyn Nets chez Chicago Bulls</t>
  </si>
  <si>
    <t>Chicago Bulls</t>
  </si>
  <si>
    <t>AS Saint-Etienne - FC Lorient</t>
  </si>
  <si>
    <t>AS Saint-Etienne</t>
  </si>
  <si>
    <t>Juventus - Atalanta Bergame</t>
  </si>
  <si>
    <t>Real Madrid - Espanyol</t>
  </si>
  <si>
    <t>Real Madrid gagne avec 2 buts d'avance ou plus</t>
  </si>
  <si>
    <t>Saracens - Munster</t>
  </si>
  <si>
    <t>Saracens by 1-12</t>
  </si>
  <si>
    <t>Tourcoing - Rennes</t>
  </si>
  <si>
    <t>Combien de points seront marqués au total ?</t>
  </si>
  <si>
    <t>Moins de 183,5</t>
  </si>
  <si>
    <t>TBB Trier - BBC Bayreuth</t>
  </si>
  <si>
    <t>Moins de 71,5</t>
  </si>
  <si>
    <t>Boston Celtics chez San Antonio Spurs</t>
  </si>
  <si>
    <t>Neckar RIESEN Ludwigsburg - Giessen 46ers</t>
  </si>
  <si>
    <t>Neckar RIESEN Ludwigsburg par 6-10</t>
  </si>
  <si>
    <t>Nombre de buts marqués entre la minute 75:01 et la fin du match</t>
  </si>
  <si>
    <t>Plus de 1,5</t>
  </si>
  <si>
    <t>Seattle Seahawks - Buffalo Bills (Played in Toronto, CA)</t>
  </si>
  <si>
    <t>Seattle Seahawks gagne de 5 points ou plus</t>
  </si>
  <si>
    <t>Quelle équipe va remporter les deux mi-temps ?</t>
  </si>
  <si>
    <t>Une équipe gagnera-t-elle avec exactement deux buts de différence ?</t>
  </si>
  <si>
    <t>Reading - Arsenal</t>
  </si>
  <si>
    <t>RC Lens - EA Guingamp</t>
  </si>
  <si>
    <t>Eintracht Braunschweig - Union Berlin</t>
  </si>
  <si>
    <t>Strasbourg - Le Mans</t>
  </si>
  <si>
    <t>Strasbourg</t>
  </si>
  <si>
    <t>New York Jets chez Tennessee Titans</t>
  </si>
  <si>
    <t>Tennessee Titans</t>
  </si>
  <si>
    <t>Los Angeles Clippers chez Detroit Pistons</t>
  </si>
  <si>
    <t>Los Angeles Clippers gagne de 7 points ou plus</t>
  </si>
  <si>
    <t>Hyères-Toulon - Rouen</t>
  </si>
  <si>
    <t>Rouen gagne de 3 points ou plus</t>
  </si>
  <si>
    <t>Rouen par 6-10</t>
  </si>
  <si>
    <t>AS Cannes - Tours</t>
  </si>
  <si>
    <t>SD Eibar - Malaga</t>
  </si>
  <si>
    <t>SD Eibar</t>
  </si>
  <si>
    <t>AS Cannes</t>
  </si>
  <si>
    <t>FC Augsburg - FC Bayern Munich</t>
  </si>
  <si>
    <t>FC Bayern Munich gagne avec 3 buts d'avance ou plus</t>
  </si>
  <si>
    <t>Chamois Niortais FC - CS Sedan Ardennes</t>
  </si>
  <si>
    <t>Toronto Raptors chez Cleveland Cavaliers</t>
  </si>
  <si>
    <t>Cleveland Cavaliers gagne de 5 points ou plus</t>
  </si>
  <si>
    <t>Indiana Pacers chez Milwaukee Bucks</t>
  </si>
  <si>
    <t>Indiana Pacers</t>
  </si>
  <si>
    <t>Szolnoki Olaj - Krka</t>
  </si>
  <si>
    <t>Szolnoki Olaj</t>
  </si>
  <si>
    <t>SSC Naples gagne avec 2 buts d'avance ou plus</t>
  </si>
  <si>
    <t>LOSC Lille Métropole - Montpellier HSC (1 X 2)</t>
  </si>
  <si>
    <t>Borussia Dortmund - Hanovre 96</t>
  </si>
  <si>
    <t>Borussia Dortmund</t>
  </si>
  <si>
    <t>Stade Brestois 29 - Paris Saint-Germain</t>
  </si>
  <si>
    <t>Atletico Madrid - Celta Vigo</t>
  </si>
  <si>
    <t>AS Rome - Milan AC</t>
  </si>
  <si>
    <t>Detroit Pistons chez Toronto Raptors</t>
  </si>
  <si>
    <t>Toronto Raptors par 1-5</t>
  </si>
  <si>
    <r>
      <rPr>
        <b/>
        <sz val="9"/>
        <color rgb="FFFF0000"/>
        <rFont val="Verdana"/>
        <family val="2"/>
      </rPr>
      <t>COMBI</t>
    </r>
    <r>
      <rPr>
        <sz val="9"/>
        <color theme="1"/>
        <rFont val="Verdana"/>
        <family val="2"/>
      </rPr>
      <t xml:space="preserve"> Manchester City - Reading &amp; Newcastle - Queens Park Rangers</t>
    </r>
  </si>
  <si>
    <t>Manchester City &amp; Newcastle</t>
  </si>
  <si>
    <t>Espanyol - Deportivo La Corogne</t>
  </si>
  <si>
    <t>Xerez - Villarreal</t>
  </si>
  <si>
    <t>Mi-temps/Résultat final</t>
  </si>
  <si>
    <t>X / Villarreal</t>
  </si>
  <si>
    <t>Malaga - Real Madrid</t>
  </si>
  <si>
    <t>Real Sociedad - FC Séville</t>
  </si>
  <si>
    <t>Espanyol</t>
  </si>
  <si>
    <t>Oklahoma City Thunder chez Minnesota Timberwolves</t>
  </si>
  <si>
    <t>Oklahoma City Thunder gagne de 3 points ou plus</t>
  </si>
  <si>
    <t>Cardiff Blues - Llanelli Scarlets (Total 1ère mi-temps)</t>
  </si>
  <si>
    <t>Plus de 18,5</t>
  </si>
  <si>
    <t>Cardiff Blues - Llanelli Scarlets</t>
  </si>
  <si>
    <t>Stade Malherbe Caen - Châteauroux</t>
  </si>
  <si>
    <t>Stade Malherbe Caen</t>
  </si>
  <si>
    <t>EA Guingamp - GFC Ajaccio</t>
  </si>
  <si>
    <t>EA Guingamp / EA Guingamp</t>
  </si>
  <si>
    <t>Nîmes Olympique - Chamois Niortais FC (1 X 2)</t>
  </si>
  <si>
    <t>Nîmes Olympique</t>
  </si>
  <si>
    <t>Nîmes</t>
  </si>
  <si>
    <t>Ulster - Leinster</t>
  </si>
  <si>
    <t>Ulster de 1 à 12</t>
  </si>
  <si>
    <t>Orlando Magic chez Toronto Raptors</t>
  </si>
  <si>
    <t>Toronto Raptors gagne de 5 points ou plus</t>
  </si>
  <si>
    <t>Le Mans FC - AS Monaco FC</t>
  </si>
  <si>
    <t>Wigan Athletic - Arsenal</t>
  </si>
  <si>
    <t>Inter Milan - Genoa CFC</t>
  </si>
  <si>
    <t>Liverpool - Fulham</t>
  </si>
  <si>
    <t>Liverpool</t>
  </si>
  <si>
    <t>CS Sedan Ardennes - FC Nantes</t>
  </si>
  <si>
    <t>2 X 2</t>
  </si>
  <si>
    <t>Atlanta Hawks chez Philadelphia 76ers</t>
  </si>
  <si>
    <t>Atlanta Hawks</t>
  </si>
  <si>
    <t>Grenoble - Toulouse</t>
  </si>
  <si>
    <t>Boulazac - Strasbourg</t>
  </si>
  <si>
    <t>Strasbourg gagne de 3 points ou plus</t>
  </si>
  <si>
    <t>Pau - Narbonne</t>
  </si>
  <si>
    <t>Narbonne</t>
  </si>
  <si>
    <t>Atlanta Falcons chez Detroit Lions</t>
  </si>
  <si>
    <t>Atlanta Falcons gagnè de 3 points ou plus</t>
  </si>
  <si>
    <t>GWD Minden - Füchse Berlin (1 X 2)</t>
  </si>
  <si>
    <t>Olympique de Marseille - AS Saint-Etienne (1 X 2)</t>
  </si>
  <si>
    <t>St Etienne</t>
  </si>
  <si>
    <t>Berlin</t>
  </si>
  <si>
    <t>FIATC Mutua Joventut - Asefa Estudiantes</t>
  </si>
  <si>
    <t>Asefa Estudiantes</t>
  </si>
  <si>
    <t>Blancos de Rueda Valladolid - Gran Canaria 2014</t>
  </si>
  <si>
    <t>Gran Canaria 2014 par 1-5</t>
  </si>
  <si>
    <t>Swansea City - Manchester Utd</t>
  </si>
  <si>
    <t>Manchester Utd gagne avec 2 buts d'avance ou plus</t>
  </si>
  <si>
    <t>FC Nantes gagne avec exactement 1 but d'avance</t>
  </si>
  <si>
    <t>Chelsea - Aston Villa</t>
  </si>
  <si>
    <t>Chelsea gagne avec 2 buts d'avance ou plus</t>
  </si>
  <si>
    <t>Toulouse FC - FC Sochaux Montbéliard</t>
  </si>
  <si>
    <t>Quelle équipe va marquer le 2ème but ?</t>
  </si>
  <si>
    <t>Aucun but</t>
  </si>
  <si>
    <t>New Orleans Saints chez Dallas Cowboys</t>
  </si>
  <si>
    <t>1 X 2 (temps réglementaire)</t>
  </si>
  <si>
    <t>Dallas Cowboys</t>
  </si>
  <si>
    <t>Everton - Wigan Athletic</t>
  </si>
  <si>
    <t>Everton</t>
  </si>
  <si>
    <t>Manchester Utd - Newcastle</t>
  </si>
  <si>
    <t>FC Bruges - Courtrai</t>
  </si>
  <si>
    <t>Norwich City - Chelsea</t>
  </si>
  <si>
    <t>Stoke City - Liverpool</t>
  </si>
  <si>
    <t>Lille - Boulogne Sur Mer</t>
  </si>
  <si>
    <t>Lille</t>
  </si>
  <si>
    <t>Nantes - Chalons-Reims</t>
  </si>
  <si>
    <t>Chalons-Reims</t>
  </si>
  <si>
    <t>Neckar RIESEN Ludwigsburg - Phoenix Hagen</t>
  </si>
  <si>
    <t>Neckar RIESEN Ludwigsburg</t>
  </si>
  <si>
    <t>Montepaschi Siena (ITA) - Maccabi Tel Aviv (ISR)</t>
  </si>
  <si>
    <t>Montepaschi Siena (ITA)</t>
  </si>
  <si>
    <t>RSC Anderlecht - Lierse SK</t>
  </si>
  <si>
    <t>RSC Anderlecht gagne avec 2 buts d'avance ou plus</t>
  </si>
  <si>
    <t>YOAN</t>
  </si>
  <si>
    <t>Manchester Utd - West Bromwich</t>
  </si>
  <si>
    <t>4 buts</t>
  </si>
  <si>
    <t>Arsenal - Newcastle</t>
  </si>
  <si>
    <t>Newcastle</t>
  </si>
  <si>
    <t>GAIN YOAN</t>
  </si>
  <si>
    <t>à vide</t>
  </si>
  <si>
    <t>1,75</t>
  </si>
  <si>
    <t>1,7</t>
  </si>
  <si>
    <t>4,6</t>
  </si>
  <si>
    <t>1,42</t>
  </si>
  <si>
    <t>2,2</t>
  </si>
  <si>
    <t>1,45</t>
  </si>
  <si>
    <t>1,48</t>
  </si>
  <si>
    <t>1,44</t>
  </si>
  <si>
    <t>85,85</t>
  </si>
  <si>
    <t>4,1</t>
  </si>
  <si>
    <t>2,13</t>
  </si>
  <si>
    <t>6,93</t>
  </si>
  <si>
    <t>1,57</t>
  </si>
  <si>
    <t>3,85</t>
  </si>
  <si>
    <t>1,5</t>
  </si>
  <si>
    <t>2,45</t>
  </si>
  <si>
    <t>1,34</t>
  </si>
  <si>
    <t>3,5</t>
  </si>
  <si>
    <t>1,3</t>
  </si>
  <si>
    <t>1,28</t>
  </si>
  <si>
    <t>2,7</t>
  </si>
  <si>
    <t>1,72</t>
  </si>
  <si>
    <t>1,65</t>
  </si>
  <si>
    <t>2,95</t>
  </si>
  <si>
    <t>1,53</t>
  </si>
  <si>
    <t>1,67</t>
  </si>
  <si>
    <t>1,33</t>
  </si>
  <si>
    <t>2,75</t>
  </si>
  <si>
    <t>1,87</t>
  </si>
  <si>
    <t>1,35</t>
  </si>
  <si>
    <t>1,62</t>
  </si>
  <si>
    <t>1,95</t>
  </si>
  <si>
    <t>1,31</t>
  </si>
  <si>
    <t>1,6</t>
  </si>
  <si>
    <t>6,25</t>
  </si>
  <si>
    <t>2,25</t>
  </si>
  <si>
    <t>1,22</t>
  </si>
  <si>
    <t>4,5</t>
  </si>
  <si>
    <t>7,75</t>
  </si>
  <si>
    <t>1,91</t>
  </si>
  <si>
    <t>1,26</t>
  </si>
  <si>
    <t>1,36</t>
  </si>
  <si>
    <t>1,88</t>
  </si>
  <si>
    <t>4,25</t>
  </si>
  <si>
    <t>2,85</t>
  </si>
  <si>
    <t>3,2</t>
  </si>
  <si>
    <t>2,15</t>
  </si>
  <si>
    <t>1,83</t>
  </si>
  <si>
    <t>1,25</t>
  </si>
  <si>
    <t>1,4</t>
  </si>
  <si>
    <t>3,1</t>
  </si>
  <si>
    <t>4,2</t>
  </si>
  <si>
    <t>1,2</t>
  </si>
  <si>
    <t>2,3</t>
  </si>
  <si>
    <t>1,8</t>
  </si>
  <si>
    <t>1,9</t>
  </si>
  <si>
    <t>1,78</t>
  </si>
  <si>
    <t>2,1</t>
  </si>
  <si>
    <t>1,15</t>
  </si>
  <si>
    <t>2,9</t>
  </si>
  <si>
    <t>2,6</t>
  </si>
  <si>
    <t>2,8</t>
  </si>
  <si>
    <t>3,7</t>
  </si>
  <si>
    <t>2,26</t>
  </si>
  <si>
    <t>2,05</t>
  </si>
  <si>
    <t>4,4</t>
  </si>
  <si>
    <t>3,6</t>
  </si>
  <si>
    <t>1,85</t>
  </si>
  <si>
    <t>1,55</t>
  </si>
  <si>
    <t>Siena</t>
  </si>
  <si>
    <t>Type de pari</t>
  </si>
  <si>
    <t>Pari simple</t>
  </si>
  <si>
    <t>Placement du pari via</t>
  </si>
  <si>
    <t>Numéro du coupon</t>
  </si>
  <si>
    <t>Date</t>
  </si>
  <si>
    <t>Résultat</t>
  </si>
  <si>
    <t>2,10</t>
  </si>
  <si>
    <t>5,00</t>
  </si>
  <si>
    <t>JEAN</t>
  </si>
  <si>
    <t>Wigan Athletic - Manchester Utd</t>
  </si>
  <si>
    <t>Manchester Utd</t>
  </si>
  <si>
    <r>
      <t xml:space="preserve">Dépôt via VISA / Dépôt via VISA </t>
    </r>
    <r>
      <rPr>
        <b/>
        <sz val="9"/>
        <color rgb="FFFF0000"/>
        <rFont val="Verdana"/>
        <family val="2"/>
      </rPr>
      <t>JEAN</t>
    </r>
  </si>
  <si>
    <t>Queens Park Rangers - Liverpool</t>
  </si>
  <si>
    <t>ASVEL - Limoges</t>
  </si>
  <si>
    <t>Bordeaux - Aix-Maurienne</t>
  </si>
  <si>
    <t>Aix-Maurienne</t>
  </si>
  <si>
    <t>3,00</t>
  </si>
  <si>
    <t>Boulazac - Dijon</t>
  </si>
  <si>
    <t>Dijon</t>
  </si>
  <si>
    <t>2,50</t>
  </si>
  <si>
    <t>Chalon-sur-Saône - Strasbourg</t>
  </si>
  <si>
    <t>Chalon-sur-Saône gagne de 7 points ou plus</t>
  </si>
  <si>
    <t>Bangor City - Prestatyn Town</t>
  </si>
  <si>
    <t>Bangor City</t>
  </si>
  <si>
    <t>Bangor City / Bangor City</t>
  </si>
  <si>
    <t>2,20</t>
  </si>
  <si>
    <t>2,00</t>
  </si>
  <si>
    <t>GAIN JEAN</t>
  </si>
  <si>
    <t>Nombre de buts marqués par l'équipe 2</t>
  </si>
  <si>
    <t>Everton - Chelsea</t>
  </si>
  <si>
    <t>2,35</t>
  </si>
  <si>
    <t>Stoke City - Southampton</t>
  </si>
  <si>
    <t>Stoke City gagne avec 2 buts d'avance ou plus</t>
  </si>
  <si>
    <t>2,90</t>
  </si>
  <si>
    <t>Nombre de BON ou PERDU</t>
  </si>
  <si>
    <t>TOTAL de en cours</t>
  </si>
  <si>
    <t>Mt final</t>
  </si>
  <si>
    <t>Nb en attente</t>
  </si>
  <si>
    <t>Mt en attente</t>
  </si>
  <si>
    <t>CTRL</t>
  </si>
  <si>
    <t>Sale Sharks - Worcester Warriors</t>
  </si>
  <si>
    <t>Sale Sharks by 1-12</t>
  </si>
  <si>
    <t>Houston Rockets chez San Antonio Spurs</t>
  </si>
  <si>
    <t>Total (en pts, buts ou temps)</t>
  </si>
  <si>
    <t>Plus de 213,5</t>
  </si>
  <si>
    <t>1,80</t>
  </si>
  <si>
    <t>Atlanta Hawks chez Cleveland Cavaliers</t>
  </si>
  <si>
    <t>Atlanta Hawks gagne de 3 points ou plus</t>
  </si>
  <si>
    <t>1,70</t>
  </si>
  <si>
    <t>Harlequins - London Irish</t>
  </si>
  <si>
    <t>Harlequins par 11-15</t>
  </si>
  <si>
    <t>5,25</t>
  </si>
  <si>
    <t>Harlequins par 6-10</t>
  </si>
  <si>
    <t>4,75</t>
  </si>
  <si>
    <t>Tondela - CS Maritimo (B)</t>
  </si>
  <si>
    <t>Tondela</t>
  </si>
  <si>
    <t>Benfica (B) - Freamunde</t>
  </si>
  <si>
    <t>Benfica (B) gagne avec 2 buts d'avance ou plus</t>
  </si>
  <si>
    <t>London Welsh - London Wasps</t>
  </si>
  <si>
    <t>London Welsh par 1-12</t>
  </si>
  <si>
    <t>Leicester Tigers - Gloucester</t>
  </si>
  <si>
    <t>Leicester Tigers par 1-12</t>
  </si>
  <si>
    <t>Stoke City</t>
  </si>
  <si>
    <t>Chelsea - Queens Park Rangers</t>
  </si>
  <si>
    <t>1,60</t>
  </si>
  <si>
    <t>Denver Nuggets chez Memphis Grizzlies</t>
  </si>
  <si>
    <t>Denver Nuggets</t>
  </si>
  <si>
    <t>Petra Kvitova (CZE) - Carla Suarez Navarro (ESP)</t>
  </si>
  <si>
    <t>Combien de jeux vont être joués durant le match ?</t>
  </si>
  <si>
    <t>Moins de 19,5</t>
  </si>
  <si>
    <t>2,58</t>
  </si>
  <si>
    <t>TENNIS</t>
  </si>
  <si>
    <t>Plus de 4,5</t>
  </si>
  <si>
    <t>4,10</t>
  </si>
  <si>
    <t>Montpellier - Stade Français</t>
  </si>
  <si>
    <t>Montpellier par 16-20</t>
  </si>
  <si>
    <t>7,50</t>
  </si>
  <si>
    <t>Montpellier par 11-15</t>
  </si>
  <si>
    <t>Montpellier par 6-10</t>
  </si>
  <si>
    <t>San Antonio Spurs chez Dallas Mavericks</t>
  </si>
  <si>
    <t>Ksenia Pervak (KAZ) - Caroline Wozniacki (DEN)</t>
  </si>
  <si>
    <t>Moins de 18,5</t>
  </si>
  <si>
    <t>Marinko Matosevic (AUS) - Kei Nishikori (JPN)</t>
  </si>
  <si>
    <t>Moins de 21,5</t>
  </si>
  <si>
    <t>Julien Benneteau (FRA) - Jarkko Nieminen (FIN)</t>
  </si>
  <si>
    <t>1 2 - Qui va gagner ?</t>
  </si>
  <si>
    <t>Julien Benneteau (FRA)</t>
  </si>
  <si>
    <t>Southampton - Arsenal</t>
  </si>
  <si>
    <t>4,00</t>
  </si>
  <si>
    <t>Brooklyn Nets chez San Antonio Spurs</t>
  </si>
  <si>
    <t>Combien de jeux vont être joués dans le premier set?</t>
  </si>
  <si>
    <t>11 jeux ou plus</t>
  </si>
  <si>
    <t>2,55</t>
  </si>
  <si>
    <t>Lukasz Kubot (POL) - Feliciano Lopez (ESP)</t>
  </si>
  <si>
    <t>Feliciano Lopez (ESP)</t>
  </si>
  <si>
    <r>
      <t xml:space="preserve">Dépôt via VISA / Dépôt via VISA </t>
    </r>
    <r>
      <rPr>
        <b/>
        <sz val="9"/>
        <color rgb="FFFF0000"/>
        <rFont val="Verdana"/>
        <family val="2"/>
      </rPr>
      <t>JOSE</t>
    </r>
  </si>
  <si>
    <t>Liverpool - Sunderland</t>
  </si>
  <si>
    <t>Real Madrid - Real Sociedad</t>
  </si>
  <si>
    <t>San Antonio Spurs chez Milwaukee Bucks</t>
  </si>
  <si>
    <t>Dallas Mavericks chez Washington Wizards</t>
  </si>
  <si>
    <t>Dallas Mavericks</t>
  </si>
  <si>
    <t>nb en attente</t>
  </si>
  <si>
    <t>% Nombre de BON</t>
  </si>
  <si>
    <t>TOTAL</t>
  </si>
  <si>
    <t>Pari sur les sets</t>
  </si>
  <si>
    <t>2-0</t>
  </si>
  <si>
    <t>Udinese - Inter Milan</t>
  </si>
  <si>
    <t>FC Bayern Munich - Greuther Fürth</t>
  </si>
  <si>
    <t>Milan AC - AC Siena</t>
  </si>
  <si>
    <t>Milan AC gagne avec 2 buts d'avance ou plus</t>
  </si>
  <si>
    <t>Swansea City - Arsenal</t>
  </si>
  <si>
    <t>Andy Murray (GBR) - John Millman (AUS)</t>
  </si>
  <si>
    <t>9 - 10 jeux</t>
  </si>
  <si>
    <t>Marcos Baghdatis (CYP) - Gilles Simon (FRA)</t>
  </si>
  <si>
    <t>4,40</t>
  </si>
  <si>
    <t>BC Khimki (RUS) - FC Barcelona Regal (ESP)</t>
  </si>
  <si>
    <t>BC Khimki (RUS)</t>
  </si>
  <si>
    <t>"01-02</t>
  </si>
  <si>
    <t>Heart of Midlothian - Hibernian</t>
  </si>
  <si>
    <t>Heart of Midlothian</t>
  </si>
  <si>
    <t>Lleyton Hewitt (AUS) - Denis Istomin (UZB)</t>
  </si>
  <si>
    <t>Lleyton Hewitt (AUS)</t>
  </si>
  <si>
    <t>Anadolu Efes (TUR) - Panathinaïkos (GRE)</t>
  </si>
  <si>
    <t>1ère mi-temps - Vainqueur</t>
  </si>
  <si>
    <t>Anadolu Efes (TUR)</t>
  </si>
  <si>
    <t>1,40</t>
  </si>
  <si>
    <t>Anadolu Efes (TUR) de 11 à 15</t>
  </si>
  <si>
    <t>Freamunde - Belenenses</t>
  </si>
  <si>
    <t>Belenenses</t>
  </si>
  <si>
    <t>Yanina Wickmayer (BEL) - Mona Barthel (GER)</t>
  </si>
  <si>
    <t>Plus de 21,5</t>
  </si>
  <si>
    <t>Jurgen Melzer (AUT) - Grigor Dimitrov (BUL)</t>
  </si>
  <si>
    <t>0-2</t>
  </si>
  <si>
    <t>Minnesota Timberwolves chez Denver Nuggets</t>
  </si>
  <si>
    <t>Denver Nuggets gagne de 7 points ou plus</t>
  </si>
  <si>
    <t>Go Soeda (JPN) - Janko Tipsarevic (SRB)</t>
  </si>
  <si>
    <t>6 - 8 jeux</t>
  </si>
  <si>
    <t>2,80</t>
  </si>
  <si>
    <t>David Ferrer (ESP) - Nikolaï Davydenko (RUS)</t>
  </si>
  <si>
    <t>Qui va gagner le 1er set ?</t>
  </si>
  <si>
    <t>Grigor Dimitrov (BUL)</t>
  </si>
  <si>
    <t>Mona Barthel (GER)</t>
  </si>
  <si>
    <t>Yanina Wickmayer (BEL)</t>
  </si>
  <si>
    <t>FC Barcelone - Espanyol</t>
  </si>
  <si>
    <t>L'équipe 1 marquera-t-elle lors de chaque mi-temps ?</t>
  </si>
  <si>
    <t>20,00</t>
  </si>
  <si>
    <t>Real Saragosse - Betis Seville</t>
  </si>
  <si>
    <t>Real Saragosse</t>
  </si>
  <si>
    <t>Juventus - Sampdoria de Gênes</t>
  </si>
  <si>
    <t>1,17</t>
  </si>
  <si>
    <t>CAI Zaragoza - Mad-Croc Fuenlabrada</t>
  </si>
  <si>
    <t>CAI Zaragoza par 11-15</t>
  </si>
  <si>
    <t>4,20</t>
  </si>
  <si>
    <t>Worcester Warriors - Leicester Tigers</t>
  </si>
  <si>
    <t>Leicester Tigers par 1-5</t>
  </si>
  <si>
    <t>Leicester Tigers par 6-10</t>
  </si>
  <si>
    <t>5,50</t>
  </si>
  <si>
    <t>Leicester Tigers par 11-15</t>
  </si>
  <si>
    <t>7,00</t>
  </si>
  <si>
    <t>CAI Zaragoza par 16-20</t>
  </si>
  <si>
    <t>CAI Zaragoza par 21-25</t>
  </si>
  <si>
    <t>8,00</t>
  </si>
  <si>
    <t>COMBI</t>
  </si>
  <si>
    <t>Clermont - Montpellier</t>
  </si>
  <si>
    <t>Clermont par 11-15</t>
  </si>
  <si>
    <t>Clermont par 16-20</t>
  </si>
  <si>
    <t>6,50</t>
  </si>
  <si>
    <t>Clermont par 21-25</t>
  </si>
  <si>
    <t>8,75</t>
  </si>
  <si>
    <t>Leeds - Birmingham</t>
  </si>
  <si>
    <t>Leeds</t>
  </si>
  <si>
    <t>Macclesfield Town - Cardiff City</t>
  </si>
  <si>
    <t>Macclesfield Town</t>
  </si>
  <si>
    <t>4,60</t>
  </si>
  <si>
    <t>Türk Telekom - Mersin Büyükşehir Belediye</t>
  </si>
  <si>
    <t>Türk Telekom</t>
  </si>
  <si>
    <t>Roberto Bautista-Agut (ESP) - Benoit Paire (FRA)</t>
  </si>
  <si>
    <t>Roberto Bautista-Agut (ESP)</t>
  </si>
  <si>
    <t>Lazio Rome - Cagliari</t>
  </si>
  <si>
    <t>Lazio Rome</t>
  </si>
  <si>
    <t>FC Rouen - AC Ajaccio</t>
  </si>
  <si>
    <t>FC Rouen</t>
  </si>
  <si>
    <t>AC Ajaccio</t>
  </si>
  <si>
    <t>Perpignan - Union Bordeaux-Bègles</t>
  </si>
  <si>
    <t>Perpignan par 16-20</t>
  </si>
  <si>
    <t>10,50</t>
  </si>
  <si>
    <t>Perpignan par 21-25</t>
  </si>
  <si>
    <t>8,50</t>
  </si>
  <si>
    <t>Perpignan par 26-30</t>
  </si>
  <si>
    <t>Amneville CS - US Raon L Etape</t>
  </si>
  <si>
    <t>Amneville CS</t>
  </si>
  <si>
    <t>LOSC Lille Métropole - Nîmes Olympique</t>
  </si>
  <si>
    <t>USBCO Boulogne - Toulouse FC</t>
  </si>
  <si>
    <t>1,23</t>
  </si>
  <si>
    <t>Grenoble - Castres</t>
  </si>
  <si>
    <t>Castres</t>
  </si>
  <si>
    <t>2,65</t>
  </si>
  <si>
    <t>Cincinnati Bengals chez Houston Texans</t>
  </si>
  <si>
    <t>Houston Texans gagne de 5 points ou plus</t>
  </si>
  <si>
    <t>Golden State Warriors chez Los Angeles Clippers</t>
  </si>
  <si>
    <t>Golden State Warriors</t>
  </si>
  <si>
    <t>3,57</t>
  </si>
  <si>
    <t>Caroline Wozniacki (DEN) - Urszula Radwanska (POL)</t>
  </si>
  <si>
    <t>Andy Murray (GBR) - Grigor Dimitrov (BUL)</t>
  </si>
  <si>
    <t>3,30</t>
  </si>
  <si>
    <t>Celta Vigo - Real Valladolid</t>
  </si>
  <si>
    <t>Celta Vigo</t>
  </si>
  <si>
    <t>Real Madrid - FIATC Mutua Joventut</t>
  </si>
  <si>
    <t>Real Madrid de 11 à 15</t>
  </si>
  <si>
    <t>4,50</t>
  </si>
  <si>
    <t>Real Madrid de 16 à 20</t>
  </si>
  <si>
    <t>Real Madrid de 21 à 25</t>
  </si>
  <si>
    <t>Luçon - Stade Brestois</t>
  </si>
  <si>
    <t>Luçon</t>
  </si>
  <si>
    <t>San Antonio Spurs chez New Orleans Hornets</t>
  </si>
  <si>
    <t>3,50</t>
  </si>
  <si>
    <t>FC Bourg Peronnas - Montpellier HSC</t>
  </si>
  <si>
    <t>Gains possibles</t>
  </si>
  <si>
    <t>Blusens Monbus - Blancos de Rueda Valladolid</t>
  </si>
  <si>
    <t>Blusens Monbus par 26 ou plus</t>
  </si>
  <si>
    <t>?</t>
  </si>
  <si>
    <t>10,00</t>
  </si>
  <si>
    <t>Toulon - Racing-Métro 92</t>
  </si>
  <si>
    <t>5,75</t>
  </si>
  <si>
    <t>Toulon par 16-20</t>
  </si>
  <si>
    <t>6,00</t>
  </si>
  <si>
    <t>Toulon par 21-25</t>
  </si>
  <si>
    <t>1er Dépôt</t>
  </si>
  <si>
    <t>2è Dépôt</t>
  </si>
  <si>
    <t>Valeurs</t>
  </si>
  <si>
    <t>Somme de BON</t>
  </si>
  <si>
    <t>Somme de PERDU</t>
  </si>
  <si>
    <t>% BON</t>
  </si>
  <si>
    <t>Real Majorque - Atletico Madrid</t>
  </si>
  <si>
    <t>SSC Naples - AS Rome</t>
  </si>
  <si>
    <t>L'équipe 2 gagne et il y a un total de plus de 3,5 buts dans le match</t>
  </si>
  <si>
    <t>Xanthi - OFI Crete</t>
  </si>
  <si>
    <t>3,40</t>
  </si>
  <si>
    <t>Cliftonville - Glentoran</t>
  </si>
  <si>
    <t>Cliftonville</t>
  </si>
  <si>
    <t>Anadolu Efes - Fenerbahce Ulker</t>
  </si>
  <si>
    <t>Anadolu Efes de 1 à 5</t>
  </si>
  <si>
    <t>Anadolu Efes de 6 à 10</t>
  </si>
  <si>
    <t>Kirsten Flipkens (BEL) - Francesca Schiavone (ITA)</t>
  </si>
  <si>
    <t>Kirsten Flipkens (BEL)</t>
  </si>
  <si>
    <t>Xanthi</t>
  </si>
  <si>
    <t>Web</t>
  </si>
  <si>
    <t>Feliciano Lopez (ESP) - Jeremy Chardy (FRA)</t>
  </si>
  <si>
    <t>2,40</t>
  </si>
  <si>
    <r>
      <t>&lt;------------ Cliquer sur la</t>
    </r>
    <r>
      <rPr>
        <b/>
        <sz val="8"/>
        <color rgb="FF0070C0"/>
        <rFont val="Verdana"/>
        <family val="2"/>
      </rPr>
      <t xml:space="preserve"> loutre</t>
    </r>
    <r>
      <rPr>
        <b/>
        <sz val="8"/>
        <color rgb="FFFF0000"/>
        <rFont val="Verdana"/>
        <family val="2"/>
      </rPr>
      <t xml:space="preserve"> qui valide les onglets</t>
    </r>
  </si>
  <si>
    <r>
      <t xml:space="preserve">&lt;------------ cliquer sur le </t>
    </r>
    <r>
      <rPr>
        <b/>
        <sz val="8"/>
        <color rgb="FF0070C0"/>
        <rFont val="Verdana"/>
        <family val="2"/>
      </rPr>
      <t>paresseux</t>
    </r>
    <r>
      <rPr>
        <b/>
        <sz val="8"/>
        <color rgb="FFFF0000"/>
        <rFont val="Verdana"/>
        <family val="2"/>
      </rPr>
      <t xml:space="preserve"> tri sur les matchs pas encore joués</t>
    </r>
  </si>
  <si>
    <r>
      <t xml:space="preserve">&lt;------------Cliquez sur le </t>
    </r>
    <r>
      <rPr>
        <b/>
        <sz val="8"/>
        <color rgb="FF0070C0"/>
        <rFont val="Verdana"/>
        <family val="2"/>
      </rPr>
      <t>singe</t>
    </r>
    <r>
      <rPr>
        <b/>
        <sz val="8"/>
        <color rgb="FFFF0000"/>
        <rFont val="Verdana"/>
        <family val="2"/>
      </rPr>
      <t xml:space="preserve"> qui Réaffiche TOUT</t>
    </r>
  </si>
  <si>
    <t>Boston Celtics chez New York Knicks</t>
  </si>
  <si>
    <t>New York Knicks gagne de 7 points ou plus</t>
  </si>
  <si>
    <t>Sloane Stephens (USA) - Simona Halep (ROU)</t>
  </si>
  <si>
    <t>Sloane Stephens (USA)</t>
  </si>
  <si>
    <t>Région Spartak Moscou (RUS) - Uni Seat Gyor (HUN)</t>
  </si>
  <si>
    <t>Spartak Moscou Région (RUS) par 26 ou more</t>
  </si>
  <si>
    <t>3,75</t>
  </si>
  <si>
    <t>Bradford City - Aston Villa</t>
  </si>
  <si>
    <t>Pari sur les buts (options supplémentaires)</t>
  </si>
  <si>
    <t>L'équipe 2 gagne avec n'importe quel autre résultat</t>
  </si>
  <si>
    <t>36,00</t>
  </si>
  <si>
    <t>Los Angeles Lakers chez Houston Rockets</t>
  </si>
  <si>
    <t>Houston Rockets par 26 ou plus</t>
  </si>
  <si>
    <t>1SS0XT549B</t>
  </si>
  <si>
    <t>1 2 spécial (mise remboursée si la rencontre se termine par un match nul dans le temps réglementaire)</t>
  </si>
  <si>
    <t>Bradford City</t>
  </si>
  <si>
    <t>2,70</t>
  </si>
  <si>
    <t>13,50</t>
  </si>
  <si>
    <t>Narbonne Volley - Tourcoing VB Lille Metropole</t>
  </si>
  <si>
    <t>Tourcoing VB Lille Metropole</t>
  </si>
  <si>
    <t>3,10</t>
  </si>
  <si>
    <t>Lazio Rome - Catane</t>
  </si>
  <si>
    <t>Valence CF - Osasuna</t>
  </si>
  <si>
    <t>Valence CF</t>
  </si>
  <si>
    <t>Malaga - SD Eibar</t>
  </si>
  <si>
    <t>SD Eibar gagne ou fait match nul</t>
  </si>
  <si>
    <t>Jarkko Nieminen (FIN) - Gilles Simon (FRA)</t>
  </si>
  <si>
    <t>1-2</t>
  </si>
  <si>
    <t>Brooklyn Nets chez Philadelphia 76ers</t>
  </si>
  <si>
    <t>1,90</t>
  </si>
  <si>
    <t>Real Madrid - Celta Vigo</t>
  </si>
  <si>
    <t>Cliquer sur l'ours brun qui remplace les points par virgule et supprime EUR et COPIE la ligne dans la récap</t>
  </si>
  <si>
    <t>??</t>
  </si>
  <si>
    <t>gain</t>
  </si>
  <si>
    <t>cote</t>
  </si>
  <si>
    <t>gain cumulé</t>
  </si>
  <si>
    <t>T/F</t>
  </si>
  <si>
    <t>ORDRE</t>
  </si>
  <si>
    <t>moy 5 d</t>
  </si>
  <si>
    <t>col L</t>
  </si>
  <si>
    <t>col H</t>
  </si>
  <si>
    <t>col Q</t>
  </si>
</sst>
</file>

<file path=xl/styles.xml><?xml version="1.0" encoding="utf-8"?>
<styleSheet xmlns="http://schemas.openxmlformats.org/spreadsheetml/2006/main">
  <numFmts count="3">
    <numFmt numFmtId="44" formatCode="_-* #,##0.00\ &quot;€&quot;_-;\-* #,##0.00\ &quot;€&quot;_-;_-* &quot;-&quot;??\ &quot;€&quot;_-;_-@_-"/>
    <numFmt numFmtId="164" formatCode="#,##0.00_ ;[Red]\-#,##0.00\ "/>
    <numFmt numFmtId="165" formatCode="#,##0_ ;[Red]\-#,##0\ "/>
  </numFmts>
  <fonts count="16">
    <font>
      <sz val="9"/>
      <color theme="1"/>
      <name val="Verdana"/>
      <family val="2"/>
    </font>
    <font>
      <sz val="11"/>
      <color theme="1"/>
      <name val="Calibri"/>
      <family val="2"/>
      <scheme val="minor"/>
    </font>
    <font>
      <b/>
      <sz val="11"/>
      <color theme="1"/>
      <name val="Calibri"/>
      <family val="2"/>
      <scheme val="minor"/>
    </font>
    <font>
      <b/>
      <sz val="9"/>
      <color rgb="FFFF0000"/>
      <name val="Verdana"/>
      <family val="2"/>
    </font>
    <font>
      <b/>
      <sz val="9"/>
      <color theme="1"/>
      <name val="Verdana"/>
      <family val="2"/>
    </font>
    <font>
      <sz val="8"/>
      <color theme="1"/>
      <name val="Verdana"/>
      <family val="2"/>
    </font>
    <font>
      <b/>
      <sz val="8"/>
      <color rgb="FFFF0000"/>
      <name val="Verdana"/>
      <family val="2"/>
    </font>
    <font>
      <sz val="9"/>
      <name val="Verdana"/>
      <family val="2"/>
    </font>
    <font>
      <sz val="9"/>
      <color rgb="FFFF0000"/>
      <name val="Verdana"/>
      <family val="2"/>
    </font>
    <font>
      <sz val="8"/>
      <color rgb="FFFF0000"/>
      <name val="Verdana"/>
      <family val="2"/>
    </font>
    <font>
      <sz val="10"/>
      <name val="Arial"/>
      <family val="2"/>
    </font>
    <font>
      <sz val="10"/>
      <color rgb="FFFF0000"/>
      <name val="Arial"/>
      <family val="2"/>
    </font>
    <font>
      <sz val="10"/>
      <name val="Arial"/>
      <family val="2"/>
    </font>
    <font>
      <b/>
      <sz val="10"/>
      <color theme="1"/>
      <name val="Verdana"/>
      <family val="2"/>
    </font>
    <font>
      <b/>
      <sz val="8"/>
      <color rgb="FF0070C0"/>
      <name val="Verdana"/>
      <family val="2"/>
    </font>
    <font>
      <b/>
      <sz val="12"/>
      <color rgb="FFFF0000"/>
      <name val="Arial"/>
      <family val="2"/>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rgb="FFFF0000"/>
        <bgColor indexed="64"/>
      </patternFill>
    </fill>
    <fill>
      <patternFill patternType="solid">
        <fgColor rgb="FF00B0F0"/>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3">
    <xf numFmtId="0" fontId="0" fillId="0" borderId="0"/>
    <xf numFmtId="0" fontId="1" fillId="0" borderId="0"/>
    <xf numFmtId="0" fontId="10" fillId="0" borderId="0"/>
  </cellStyleXfs>
  <cellXfs count="202">
    <xf numFmtId="0" fontId="0" fillId="0" borderId="0" xfId="0"/>
    <xf numFmtId="0" fontId="0" fillId="0" borderId="0" xfId="0" applyAlignment="1">
      <alignment horizontal="left"/>
    </xf>
    <xf numFmtId="164" fontId="4" fillId="0" borderId="0" xfId="0" applyNumberFormat="1" applyFont="1"/>
    <xf numFmtId="0" fontId="0" fillId="0" borderId="0" xfId="0" applyFont="1" applyAlignment="1">
      <alignment horizontal="left"/>
    </xf>
    <xf numFmtId="4" fontId="0" fillId="0" borderId="0" xfId="0" applyNumberFormat="1" applyAlignment="1">
      <alignment horizontal="left"/>
    </xf>
    <xf numFmtId="164" fontId="0" fillId="0" borderId="0" xfId="0" applyNumberFormat="1" applyAlignment="1">
      <alignment horizontal="left"/>
    </xf>
    <xf numFmtId="4" fontId="0" fillId="0" borderId="0" xfId="0" applyNumberFormat="1" applyFont="1" applyAlignment="1">
      <alignment horizontal="left"/>
    </xf>
    <xf numFmtId="0" fontId="0" fillId="0" borderId="3" xfId="0" applyBorder="1" applyAlignment="1">
      <alignment horizontal="left"/>
    </xf>
    <xf numFmtId="164" fontId="0" fillId="0" borderId="5" xfId="0" applyNumberFormat="1" applyBorder="1" applyAlignment="1">
      <alignment horizontal="left"/>
    </xf>
    <xf numFmtId="0" fontId="5" fillId="0" borderId="0" xfId="0" applyFont="1" applyAlignment="1">
      <alignment horizontal="left" wrapText="1"/>
    </xf>
    <xf numFmtId="0" fontId="5" fillId="0" borderId="0" xfId="0" applyFont="1" applyAlignment="1">
      <alignment horizontal="left"/>
    </xf>
    <xf numFmtId="0" fontId="6" fillId="0" borderId="0" xfId="0" applyFont="1" applyAlignment="1">
      <alignment horizontal="left"/>
    </xf>
    <xf numFmtId="4" fontId="7" fillId="0" borderId="0" xfId="0" applyNumberFormat="1" applyFont="1" applyFill="1" applyAlignment="1">
      <alignment horizontal="left"/>
    </xf>
    <xf numFmtId="164" fontId="0" fillId="0" borderId="0" xfId="0" applyNumberFormat="1" applyAlignment="1">
      <alignment horizontal="right"/>
    </xf>
    <xf numFmtId="164" fontId="0" fillId="0" borderId="0" xfId="0" applyNumberFormat="1" applyFill="1" applyAlignment="1">
      <alignment horizontal="right"/>
    </xf>
    <xf numFmtId="164" fontId="0" fillId="0" borderId="3" xfId="0" applyNumberFormat="1" applyBorder="1" applyAlignment="1">
      <alignment horizontal="right"/>
    </xf>
    <xf numFmtId="4" fontId="0" fillId="0" borderId="0" xfId="0" applyNumberFormat="1" applyFont="1" applyFill="1" applyAlignment="1">
      <alignment horizontal="left"/>
    </xf>
    <xf numFmtId="4" fontId="0" fillId="4" borderId="0" xfId="0" applyNumberFormat="1" applyFont="1" applyFill="1" applyAlignment="1">
      <alignment horizontal="left"/>
    </xf>
    <xf numFmtId="4" fontId="4" fillId="4" borderId="2" xfId="0" applyNumberFormat="1" applyFont="1" applyFill="1" applyBorder="1" applyAlignment="1">
      <alignment horizontal="left"/>
    </xf>
    <xf numFmtId="4" fontId="4" fillId="4" borderId="0" xfId="0" applyNumberFormat="1" applyFont="1" applyFill="1" applyAlignment="1">
      <alignment horizontal="left"/>
    </xf>
    <xf numFmtId="164" fontId="2" fillId="0" borderId="0" xfId="0" applyNumberFormat="1" applyFont="1" applyFill="1" applyAlignment="1">
      <alignment horizontal="center"/>
    </xf>
    <xf numFmtId="164" fontId="0" fillId="0" borderId="3" xfId="0" applyNumberFormat="1" applyBorder="1" applyAlignment="1">
      <alignment horizontal="left"/>
    </xf>
    <xf numFmtId="164" fontId="0" fillId="0" borderId="0" xfId="0" applyNumberFormat="1"/>
    <xf numFmtId="164" fontId="4" fillId="0" borderId="9" xfId="0" applyNumberFormat="1" applyFont="1" applyBorder="1"/>
    <xf numFmtId="164" fontId="4" fillId="5" borderId="8" xfId="0" applyNumberFormat="1" applyFont="1" applyFill="1" applyBorder="1"/>
    <xf numFmtId="164" fontId="4" fillId="0" borderId="8" xfId="0" applyNumberFormat="1" applyFont="1" applyBorder="1"/>
    <xf numFmtId="4" fontId="8" fillId="0" borderId="0" xfId="0" applyNumberFormat="1" applyFont="1" applyAlignment="1">
      <alignment horizontal="left"/>
    </xf>
    <xf numFmtId="4" fontId="0" fillId="0" borderId="3" xfId="0" applyNumberFormat="1" applyFont="1" applyBorder="1" applyAlignment="1">
      <alignment horizontal="left"/>
    </xf>
    <xf numFmtId="4" fontId="4" fillId="0" borderId="0" xfId="0" applyNumberFormat="1" applyFont="1" applyAlignment="1">
      <alignment horizontal="left"/>
    </xf>
    <xf numFmtId="2" fontId="8" fillId="0" borderId="0" xfId="0" applyNumberFormat="1" applyFont="1" applyAlignment="1">
      <alignment horizontal="left"/>
    </xf>
    <xf numFmtId="2" fontId="0" fillId="0" borderId="0" xfId="0" applyNumberFormat="1" applyFont="1" applyAlignment="1">
      <alignment horizontal="left"/>
    </xf>
    <xf numFmtId="2" fontId="0" fillId="0" borderId="3" xfId="0" applyNumberFormat="1" applyFont="1" applyBorder="1" applyAlignment="1">
      <alignment horizontal="left"/>
    </xf>
    <xf numFmtId="2" fontId="4" fillId="0" borderId="0" xfId="0" applyNumberFormat="1" applyFont="1" applyAlignment="1">
      <alignment horizontal="left"/>
    </xf>
    <xf numFmtId="0" fontId="8" fillId="0" borderId="0" xfId="0" applyFont="1" applyAlignment="1">
      <alignment horizontal="left"/>
    </xf>
    <xf numFmtId="0" fontId="9" fillId="0" borderId="0" xfId="0" applyFont="1" applyAlignment="1">
      <alignment horizontal="left"/>
    </xf>
    <xf numFmtId="164" fontId="8" fillId="0" borderId="0" xfId="0" applyNumberFormat="1" applyFont="1" applyFill="1" applyAlignment="1">
      <alignment horizontal="right"/>
    </xf>
    <xf numFmtId="164" fontId="8" fillId="0" borderId="0" xfId="0" applyNumberFormat="1" applyFont="1" applyAlignment="1">
      <alignment horizontal="right"/>
    </xf>
    <xf numFmtId="22" fontId="8" fillId="0" borderId="0" xfId="0" applyNumberFormat="1" applyFont="1" applyBorder="1"/>
    <xf numFmtId="0" fontId="11" fillId="0" borderId="0" xfId="2" applyFont="1"/>
    <xf numFmtId="4" fontId="0" fillId="0" borderId="0" xfId="0" applyNumberFormat="1" applyFont="1" applyAlignment="1">
      <alignment horizontal="left" wrapText="1"/>
    </xf>
    <xf numFmtId="0" fontId="4" fillId="0" borderId="7" xfId="0" pivotButton="1" applyFont="1" applyBorder="1"/>
    <xf numFmtId="0" fontId="4" fillId="0" borderId="11" xfId="0" applyFont="1" applyBorder="1"/>
    <xf numFmtId="0" fontId="4" fillId="0" borderId="7" xfId="0" applyFont="1" applyBorder="1"/>
    <xf numFmtId="4" fontId="12" fillId="0" borderId="10" xfId="2" applyNumberFormat="1" applyFont="1" applyBorder="1" applyAlignment="1">
      <alignment horizontal="left"/>
    </xf>
    <xf numFmtId="0" fontId="11" fillId="0" borderId="2" xfId="2" applyFont="1" applyBorder="1"/>
    <xf numFmtId="0" fontId="12" fillId="0" borderId="3" xfId="2" applyFont="1" applyBorder="1"/>
    <xf numFmtId="0" fontId="12" fillId="0" borderId="4" xfId="2" applyFont="1" applyBorder="1"/>
    <xf numFmtId="0" fontId="12" fillId="0" borderId="0" xfId="2" applyFont="1"/>
    <xf numFmtId="0" fontId="12" fillId="0" borderId="11" xfId="2" applyFont="1" applyBorder="1"/>
    <xf numFmtId="0" fontId="12" fillId="0" borderId="0" xfId="2" applyFont="1" applyBorder="1"/>
    <xf numFmtId="4" fontId="12" fillId="0" borderId="0" xfId="2" applyNumberFormat="1" applyFont="1" applyBorder="1" applyAlignment="1">
      <alignment horizontal="left"/>
    </xf>
    <xf numFmtId="0" fontId="12" fillId="0" borderId="9" xfId="2" applyFont="1" applyBorder="1"/>
    <xf numFmtId="0" fontId="12" fillId="0" borderId="5" xfId="2" applyFont="1" applyBorder="1"/>
    <xf numFmtId="0" fontId="12" fillId="0" borderId="10" xfId="2" applyFont="1" applyBorder="1"/>
    <xf numFmtId="0" fontId="12" fillId="0" borderId="6" xfId="2" applyFont="1" applyBorder="1"/>
    <xf numFmtId="4" fontId="0" fillId="0" borderId="0" xfId="0" applyNumberFormat="1" applyFont="1" applyBorder="1" applyAlignment="1">
      <alignment horizontal="left"/>
    </xf>
    <xf numFmtId="0" fontId="0" fillId="0" borderId="0" xfId="0" applyFont="1" applyBorder="1"/>
    <xf numFmtId="0" fontId="0" fillId="0" borderId="9" xfId="0" applyFont="1" applyBorder="1"/>
    <xf numFmtId="0" fontId="0" fillId="0" borderId="11" xfId="0" applyFont="1" applyBorder="1"/>
    <xf numFmtId="4" fontId="12" fillId="0" borderId="0" xfId="2" applyNumberFormat="1" applyFont="1" applyAlignment="1">
      <alignment horizontal="left"/>
    </xf>
    <xf numFmtId="0" fontId="0" fillId="0" borderId="5" xfId="0" applyBorder="1"/>
    <xf numFmtId="0" fontId="0" fillId="0" borderId="0" xfId="0" applyNumberFormat="1"/>
    <xf numFmtId="0" fontId="0" fillId="0" borderId="2" xfId="0" applyBorder="1" applyAlignment="1">
      <alignment horizontal="left"/>
    </xf>
    <xf numFmtId="0" fontId="0" fillId="0" borderId="0" xfId="0"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0" xfId="0" applyFill="1" applyAlignment="1">
      <alignment horizontal="center"/>
    </xf>
    <xf numFmtId="164" fontId="0" fillId="0" borderId="0" xfId="0" applyNumberFormat="1" applyAlignment="1">
      <alignment horizontal="center"/>
    </xf>
    <xf numFmtId="164" fontId="4" fillId="0" borderId="0" xfId="0" applyNumberFormat="1" applyFont="1" applyFill="1" applyAlignment="1">
      <alignment horizontal="center"/>
    </xf>
    <xf numFmtId="4" fontId="4" fillId="0" borderId="0" xfId="0" applyNumberFormat="1" applyFont="1" applyFill="1" applyAlignment="1">
      <alignment horizontal="center"/>
    </xf>
    <xf numFmtId="164" fontId="0" fillId="0" borderId="0" xfId="0" applyNumberFormat="1" applyFill="1" applyAlignment="1">
      <alignment horizontal="center"/>
    </xf>
    <xf numFmtId="0" fontId="0" fillId="0" borderId="14" xfId="0" applyFill="1" applyBorder="1" applyAlignment="1">
      <alignment horizontal="center"/>
    </xf>
    <xf numFmtId="164" fontId="4" fillId="0" borderId="12" xfId="0" applyNumberFormat="1" applyFont="1" applyFill="1" applyBorder="1" applyAlignment="1">
      <alignment horizontal="center"/>
    </xf>
    <xf numFmtId="164" fontId="4" fillId="0" borderId="13" xfId="0" applyNumberFormat="1" applyFont="1" applyFill="1" applyBorder="1" applyAlignment="1">
      <alignment horizontal="center"/>
    </xf>
    <xf numFmtId="164" fontId="4" fillId="0" borderId="14" xfId="0" applyNumberFormat="1" applyFont="1" applyFill="1" applyBorder="1" applyAlignment="1">
      <alignment horizontal="center"/>
    </xf>
    <xf numFmtId="4" fontId="4" fillId="0" borderId="12" xfId="0" applyNumberFormat="1" applyFont="1" applyFill="1" applyBorder="1" applyAlignment="1">
      <alignment horizontal="center"/>
    </xf>
    <xf numFmtId="4" fontId="4" fillId="0" borderId="13" xfId="0" applyNumberFormat="1" applyFont="1" applyFill="1" applyBorder="1" applyAlignment="1">
      <alignment horizontal="center"/>
    </xf>
    <xf numFmtId="4" fontId="4" fillId="0" borderId="14" xfId="0" applyNumberFormat="1" applyFont="1" applyFill="1" applyBorder="1" applyAlignment="1">
      <alignment horizontal="center"/>
    </xf>
    <xf numFmtId="164" fontId="0" fillId="0" borderId="12" xfId="0" applyNumberFormat="1" applyFill="1" applyBorder="1" applyAlignment="1">
      <alignment horizontal="center"/>
    </xf>
    <xf numFmtId="164" fontId="0" fillId="0" borderId="13" xfId="0" applyNumberFormat="1" applyFill="1" applyBorder="1" applyAlignment="1">
      <alignment horizontal="center"/>
    </xf>
    <xf numFmtId="164" fontId="0" fillId="0" borderId="14" xfId="0" applyNumberFormat="1" applyFill="1" applyBorder="1" applyAlignment="1">
      <alignment horizontal="center"/>
    </xf>
    <xf numFmtId="164" fontId="0" fillId="0" borderId="12" xfId="0" applyNumberFormat="1" applyBorder="1" applyAlignment="1">
      <alignment horizontal="center"/>
    </xf>
    <xf numFmtId="0" fontId="0" fillId="0" borderId="12" xfId="0" applyBorder="1" applyAlignment="1">
      <alignment horizontal="left"/>
    </xf>
    <xf numFmtId="0" fontId="0" fillId="0" borderId="14" xfId="0" applyBorder="1" applyAlignment="1">
      <alignment horizontal="left"/>
    </xf>
    <xf numFmtId="0" fontId="0" fillId="0" borderId="13" xfId="0" applyBorder="1" applyAlignment="1">
      <alignment horizontal="left"/>
    </xf>
    <xf numFmtId="0" fontId="0" fillId="0" borderId="9" xfId="0" applyFill="1" applyBorder="1" applyAlignment="1">
      <alignment horizontal="center"/>
    </xf>
    <xf numFmtId="164" fontId="4" fillId="0" borderId="8" xfId="0" applyNumberFormat="1" applyFont="1" applyBorder="1" applyAlignment="1">
      <alignment horizontal="left"/>
    </xf>
    <xf numFmtId="164" fontId="13" fillId="0" borderId="8" xfId="0" applyNumberFormat="1" applyFont="1" applyBorder="1" applyAlignment="1">
      <alignment horizontal="left"/>
    </xf>
    <xf numFmtId="0" fontId="0" fillId="0" borderId="11" xfId="0" applyBorder="1" applyAlignment="1">
      <alignment horizontal="left"/>
    </xf>
    <xf numFmtId="0" fontId="0" fillId="0" borderId="5" xfId="0" applyBorder="1" applyAlignment="1">
      <alignment horizontal="left"/>
    </xf>
    <xf numFmtId="4" fontId="0" fillId="0" borderId="0" xfId="0" applyNumberFormat="1"/>
    <xf numFmtId="164" fontId="0" fillId="0" borderId="4" xfId="0" applyNumberFormat="1" applyBorder="1" applyAlignment="1">
      <alignment horizontal="center"/>
    </xf>
    <xf numFmtId="0" fontId="0" fillId="0" borderId="6" xfId="0" applyBorder="1" applyAlignment="1">
      <alignment horizontal="center"/>
    </xf>
    <xf numFmtId="0" fontId="4" fillId="6" borderId="1" xfId="0" applyFont="1" applyFill="1" applyBorder="1" applyAlignment="1">
      <alignment horizontal="center" wrapText="1"/>
    </xf>
    <xf numFmtId="164" fontId="4" fillId="6" borderId="1" xfId="0" applyNumberFormat="1" applyFont="1" applyFill="1" applyBorder="1" applyAlignment="1">
      <alignment horizontal="center" wrapText="1"/>
    </xf>
    <xf numFmtId="164" fontId="4" fillId="6" borderId="1" xfId="0" applyNumberFormat="1" applyFont="1" applyFill="1" applyBorder="1" applyAlignment="1">
      <alignment horizontal="center" vertical="center" wrapText="1"/>
    </xf>
    <xf numFmtId="4" fontId="4" fillId="6" borderId="1" xfId="0" applyNumberFormat="1" applyFont="1" applyFill="1" applyBorder="1" applyAlignment="1">
      <alignment horizontal="center" vertical="center" wrapText="1"/>
    </xf>
    <xf numFmtId="164" fontId="4" fillId="6" borderId="1" xfId="0" applyNumberFormat="1" applyFont="1" applyFill="1" applyBorder="1" applyAlignment="1">
      <alignment horizontal="center"/>
    </xf>
    <xf numFmtId="165" fontId="0" fillId="0" borderId="3" xfId="0" applyNumberFormat="1" applyBorder="1" applyAlignment="1">
      <alignment horizontal="center"/>
    </xf>
    <xf numFmtId="9" fontId="4" fillId="0" borderId="12" xfId="0" applyNumberFormat="1" applyFont="1" applyFill="1" applyBorder="1" applyAlignment="1">
      <alignment horizontal="center"/>
    </xf>
    <xf numFmtId="0" fontId="0" fillId="0" borderId="10" xfId="0" applyNumberFormat="1" applyBorder="1" applyAlignment="1">
      <alignment horizontal="center"/>
    </xf>
    <xf numFmtId="0" fontId="0" fillId="0" borderId="5" xfId="0" applyBorder="1" applyAlignment="1">
      <alignment horizontal="center"/>
    </xf>
    <xf numFmtId="165" fontId="0" fillId="0" borderId="0" xfId="0" applyNumberFormat="1" applyAlignment="1">
      <alignment horizontal="center"/>
    </xf>
    <xf numFmtId="0" fontId="0" fillId="0" borderId="2" xfId="0" applyBorder="1" applyAlignment="1">
      <alignment horizontal="center"/>
    </xf>
    <xf numFmtId="165" fontId="0" fillId="0" borderId="12" xfId="0" applyNumberFormat="1" applyBorder="1" applyAlignment="1">
      <alignment horizontal="center"/>
    </xf>
    <xf numFmtId="0" fontId="0" fillId="0" borderId="2" xfId="0" applyBorder="1" applyAlignment="1">
      <alignment wrapText="1"/>
    </xf>
    <xf numFmtId="0" fontId="0" fillId="0" borderId="12" xfId="0" applyBorder="1" applyAlignment="1">
      <alignment wrapText="1"/>
    </xf>
    <xf numFmtId="0" fontId="0" fillId="0" borderId="0" xfId="0" applyFont="1" applyBorder="1" applyAlignment="1">
      <alignment horizontal="left"/>
    </xf>
    <xf numFmtId="0" fontId="0" fillId="0" borderId="0" xfId="0" applyBorder="1" applyAlignment="1">
      <alignment horizontal="left"/>
    </xf>
    <xf numFmtId="4" fontId="0" fillId="0" borderId="0" xfId="0" applyNumberFormat="1" applyBorder="1" applyAlignment="1">
      <alignment horizontal="left"/>
    </xf>
    <xf numFmtId="22" fontId="0" fillId="0" borderId="0" xfId="0" applyNumberFormat="1" applyFont="1" applyBorder="1" applyAlignment="1">
      <alignment horizontal="left"/>
    </xf>
    <xf numFmtId="22" fontId="0" fillId="0" borderId="0" xfId="0" applyNumberFormat="1" applyBorder="1" applyAlignment="1">
      <alignment horizontal="left"/>
    </xf>
    <xf numFmtId="22" fontId="0" fillId="0" borderId="0" xfId="0" applyNumberFormat="1" applyFont="1" applyBorder="1" applyAlignment="1">
      <alignment wrapText="1"/>
    </xf>
    <xf numFmtId="22" fontId="0" fillId="0" borderId="0" xfId="0" applyNumberFormat="1" applyBorder="1" applyAlignment="1">
      <alignment wrapText="1"/>
    </xf>
    <xf numFmtId="0" fontId="0" fillId="0" borderId="0" xfId="0" applyFont="1" applyBorder="1" applyAlignment="1">
      <alignment wrapText="1"/>
    </xf>
    <xf numFmtId="22" fontId="0" fillId="0" borderId="0" xfId="0" applyNumberFormat="1" applyFont="1" applyFill="1" applyBorder="1" applyAlignment="1">
      <alignment horizontal="left" vertical="center" wrapText="1"/>
    </xf>
    <xf numFmtId="22" fontId="0" fillId="0" borderId="0" xfId="0" applyNumberFormat="1" applyBorder="1"/>
    <xf numFmtId="22" fontId="0" fillId="0" borderId="0" xfId="0" applyNumberFormat="1" applyFont="1" applyBorder="1"/>
    <xf numFmtId="22" fontId="7" fillId="3" borderId="0" xfId="0" applyNumberFormat="1" applyFont="1" applyFill="1" applyBorder="1"/>
    <xf numFmtId="0" fontId="0" fillId="0" borderId="0" xfId="0" applyBorder="1"/>
    <xf numFmtId="0" fontId="0" fillId="0" borderId="0" xfId="0" applyBorder="1" applyAlignment="1">
      <alignment wrapText="1"/>
    </xf>
    <xf numFmtId="4" fontId="0" fillId="0" borderId="0" xfId="0" applyNumberFormat="1" applyBorder="1" applyAlignment="1">
      <alignment horizontal="left" wrapText="1"/>
    </xf>
    <xf numFmtId="0" fontId="0" fillId="0" borderId="3" xfId="0" applyFont="1" applyBorder="1" applyAlignment="1">
      <alignment horizontal="left"/>
    </xf>
    <xf numFmtId="4" fontId="0" fillId="0" borderId="3" xfId="0" applyNumberFormat="1" applyBorder="1" applyAlignment="1">
      <alignment horizontal="left"/>
    </xf>
    <xf numFmtId="164" fontId="4" fillId="0" borderId="7" xfId="0" applyNumberFormat="1" applyFont="1" applyBorder="1" applyAlignment="1">
      <alignment horizontal="left"/>
    </xf>
    <xf numFmtId="4" fontId="4" fillId="0" borderId="7" xfId="0" applyNumberFormat="1" applyFont="1" applyBorder="1" applyAlignment="1">
      <alignment horizontal="left" wrapText="1"/>
    </xf>
    <xf numFmtId="16" fontId="0" fillId="0" borderId="0" xfId="0" applyNumberFormat="1" applyBorder="1"/>
    <xf numFmtId="22" fontId="0" fillId="0" borderId="0" xfId="0" applyNumberFormat="1" applyBorder="1" applyAlignment="1">
      <alignment horizontal="right"/>
    </xf>
    <xf numFmtId="0" fontId="0" fillId="0" borderId="0" xfId="0" applyFont="1" applyFill="1" applyBorder="1"/>
    <xf numFmtId="0" fontId="8" fillId="0" borderId="0" xfId="0" applyFont="1" applyFill="1" applyBorder="1"/>
    <xf numFmtId="0" fontId="0" fillId="2" borderId="15" xfId="0" applyFill="1" applyBorder="1"/>
    <xf numFmtId="0" fontId="0" fillId="2" borderId="16" xfId="0" applyFill="1" applyBorder="1"/>
    <xf numFmtId="44" fontId="0" fillId="0" borderId="17" xfId="0" applyNumberFormat="1" applyBorder="1"/>
    <xf numFmtId="44" fontId="0" fillId="0" borderId="18" xfId="0" applyNumberFormat="1" applyBorder="1"/>
    <xf numFmtId="0" fontId="0" fillId="0" borderId="18" xfId="0" applyBorder="1"/>
    <xf numFmtId="0" fontId="0" fillId="0" borderId="17" xfId="0" applyBorder="1"/>
    <xf numFmtId="44" fontId="0" fillId="2" borderId="15" xfId="0" applyNumberFormat="1" applyFill="1" applyBorder="1"/>
    <xf numFmtId="44" fontId="0" fillId="2" borderId="16" xfId="0" applyNumberFormat="1" applyFill="1" applyBorder="1"/>
    <xf numFmtId="0" fontId="0" fillId="0" borderId="0" xfId="0" pivotButton="1"/>
    <xf numFmtId="9" fontId="0" fillId="0" borderId="0" xfId="0" applyNumberFormat="1"/>
    <xf numFmtId="0" fontId="0" fillId="0" borderId="0" xfId="0" applyAlignment="1">
      <alignment horizontal="left" indent="1"/>
    </xf>
    <xf numFmtId="9" fontId="4" fillId="2" borderId="0" xfId="0" applyNumberFormat="1" applyFont="1" applyFill="1"/>
    <xf numFmtId="0" fontId="0" fillId="7" borderId="0" xfId="0" applyFill="1"/>
    <xf numFmtId="0" fontId="4" fillId="0" borderId="1" xfId="0" applyFont="1" applyBorder="1" applyAlignment="1">
      <alignment horizontal="left"/>
    </xf>
    <xf numFmtId="4" fontId="4" fillId="4" borderId="7" xfId="0" applyNumberFormat="1" applyFont="1" applyFill="1" applyBorder="1" applyAlignment="1">
      <alignment horizontal="left"/>
    </xf>
    <xf numFmtId="0" fontId="4" fillId="0" borderId="8" xfId="0" applyFont="1" applyBorder="1" applyAlignment="1">
      <alignment horizontal="left"/>
    </xf>
    <xf numFmtId="16" fontId="0" fillId="0" borderId="0" xfId="0" quotePrefix="1" applyNumberFormat="1" applyBorder="1"/>
    <xf numFmtId="22" fontId="0" fillId="8" borderId="0" xfId="0" applyNumberFormat="1" applyFill="1" applyBorder="1"/>
    <xf numFmtId="0" fontId="0" fillId="8" borderId="0" xfId="0" applyFill="1" applyBorder="1"/>
    <xf numFmtId="4" fontId="0" fillId="8" borderId="0" xfId="0" applyNumberFormat="1" applyFill="1" applyBorder="1" applyAlignment="1">
      <alignment horizontal="left"/>
    </xf>
    <xf numFmtId="0" fontId="0" fillId="8" borderId="0" xfId="0" applyFill="1" applyBorder="1" applyAlignment="1">
      <alignment horizontal="left"/>
    </xf>
    <xf numFmtId="0" fontId="0" fillId="0" borderId="3" xfId="0" applyBorder="1" applyAlignment="1">
      <alignment wrapText="1"/>
    </xf>
    <xf numFmtId="0" fontId="0" fillId="0" borderId="3" xfId="0" applyBorder="1"/>
    <xf numFmtId="0" fontId="0" fillId="0" borderId="3" xfId="0" applyFont="1" applyBorder="1"/>
    <xf numFmtId="0" fontId="0" fillId="0" borderId="4" xfId="0" applyFont="1" applyBorder="1"/>
    <xf numFmtId="0" fontId="0" fillId="0" borderId="11" xfId="0" applyBorder="1" applyAlignment="1">
      <alignment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22" fontId="0" fillId="0" borderId="11" xfId="0" applyNumberFormat="1" applyBorder="1" applyAlignment="1">
      <alignment wrapText="1"/>
    </xf>
    <xf numFmtId="0" fontId="0" fillId="8" borderId="11" xfId="0" applyFont="1" applyFill="1" applyBorder="1" applyAlignment="1">
      <alignment horizontal="left"/>
    </xf>
    <xf numFmtId="4" fontId="0" fillId="8" borderId="9" xfId="0" applyNumberFormat="1" applyFont="1" applyFill="1" applyBorder="1" applyAlignment="1">
      <alignment horizontal="left"/>
    </xf>
    <xf numFmtId="0" fontId="11" fillId="0" borderId="11" xfId="2" applyFont="1" applyBorder="1"/>
    <xf numFmtId="0" fontId="15" fillId="0" borderId="0" xfId="2" applyFont="1" applyBorder="1" applyAlignment="1">
      <alignment horizontal="center"/>
    </xf>
    <xf numFmtId="0" fontId="12" fillId="0" borderId="11" xfId="2" applyFont="1" applyBorder="1" applyAlignment="1">
      <alignment horizontal="center"/>
    </xf>
    <xf numFmtId="0" fontId="12" fillId="0" borderId="0" xfId="2" applyFont="1" applyAlignment="1">
      <alignment horizontal="center"/>
    </xf>
    <xf numFmtId="0" fontId="12" fillId="2" borderId="1" xfId="2" applyFont="1" applyFill="1" applyBorder="1" applyAlignment="1">
      <alignment horizontal="center"/>
    </xf>
    <xf numFmtId="0" fontId="12" fillId="0" borderId="0" xfId="2" applyFont="1" applyBorder="1" applyAlignment="1">
      <alignment horizontal="center"/>
    </xf>
    <xf numFmtId="4" fontId="12" fillId="0" borderId="0" xfId="2" applyNumberFormat="1" applyFont="1" applyAlignment="1">
      <alignment horizontal="center"/>
    </xf>
    <xf numFmtId="0" fontId="12" fillId="0" borderId="9" xfId="2" applyFont="1" applyBorder="1" applyAlignment="1">
      <alignment horizontal="center"/>
    </xf>
    <xf numFmtId="4" fontId="12" fillId="0" borderId="0" xfId="2" applyNumberFormat="1" applyFont="1" applyBorder="1" applyAlignment="1">
      <alignment horizontal="center"/>
    </xf>
    <xf numFmtId="0" fontId="10" fillId="0" borderId="0" xfId="2" applyFont="1"/>
    <xf numFmtId="4" fontId="0" fillId="0" borderId="3" xfId="0" applyNumberFormat="1" applyBorder="1"/>
    <xf numFmtId="0" fontId="0" fillId="0" borderId="4" xfId="0" applyBorder="1"/>
    <xf numFmtId="4" fontId="0" fillId="0" borderId="0" xfId="0" applyNumberFormat="1" applyBorder="1"/>
    <xf numFmtId="0" fontId="0" fillId="0" borderId="9" xfId="0" applyBorder="1"/>
    <xf numFmtId="0" fontId="0" fillId="0" borderId="10" xfId="0" applyBorder="1"/>
    <xf numFmtId="4" fontId="0" fillId="0" borderId="10" xfId="0" applyNumberFormat="1" applyBorder="1"/>
    <xf numFmtId="0" fontId="0" fillId="0" borderId="6" xfId="0" applyBorder="1"/>
    <xf numFmtId="0" fontId="0" fillId="0" borderId="12" xfId="0" applyBorder="1"/>
    <xf numFmtId="0" fontId="0" fillId="0" borderId="13" xfId="0" applyBorder="1"/>
    <xf numFmtId="0" fontId="0" fillId="0" borderId="14" xfId="0" applyBorder="1"/>
    <xf numFmtId="4" fontId="0" fillId="0" borderId="0" xfId="0" applyNumberFormat="1" applyAlignment="1">
      <alignment horizontal="center"/>
    </xf>
    <xf numFmtId="0" fontId="0" fillId="2" borderId="3" xfId="0" applyFill="1" applyBorder="1"/>
    <xf numFmtId="4" fontId="0" fillId="2" borderId="3" xfId="0" applyNumberFormat="1" applyFill="1" applyBorder="1"/>
    <xf numFmtId="0" fontId="0" fillId="2" borderId="0" xfId="0" applyFill="1" applyBorder="1"/>
    <xf numFmtId="4" fontId="0" fillId="2" borderId="0" xfId="0" applyNumberFormat="1" applyFill="1" applyBorder="1"/>
    <xf numFmtId="0" fontId="0" fillId="2" borderId="10" xfId="0" applyFill="1" applyBorder="1"/>
    <xf numFmtId="4" fontId="0" fillId="2" borderId="10" xfId="0" applyNumberFormat="1" applyFill="1" applyBorder="1"/>
    <xf numFmtId="0" fontId="0" fillId="8" borderId="0" xfId="0" applyFill="1"/>
    <xf numFmtId="164" fontId="4" fillId="0" borderId="0" xfId="0" applyNumberFormat="1" applyFont="1" applyAlignment="1">
      <alignment horizontal="center"/>
    </xf>
    <xf numFmtId="164" fontId="4" fillId="0" borderId="3" xfId="0" applyNumberFormat="1" applyFont="1" applyBorder="1"/>
    <xf numFmtId="164" fontId="4" fillId="0" borderId="0" xfId="0" applyNumberFormat="1" applyFont="1" applyBorder="1"/>
    <xf numFmtId="164" fontId="4" fillId="0" borderId="10" xfId="0" applyNumberFormat="1" applyFont="1" applyBorder="1"/>
    <xf numFmtId="0" fontId="0" fillId="0" borderId="12" xfId="0" applyFont="1" applyBorder="1" applyAlignment="1">
      <alignment horizontal="center" vertical="center"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164" fontId="4" fillId="0" borderId="9" xfId="0" applyNumberFormat="1" applyFont="1" applyBorder="1" applyAlignment="1">
      <alignment vertical="center" wrapText="1"/>
    </xf>
    <xf numFmtId="0" fontId="4" fillId="0" borderId="9" xfId="0" applyFont="1" applyBorder="1" applyAlignment="1">
      <alignment vertical="center" wrapText="1"/>
    </xf>
    <xf numFmtId="44" fontId="0" fillId="0" borderId="17" xfId="0" applyNumberFormat="1" applyBorder="1" applyAlignment="1">
      <alignment vertical="center" wrapText="1"/>
    </xf>
    <xf numFmtId="44" fontId="0" fillId="0" borderId="18" xfId="0" applyNumberFormat="1" applyBorder="1" applyAlignment="1">
      <alignment vertical="center" wrapText="1"/>
    </xf>
  </cellXfs>
  <cellStyles count="3">
    <cellStyle name="Normal" xfId="0" builtinId="0"/>
    <cellStyle name="Normal 2" xfId="1"/>
    <cellStyle name="Normal 3" xfId="2"/>
  </cellStyles>
  <dxfs count="23">
    <dxf>
      <border>
        <right style="medium">
          <color indexed="64"/>
        </right>
      </border>
    </dxf>
    <dxf>
      <font>
        <b/>
      </font>
    </dxf>
    <dxf>
      <border>
        <top style="medium">
          <color indexed="64"/>
        </top>
      </border>
    </dxf>
    <dxf>
      <border>
        <top style="medium">
          <color indexed="64"/>
        </top>
      </border>
    </dxf>
    <dxf>
      <border>
        <bottom style="medium">
          <color indexed="64"/>
        </bottom>
      </border>
    </dxf>
    <dxf>
      <border>
        <bottom style="medium">
          <color indexed="64"/>
        </bottom>
      </border>
    </dxf>
    <dxf>
      <border>
        <left style="medium">
          <color indexed="64"/>
        </left>
        <right style="medium">
          <color indexed="64"/>
        </right>
        <top style="medium">
          <color indexed="64"/>
        </top>
        <bottom style="medium">
          <color indexed="64"/>
        </bottom>
      </border>
    </dxf>
    <dxf>
      <font>
        <b/>
      </font>
    </dxf>
    <dxf>
      <font>
        <b/>
      </font>
    </dxf>
    <dxf>
      <numFmt numFmtId="164" formatCode="#,##0.00_ ;[Red]\-#,##0.00\ "/>
    </dxf>
    <dxf>
      <numFmt numFmtId="164" formatCode="#,##0.00_ ;[Red]\-#,##0.00\ "/>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2.xml"/><Relationship Id="rId13" Type="http://schemas.openxmlformats.org/officeDocument/2006/relationships/chartsheet" Target="chartsheets/sheet7.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chartsheet" Target="chartsheets/sheet1.xml"/><Relationship Id="rId12" Type="http://schemas.openxmlformats.org/officeDocument/2006/relationships/chartsheet" Target="chartsheets/sheet6.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hartsheet" Target="chartsheets/sheet5.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chartsheet" Target="chartsheets/sheet4.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chartsheet" Target="chartsheets/sheet3.xml"/><Relationship Id="rId14" Type="http://schemas.openxmlformats.org/officeDocument/2006/relationships/chartsheet" Target="chartsheets/sheet8.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Cagnotte</a:t>
            </a:r>
          </a:p>
        </c:rich>
      </c:tx>
    </c:title>
    <c:plotArea>
      <c:layout>
        <c:manualLayout>
          <c:layoutTarget val="inner"/>
          <c:xMode val="edge"/>
          <c:yMode val="edge"/>
          <c:x val="7.0599485538123424E-2"/>
          <c:y val="7.4605461551349034E-2"/>
          <c:w val="0.91568480373869265"/>
          <c:h val="0.90570921985816855"/>
        </c:manualLayout>
      </c:layout>
      <c:lineChart>
        <c:grouping val="standard"/>
        <c:ser>
          <c:idx val="0"/>
          <c:order val="0"/>
          <c:tx>
            <c:v>BWIN</c:v>
          </c:tx>
          <c:marker>
            <c:symbol val="none"/>
          </c:marker>
          <c:trendline>
            <c:trendlineType val="linear"/>
          </c:trendline>
          <c:cat>
            <c:strRef>
              <c:f>recap!$I:$I</c:f>
              <c:strCache>
                <c:ptCount val="368"/>
                <c:pt idx="0">
                  <c:v>Date du Pari</c:v>
                </c:pt>
                <c:pt idx="1">
                  <c:v>27/11/2012 14:15</c:v>
                </c:pt>
                <c:pt idx="2">
                  <c:v>27/11/2012 17:28</c:v>
                </c:pt>
                <c:pt idx="3">
                  <c:v>27/11/2012 17:28</c:v>
                </c:pt>
                <c:pt idx="4">
                  <c:v>27/11/2012 17:31</c:v>
                </c:pt>
                <c:pt idx="5">
                  <c:v>27/11/2012 18:56</c:v>
                </c:pt>
                <c:pt idx="6">
                  <c:v>27/11/2012 18:59</c:v>
                </c:pt>
                <c:pt idx="7">
                  <c:v>27/11/2012 19:01</c:v>
                </c:pt>
                <c:pt idx="8">
                  <c:v>29/11/2012 20:31</c:v>
                </c:pt>
                <c:pt idx="9">
                  <c:v>29/11/2012 20:55</c:v>
                </c:pt>
                <c:pt idx="10">
                  <c:v>29/11/2012 21:00</c:v>
                </c:pt>
                <c:pt idx="11">
                  <c:v>29/11/2012 21:02</c:v>
                </c:pt>
                <c:pt idx="12">
                  <c:v>30/11/2012 17:43</c:v>
                </c:pt>
                <c:pt idx="13">
                  <c:v>30/11/2012 17:47</c:v>
                </c:pt>
                <c:pt idx="14">
                  <c:v>30/11/2012 17:47</c:v>
                </c:pt>
                <c:pt idx="15">
                  <c:v>30/11/2012 17:47</c:v>
                </c:pt>
                <c:pt idx="16">
                  <c:v>30/11/2012 17:47</c:v>
                </c:pt>
                <c:pt idx="17">
                  <c:v>30/11/2012 17:47</c:v>
                </c:pt>
                <c:pt idx="18">
                  <c:v>30/11/2012 23:29</c:v>
                </c:pt>
                <c:pt idx="19">
                  <c:v>30/11/2012 23:39</c:v>
                </c:pt>
                <c:pt idx="20">
                  <c:v>30/11/2012 23:59</c:v>
                </c:pt>
                <c:pt idx="21">
                  <c:v>01/12/2012 00:01</c:v>
                </c:pt>
                <c:pt idx="22">
                  <c:v>01/12/2012 00:10</c:v>
                </c:pt>
                <c:pt idx="23">
                  <c:v>01/12/2012 00:14</c:v>
                </c:pt>
                <c:pt idx="24">
                  <c:v>01/12/2012 14:45</c:v>
                </c:pt>
                <c:pt idx="25">
                  <c:v>01/12/2012 14:47</c:v>
                </c:pt>
                <c:pt idx="26">
                  <c:v>01/12/2012 14:47</c:v>
                </c:pt>
                <c:pt idx="27">
                  <c:v>01/12/2012 14:47</c:v>
                </c:pt>
                <c:pt idx="28">
                  <c:v>01/12/2012 14:49</c:v>
                </c:pt>
                <c:pt idx="29">
                  <c:v>01/12/2012 14:49</c:v>
                </c:pt>
                <c:pt idx="30">
                  <c:v>01/12/2012 14:49</c:v>
                </c:pt>
                <c:pt idx="32">
                  <c:v>01/12/2012 14:50</c:v>
                </c:pt>
                <c:pt idx="33">
                  <c:v>01/12/2012 14:50</c:v>
                </c:pt>
                <c:pt idx="34">
                  <c:v>01/12/2012 14:50</c:v>
                </c:pt>
                <c:pt idx="35">
                  <c:v>01/12/2012 14:50</c:v>
                </c:pt>
                <c:pt idx="36">
                  <c:v>01/12/2012 14:50</c:v>
                </c:pt>
                <c:pt idx="37">
                  <c:v>01/12/2012 14:51</c:v>
                </c:pt>
                <c:pt idx="38">
                  <c:v>01/12/2012 14:51</c:v>
                </c:pt>
                <c:pt idx="39">
                  <c:v>01/12/2012 14:51</c:v>
                </c:pt>
                <c:pt idx="40">
                  <c:v>01/12/2012 14:51</c:v>
                </c:pt>
                <c:pt idx="41">
                  <c:v>01/12/2012 14:51</c:v>
                </c:pt>
                <c:pt idx="42">
                  <c:v>01/12/2012 15:36</c:v>
                </c:pt>
                <c:pt idx="43">
                  <c:v>01/12/2012 15:38</c:v>
                </c:pt>
                <c:pt idx="44">
                  <c:v>01/12/2012 20:00</c:v>
                </c:pt>
                <c:pt idx="45">
                  <c:v>02/12/2012 20:21</c:v>
                </c:pt>
                <c:pt idx="46">
                  <c:v>02/12/2012 20:22</c:v>
                </c:pt>
                <c:pt idx="47">
                  <c:v>02/12/2012 20:32</c:v>
                </c:pt>
                <c:pt idx="48">
                  <c:v>03/12/2012 17:22</c:v>
                </c:pt>
                <c:pt idx="49">
                  <c:v>03/12/2012 19:23</c:v>
                </c:pt>
                <c:pt idx="50">
                  <c:v>03/12/2012 19:23</c:v>
                </c:pt>
                <c:pt idx="51">
                  <c:v>04/12/2012 19:33</c:v>
                </c:pt>
                <c:pt idx="52">
                  <c:v>05/12/2012 17:15</c:v>
                </c:pt>
                <c:pt idx="53">
                  <c:v>05/12/2012 19:40</c:v>
                </c:pt>
                <c:pt idx="54">
                  <c:v>05/12/2012 20:09</c:v>
                </c:pt>
                <c:pt idx="55">
                  <c:v>06/12/2012 17:35</c:v>
                </c:pt>
                <c:pt idx="56">
                  <c:v>06/12/2012 17:37</c:v>
                </c:pt>
                <c:pt idx="57">
                  <c:v>06/12/2012 17:43</c:v>
                </c:pt>
                <c:pt idx="58">
                  <c:v>06/12/2012 17:46</c:v>
                </c:pt>
                <c:pt idx="59">
                  <c:v>06/12/2012 17:50</c:v>
                </c:pt>
                <c:pt idx="60">
                  <c:v>06/12/2012 18:23</c:v>
                </c:pt>
                <c:pt idx="61">
                  <c:v>06/12/2012 18:49</c:v>
                </c:pt>
                <c:pt idx="62">
                  <c:v>07/12/2012 13:29</c:v>
                </c:pt>
                <c:pt idx="63">
                  <c:v>07/12/2012 13:34</c:v>
                </c:pt>
                <c:pt idx="64">
                  <c:v>07/12/2012 13:40</c:v>
                </c:pt>
                <c:pt idx="65">
                  <c:v>07/12/2012 17:10</c:v>
                </c:pt>
                <c:pt idx="66">
                  <c:v>07/12/2012 20:29</c:v>
                </c:pt>
                <c:pt idx="67">
                  <c:v>08/12/2012 12:08</c:v>
                </c:pt>
                <c:pt idx="68">
                  <c:v>08/12/2012 12:12</c:v>
                </c:pt>
                <c:pt idx="69">
                  <c:v>08/12/2012 12:57</c:v>
                </c:pt>
                <c:pt idx="70">
                  <c:v>08/12/2012 12:59</c:v>
                </c:pt>
                <c:pt idx="71">
                  <c:v>08/12/2012 19:44</c:v>
                </c:pt>
                <c:pt idx="72">
                  <c:v>08/12/2012 19:50</c:v>
                </c:pt>
                <c:pt idx="73">
                  <c:v>08/12/2012 22:24</c:v>
                </c:pt>
                <c:pt idx="74">
                  <c:v>09/12/2012 10:01</c:v>
                </c:pt>
                <c:pt idx="75">
                  <c:v>09/12/2012 13:09</c:v>
                </c:pt>
                <c:pt idx="76">
                  <c:v>09/12/2012 16:15</c:v>
                </c:pt>
                <c:pt idx="77">
                  <c:v>09/12/2012 16:16</c:v>
                </c:pt>
                <c:pt idx="78">
                  <c:v>09/12/2012 17:32</c:v>
                </c:pt>
                <c:pt idx="79">
                  <c:v>09/12/2012 18:00</c:v>
                </c:pt>
                <c:pt idx="80">
                  <c:v>09/12/2012 18:17</c:v>
                </c:pt>
                <c:pt idx="81">
                  <c:v>10/12/2012 13:12</c:v>
                </c:pt>
                <c:pt idx="82">
                  <c:v>10/12/2012 17:32</c:v>
                </c:pt>
                <c:pt idx="83">
                  <c:v>11/12/2012 17:17</c:v>
                </c:pt>
                <c:pt idx="84">
                  <c:v>11/12/2012 17:20</c:v>
                </c:pt>
                <c:pt idx="85">
                  <c:v>11/12/2012 17:23</c:v>
                </c:pt>
                <c:pt idx="86">
                  <c:v>11/12/2012 17:24</c:v>
                </c:pt>
                <c:pt idx="87">
                  <c:v>11/12/2012 17:26</c:v>
                </c:pt>
                <c:pt idx="88">
                  <c:v>11/12/2012 17:28</c:v>
                </c:pt>
                <c:pt idx="89">
                  <c:v>11/12/2012 17:30</c:v>
                </c:pt>
                <c:pt idx="90">
                  <c:v>11/12/2012 17:32</c:v>
                </c:pt>
                <c:pt idx="91">
                  <c:v>11/12/2012 18:37</c:v>
                </c:pt>
                <c:pt idx="92">
                  <c:v>11/12/2012 18:39</c:v>
                </c:pt>
                <c:pt idx="93">
                  <c:v>11/12/2012 18:40</c:v>
                </c:pt>
                <c:pt idx="94">
                  <c:v>11/12/2012 18:44</c:v>
                </c:pt>
                <c:pt idx="95">
                  <c:v>11/12/2012 18:45</c:v>
                </c:pt>
                <c:pt idx="96">
                  <c:v>11/12/2012 20:55</c:v>
                </c:pt>
                <c:pt idx="97">
                  <c:v>11/12/2012 21:06</c:v>
                </c:pt>
                <c:pt idx="98">
                  <c:v>11/12/2012 21:12</c:v>
                </c:pt>
                <c:pt idx="99">
                  <c:v>11/12/2012 22:25</c:v>
                </c:pt>
                <c:pt idx="100">
                  <c:v>11/12/2012 23:09</c:v>
                </c:pt>
                <c:pt idx="101">
                  <c:v>12/12/2012 17:20</c:v>
                </c:pt>
                <c:pt idx="102">
                  <c:v>12/12/2012 17:21</c:v>
                </c:pt>
                <c:pt idx="103">
                  <c:v>12/12/2012 17:29</c:v>
                </c:pt>
                <c:pt idx="104">
                  <c:v>12/12/2012 21:08</c:v>
                </c:pt>
                <c:pt idx="105">
                  <c:v>12/12/2012 21:08</c:v>
                </c:pt>
                <c:pt idx="106">
                  <c:v>12/12/2012 22:35</c:v>
                </c:pt>
                <c:pt idx="107">
                  <c:v>12/12/2012 22:37</c:v>
                </c:pt>
                <c:pt idx="108">
                  <c:v>12/12/2012 22:39</c:v>
                </c:pt>
                <c:pt idx="109">
                  <c:v>12/12/2012 22:40</c:v>
                </c:pt>
                <c:pt idx="110">
                  <c:v>13/12/2012 11:43</c:v>
                </c:pt>
                <c:pt idx="111">
                  <c:v>13/12/2012 11:56</c:v>
                </c:pt>
                <c:pt idx="112">
                  <c:v>13/12/2012 11:59</c:v>
                </c:pt>
                <c:pt idx="113">
                  <c:v>13/12/2012 12:07</c:v>
                </c:pt>
                <c:pt idx="114">
                  <c:v>13/12/2012 15:25</c:v>
                </c:pt>
                <c:pt idx="115">
                  <c:v>13/12/2012 15:28</c:v>
                </c:pt>
                <c:pt idx="116">
                  <c:v>13/12/2012 20:08</c:v>
                </c:pt>
                <c:pt idx="117">
                  <c:v>13/12/2012 20:08</c:v>
                </c:pt>
                <c:pt idx="118">
                  <c:v>13/12/2012 20:09</c:v>
                </c:pt>
                <c:pt idx="119">
                  <c:v>13/12/2012 23:25</c:v>
                </c:pt>
                <c:pt idx="120">
                  <c:v>14/12/2012 17:49</c:v>
                </c:pt>
                <c:pt idx="121">
                  <c:v>14/12/2012 17:52</c:v>
                </c:pt>
                <c:pt idx="122">
                  <c:v>14/12/2012 17:56</c:v>
                </c:pt>
                <c:pt idx="123">
                  <c:v>14/12/2012 18:00</c:v>
                </c:pt>
                <c:pt idx="124">
                  <c:v>15/12/2012 11:28</c:v>
                </c:pt>
                <c:pt idx="125">
                  <c:v>15/12/2012 11:31</c:v>
                </c:pt>
                <c:pt idx="126">
                  <c:v>15/12/2012 11:52</c:v>
                </c:pt>
                <c:pt idx="127">
                  <c:v>15/12/2012 17:30</c:v>
                </c:pt>
                <c:pt idx="128">
                  <c:v>15/12/2012 17:56</c:v>
                </c:pt>
                <c:pt idx="129">
                  <c:v>15/12/2012 19:00</c:v>
                </c:pt>
                <c:pt idx="130">
                  <c:v>15/12/2012 19:02</c:v>
                </c:pt>
                <c:pt idx="131">
                  <c:v>15/12/2012 19:58</c:v>
                </c:pt>
                <c:pt idx="132">
                  <c:v>15/12/2012 22:20</c:v>
                </c:pt>
                <c:pt idx="133">
                  <c:v>15/12/2012 22:22</c:v>
                </c:pt>
                <c:pt idx="134">
                  <c:v>16/12/2012 01:07</c:v>
                </c:pt>
                <c:pt idx="135">
                  <c:v>16/12/2012 01:12</c:v>
                </c:pt>
                <c:pt idx="136">
                  <c:v>16/12/2012 01:15</c:v>
                </c:pt>
                <c:pt idx="137">
                  <c:v>16/12/2012 01:27</c:v>
                </c:pt>
                <c:pt idx="138">
                  <c:v>16/12/2012 11:26</c:v>
                </c:pt>
                <c:pt idx="139">
                  <c:v>16/12/2012 11:41</c:v>
                </c:pt>
                <c:pt idx="140">
                  <c:v>16/12/2012 11:45</c:v>
                </c:pt>
                <c:pt idx="141">
                  <c:v>16/12/2012 11:47</c:v>
                </c:pt>
                <c:pt idx="142">
                  <c:v>16/12/2012 12:20</c:v>
                </c:pt>
                <c:pt idx="143">
                  <c:v>16/12/2012 15:47</c:v>
                </c:pt>
                <c:pt idx="144">
                  <c:v>16/12/2012 19:14</c:v>
                </c:pt>
                <c:pt idx="145">
                  <c:v>16/12/2012 19:24</c:v>
                </c:pt>
                <c:pt idx="146">
                  <c:v>16/12/2012 19:52</c:v>
                </c:pt>
                <c:pt idx="147">
                  <c:v>17/12/2012 18:06</c:v>
                </c:pt>
                <c:pt idx="148">
                  <c:v>17/12/2012 18:41</c:v>
                </c:pt>
                <c:pt idx="149">
                  <c:v>17/12/2012 18:49</c:v>
                </c:pt>
                <c:pt idx="150">
                  <c:v>17/12/2012 18:51</c:v>
                </c:pt>
                <c:pt idx="151">
                  <c:v>17/12/2012 22:31</c:v>
                </c:pt>
                <c:pt idx="152">
                  <c:v>17/12/2012 22:34</c:v>
                </c:pt>
                <c:pt idx="153">
                  <c:v>18/12/2012 18:28</c:v>
                </c:pt>
                <c:pt idx="154">
                  <c:v>18/12/2012 18:29</c:v>
                </c:pt>
                <c:pt idx="155">
                  <c:v>18/12/2012 18:29</c:v>
                </c:pt>
                <c:pt idx="156">
                  <c:v>18/12/2012 18:33</c:v>
                </c:pt>
                <c:pt idx="157">
                  <c:v>18/12/2012 19:24</c:v>
                </c:pt>
                <c:pt idx="158">
                  <c:v>18/12/2012 19:29</c:v>
                </c:pt>
                <c:pt idx="159">
                  <c:v>18/12/2012 21:52</c:v>
                </c:pt>
                <c:pt idx="160">
                  <c:v>18/12/2012 21:53</c:v>
                </c:pt>
                <c:pt idx="161">
                  <c:v>19/12/2012 11:09</c:v>
                </c:pt>
                <c:pt idx="162">
                  <c:v>19/12/2012 18:37</c:v>
                </c:pt>
                <c:pt idx="163">
                  <c:v>19/12/2012 18:46</c:v>
                </c:pt>
                <c:pt idx="164">
                  <c:v>19/12/2012 18:46</c:v>
                </c:pt>
                <c:pt idx="165">
                  <c:v>19/12/2012 19:39</c:v>
                </c:pt>
                <c:pt idx="166">
                  <c:v>19/12/2012 19:40</c:v>
                </c:pt>
                <c:pt idx="167">
                  <c:v>19/12/2012 19:47</c:v>
                </c:pt>
                <c:pt idx="168">
                  <c:v>19/12/2012 19:48</c:v>
                </c:pt>
                <c:pt idx="169">
                  <c:v>19/12/2012 19:53</c:v>
                </c:pt>
                <c:pt idx="170">
                  <c:v>19/12/2012 20:34</c:v>
                </c:pt>
                <c:pt idx="171">
                  <c:v>19/12/2012 23:05</c:v>
                </c:pt>
                <c:pt idx="172">
                  <c:v>20/12/2012 18:08</c:v>
                </c:pt>
                <c:pt idx="173">
                  <c:v>20/12/2012 19:11</c:v>
                </c:pt>
                <c:pt idx="174">
                  <c:v>20/12/2012 19:12</c:v>
                </c:pt>
                <c:pt idx="175">
                  <c:v>20/12/2012 19:17</c:v>
                </c:pt>
                <c:pt idx="176">
                  <c:v>20/12/2012 20:26</c:v>
                </c:pt>
                <c:pt idx="177">
                  <c:v>20/12/2012 20:35</c:v>
                </c:pt>
                <c:pt idx="178">
                  <c:v>20/12/2012 20:37</c:v>
                </c:pt>
                <c:pt idx="179">
                  <c:v>21/12/2012 17:35</c:v>
                </c:pt>
                <c:pt idx="180">
                  <c:v>21/12/2012 17:36</c:v>
                </c:pt>
                <c:pt idx="181">
                  <c:v>21/12/2012 17:38</c:v>
                </c:pt>
                <c:pt idx="182">
                  <c:v>21/12/2012 17:39</c:v>
                </c:pt>
                <c:pt idx="183">
                  <c:v>21/12/2012 17:40</c:v>
                </c:pt>
                <c:pt idx="184">
                  <c:v>21/12/2012 17:42</c:v>
                </c:pt>
                <c:pt idx="185">
                  <c:v>21/12/2012 21:41</c:v>
                </c:pt>
                <c:pt idx="186">
                  <c:v>21/12/2012 22:46</c:v>
                </c:pt>
                <c:pt idx="187">
                  <c:v>21/12/2012 22:49</c:v>
                </c:pt>
                <c:pt idx="188">
                  <c:v>21/12/2012 22:52</c:v>
                </c:pt>
                <c:pt idx="189">
                  <c:v>21/12/2012 22:53</c:v>
                </c:pt>
                <c:pt idx="190">
                  <c:v>21/12/2012 23:52</c:v>
                </c:pt>
                <c:pt idx="191">
                  <c:v>22/12/2012 00:27</c:v>
                </c:pt>
                <c:pt idx="192">
                  <c:v>22/12/2012 00:32</c:v>
                </c:pt>
                <c:pt idx="193">
                  <c:v>22/12/2012 12:20</c:v>
                </c:pt>
                <c:pt idx="194">
                  <c:v>22/12/2012 18:08</c:v>
                </c:pt>
                <c:pt idx="195">
                  <c:v>22/12/2012 18:14</c:v>
                </c:pt>
                <c:pt idx="196">
                  <c:v>22/12/2012 21:44</c:v>
                </c:pt>
                <c:pt idx="197">
                  <c:v>23/12/2012 12:12</c:v>
                </c:pt>
                <c:pt idx="198">
                  <c:v>23/12/2012 12:13</c:v>
                </c:pt>
                <c:pt idx="199">
                  <c:v>23/12/2012 12:15</c:v>
                </c:pt>
                <c:pt idx="200">
                  <c:v>23/12/2012 12:16</c:v>
                </c:pt>
                <c:pt idx="201">
                  <c:v>23/12/2012 12:20</c:v>
                </c:pt>
                <c:pt idx="202">
                  <c:v>23/12/2012 16:57</c:v>
                </c:pt>
                <c:pt idx="203">
                  <c:v>23/12/2012 17:19</c:v>
                </c:pt>
                <c:pt idx="204">
                  <c:v>23/12/2012 17:21</c:v>
                </c:pt>
                <c:pt idx="205">
                  <c:v>23/12/2012 18:06</c:v>
                </c:pt>
                <c:pt idx="206">
                  <c:v>23/12/2012 18:17</c:v>
                </c:pt>
                <c:pt idx="207">
                  <c:v>23/12/2012 19:11</c:v>
                </c:pt>
                <c:pt idx="208">
                  <c:v>25/12/2012 17:53</c:v>
                </c:pt>
                <c:pt idx="209">
                  <c:v>25/12/2012 17:55</c:v>
                </c:pt>
                <c:pt idx="210">
                  <c:v>26/12/2012 12:50</c:v>
                </c:pt>
                <c:pt idx="211">
                  <c:v>26/12/2012 12:54</c:v>
                </c:pt>
                <c:pt idx="212">
                  <c:v>26/12/2012 18:19</c:v>
                </c:pt>
                <c:pt idx="213">
                  <c:v>26/12/2012 19:47</c:v>
                </c:pt>
                <c:pt idx="214">
                  <c:v>26/12/2012 21:15</c:v>
                </c:pt>
                <c:pt idx="215">
                  <c:v>27/12/2012 18:30</c:v>
                </c:pt>
                <c:pt idx="216">
                  <c:v>27/12/2012 18:07</c:v>
                </c:pt>
                <c:pt idx="217">
                  <c:v>27/12/2012 18:09</c:v>
                </c:pt>
                <c:pt idx="218">
                  <c:v>27/12/2012 18:21</c:v>
                </c:pt>
                <c:pt idx="219">
                  <c:v>27/12/2012 18:21</c:v>
                </c:pt>
                <c:pt idx="220">
                  <c:v>27/12/2012 18:26</c:v>
                </c:pt>
                <c:pt idx="221">
                  <c:v>27/12/2012 18:28</c:v>
                </c:pt>
                <c:pt idx="222">
                  <c:v>28/12/2012 13:11</c:v>
                </c:pt>
                <c:pt idx="224">
                  <c:v>28/12/2012 16:53</c:v>
                </c:pt>
                <c:pt idx="225">
                  <c:v>28/12/2012 17:32</c:v>
                </c:pt>
                <c:pt idx="226">
                  <c:v>28/12/2012 18:04</c:v>
                </c:pt>
                <c:pt idx="227">
                  <c:v>28/12/2012 18:06</c:v>
                </c:pt>
                <c:pt idx="228">
                  <c:v>28/12/2012 18:08</c:v>
                </c:pt>
                <c:pt idx="229">
                  <c:v>28/12/2012 18:10</c:v>
                </c:pt>
                <c:pt idx="230">
                  <c:v>28/12/2012 19:22</c:v>
                </c:pt>
                <c:pt idx="231">
                  <c:v>28/12/2012 19:23</c:v>
                </c:pt>
                <c:pt idx="232">
                  <c:v>28/12/2012 19:41</c:v>
                </c:pt>
                <c:pt idx="233">
                  <c:v>28/12/2012 19:42</c:v>
                </c:pt>
                <c:pt idx="234">
                  <c:v>28/12/2012 19:44</c:v>
                </c:pt>
                <c:pt idx="235">
                  <c:v>28/12/2012 19:47</c:v>
                </c:pt>
                <c:pt idx="236">
                  <c:v>28/12/2012 20:28</c:v>
                </c:pt>
                <c:pt idx="237">
                  <c:v>28/12/2012 22:49</c:v>
                </c:pt>
                <c:pt idx="238">
                  <c:v>28/12/2012 22:57</c:v>
                </c:pt>
                <c:pt idx="239">
                  <c:v>29/12/2012 11:48</c:v>
                </c:pt>
                <c:pt idx="240">
                  <c:v>29/12/2012 11:49</c:v>
                </c:pt>
                <c:pt idx="241">
                  <c:v>29/12/2012 11:50</c:v>
                </c:pt>
                <c:pt idx="242">
                  <c:v>29/12/2012 11:52</c:v>
                </c:pt>
                <c:pt idx="243">
                  <c:v>29/12/2012 13:36</c:v>
                </c:pt>
                <c:pt idx="244">
                  <c:v>29/12/2012 14:00</c:v>
                </c:pt>
                <c:pt idx="245">
                  <c:v>29/12/2012 15:08</c:v>
                </c:pt>
                <c:pt idx="246">
                  <c:v>29/12/2012 18:14</c:v>
                </c:pt>
                <c:pt idx="247">
                  <c:v>29/12/2012 22:27</c:v>
                </c:pt>
                <c:pt idx="248">
                  <c:v>29/12/2012 22:31</c:v>
                </c:pt>
                <c:pt idx="249">
                  <c:v>30/12/2012 10:24</c:v>
                </c:pt>
                <c:pt idx="250">
                  <c:v>30/12/2012 10:27</c:v>
                </c:pt>
                <c:pt idx="251">
                  <c:v>30/12/2012 10:28</c:v>
                </c:pt>
                <c:pt idx="252">
                  <c:v>30/12/2012 10:29</c:v>
                </c:pt>
                <c:pt idx="253">
                  <c:v>30/12/2012 15:40</c:v>
                </c:pt>
                <c:pt idx="254">
                  <c:v>30/12/2012 20:13</c:v>
                </c:pt>
                <c:pt idx="255">
                  <c:v>30/12/2012 20:42</c:v>
                </c:pt>
                <c:pt idx="256">
                  <c:v>30/12/2012 20:57</c:v>
                </c:pt>
                <c:pt idx="257">
                  <c:v>30/12/2012 21:14</c:v>
                </c:pt>
                <c:pt idx="258">
                  <c:v>30/12/2012 21:15</c:v>
                </c:pt>
                <c:pt idx="259">
                  <c:v>30/12/2012 21:16</c:v>
                </c:pt>
                <c:pt idx="260">
                  <c:v>31/12/2012 13:16</c:v>
                </c:pt>
                <c:pt idx="261">
                  <c:v>31/12/2012 15:44</c:v>
                </c:pt>
                <c:pt idx="262">
                  <c:v>01/01/2013 16:38</c:v>
                </c:pt>
                <c:pt idx="263">
                  <c:v>01/01/2013 16:58</c:v>
                </c:pt>
                <c:pt idx="266">
                  <c:v>01/01/2013 20:35</c:v>
                </c:pt>
                <c:pt idx="267">
                  <c:v>01/01/2013 20:35</c:v>
                </c:pt>
                <c:pt idx="268">
                  <c:v>01/01/2013 20:45</c:v>
                </c:pt>
                <c:pt idx="269">
                  <c:v>01/01/2013 20:56</c:v>
                </c:pt>
                <c:pt idx="270">
                  <c:v>01/01/2013 22:37</c:v>
                </c:pt>
                <c:pt idx="271">
                  <c:v>02/01/2013 23:26</c:v>
                </c:pt>
                <c:pt idx="272">
                  <c:v>03/01/2013 01:04</c:v>
                </c:pt>
                <c:pt idx="273">
                  <c:v>03/01/2013 01:08</c:v>
                </c:pt>
                <c:pt idx="274">
                  <c:v>03/01/2013 01:12</c:v>
                </c:pt>
                <c:pt idx="275">
                  <c:v>03/01/2013 01:19</c:v>
                </c:pt>
                <c:pt idx="276">
                  <c:v>03/01/2013 11:03</c:v>
                </c:pt>
                <c:pt idx="277">
                  <c:v>03/01/2013 12:22</c:v>
                </c:pt>
                <c:pt idx="278">
                  <c:v>03/01/2013 12:48</c:v>
                </c:pt>
                <c:pt idx="279">
                  <c:v>03/01/2013 16:52</c:v>
                </c:pt>
                <c:pt idx="280">
                  <c:v>03/01/2013 19:02</c:v>
                </c:pt>
                <c:pt idx="281">
                  <c:v>03/01/2013 19:03</c:v>
                </c:pt>
                <c:pt idx="282">
                  <c:v>03/01/2013 19:39</c:v>
                </c:pt>
                <c:pt idx="283">
                  <c:v>03/01/2013 22:33</c:v>
                </c:pt>
                <c:pt idx="284">
                  <c:v>03/01/2013 22:34</c:v>
                </c:pt>
                <c:pt idx="285">
                  <c:v>03/01/2013 22:56</c:v>
                </c:pt>
                <c:pt idx="286">
                  <c:v>03/01/2013 23:05</c:v>
                </c:pt>
                <c:pt idx="287">
                  <c:v>03/01/2013 23:08</c:v>
                </c:pt>
                <c:pt idx="288">
                  <c:v>03/01/2013 23:20</c:v>
                </c:pt>
                <c:pt idx="289">
                  <c:v>03/01/2013 23:30</c:v>
                </c:pt>
                <c:pt idx="290">
                  <c:v>04/01/2013 10:37</c:v>
                </c:pt>
                <c:pt idx="291">
                  <c:v>04/01/2013 14:24</c:v>
                </c:pt>
                <c:pt idx="292">
                  <c:v>04/01/2013 14:25</c:v>
                </c:pt>
                <c:pt idx="293">
                  <c:v>04/01/2013 18:01</c:v>
                </c:pt>
                <c:pt idx="294">
                  <c:v>04/01/2013 18:06</c:v>
                </c:pt>
                <c:pt idx="295">
                  <c:v>04/01/2013 18:06</c:v>
                </c:pt>
                <c:pt idx="296">
                  <c:v>04/01/2013 18:24</c:v>
                </c:pt>
                <c:pt idx="297">
                  <c:v>04/01/2013 18:24</c:v>
                </c:pt>
                <c:pt idx="298">
                  <c:v>04/01/2013 18:26</c:v>
                </c:pt>
                <c:pt idx="299">
                  <c:v>04/01/2013 18:26</c:v>
                </c:pt>
                <c:pt idx="300">
                  <c:v>04/01/2013 18:26</c:v>
                </c:pt>
                <c:pt idx="301">
                  <c:v>04/01/2013 18:30</c:v>
                </c:pt>
                <c:pt idx="302">
                  <c:v>04/01/2013 18:30</c:v>
                </c:pt>
                <c:pt idx="303">
                  <c:v>04/01/2013 18:30</c:v>
                </c:pt>
                <c:pt idx="304">
                  <c:v>04/01/2013 18:32</c:v>
                </c:pt>
                <c:pt idx="305">
                  <c:v>05/01/2013 10:39</c:v>
                </c:pt>
                <c:pt idx="306">
                  <c:v>05/01/2013 11:16</c:v>
                </c:pt>
                <c:pt idx="307">
                  <c:v>05/01/2013 11:17</c:v>
                </c:pt>
                <c:pt idx="308">
                  <c:v>05/01/2013 11:17</c:v>
                </c:pt>
                <c:pt idx="309">
                  <c:v>05/01/2013 11:19</c:v>
                </c:pt>
                <c:pt idx="310">
                  <c:v>05/01/2013 11:19</c:v>
                </c:pt>
                <c:pt idx="311">
                  <c:v>05/01/2013 11:22</c:v>
                </c:pt>
                <c:pt idx="312">
                  <c:v>05/01/2013 13:24</c:v>
                </c:pt>
                <c:pt idx="313">
                  <c:v>05/01/2013 13:31</c:v>
                </c:pt>
                <c:pt idx="314">
                  <c:v>05/01/2013 13:32</c:v>
                </c:pt>
                <c:pt idx="315">
                  <c:v>05/01/2013 13:33</c:v>
                </c:pt>
                <c:pt idx="316">
                  <c:v>05/01/2013 13:36</c:v>
                </c:pt>
                <c:pt idx="317">
                  <c:v>05/01/2013 17:20</c:v>
                </c:pt>
                <c:pt idx="318">
                  <c:v>05/01/2013 17:20</c:v>
                </c:pt>
                <c:pt idx="319">
                  <c:v>05/01/2013 17:25</c:v>
                </c:pt>
                <c:pt idx="320">
                  <c:v>05/01/2013 17:25</c:v>
                </c:pt>
                <c:pt idx="321">
                  <c:v>05/01/2013 17:25</c:v>
                </c:pt>
                <c:pt idx="322">
                  <c:v>05/01/2013 18:17</c:v>
                </c:pt>
                <c:pt idx="323">
                  <c:v>05/01/2013 20:24</c:v>
                </c:pt>
                <c:pt idx="324">
                  <c:v>05/01/2013 20:29</c:v>
                </c:pt>
                <c:pt idx="325">
                  <c:v>05/01/2013 20:41</c:v>
                </c:pt>
                <c:pt idx="326">
                  <c:v>05/01/2013 22:55</c:v>
                </c:pt>
                <c:pt idx="327">
                  <c:v>05/01/2013 22:57</c:v>
                </c:pt>
                <c:pt idx="328">
                  <c:v>06/01/2013 07:48</c:v>
                </c:pt>
                <c:pt idx="329">
                  <c:v>06/01/2013 07:53</c:v>
                </c:pt>
                <c:pt idx="330">
                  <c:v>06/01/2013 11:34</c:v>
                </c:pt>
                <c:pt idx="331">
                  <c:v>06/01/2013 11:37</c:v>
                </c:pt>
                <c:pt idx="332">
                  <c:v>06/01/2013 11:37</c:v>
                </c:pt>
                <c:pt idx="333">
                  <c:v>06/01/2013 11:37</c:v>
                </c:pt>
                <c:pt idx="334">
                  <c:v>06/01/2013 11:58</c:v>
                </c:pt>
                <c:pt idx="335">
                  <c:v>06/01/2013 17:42</c:v>
                </c:pt>
                <c:pt idx="336">
                  <c:v>06/01/2013 17:46</c:v>
                </c:pt>
                <c:pt idx="337">
                  <c:v>06/01/2013 17:46</c:v>
                </c:pt>
                <c:pt idx="338">
                  <c:v>06/01/2013 17:46</c:v>
                </c:pt>
                <c:pt idx="339">
                  <c:v>06/01/2013 19:18</c:v>
                </c:pt>
                <c:pt idx="340">
                  <c:v>06/01/2013 19:37</c:v>
                </c:pt>
                <c:pt idx="341">
                  <c:v>07/01/2013 08:26</c:v>
                </c:pt>
                <c:pt idx="342">
                  <c:v>07/01/2013 14:12</c:v>
                </c:pt>
                <c:pt idx="343">
                  <c:v>07/01/2013 17:13</c:v>
                </c:pt>
                <c:pt idx="344">
                  <c:v>07/01/2013 17:38</c:v>
                </c:pt>
                <c:pt idx="345">
                  <c:v>07/01/2013 17:40</c:v>
                </c:pt>
                <c:pt idx="346">
                  <c:v>07/01/2013 17:40</c:v>
                </c:pt>
                <c:pt idx="347">
                  <c:v>07/01/2013 22:47</c:v>
                </c:pt>
                <c:pt idx="348">
                  <c:v>07/01/2013 23:07</c:v>
                </c:pt>
                <c:pt idx="349">
                  <c:v>08/01/2013 09:14</c:v>
                </c:pt>
                <c:pt idx="350">
                  <c:v>08/01/2013 10:41</c:v>
                </c:pt>
                <c:pt idx="351">
                  <c:v>08/01/2013 12:26</c:v>
                </c:pt>
                <c:pt idx="352">
                  <c:v>08/01/2013 13:58</c:v>
                </c:pt>
                <c:pt idx="353">
                  <c:v>08/01/2013 17:25</c:v>
                </c:pt>
                <c:pt idx="354">
                  <c:v>08/01/2013 17:26</c:v>
                </c:pt>
                <c:pt idx="355">
                  <c:v>08/01/2013 18:03</c:v>
                </c:pt>
                <c:pt idx="356">
                  <c:v>08/01/2013 18:34</c:v>
                </c:pt>
                <c:pt idx="357">
                  <c:v>08/01/2013 18:37</c:v>
                </c:pt>
                <c:pt idx="358">
                  <c:v>08/01/2013 18:42</c:v>
                </c:pt>
                <c:pt idx="359">
                  <c:v>08/01/2013 18:46</c:v>
                </c:pt>
                <c:pt idx="360">
                  <c:v>08/01/2013 18:49</c:v>
                </c:pt>
                <c:pt idx="361">
                  <c:v>08/01/2013 20:05</c:v>
                </c:pt>
                <c:pt idx="362">
                  <c:v>08/01/2013 20:19</c:v>
                </c:pt>
                <c:pt idx="363">
                  <c:v>08/01/2013 20:27</c:v>
                </c:pt>
                <c:pt idx="364">
                  <c:v>05/01/2013 20:29</c:v>
                </c:pt>
                <c:pt idx="365">
                  <c:v>08/01/2013 17:26</c:v>
                </c:pt>
                <c:pt idx="366">
                  <c:v>08/01/2013 17:26</c:v>
                </c:pt>
                <c:pt idx="367">
                  <c:v>08/01/2013 17:26</c:v>
                </c:pt>
              </c:strCache>
            </c:strRef>
          </c:cat>
          <c:val>
            <c:numRef>
              <c:f>recap!$S$2:$S$395</c:f>
              <c:numCache>
                <c:formatCode>#,##0.00</c:formatCode>
                <c:ptCount val="394"/>
                <c:pt idx="0">
                  <c:v>50</c:v>
                </c:pt>
                <c:pt idx="1">
                  <c:v>57.5</c:v>
                </c:pt>
                <c:pt idx="2">
                  <c:v>47.5</c:v>
                </c:pt>
                <c:pt idx="3">
                  <c:v>42.5</c:v>
                </c:pt>
                <c:pt idx="4">
                  <c:v>49.5</c:v>
                </c:pt>
                <c:pt idx="5">
                  <c:v>39.5</c:v>
                </c:pt>
                <c:pt idx="6">
                  <c:v>34.5</c:v>
                </c:pt>
                <c:pt idx="7">
                  <c:v>84.5</c:v>
                </c:pt>
                <c:pt idx="8">
                  <c:v>89</c:v>
                </c:pt>
                <c:pt idx="9">
                  <c:v>79</c:v>
                </c:pt>
                <c:pt idx="10">
                  <c:v>69</c:v>
                </c:pt>
                <c:pt idx="11">
                  <c:v>64</c:v>
                </c:pt>
                <c:pt idx="12">
                  <c:v>59</c:v>
                </c:pt>
                <c:pt idx="13">
                  <c:v>54</c:v>
                </c:pt>
                <c:pt idx="14">
                  <c:v>56.1</c:v>
                </c:pt>
                <c:pt idx="15">
                  <c:v>51.1</c:v>
                </c:pt>
                <c:pt idx="16">
                  <c:v>46.1</c:v>
                </c:pt>
                <c:pt idx="17">
                  <c:v>96.1</c:v>
                </c:pt>
                <c:pt idx="18">
                  <c:v>91.1</c:v>
                </c:pt>
                <c:pt idx="19">
                  <c:v>86.1</c:v>
                </c:pt>
                <c:pt idx="20">
                  <c:v>81.099999999999994</c:v>
                </c:pt>
                <c:pt idx="21">
                  <c:v>83.949999999999989</c:v>
                </c:pt>
                <c:pt idx="22">
                  <c:v>78.949999999999989</c:v>
                </c:pt>
                <c:pt idx="23">
                  <c:v>128.94999999999999</c:v>
                </c:pt>
                <c:pt idx="24">
                  <c:v>131.44999999999999</c:v>
                </c:pt>
                <c:pt idx="25">
                  <c:v>126.44999999999999</c:v>
                </c:pt>
                <c:pt idx="26">
                  <c:v>121.44999999999999</c:v>
                </c:pt>
                <c:pt idx="27">
                  <c:v>123.94999999999999</c:v>
                </c:pt>
                <c:pt idx="28">
                  <c:v>118.94999999999999</c:v>
                </c:pt>
                <c:pt idx="29">
                  <c:v>113.94999999999999</c:v>
                </c:pt>
                <c:pt idx="30">
                  <c:v>113.94999999999999</c:v>
                </c:pt>
                <c:pt idx="31">
                  <c:v>116.44999999999999</c:v>
                </c:pt>
                <c:pt idx="32">
                  <c:v>111.44999999999999</c:v>
                </c:pt>
                <c:pt idx="33">
                  <c:v>106.44999999999999</c:v>
                </c:pt>
                <c:pt idx="34">
                  <c:v>101.44999999999999</c:v>
                </c:pt>
                <c:pt idx="35">
                  <c:v>103.64999999999999</c:v>
                </c:pt>
                <c:pt idx="36">
                  <c:v>106.14999999999999</c:v>
                </c:pt>
                <c:pt idx="37">
                  <c:v>101.14999999999999</c:v>
                </c:pt>
                <c:pt idx="38">
                  <c:v>96.149999999999991</c:v>
                </c:pt>
                <c:pt idx="39">
                  <c:v>91.149999999999991</c:v>
                </c:pt>
                <c:pt idx="40">
                  <c:v>93.35</c:v>
                </c:pt>
                <c:pt idx="41">
                  <c:v>88.35</c:v>
                </c:pt>
                <c:pt idx="42">
                  <c:v>83.35</c:v>
                </c:pt>
                <c:pt idx="43">
                  <c:v>78.349999999999994</c:v>
                </c:pt>
                <c:pt idx="44">
                  <c:v>83.35</c:v>
                </c:pt>
                <c:pt idx="45">
                  <c:v>84.75</c:v>
                </c:pt>
                <c:pt idx="46">
                  <c:v>93.25</c:v>
                </c:pt>
                <c:pt idx="47">
                  <c:v>96.85</c:v>
                </c:pt>
                <c:pt idx="48">
                  <c:v>91.85</c:v>
                </c:pt>
                <c:pt idx="49">
                  <c:v>86.85</c:v>
                </c:pt>
                <c:pt idx="50">
                  <c:v>89.5</c:v>
                </c:pt>
                <c:pt idx="51">
                  <c:v>92.85</c:v>
                </c:pt>
                <c:pt idx="52">
                  <c:v>94.5</c:v>
                </c:pt>
                <c:pt idx="53">
                  <c:v>89.5</c:v>
                </c:pt>
                <c:pt idx="54">
                  <c:v>93.85</c:v>
                </c:pt>
                <c:pt idx="55">
                  <c:v>95.6</c:v>
                </c:pt>
                <c:pt idx="56">
                  <c:v>90.6</c:v>
                </c:pt>
                <c:pt idx="57">
                  <c:v>95.35</c:v>
                </c:pt>
                <c:pt idx="58">
                  <c:v>96.899999999999991</c:v>
                </c:pt>
                <c:pt idx="59">
                  <c:v>91.899999999999991</c:v>
                </c:pt>
                <c:pt idx="60">
                  <c:v>86.899999999999991</c:v>
                </c:pt>
                <c:pt idx="61">
                  <c:v>81.899999999999991</c:v>
                </c:pt>
                <c:pt idx="62">
                  <c:v>84.899999999999991</c:v>
                </c:pt>
                <c:pt idx="63">
                  <c:v>79.899999999999991</c:v>
                </c:pt>
                <c:pt idx="64">
                  <c:v>84.8125</c:v>
                </c:pt>
                <c:pt idx="65">
                  <c:v>79.8125</c:v>
                </c:pt>
                <c:pt idx="66">
                  <c:v>82.912499999999994</c:v>
                </c:pt>
                <c:pt idx="67">
                  <c:v>109.16249999999999</c:v>
                </c:pt>
                <c:pt idx="68">
                  <c:v>113.51249999999999</c:v>
                </c:pt>
                <c:pt idx="69">
                  <c:v>119.76249999999999</c:v>
                </c:pt>
                <c:pt idx="70">
                  <c:v>120.86249999999998</c:v>
                </c:pt>
                <c:pt idx="71">
                  <c:v>115.86249999999998</c:v>
                </c:pt>
                <c:pt idx="72">
                  <c:v>110.86249999999998</c:v>
                </c:pt>
                <c:pt idx="73">
                  <c:v>105.86249999999998</c:v>
                </c:pt>
                <c:pt idx="74">
                  <c:v>113.11249999999998</c:v>
                </c:pt>
                <c:pt idx="75">
                  <c:v>108.11249999999998</c:v>
                </c:pt>
                <c:pt idx="76">
                  <c:v>111.46249999999998</c:v>
                </c:pt>
                <c:pt idx="77">
                  <c:v>116.01249999999997</c:v>
                </c:pt>
                <c:pt idx="78">
                  <c:v>119.51249999999997</c:v>
                </c:pt>
                <c:pt idx="79">
                  <c:v>122.16249999999998</c:v>
                </c:pt>
                <c:pt idx="80">
                  <c:v>117.16249999999998</c:v>
                </c:pt>
                <c:pt idx="81">
                  <c:v>125.91249999999997</c:v>
                </c:pt>
                <c:pt idx="82">
                  <c:v>120.91249999999997</c:v>
                </c:pt>
                <c:pt idx="83">
                  <c:v>122.21249999999996</c:v>
                </c:pt>
                <c:pt idx="84">
                  <c:v>124.01249999999996</c:v>
                </c:pt>
                <c:pt idx="85">
                  <c:v>119.01249999999996</c:v>
                </c:pt>
                <c:pt idx="86">
                  <c:v>114.01249999999996</c:v>
                </c:pt>
                <c:pt idx="87">
                  <c:v>109.01249999999996</c:v>
                </c:pt>
                <c:pt idx="88">
                  <c:v>112.11249999999995</c:v>
                </c:pt>
                <c:pt idx="89">
                  <c:v>107.11249999999995</c:v>
                </c:pt>
                <c:pt idx="90">
                  <c:v>111.51249999999996</c:v>
                </c:pt>
                <c:pt idx="91">
                  <c:v>106.51249999999996</c:v>
                </c:pt>
                <c:pt idx="92">
                  <c:v>101.51249999999996</c:v>
                </c:pt>
                <c:pt idx="93">
                  <c:v>96.51249999999996</c:v>
                </c:pt>
                <c:pt idx="94">
                  <c:v>98.312499999999957</c:v>
                </c:pt>
                <c:pt idx="95">
                  <c:v>101.41249999999997</c:v>
                </c:pt>
                <c:pt idx="96">
                  <c:v>104.51249999999996</c:v>
                </c:pt>
                <c:pt idx="97">
                  <c:v>107.61249999999995</c:v>
                </c:pt>
                <c:pt idx="98">
                  <c:v>102.61249999999995</c:v>
                </c:pt>
                <c:pt idx="99">
                  <c:v>108.36249999999995</c:v>
                </c:pt>
                <c:pt idx="100">
                  <c:v>103.36249999999995</c:v>
                </c:pt>
                <c:pt idx="101">
                  <c:v>98.362499999999955</c:v>
                </c:pt>
                <c:pt idx="102">
                  <c:v>93.362499999999955</c:v>
                </c:pt>
                <c:pt idx="103">
                  <c:v>88.362499999999955</c:v>
                </c:pt>
                <c:pt idx="104">
                  <c:v>89.612499999999955</c:v>
                </c:pt>
                <c:pt idx="105">
                  <c:v>91.612499999999955</c:v>
                </c:pt>
                <c:pt idx="106">
                  <c:v>86.612499999999955</c:v>
                </c:pt>
                <c:pt idx="107">
                  <c:v>81.612499999999955</c:v>
                </c:pt>
                <c:pt idx="108">
                  <c:v>81.612499999999955</c:v>
                </c:pt>
                <c:pt idx="109">
                  <c:v>76.612499999999955</c:v>
                </c:pt>
                <c:pt idx="110">
                  <c:v>71.612499999999955</c:v>
                </c:pt>
                <c:pt idx="111">
                  <c:v>73.312499999999957</c:v>
                </c:pt>
                <c:pt idx="112">
                  <c:v>83.812499999999957</c:v>
                </c:pt>
                <c:pt idx="113">
                  <c:v>78.812499999999957</c:v>
                </c:pt>
                <c:pt idx="114">
                  <c:v>82.162499999999952</c:v>
                </c:pt>
                <c:pt idx="115">
                  <c:v>77.162499999999952</c:v>
                </c:pt>
                <c:pt idx="116">
                  <c:v>80.512499999999946</c:v>
                </c:pt>
                <c:pt idx="117">
                  <c:v>82.912499999999952</c:v>
                </c:pt>
                <c:pt idx="118">
                  <c:v>84.912499999999952</c:v>
                </c:pt>
                <c:pt idx="119">
                  <c:v>79.912499999999952</c:v>
                </c:pt>
                <c:pt idx="120">
                  <c:v>74.912499999999952</c:v>
                </c:pt>
                <c:pt idx="121">
                  <c:v>74.912499999999952</c:v>
                </c:pt>
                <c:pt idx="122">
                  <c:v>78.662499999999952</c:v>
                </c:pt>
                <c:pt idx="123">
                  <c:v>84.412499999999952</c:v>
                </c:pt>
                <c:pt idx="124">
                  <c:v>88.412499999999952</c:v>
                </c:pt>
                <c:pt idx="125">
                  <c:v>92.912499999999952</c:v>
                </c:pt>
                <c:pt idx="126">
                  <c:v>87.912499999999952</c:v>
                </c:pt>
                <c:pt idx="127">
                  <c:v>91.812499999999957</c:v>
                </c:pt>
                <c:pt idx="128">
                  <c:v>96.562499999999957</c:v>
                </c:pt>
                <c:pt idx="129">
                  <c:v>91.562499999999957</c:v>
                </c:pt>
                <c:pt idx="130">
                  <c:v>95.562499999999957</c:v>
                </c:pt>
                <c:pt idx="131">
                  <c:v>97.662499999999952</c:v>
                </c:pt>
                <c:pt idx="132">
                  <c:v>102.66249999999995</c:v>
                </c:pt>
                <c:pt idx="133">
                  <c:v>97.662499999999952</c:v>
                </c:pt>
                <c:pt idx="134">
                  <c:v>98.762499999999946</c:v>
                </c:pt>
                <c:pt idx="135">
                  <c:v>93.762499999999946</c:v>
                </c:pt>
                <c:pt idx="136">
                  <c:v>94.512499999999946</c:v>
                </c:pt>
                <c:pt idx="137">
                  <c:v>101.01249999999995</c:v>
                </c:pt>
                <c:pt idx="138">
                  <c:v>96.012499999999946</c:v>
                </c:pt>
                <c:pt idx="139">
                  <c:v>99.512499999999946</c:v>
                </c:pt>
                <c:pt idx="140">
                  <c:v>94.512499999999946</c:v>
                </c:pt>
                <c:pt idx="141">
                  <c:v>89.512499999999946</c:v>
                </c:pt>
                <c:pt idx="142">
                  <c:v>84.512499999999946</c:v>
                </c:pt>
                <c:pt idx="143">
                  <c:v>87.612499999999955</c:v>
                </c:pt>
                <c:pt idx="144">
                  <c:v>82.612499999999955</c:v>
                </c:pt>
                <c:pt idx="145">
                  <c:v>77.612499999999955</c:v>
                </c:pt>
                <c:pt idx="146">
                  <c:v>83.612499999999955</c:v>
                </c:pt>
                <c:pt idx="147">
                  <c:v>93.112499999999955</c:v>
                </c:pt>
                <c:pt idx="148">
                  <c:v>101.11249999999995</c:v>
                </c:pt>
                <c:pt idx="149">
                  <c:v>105.86249999999995</c:v>
                </c:pt>
                <c:pt idx="150">
                  <c:v>109.36249999999995</c:v>
                </c:pt>
                <c:pt idx="151">
                  <c:v>112.86249999999995</c:v>
                </c:pt>
                <c:pt idx="152">
                  <c:v>107.86249999999995</c:v>
                </c:pt>
                <c:pt idx="153">
                  <c:v>102.86249999999995</c:v>
                </c:pt>
                <c:pt idx="154">
                  <c:v>111.86249999999995</c:v>
                </c:pt>
                <c:pt idx="155">
                  <c:v>106.86249999999995</c:v>
                </c:pt>
                <c:pt idx="156">
                  <c:v>101.86249999999995</c:v>
                </c:pt>
                <c:pt idx="157">
                  <c:v>96.862499999999955</c:v>
                </c:pt>
                <c:pt idx="158">
                  <c:v>91.862499999999955</c:v>
                </c:pt>
                <c:pt idx="159">
                  <c:v>86.862499999999955</c:v>
                </c:pt>
                <c:pt idx="160">
                  <c:v>91.01249999999996</c:v>
                </c:pt>
                <c:pt idx="161">
                  <c:v>95.562499999999957</c:v>
                </c:pt>
                <c:pt idx="162">
                  <c:v>106.56249999999996</c:v>
                </c:pt>
                <c:pt idx="163">
                  <c:v>101.56249999999996</c:v>
                </c:pt>
                <c:pt idx="164">
                  <c:v>102.66249999999995</c:v>
                </c:pt>
                <c:pt idx="165">
                  <c:v>105.51249999999995</c:v>
                </c:pt>
                <c:pt idx="166">
                  <c:v>106.61249999999994</c:v>
                </c:pt>
                <c:pt idx="167">
                  <c:v>101.61249999999994</c:v>
                </c:pt>
                <c:pt idx="168">
                  <c:v>107.91249999999994</c:v>
                </c:pt>
                <c:pt idx="169">
                  <c:v>112.91249999999994</c:v>
                </c:pt>
                <c:pt idx="170">
                  <c:v>107.91249999999994</c:v>
                </c:pt>
                <c:pt idx="171">
                  <c:v>102.91249999999994</c:v>
                </c:pt>
                <c:pt idx="172">
                  <c:v>97.912499999999937</c:v>
                </c:pt>
                <c:pt idx="173">
                  <c:v>92.912499999999937</c:v>
                </c:pt>
                <c:pt idx="174">
                  <c:v>87.912499999999937</c:v>
                </c:pt>
                <c:pt idx="175">
                  <c:v>91.262499999999932</c:v>
                </c:pt>
                <c:pt idx="176">
                  <c:v>95.012499999999932</c:v>
                </c:pt>
                <c:pt idx="177">
                  <c:v>90.012499999999932</c:v>
                </c:pt>
                <c:pt idx="178">
                  <c:v>93.012499999999932</c:v>
                </c:pt>
                <c:pt idx="179">
                  <c:v>88.012499999999932</c:v>
                </c:pt>
                <c:pt idx="180">
                  <c:v>83.012499999999932</c:v>
                </c:pt>
                <c:pt idx="181">
                  <c:v>87.512499999999932</c:v>
                </c:pt>
                <c:pt idx="182">
                  <c:v>92.762499999999932</c:v>
                </c:pt>
                <c:pt idx="183">
                  <c:v>87.762499999999932</c:v>
                </c:pt>
                <c:pt idx="184">
                  <c:v>82.762499999999932</c:v>
                </c:pt>
                <c:pt idx="185">
                  <c:v>89.012499999999932</c:v>
                </c:pt>
                <c:pt idx="186">
                  <c:v>92.262499999999932</c:v>
                </c:pt>
                <c:pt idx="187">
                  <c:v>87.262499999999932</c:v>
                </c:pt>
                <c:pt idx="188">
                  <c:v>89.912499999999937</c:v>
                </c:pt>
                <c:pt idx="189">
                  <c:v>84.912499999999937</c:v>
                </c:pt>
                <c:pt idx="190">
                  <c:v>79.912499999999937</c:v>
                </c:pt>
                <c:pt idx="191">
                  <c:v>85.662499999999937</c:v>
                </c:pt>
                <c:pt idx="192">
                  <c:v>80.662499999999937</c:v>
                </c:pt>
                <c:pt idx="193">
                  <c:v>84.162499999999937</c:v>
                </c:pt>
                <c:pt idx="194">
                  <c:v>79.162499999999937</c:v>
                </c:pt>
                <c:pt idx="195">
                  <c:v>82.412499999999937</c:v>
                </c:pt>
                <c:pt idx="196">
                  <c:v>77.412499999999937</c:v>
                </c:pt>
                <c:pt idx="197">
                  <c:v>72.412499999999937</c:v>
                </c:pt>
                <c:pt idx="198">
                  <c:v>67.412499999999937</c:v>
                </c:pt>
                <c:pt idx="199">
                  <c:v>62.412499999999937</c:v>
                </c:pt>
                <c:pt idx="200">
                  <c:v>67.162499999999937</c:v>
                </c:pt>
                <c:pt idx="201">
                  <c:v>75.662499999999937</c:v>
                </c:pt>
                <c:pt idx="202">
                  <c:v>70.662499999999937</c:v>
                </c:pt>
                <c:pt idx="203">
                  <c:v>72.662499999999937</c:v>
                </c:pt>
                <c:pt idx="204">
                  <c:v>67.662499999999937</c:v>
                </c:pt>
                <c:pt idx="205">
                  <c:v>57.662499999999937</c:v>
                </c:pt>
                <c:pt idx="206">
                  <c:v>52.662499999999937</c:v>
                </c:pt>
                <c:pt idx="207">
                  <c:v>55.512499999999939</c:v>
                </c:pt>
                <c:pt idx="208">
                  <c:v>50.512499999999939</c:v>
                </c:pt>
                <c:pt idx="209">
                  <c:v>53.262499999999939</c:v>
                </c:pt>
                <c:pt idx="210">
                  <c:v>48.262499999999939</c:v>
                </c:pt>
                <c:pt idx="211">
                  <c:v>43.262499999999939</c:v>
                </c:pt>
                <c:pt idx="212">
                  <c:v>44.817499999999939</c:v>
                </c:pt>
                <c:pt idx="213">
                  <c:v>39.817499999999939</c:v>
                </c:pt>
                <c:pt idx="214">
                  <c:v>69.817499999999939</c:v>
                </c:pt>
                <c:pt idx="215">
                  <c:v>66.447499999999934</c:v>
                </c:pt>
                <c:pt idx="216">
                  <c:v>68.412499999999923</c:v>
                </c:pt>
                <c:pt idx="217">
                  <c:v>70.012499999999918</c:v>
                </c:pt>
                <c:pt idx="218">
                  <c:v>71.452499999999915</c:v>
                </c:pt>
                <c:pt idx="219">
                  <c:v>70.452499999999915</c:v>
                </c:pt>
                <c:pt idx="220">
                  <c:v>69.452499999999915</c:v>
                </c:pt>
                <c:pt idx="221">
                  <c:v>64.452499999999915</c:v>
                </c:pt>
                <c:pt idx="222">
                  <c:v>89.452499999999915</c:v>
                </c:pt>
                <c:pt idx="223">
                  <c:v>91.652499999999918</c:v>
                </c:pt>
                <c:pt idx="224">
                  <c:v>95.802499999999924</c:v>
                </c:pt>
                <c:pt idx="225">
                  <c:v>93.802499999999924</c:v>
                </c:pt>
                <c:pt idx="226">
                  <c:v>95.752499999999927</c:v>
                </c:pt>
                <c:pt idx="227">
                  <c:v>97.877499999999927</c:v>
                </c:pt>
                <c:pt idx="228">
                  <c:v>95.377499999999927</c:v>
                </c:pt>
                <c:pt idx="229">
                  <c:v>92.377499999999927</c:v>
                </c:pt>
                <c:pt idx="230">
                  <c:v>90.377499999999927</c:v>
                </c:pt>
                <c:pt idx="231">
                  <c:v>102.87749999999993</c:v>
                </c:pt>
                <c:pt idx="232">
                  <c:v>109.62749999999993</c:v>
                </c:pt>
                <c:pt idx="233">
                  <c:v>111.02749999999993</c:v>
                </c:pt>
                <c:pt idx="234">
                  <c:v>106.02749999999993</c:v>
                </c:pt>
                <c:pt idx="235">
                  <c:v>109.16249999999994</c:v>
                </c:pt>
                <c:pt idx="236">
                  <c:v>111.56249999999994</c:v>
                </c:pt>
                <c:pt idx="237">
                  <c:v>112.96249999999995</c:v>
                </c:pt>
                <c:pt idx="238">
                  <c:v>121.46249999999995</c:v>
                </c:pt>
                <c:pt idx="239">
                  <c:v>119.46249999999995</c:v>
                </c:pt>
                <c:pt idx="240">
                  <c:v>123.61249999999995</c:v>
                </c:pt>
                <c:pt idx="241">
                  <c:v>121.11249999999995</c:v>
                </c:pt>
                <c:pt idx="242">
                  <c:v>119.11249999999995</c:v>
                </c:pt>
                <c:pt idx="243">
                  <c:v>121.86249999999995</c:v>
                </c:pt>
                <c:pt idx="244">
                  <c:v>119.36249999999995</c:v>
                </c:pt>
                <c:pt idx="245">
                  <c:v>114.36249999999995</c:v>
                </c:pt>
                <c:pt idx="246">
                  <c:v>112.36249999999995</c:v>
                </c:pt>
                <c:pt idx="247">
                  <c:v>114.81349999999996</c:v>
                </c:pt>
                <c:pt idx="248">
                  <c:v>112.81349999999996</c:v>
                </c:pt>
                <c:pt idx="249">
                  <c:v>110.81349999999996</c:v>
                </c:pt>
                <c:pt idx="250">
                  <c:v>108.81349999999996</c:v>
                </c:pt>
                <c:pt idx="251">
                  <c:v>106.81349999999996</c:v>
                </c:pt>
                <c:pt idx="252">
                  <c:v>108.56349999999996</c:v>
                </c:pt>
                <c:pt idx="253">
                  <c:v>103.56349999999996</c:v>
                </c:pt>
                <c:pt idx="254">
                  <c:v>98.563499999999962</c:v>
                </c:pt>
                <c:pt idx="255">
                  <c:v>93.563499999999962</c:v>
                </c:pt>
                <c:pt idx="256">
                  <c:v>88.563499999999962</c:v>
                </c:pt>
                <c:pt idx="257">
                  <c:v>92.313499999999962</c:v>
                </c:pt>
                <c:pt idx="258">
                  <c:v>87.313499999999962</c:v>
                </c:pt>
                <c:pt idx="259">
                  <c:v>82.313499999999962</c:v>
                </c:pt>
                <c:pt idx="260">
                  <c:v>83.063499999999962</c:v>
                </c:pt>
                <c:pt idx="261">
                  <c:v>78.063499999999962</c:v>
                </c:pt>
                <c:pt idx="262">
                  <c:v>73.063499999999962</c:v>
                </c:pt>
                <c:pt idx="263">
                  <c:v>98.063499999999962</c:v>
                </c:pt>
                <c:pt idx="264">
                  <c:v>163.06349999999998</c:v>
                </c:pt>
                <c:pt idx="265">
                  <c:v>158.06349999999998</c:v>
                </c:pt>
                <c:pt idx="266">
                  <c:v>159.86349999999999</c:v>
                </c:pt>
                <c:pt idx="267">
                  <c:v>154.86349999999999</c:v>
                </c:pt>
                <c:pt idx="268">
                  <c:v>157.06349999999998</c:v>
                </c:pt>
                <c:pt idx="269">
                  <c:v>159.46349999999998</c:v>
                </c:pt>
                <c:pt idx="270">
                  <c:v>154.46349999999998</c:v>
                </c:pt>
                <c:pt idx="271">
                  <c:v>149.46349999999998</c:v>
                </c:pt>
                <c:pt idx="272">
                  <c:v>144.46349999999998</c:v>
                </c:pt>
                <c:pt idx="273">
                  <c:v>139.46349999999998</c:v>
                </c:pt>
                <c:pt idx="274">
                  <c:v>144.96349999999998</c:v>
                </c:pt>
                <c:pt idx="275">
                  <c:v>139.96349999999998</c:v>
                </c:pt>
                <c:pt idx="276">
                  <c:v>134.96349999999998</c:v>
                </c:pt>
                <c:pt idx="277">
                  <c:v>140.96349999999998</c:v>
                </c:pt>
                <c:pt idx="278">
                  <c:v>135.96349999999998</c:v>
                </c:pt>
                <c:pt idx="279">
                  <c:v>137.96349999999998</c:v>
                </c:pt>
                <c:pt idx="280">
                  <c:v>145.96349999999998</c:v>
                </c:pt>
                <c:pt idx="281">
                  <c:v>143.46349999999998</c:v>
                </c:pt>
                <c:pt idx="282">
                  <c:v>148.01349999999999</c:v>
                </c:pt>
                <c:pt idx="283">
                  <c:v>145.01349999999999</c:v>
                </c:pt>
                <c:pt idx="284">
                  <c:v>148.76349999999999</c:v>
                </c:pt>
                <c:pt idx="285">
                  <c:v>153.76349999999999</c:v>
                </c:pt>
                <c:pt idx="286">
                  <c:v>148.76349999999999</c:v>
                </c:pt>
                <c:pt idx="287">
                  <c:v>143.76349999999999</c:v>
                </c:pt>
                <c:pt idx="288">
                  <c:v>146.4135</c:v>
                </c:pt>
                <c:pt idx="289">
                  <c:v>155.4135</c:v>
                </c:pt>
                <c:pt idx="290">
                  <c:v>159.3135</c:v>
                </c:pt>
                <c:pt idx="291">
                  <c:v>154.3135</c:v>
                </c:pt>
                <c:pt idx="292">
                  <c:v>134.3135</c:v>
                </c:pt>
                <c:pt idx="293">
                  <c:v>129.3135</c:v>
                </c:pt>
                <c:pt idx="294">
                  <c:v>138.8135</c:v>
                </c:pt>
                <c:pt idx="295">
                  <c:v>133.8135</c:v>
                </c:pt>
                <c:pt idx="296">
                  <c:v>135.21350000000001</c:v>
                </c:pt>
                <c:pt idx="297">
                  <c:v>143.71350000000001</c:v>
                </c:pt>
                <c:pt idx="298">
                  <c:v>141.71350000000001</c:v>
                </c:pt>
                <c:pt idx="299">
                  <c:v>139.71350000000001</c:v>
                </c:pt>
                <c:pt idx="300">
                  <c:v>137.71350000000001</c:v>
                </c:pt>
                <c:pt idx="301">
                  <c:v>135.71350000000001</c:v>
                </c:pt>
                <c:pt idx="302">
                  <c:v>133.71350000000001</c:v>
                </c:pt>
                <c:pt idx="303">
                  <c:v>123.71350000000001</c:v>
                </c:pt>
                <c:pt idx="304">
                  <c:v>127.9135</c:v>
                </c:pt>
                <c:pt idx="305">
                  <c:v>125.9135</c:v>
                </c:pt>
                <c:pt idx="306">
                  <c:v>136.9135</c:v>
                </c:pt>
                <c:pt idx="307">
                  <c:v>134.9135</c:v>
                </c:pt>
                <c:pt idx="308">
                  <c:v>129.9135</c:v>
                </c:pt>
                <c:pt idx="309">
                  <c:v>147.9135</c:v>
                </c:pt>
                <c:pt idx="310">
                  <c:v>142.9135</c:v>
                </c:pt>
                <c:pt idx="311">
                  <c:v>145.11349999999999</c:v>
                </c:pt>
                <c:pt idx="312">
                  <c:v>146.26349999999999</c:v>
                </c:pt>
                <c:pt idx="313">
                  <c:v>149.26349999999999</c:v>
                </c:pt>
                <c:pt idx="314">
                  <c:v>150.36349999999999</c:v>
                </c:pt>
                <c:pt idx="315">
                  <c:v>145.36349999999999</c:v>
                </c:pt>
                <c:pt idx="316">
                  <c:v>140.36349999999999</c:v>
                </c:pt>
                <c:pt idx="317">
                  <c:v>137.86349999999999</c:v>
                </c:pt>
                <c:pt idx="318">
                  <c:v>135.86349999999999</c:v>
                </c:pt>
                <c:pt idx="319">
                  <c:v>133.86349999999999</c:v>
                </c:pt>
                <c:pt idx="320">
                  <c:v>131.86349999999999</c:v>
                </c:pt>
                <c:pt idx="321">
                  <c:v>126.86349999999999</c:v>
                </c:pt>
                <c:pt idx="322">
                  <c:v>121.86349999999999</c:v>
                </c:pt>
                <c:pt idx="323">
                  <c:v>125.36349999999999</c:v>
                </c:pt>
                <c:pt idx="324">
                  <c:v>121.79349999999999</c:v>
                </c:pt>
                <c:pt idx="325">
                  <c:v>124.79349999999999</c:v>
                </c:pt>
                <c:pt idx="326">
                  <c:v>136.29349999999999</c:v>
                </c:pt>
                <c:pt idx="327">
                  <c:v>139.04349999999999</c:v>
                </c:pt>
                <c:pt idx="328">
                  <c:v>135.54349999999999</c:v>
                </c:pt>
                <c:pt idx="329">
                  <c:v>139.14349999999999</c:v>
                </c:pt>
                <c:pt idx="330">
                  <c:v>146.14349999999999</c:v>
                </c:pt>
                <c:pt idx="331">
                  <c:v>144.14349999999999</c:v>
                </c:pt>
                <c:pt idx="332">
                  <c:v>142.14349999999999</c:v>
                </c:pt>
                <c:pt idx="333">
                  <c:v>137.14349999999999</c:v>
                </c:pt>
                <c:pt idx="334">
                  <c:v>155.14349999999999</c:v>
                </c:pt>
                <c:pt idx="335">
                  <c:v>153.14349999999999</c:v>
                </c:pt>
                <c:pt idx="336">
                  <c:v>151.14349999999999</c:v>
                </c:pt>
                <c:pt idx="337">
                  <c:v>149.14349999999999</c:v>
                </c:pt>
                <c:pt idx="338">
                  <c:v>144.14349999999999</c:v>
                </c:pt>
                <c:pt idx="339">
                  <c:v>148.14349999999999</c:v>
                </c:pt>
                <c:pt idx="340">
                  <c:v>149.79349999999999</c:v>
                </c:pt>
                <c:pt idx="341">
                  <c:v>153.39349999999999</c:v>
                </c:pt>
                <c:pt idx="342">
                  <c:v>165.39349999999999</c:v>
                </c:pt>
                <c:pt idx="343">
                  <c:v>160.39349999999999</c:v>
                </c:pt>
                <c:pt idx="344">
                  <c:v>158.39349999999999</c:v>
                </c:pt>
                <c:pt idx="345">
                  <c:v>156.39349999999999</c:v>
                </c:pt>
                <c:pt idx="346">
                  <c:v>163.39349999999999</c:v>
                </c:pt>
                <c:pt idx="347">
                  <c:v>158.39349999999999</c:v>
                </c:pt>
                <c:pt idx="348">
                  <c:v>160.04349999999999</c:v>
                </c:pt>
                <c:pt idx="349">
                  <c:v>164.39349999999999</c:v>
                </c:pt>
                <c:pt idx="350">
                  <c:v>178.14349999999999</c:v>
                </c:pt>
                <c:pt idx="351">
                  <c:v>176.14349999999999</c:v>
                </c:pt>
                <c:pt idx="352">
                  <c:v>171.14349999999999</c:v>
                </c:pt>
                <c:pt idx="353">
                  <c:v>179.64349999999999</c:v>
                </c:pt>
                <c:pt idx="354">
                  <c:v>174.64349999999999</c:v>
                </c:pt>
                <c:pt idx="355">
                  <c:v>177.99349999999998</c:v>
                </c:pt>
                <c:pt idx="356">
                  <c:v>179.99349999999998</c:v>
                </c:pt>
                <c:pt idx="357">
                  <c:v>174.99349999999998</c:v>
                </c:pt>
                <c:pt idx="358">
                  <c:v>169.99349999999998</c:v>
                </c:pt>
                <c:pt idx="359">
                  <c:v>164.99349999999998</c:v>
                </c:pt>
                <c:pt idx="360">
                  <c:v>159.99349999999998</c:v>
                </c:pt>
                <c:pt idx="361">
                  <c:v>149.99349999999998</c:v>
                </c:pt>
                <c:pt idx="362">
                  <c:v>144.99349999999998</c:v>
                </c:pt>
                <c:pt idx="363">
                  <c:v>139.99349999999998</c:v>
                </c:pt>
                <c:pt idx="364">
                  <c:v>134.99349999999998</c:v>
                </c:pt>
                <c:pt idx="365">
                  <c:v>129.99349999999998</c:v>
                </c:pt>
                <c:pt idx="366">
                  <c:v>124.99349999999998</c:v>
                </c:pt>
                <c:pt idx="367">
                  <c:v>124.99349999999998</c:v>
                </c:pt>
                <c:pt idx="368">
                  <c:v>124.99349999999998</c:v>
                </c:pt>
                <c:pt idx="369">
                  <c:v>124.99349999999998</c:v>
                </c:pt>
                <c:pt idx="370">
                  <c:v>124.99349999999998</c:v>
                </c:pt>
                <c:pt idx="371">
                  <c:v>124.99349999999998</c:v>
                </c:pt>
                <c:pt idx="372">
                  <c:v>124.99349999999998</c:v>
                </c:pt>
                <c:pt idx="373">
                  <c:v>124.99349999999998</c:v>
                </c:pt>
                <c:pt idx="374">
                  <c:v>124.99349999999998</c:v>
                </c:pt>
                <c:pt idx="375">
                  <c:v>124.99349999999998</c:v>
                </c:pt>
                <c:pt idx="376">
                  <c:v>124.99349999999998</c:v>
                </c:pt>
                <c:pt idx="377">
                  <c:v>124.99349999999998</c:v>
                </c:pt>
                <c:pt idx="378">
                  <c:v>124.99349999999998</c:v>
                </c:pt>
                <c:pt idx="379">
                  <c:v>124.99349999999998</c:v>
                </c:pt>
                <c:pt idx="380">
                  <c:v>124.99349999999998</c:v>
                </c:pt>
                <c:pt idx="381">
                  <c:v>124.99349999999998</c:v>
                </c:pt>
                <c:pt idx="382">
                  <c:v>124.99349999999998</c:v>
                </c:pt>
                <c:pt idx="383">
                  <c:v>124.99349999999998</c:v>
                </c:pt>
                <c:pt idx="384">
                  <c:v>124.99349999999998</c:v>
                </c:pt>
                <c:pt idx="385">
                  <c:v>124.99349999999998</c:v>
                </c:pt>
                <c:pt idx="386">
                  <c:v>124.99349999999998</c:v>
                </c:pt>
                <c:pt idx="387">
                  <c:v>124.99349999999998</c:v>
                </c:pt>
                <c:pt idx="388">
                  <c:v>124.99349999999998</c:v>
                </c:pt>
                <c:pt idx="389">
                  <c:v>124.99349999999998</c:v>
                </c:pt>
                <c:pt idx="390">
                  <c:v>124.99349999999998</c:v>
                </c:pt>
                <c:pt idx="391">
                  <c:v>124.99349999999998</c:v>
                </c:pt>
                <c:pt idx="392">
                  <c:v>124.99349999999998</c:v>
                </c:pt>
                <c:pt idx="393">
                  <c:v>124.99349999999998</c:v>
                </c:pt>
              </c:numCache>
            </c:numRef>
          </c:val>
        </c:ser>
        <c:marker val="1"/>
        <c:axId val="128119168"/>
        <c:axId val="128120704"/>
      </c:lineChart>
      <c:catAx>
        <c:axId val="128119168"/>
        <c:scaling>
          <c:orientation val="minMax"/>
        </c:scaling>
        <c:axPos val="b"/>
        <c:numFmt formatCode="d/m;@" sourceLinked="0"/>
        <c:tickLblPos val="none"/>
        <c:crossAx val="128120704"/>
        <c:crosses val="autoZero"/>
        <c:auto val="1"/>
        <c:lblAlgn val="ctr"/>
        <c:lblOffset val="100"/>
      </c:catAx>
      <c:valAx>
        <c:axId val="128120704"/>
        <c:scaling>
          <c:orientation val="minMax"/>
          <c:max val="200"/>
        </c:scaling>
        <c:axPos val="l"/>
        <c:numFmt formatCode="#,##0.00" sourceLinked="1"/>
        <c:tickLblPos val="nextTo"/>
        <c:crossAx val="128119168"/>
        <c:crosses val="autoZero"/>
        <c:crossBetween val="between"/>
        <c:majorUnit val="10"/>
      </c:valAx>
    </c:plotArea>
    <c:dispBlanksAs val="zero"/>
  </c:chart>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en-US"/>
              <a:t>GAIN</a:t>
            </a:r>
          </a:p>
        </c:rich>
      </c:tx>
    </c:title>
    <c:plotArea>
      <c:layout/>
      <c:scatterChart>
        <c:scatterStyle val="lineMarker"/>
        <c:ser>
          <c:idx val="0"/>
          <c:order val="0"/>
          <c:tx>
            <c:strRef>
              <c:f>recap!$Z$1</c:f>
              <c:strCache>
                <c:ptCount val="1"/>
                <c:pt idx="0">
                  <c:v>GAIN TOTAL</c:v>
                </c:pt>
              </c:strCache>
            </c:strRef>
          </c:tx>
          <c:marker>
            <c:symbol val="none"/>
          </c:marker>
          <c:trendline>
            <c:trendlineType val="linear"/>
          </c:trendline>
          <c:yVal>
            <c:numRef>
              <c:f>recap!$Z$3:$Z$395</c:f>
              <c:numCache>
                <c:formatCode>#,##0.00_ ;[Red]\-#,##0.00\ </c:formatCode>
                <c:ptCount val="393"/>
                <c:pt idx="0">
                  <c:v>7.5</c:v>
                </c:pt>
                <c:pt idx="1">
                  <c:v>-2.5</c:v>
                </c:pt>
                <c:pt idx="2">
                  <c:v>-7.5</c:v>
                </c:pt>
                <c:pt idx="3">
                  <c:v>-0.5</c:v>
                </c:pt>
                <c:pt idx="4">
                  <c:v>-10.5</c:v>
                </c:pt>
                <c:pt idx="5">
                  <c:v>-15.5</c:v>
                </c:pt>
                <c:pt idx="6">
                  <c:v>-15.5</c:v>
                </c:pt>
                <c:pt idx="7">
                  <c:v>-11</c:v>
                </c:pt>
                <c:pt idx="8">
                  <c:v>-21</c:v>
                </c:pt>
                <c:pt idx="9">
                  <c:v>-31</c:v>
                </c:pt>
                <c:pt idx="10">
                  <c:v>-36</c:v>
                </c:pt>
                <c:pt idx="11">
                  <c:v>-41</c:v>
                </c:pt>
                <c:pt idx="12">
                  <c:v>-46</c:v>
                </c:pt>
                <c:pt idx="13">
                  <c:v>-43.9</c:v>
                </c:pt>
                <c:pt idx="14">
                  <c:v>-48.9</c:v>
                </c:pt>
                <c:pt idx="15">
                  <c:v>-53.9</c:v>
                </c:pt>
                <c:pt idx="16">
                  <c:v>-53.9</c:v>
                </c:pt>
                <c:pt idx="17">
                  <c:v>-58.9</c:v>
                </c:pt>
                <c:pt idx="18">
                  <c:v>-63.9</c:v>
                </c:pt>
                <c:pt idx="19">
                  <c:v>-68.900000000000006</c:v>
                </c:pt>
                <c:pt idx="20">
                  <c:v>-66.050000000000011</c:v>
                </c:pt>
                <c:pt idx="21">
                  <c:v>-71.050000000000011</c:v>
                </c:pt>
                <c:pt idx="22">
                  <c:v>-71.050000000000011</c:v>
                </c:pt>
                <c:pt idx="23">
                  <c:v>-68.550000000000011</c:v>
                </c:pt>
                <c:pt idx="24">
                  <c:v>-73.550000000000011</c:v>
                </c:pt>
                <c:pt idx="25">
                  <c:v>-78.550000000000011</c:v>
                </c:pt>
                <c:pt idx="26">
                  <c:v>-76.050000000000011</c:v>
                </c:pt>
                <c:pt idx="27">
                  <c:v>-81.050000000000011</c:v>
                </c:pt>
                <c:pt idx="28">
                  <c:v>-86.050000000000011</c:v>
                </c:pt>
                <c:pt idx="29">
                  <c:v>-86.050000000000011</c:v>
                </c:pt>
                <c:pt idx="30">
                  <c:v>-83.550000000000011</c:v>
                </c:pt>
                <c:pt idx="31">
                  <c:v>-88.550000000000011</c:v>
                </c:pt>
                <c:pt idx="32">
                  <c:v>-93.550000000000011</c:v>
                </c:pt>
                <c:pt idx="33">
                  <c:v>-98.550000000000011</c:v>
                </c:pt>
                <c:pt idx="34">
                  <c:v>-96.350000000000009</c:v>
                </c:pt>
                <c:pt idx="35">
                  <c:v>-93.850000000000009</c:v>
                </c:pt>
                <c:pt idx="36">
                  <c:v>-98.850000000000009</c:v>
                </c:pt>
                <c:pt idx="37">
                  <c:v>-103.85000000000001</c:v>
                </c:pt>
                <c:pt idx="38">
                  <c:v>-108.85000000000001</c:v>
                </c:pt>
                <c:pt idx="39">
                  <c:v>-106.65</c:v>
                </c:pt>
                <c:pt idx="40">
                  <c:v>-111.65</c:v>
                </c:pt>
                <c:pt idx="41">
                  <c:v>-116.65</c:v>
                </c:pt>
                <c:pt idx="42">
                  <c:v>-121.65</c:v>
                </c:pt>
                <c:pt idx="43">
                  <c:v>-116.65</c:v>
                </c:pt>
                <c:pt idx="44">
                  <c:v>-115.25</c:v>
                </c:pt>
                <c:pt idx="45">
                  <c:v>-106.75</c:v>
                </c:pt>
                <c:pt idx="46">
                  <c:v>-103.15</c:v>
                </c:pt>
                <c:pt idx="47">
                  <c:v>-108.15</c:v>
                </c:pt>
                <c:pt idx="48">
                  <c:v>-113.15</c:v>
                </c:pt>
                <c:pt idx="49">
                  <c:v>-110.5</c:v>
                </c:pt>
                <c:pt idx="50">
                  <c:v>-107.15</c:v>
                </c:pt>
                <c:pt idx="51">
                  <c:v>-105.5</c:v>
                </c:pt>
                <c:pt idx="52">
                  <c:v>-110.5</c:v>
                </c:pt>
                <c:pt idx="53">
                  <c:v>-106.15</c:v>
                </c:pt>
                <c:pt idx="54">
                  <c:v>-104.4</c:v>
                </c:pt>
                <c:pt idx="55">
                  <c:v>-109.4</c:v>
                </c:pt>
                <c:pt idx="56">
                  <c:v>-104.65</c:v>
                </c:pt>
                <c:pt idx="57">
                  <c:v>-103.10000000000001</c:v>
                </c:pt>
                <c:pt idx="58">
                  <c:v>-108.10000000000001</c:v>
                </c:pt>
                <c:pt idx="59">
                  <c:v>-113.10000000000001</c:v>
                </c:pt>
                <c:pt idx="60">
                  <c:v>-118.10000000000001</c:v>
                </c:pt>
                <c:pt idx="61">
                  <c:v>-115.10000000000001</c:v>
                </c:pt>
                <c:pt idx="62">
                  <c:v>-120.10000000000001</c:v>
                </c:pt>
                <c:pt idx="63">
                  <c:v>-115.18750000000001</c:v>
                </c:pt>
                <c:pt idx="64">
                  <c:v>-120.18750000000001</c:v>
                </c:pt>
                <c:pt idx="65">
                  <c:v>-117.08750000000001</c:v>
                </c:pt>
                <c:pt idx="66">
                  <c:v>-90.837500000000006</c:v>
                </c:pt>
                <c:pt idx="67">
                  <c:v>-86.487500000000011</c:v>
                </c:pt>
                <c:pt idx="68">
                  <c:v>-80.237500000000011</c:v>
                </c:pt>
                <c:pt idx="69">
                  <c:v>-79.137500000000017</c:v>
                </c:pt>
                <c:pt idx="70">
                  <c:v>-84.137500000000017</c:v>
                </c:pt>
                <c:pt idx="71">
                  <c:v>-89.137500000000017</c:v>
                </c:pt>
                <c:pt idx="72">
                  <c:v>-94.137500000000017</c:v>
                </c:pt>
                <c:pt idx="73">
                  <c:v>-86.887500000000017</c:v>
                </c:pt>
                <c:pt idx="74">
                  <c:v>-91.887500000000017</c:v>
                </c:pt>
                <c:pt idx="75">
                  <c:v>-88.537500000000023</c:v>
                </c:pt>
                <c:pt idx="76">
                  <c:v>-83.987500000000026</c:v>
                </c:pt>
                <c:pt idx="77">
                  <c:v>-80.487500000000026</c:v>
                </c:pt>
                <c:pt idx="78">
                  <c:v>-77.83750000000002</c:v>
                </c:pt>
                <c:pt idx="79">
                  <c:v>-82.83750000000002</c:v>
                </c:pt>
                <c:pt idx="80">
                  <c:v>-74.08750000000002</c:v>
                </c:pt>
                <c:pt idx="81">
                  <c:v>-79.08750000000002</c:v>
                </c:pt>
                <c:pt idx="82">
                  <c:v>-77.787500000000023</c:v>
                </c:pt>
                <c:pt idx="83">
                  <c:v>-75.987500000000026</c:v>
                </c:pt>
                <c:pt idx="84">
                  <c:v>-80.987500000000026</c:v>
                </c:pt>
                <c:pt idx="85">
                  <c:v>-85.987500000000026</c:v>
                </c:pt>
                <c:pt idx="86">
                  <c:v>-90.987500000000026</c:v>
                </c:pt>
                <c:pt idx="87">
                  <c:v>-87.887500000000017</c:v>
                </c:pt>
                <c:pt idx="88">
                  <c:v>-92.887500000000017</c:v>
                </c:pt>
                <c:pt idx="89">
                  <c:v>-88.487500000000011</c:v>
                </c:pt>
                <c:pt idx="90">
                  <c:v>-93.487500000000011</c:v>
                </c:pt>
                <c:pt idx="91">
                  <c:v>-98.487500000000011</c:v>
                </c:pt>
                <c:pt idx="92">
                  <c:v>-103.48750000000001</c:v>
                </c:pt>
                <c:pt idx="93">
                  <c:v>-101.68750000000001</c:v>
                </c:pt>
                <c:pt idx="94">
                  <c:v>-98.587500000000006</c:v>
                </c:pt>
                <c:pt idx="95">
                  <c:v>-95.487500000000011</c:v>
                </c:pt>
                <c:pt idx="96">
                  <c:v>-92.387500000000017</c:v>
                </c:pt>
                <c:pt idx="97">
                  <c:v>-97.387500000000017</c:v>
                </c:pt>
                <c:pt idx="98">
                  <c:v>-91.637500000000017</c:v>
                </c:pt>
                <c:pt idx="99">
                  <c:v>-96.637500000000017</c:v>
                </c:pt>
                <c:pt idx="100">
                  <c:v>-101.63750000000002</c:v>
                </c:pt>
                <c:pt idx="101">
                  <c:v>-106.63750000000002</c:v>
                </c:pt>
                <c:pt idx="102">
                  <c:v>-111.63750000000002</c:v>
                </c:pt>
                <c:pt idx="103">
                  <c:v>-110.38750000000002</c:v>
                </c:pt>
                <c:pt idx="104">
                  <c:v>-108.38750000000002</c:v>
                </c:pt>
                <c:pt idx="105">
                  <c:v>-113.38750000000002</c:v>
                </c:pt>
                <c:pt idx="106">
                  <c:v>-118.38750000000002</c:v>
                </c:pt>
                <c:pt idx="107">
                  <c:v>-118.38750000000002</c:v>
                </c:pt>
                <c:pt idx="108">
                  <c:v>-123.38750000000002</c:v>
                </c:pt>
                <c:pt idx="109">
                  <c:v>-128.38750000000002</c:v>
                </c:pt>
                <c:pt idx="110">
                  <c:v>-126.68750000000001</c:v>
                </c:pt>
                <c:pt idx="111">
                  <c:v>-116.18750000000001</c:v>
                </c:pt>
                <c:pt idx="112">
                  <c:v>-121.18750000000001</c:v>
                </c:pt>
                <c:pt idx="113">
                  <c:v>-117.83750000000002</c:v>
                </c:pt>
                <c:pt idx="114">
                  <c:v>-122.83750000000002</c:v>
                </c:pt>
                <c:pt idx="115">
                  <c:v>-119.48750000000003</c:v>
                </c:pt>
                <c:pt idx="116">
                  <c:v>-117.08750000000002</c:v>
                </c:pt>
                <c:pt idx="117">
                  <c:v>-115.08750000000002</c:v>
                </c:pt>
                <c:pt idx="118">
                  <c:v>-120.08750000000002</c:v>
                </c:pt>
                <c:pt idx="119">
                  <c:v>-125.08750000000002</c:v>
                </c:pt>
                <c:pt idx="120">
                  <c:v>-125.08750000000002</c:v>
                </c:pt>
                <c:pt idx="121">
                  <c:v>-121.33750000000002</c:v>
                </c:pt>
                <c:pt idx="122">
                  <c:v>-115.58750000000002</c:v>
                </c:pt>
                <c:pt idx="123">
                  <c:v>-111.58750000000002</c:v>
                </c:pt>
                <c:pt idx="124">
                  <c:v>-107.08750000000002</c:v>
                </c:pt>
                <c:pt idx="125">
                  <c:v>-112.08750000000002</c:v>
                </c:pt>
                <c:pt idx="126">
                  <c:v>-108.18750000000001</c:v>
                </c:pt>
                <c:pt idx="127">
                  <c:v>-103.43750000000001</c:v>
                </c:pt>
                <c:pt idx="128">
                  <c:v>-108.43750000000001</c:v>
                </c:pt>
                <c:pt idx="129">
                  <c:v>-104.43750000000001</c:v>
                </c:pt>
                <c:pt idx="130">
                  <c:v>-102.33750000000002</c:v>
                </c:pt>
                <c:pt idx="131">
                  <c:v>-97.33750000000002</c:v>
                </c:pt>
                <c:pt idx="132">
                  <c:v>-102.33750000000002</c:v>
                </c:pt>
                <c:pt idx="133">
                  <c:v>-101.23750000000003</c:v>
                </c:pt>
                <c:pt idx="134">
                  <c:v>-106.23750000000003</c:v>
                </c:pt>
                <c:pt idx="135">
                  <c:v>-105.48750000000003</c:v>
                </c:pt>
                <c:pt idx="136">
                  <c:v>-98.987500000000026</c:v>
                </c:pt>
                <c:pt idx="137">
                  <c:v>-103.98750000000003</c:v>
                </c:pt>
                <c:pt idx="138">
                  <c:v>-100.48750000000003</c:v>
                </c:pt>
                <c:pt idx="139">
                  <c:v>-105.48750000000003</c:v>
                </c:pt>
                <c:pt idx="140">
                  <c:v>-110.48750000000003</c:v>
                </c:pt>
                <c:pt idx="141">
                  <c:v>-115.48750000000003</c:v>
                </c:pt>
                <c:pt idx="142">
                  <c:v>-112.38750000000002</c:v>
                </c:pt>
                <c:pt idx="143">
                  <c:v>-117.38750000000002</c:v>
                </c:pt>
                <c:pt idx="144">
                  <c:v>-122.38750000000002</c:v>
                </c:pt>
                <c:pt idx="145">
                  <c:v>-116.38750000000002</c:v>
                </c:pt>
                <c:pt idx="146">
                  <c:v>-106.88750000000002</c:v>
                </c:pt>
                <c:pt idx="147">
                  <c:v>-98.887500000000017</c:v>
                </c:pt>
                <c:pt idx="148">
                  <c:v>-94.137500000000017</c:v>
                </c:pt>
                <c:pt idx="149">
                  <c:v>-90.637500000000017</c:v>
                </c:pt>
                <c:pt idx="150">
                  <c:v>-87.137500000000017</c:v>
                </c:pt>
                <c:pt idx="151">
                  <c:v>-92.137500000000017</c:v>
                </c:pt>
                <c:pt idx="152">
                  <c:v>-97.137500000000017</c:v>
                </c:pt>
                <c:pt idx="153">
                  <c:v>-88.137500000000017</c:v>
                </c:pt>
                <c:pt idx="154">
                  <c:v>-93.137500000000017</c:v>
                </c:pt>
                <c:pt idx="155">
                  <c:v>-98.137500000000017</c:v>
                </c:pt>
                <c:pt idx="156">
                  <c:v>-103.13750000000002</c:v>
                </c:pt>
                <c:pt idx="157">
                  <c:v>-108.13750000000002</c:v>
                </c:pt>
                <c:pt idx="158">
                  <c:v>-113.13750000000002</c:v>
                </c:pt>
                <c:pt idx="159">
                  <c:v>-108.98750000000001</c:v>
                </c:pt>
                <c:pt idx="160">
                  <c:v>-104.43750000000001</c:v>
                </c:pt>
                <c:pt idx="161">
                  <c:v>-93.437500000000014</c:v>
                </c:pt>
                <c:pt idx="162">
                  <c:v>-98.437500000000014</c:v>
                </c:pt>
                <c:pt idx="163">
                  <c:v>-97.33750000000002</c:v>
                </c:pt>
                <c:pt idx="164">
                  <c:v>-94.487500000000026</c:v>
                </c:pt>
                <c:pt idx="165">
                  <c:v>-93.387500000000031</c:v>
                </c:pt>
                <c:pt idx="166">
                  <c:v>-98.387500000000031</c:v>
                </c:pt>
                <c:pt idx="167">
                  <c:v>-92.087500000000034</c:v>
                </c:pt>
                <c:pt idx="168">
                  <c:v>-87.087500000000034</c:v>
                </c:pt>
                <c:pt idx="169">
                  <c:v>-92.087500000000034</c:v>
                </c:pt>
                <c:pt idx="170">
                  <c:v>-97.087500000000034</c:v>
                </c:pt>
                <c:pt idx="171">
                  <c:v>-102.08750000000003</c:v>
                </c:pt>
                <c:pt idx="172">
                  <c:v>-107.08750000000003</c:v>
                </c:pt>
                <c:pt idx="173">
                  <c:v>-112.08750000000003</c:v>
                </c:pt>
                <c:pt idx="174">
                  <c:v>-108.73750000000004</c:v>
                </c:pt>
                <c:pt idx="175">
                  <c:v>-104.98750000000004</c:v>
                </c:pt>
                <c:pt idx="176">
                  <c:v>-109.98750000000004</c:v>
                </c:pt>
                <c:pt idx="177">
                  <c:v>-106.98750000000004</c:v>
                </c:pt>
                <c:pt idx="178">
                  <c:v>-111.98750000000004</c:v>
                </c:pt>
                <c:pt idx="179">
                  <c:v>-116.98750000000004</c:v>
                </c:pt>
                <c:pt idx="180">
                  <c:v>-112.48750000000004</c:v>
                </c:pt>
                <c:pt idx="181">
                  <c:v>-107.23750000000004</c:v>
                </c:pt>
                <c:pt idx="182">
                  <c:v>-112.23750000000004</c:v>
                </c:pt>
                <c:pt idx="183">
                  <c:v>-117.23750000000004</c:v>
                </c:pt>
                <c:pt idx="184">
                  <c:v>-110.98750000000004</c:v>
                </c:pt>
                <c:pt idx="185">
                  <c:v>-107.73750000000004</c:v>
                </c:pt>
                <c:pt idx="186">
                  <c:v>-112.73750000000004</c:v>
                </c:pt>
                <c:pt idx="187">
                  <c:v>-110.08750000000003</c:v>
                </c:pt>
                <c:pt idx="188">
                  <c:v>-115.08750000000003</c:v>
                </c:pt>
                <c:pt idx="189">
                  <c:v>-120.08750000000003</c:v>
                </c:pt>
                <c:pt idx="190">
                  <c:v>-114.33750000000003</c:v>
                </c:pt>
                <c:pt idx="191">
                  <c:v>-119.33750000000003</c:v>
                </c:pt>
                <c:pt idx="192">
                  <c:v>-115.83750000000003</c:v>
                </c:pt>
                <c:pt idx="193">
                  <c:v>-120.83750000000003</c:v>
                </c:pt>
                <c:pt idx="194">
                  <c:v>-117.58750000000003</c:v>
                </c:pt>
                <c:pt idx="195">
                  <c:v>-122.58750000000003</c:v>
                </c:pt>
                <c:pt idx="196">
                  <c:v>-127.58750000000003</c:v>
                </c:pt>
                <c:pt idx="197">
                  <c:v>-132.58750000000003</c:v>
                </c:pt>
                <c:pt idx="198">
                  <c:v>-137.58750000000003</c:v>
                </c:pt>
                <c:pt idx="199">
                  <c:v>-132.83750000000003</c:v>
                </c:pt>
                <c:pt idx="200">
                  <c:v>-124.33750000000003</c:v>
                </c:pt>
                <c:pt idx="201">
                  <c:v>-129.33750000000003</c:v>
                </c:pt>
                <c:pt idx="202">
                  <c:v>-127.33750000000003</c:v>
                </c:pt>
                <c:pt idx="203">
                  <c:v>-132.33750000000003</c:v>
                </c:pt>
                <c:pt idx="204">
                  <c:v>-142.33750000000003</c:v>
                </c:pt>
                <c:pt idx="205">
                  <c:v>-147.33750000000003</c:v>
                </c:pt>
                <c:pt idx="206">
                  <c:v>-144.48750000000004</c:v>
                </c:pt>
                <c:pt idx="207">
                  <c:v>-149.48750000000004</c:v>
                </c:pt>
                <c:pt idx="208">
                  <c:v>-146.73750000000004</c:v>
                </c:pt>
                <c:pt idx="209">
                  <c:v>-151.73750000000004</c:v>
                </c:pt>
                <c:pt idx="210">
                  <c:v>-156.73750000000004</c:v>
                </c:pt>
                <c:pt idx="211">
                  <c:v>-155.18250000000003</c:v>
                </c:pt>
                <c:pt idx="212">
                  <c:v>-160.18250000000003</c:v>
                </c:pt>
                <c:pt idx="213">
                  <c:v>-160.18250000000003</c:v>
                </c:pt>
                <c:pt idx="214">
                  <c:v>-163.55250000000004</c:v>
                </c:pt>
                <c:pt idx="215">
                  <c:v>-161.58750000000003</c:v>
                </c:pt>
                <c:pt idx="216">
                  <c:v>-159.98750000000004</c:v>
                </c:pt>
                <c:pt idx="217">
                  <c:v>-158.54750000000004</c:v>
                </c:pt>
                <c:pt idx="218">
                  <c:v>-159.54750000000004</c:v>
                </c:pt>
                <c:pt idx="219">
                  <c:v>-160.54750000000004</c:v>
                </c:pt>
                <c:pt idx="220">
                  <c:v>-165.54750000000004</c:v>
                </c:pt>
                <c:pt idx="221">
                  <c:v>-165.54750000000004</c:v>
                </c:pt>
                <c:pt idx="222">
                  <c:v>-163.34750000000005</c:v>
                </c:pt>
                <c:pt idx="223">
                  <c:v>-159.19750000000005</c:v>
                </c:pt>
                <c:pt idx="224">
                  <c:v>-161.19750000000005</c:v>
                </c:pt>
                <c:pt idx="225">
                  <c:v>-159.24750000000006</c:v>
                </c:pt>
                <c:pt idx="226">
                  <c:v>-157.12250000000006</c:v>
                </c:pt>
                <c:pt idx="227">
                  <c:v>-159.62250000000006</c:v>
                </c:pt>
                <c:pt idx="228">
                  <c:v>-162.62250000000006</c:v>
                </c:pt>
                <c:pt idx="229">
                  <c:v>-164.62250000000006</c:v>
                </c:pt>
                <c:pt idx="230">
                  <c:v>-152.12250000000006</c:v>
                </c:pt>
                <c:pt idx="231">
                  <c:v>-145.37250000000006</c:v>
                </c:pt>
                <c:pt idx="232">
                  <c:v>-143.97250000000005</c:v>
                </c:pt>
                <c:pt idx="233">
                  <c:v>-148.97250000000005</c:v>
                </c:pt>
                <c:pt idx="234">
                  <c:v>-145.84750000000005</c:v>
                </c:pt>
                <c:pt idx="235">
                  <c:v>-143.44750000000005</c:v>
                </c:pt>
                <c:pt idx="236">
                  <c:v>-142.04750000000004</c:v>
                </c:pt>
                <c:pt idx="237">
                  <c:v>-133.54750000000004</c:v>
                </c:pt>
                <c:pt idx="238">
                  <c:v>-135.54750000000004</c:v>
                </c:pt>
                <c:pt idx="239">
                  <c:v>-131.39750000000004</c:v>
                </c:pt>
                <c:pt idx="240">
                  <c:v>-133.89750000000004</c:v>
                </c:pt>
                <c:pt idx="241">
                  <c:v>-135.89750000000004</c:v>
                </c:pt>
                <c:pt idx="242">
                  <c:v>-133.14750000000004</c:v>
                </c:pt>
                <c:pt idx="243">
                  <c:v>-135.64750000000004</c:v>
                </c:pt>
                <c:pt idx="244">
                  <c:v>-140.64750000000004</c:v>
                </c:pt>
                <c:pt idx="245">
                  <c:v>-142.64750000000004</c:v>
                </c:pt>
                <c:pt idx="246">
                  <c:v>-140.19650000000004</c:v>
                </c:pt>
                <c:pt idx="247">
                  <c:v>-142.19650000000004</c:v>
                </c:pt>
                <c:pt idx="248">
                  <c:v>-144.19650000000004</c:v>
                </c:pt>
                <c:pt idx="249">
                  <c:v>-146.19650000000004</c:v>
                </c:pt>
                <c:pt idx="250">
                  <c:v>-148.19650000000004</c:v>
                </c:pt>
                <c:pt idx="251">
                  <c:v>-146.44650000000004</c:v>
                </c:pt>
                <c:pt idx="252">
                  <c:v>-151.44650000000004</c:v>
                </c:pt>
                <c:pt idx="253">
                  <c:v>-156.44650000000004</c:v>
                </c:pt>
                <c:pt idx="254">
                  <c:v>-161.44650000000004</c:v>
                </c:pt>
                <c:pt idx="255">
                  <c:v>-166.44650000000004</c:v>
                </c:pt>
                <c:pt idx="256">
                  <c:v>-162.69650000000004</c:v>
                </c:pt>
                <c:pt idx="257">
                  <c:v>-167.69650000000004</c:v>
                </c:pt>
                <c:pt idx="258">
                  <c:v>-172.69650000000004</c:v>
                </c:pt>
                <c:pt idx="259">
                  <c:v>-171.94650000000004</c:v>
                </c:pt>
                <c:pt idx="260">
                  <c:v>-176.94650000000004</c:v>
                </c:pt>
                <c:pt idx="261">
                  <c:v>-181.94650000000004</c:v>
                </c:pt>
                <c:pt idx="262">
                  <c:v>-181.94650000000004</c:v>
                </c:pt>
                <c:pt idx="263">
                  <c:v>-181.94650000000004</c:v>
                </c:pt>
                <c:pt idx="264">
                  <c:v>-186.94650000000004</c:v>
                </c:pt>
                <c:pt idx="265">
                  <c:v>-185.14650000000003</c:v>
                </c:pt>
                <c:pt idx="266">
                  <c:v>-190.14650000000003</c:v>
                </c:pt>
                <c:pt idx="267">
                  <c:v>-187.94650000000004</c:v>
                </c:pt>
                <c:pt idx="268">
                  <c:v>-185.54650000000004</c:v>
                </c:pt>
                <c:pt idx="269">
                  <c:v>-190.54650000000004</c:v>
                </c:pt>
                <c:pt idx="270">
                  <c:v>-195.54650000000004</c:v>
                </c:pt>
                <c:pt idx="271">
                  <c:v>-200.54650000000004</c:v>
                </c:pt>
                <c:pt idx="272">
                  <c:v>-205.54650000000004</c:v>
                </c:pt>
                <c:pt idx="273">
                  <c:v>-200.04650000000004</c:v>
                </c:pt>
                <c:pt idx="274">
                  <c:v>-205.04650000000004</c:v>
                </c:pt>
                <c:pt idx="275">
                  <c:v>-210.04650000000004</c:v>
                </c:pt>
                <c:pt idx="276">
                  <c:v>-204.04650000000004</c:v>
                </c:pt>
                <c:pt idx="277">
                  <c:v>-209.04650000000004</c:v>
                </c:pt>
                <c:pt idx="278">
                  <c:v>-207.04650000000004</c:v>
                </c:pt>
                <c:pt idx="279">
                  <c:v>-199.04650000000004</c:v>
                </c:pt>
                <c:pt idx="280">
                  <c:v>-201.54650000000004</c:v>
                </c:pt>
                <c:pt idx="281">
                  <c:v>-196.99650000000003</c:v>
                </c:pt>
                <c:pt idx="282">
                  <c:v>-199.99650000000003</c:v>
                </c:pt>
                <c:pt idx="283">
                  <c:v>-196.24650000000003</c:v>
                </c:pt>
                <c:pt idx="284">
                  <c:v>-191.24650000000003</c:v>
                </c:pt>
                <c:pt idx="285">
                  <c:v>-196.24650000000003</c:v>
                </c:pt>
                <c:pt idx="286">
                  <c:v>-201.24650000000003</c:v>
                </c:pt>
                <c:pt idx="287">
                  <c:v>-198.59650000000002</c:v>
                </c:pt>
                <c:pt idx="288">
                  <c:v>-189.59650000000002</c:v>
                </c:pt>
                <c:pt idx="289">
                  <c:v>-185.69650000000001</c:v>
                </c:pt>
                <c:pt idx="290">
                  <c:v>-190.69650000000001</c:v>
                </c:pt>
                <c:pt idx="291">
                  <c:v>-210.69650000000001</c:v>
                </c:pt>
                <c:pt idx="292">
                  <c:v>-215.69650000000001</c:v>
                </c:pt>
                <c:pt idx="293">
                  <c:v>-206.19650000000001</c:v>
                </c:pt>
                <c:pt idx="294">
                  <c:v>-211.19650000000001</c:v>
                </c:pt>
                <c:pt idx="295">
                  <c:v>-209.79650000000001</c:v>
                </c:pt>
                <c:pt idx="296">
                  <c:v>-201.29650000000001</c:v>
                </c:pt>
                <c:pt idx="297">
                  <c:v>-203.29650000000001</c:v>
                </c:pt>
                <c:pt idx="298">
                  <c:v>-205.29650000000001</c:v>
                </c:pt>
                <c:pt idx="299">
                  <c:v>-207.29650000000001</c:v>
                </c:pt>
                <c:pt idx="300">
                  <c:v>-209.29650000000001</c:v>
                </c:pt>
                <c:pt idx="301">
                  <c:v>-211.29650000000001</c:v>
                </c:pt>
                <c:pt idx="302">
                  <c:v>-221.29650000000001</c:v>
                </c:pt>
                <c:pt idx="303">
                  <c:v>-217.09650000000002</c:v>
                </c:pt>
                <c:pt idx="304">
                  <c:v>-219.09650000000002</c:v>
                </c:pt>
                <c:pt idx="305">
                  <c:v>-208.09650000000002</c:v>
                </c:pt>
                <c:pt idx="306">
                  <c:v>-210.09650000000002</c:v>
                </c:pt>
                <c:pt idx="307">
                  <c:v>-215.09650000000002</c:v>
                </c:pt>
                <c:pt idx="308">
                  <c:v>-197.09650000000002</c:v>
                </c:pt>
                <c:pt idx="309">
                  <c:v>-202.09650000000002</c:v>
                </c:pt>
                <c:pt idx="310">
                  <c:v>-199.89650000000003</c:v>
                </c:pt>
                <c:pt idx="311">
                  <c:v>-198.74650000000003</c:v>
                </c:pt>
                <c:pt idx="312">
                  <c:v>-195.74650000000003</c:v>
                </c:pt>
                <c:pt idx="313">
                  <c:v>-194.64650000000003</c:v>
                </c:pt>
                <c:pt idx="314">
                  <c:v>-199.64650000000003</c:v>
                </c:pt>
                <c:pt idx="315">
                  <c:v>-204.64650000000003</c:v>
                </c:pt>
                <c:pt idx="316">
                  <c:v>-207.14650000000003</c:v>
                </c:pt>
                <c:pt idx="317">
                  <c:v>-209.14650000000003</c:v>
                </c:pt>
                <c:pt idx="318">
                  <c:v>-211.14650000000003</c:v>
                </c:pt>
                <c:pt idx="319">
                  <c:v>-213.14650000000003</c:v>
                </c:pt>
                <c:pt idx="320">
                  <c:v>-218.14650000000003</c:v>
                </c:pt>
                <c:pt idx="321">
                  <c:v>-223.14650000000003</c:v>
                </c:pt>
                <c:pt idx="322">
                  <c:v>-219.64650000000003</c:v>
                </c:pt>
                <c:pt idx="323">
                  <c:v>-223.21650000000002</c:v>
                </c:pt>
                <c:pt idx="324">
                  <c:v>-220.21650000000002</c:v>
                </c:pt>
                <c:pt idx="325">
                  <c:v>-208.71650000000002</c:v>
                </c:pt>
                <c:pt idx="326">
                  <c:v>-205.96650000000002</c:v>
                </c:pt>
                <c:pt idx="327">
                  <c:v>-209.46650000000002</c:v>
                </c:pt>
                <c:pt idx="328">
                  <c:v>-205.86650000000003</c:v>
                </c:pt>
                <c:pt idx="329">
                  <c:v>-198.86650000000003</c:v>
                </c:pt>
                <c:pt idx="330">
                  <c:v>-200.86650000000003</c:v>
                </c:pt>
                <c:pt idx="331">
                  <c:v>-202.86650000000003</c:v>
                </c:pt>
                <c:pt idx="332">
                  <c:v>-207.86650000000003</c:v>
                </c:pt>
                <c:pt idx="333">
                  <c:v>-189.86650000000003</c:v>
                </c:pt>
                <c:pt idx="334">
                  <c:v>-191.86650000000003</c:v>
                </c:pt>
                <c:pt idx="335">
                  <c:v>-193.86650000000003</c:v>
                </c:pt>
                <c:pt idx="336">
                  <c:v>-195.86650000000003</c:v>
                </c:pt>
                <c:pt idx="337">
                  <c:v>-200.86650000000003</c:v>
                </c:pt>
                <c:pt idx="338">
                  <c:v>-196.86650000000003</c:v>
                </c:pt>
                <c:pt idx="339">
                  <c:v>-195.21650000000002</c:v>
                </c:pt>
                <c:pt idx="340">
                  <c:v>-191.61650000000003</c:v>
                </c:pt>
                <c:pt idx="341">
                  <c:v>-179.61650000000003</c:v>
                </c:pt>
                <c:pt idx="342">
                  <c:v>-184.61650000000003</c:v>
                </c:pt>
                <c:pt idx="343">
                  <c:v>-186.61650000000003</c:v>
                </c:pt>
                <c:pt idx="344">
                  <c:v>-188.61650000000003</c:v>
                </c:pt>
                <c:pt idx="345">
                  <c:v>-181.61650000000003</c:v>
                </c:pt>
                <c:pt idx="346">
                  <c:v>-186.61650000000003</c:v>
                </c:pt>
                <c:pt idx="347">
                  <c:v>-184.96650000000002</c:v>
                </c:pt>
                <c:pt idx="348">
                  <c:v>-180.61650000000003</c:v>
                </c:pt>
                <c:pt idx="349">
                  <c:v>-166.86650000000003</c:v>
                </c:pt>
                <c:pt idx="350">
                  <c:v>-168.86650000000003</c:v>
                </c:pt>
                <c:pt idx="351">
                  <c:v>-173.86650000000003</c:v>
                </c:pt>
                <c:pt idx="352">
                  <c:v>-165.36650000000003</c:v>
                </c:pt>
                <c:pt idx="353">
                  <c:v>-170.36650000000003</c:v>
                </c:pt>
                <c:pt idx="354">
                  <c:v>-167.01650000000004</c:v>
                </c:pt>
                <c:pt idx="355">
                  <c:v>-165.01650000000004</c:v>
                </c:pt>
                <c:pt idx="356">
                  <c:v>-170.01650000000004</c:v>
                </c:pt>
                <c:pt idx="357">
                  <c:v>-175.01650000000004</c:v>
                </c:pt>
                <c:pt idx="358">
                  <c:v>-180.01650000000004</c:v>
                </c:pt>
                <c:pt idx="359">
                  <c:v>-185.01650000000004</c:v>
                </c:pt>
                <c:pt idx="360">
                  <c:v>-195.01650000000004</c:v>
                </c:pt>
                <c:pt idx="361">
                  <c:v>-200.01650000000004</c:v>
                </c:pt>
                <c:pt idx="362">
                  <c:v>-205.01650000000004</c:v>
                </c:pt>
                <c:pt idx="363">
                  <c:v>-210.01650000000004</c:v>
                </c:pt>
                <c:pt idx="364">
                  <c:v>-215.01650000000004</c:v>
                </c:pt>
                <c:pt idx="365">
                  <c:v>-220.01650000000004</c:v>
                </c:pt>
                <c:pt idx="366">
                  <c:v>-220.01650000000004</c:v>
                </c:pt>
                <c:pt idx="367">
                  <c:v>-220.01650000000004</c:v>
                </c:pt>
                <c:pt idx="368">
                  <c:v>-220.01650000000004</c:v>
                </c:pt>
                <c:pt idx="369">
                  <c:v>-220.01650000000004</c:v>
                </c:pt>
                <c:pt idx="370">
                  <c:v>-220.01650000000004</c:v>
                </c:pt>
                <c:pt idx="371">
                  <c:v>-220.01650000000004</c:v>
                </c:pt>
                <c:pt idx="372">
                  <c:v>-220.01650000000004</c:v>
                </c:pt>
                <c:pt idx="373">
                  <c:v>-220.01650000000004</c:v>
                </c:pt>
                <c:pt idx="374">
                  <c:v>-220.01650000000004</c:v>
                </c:pt>
                <c:pt idx="375">
                  <c:v>-220.01650000000004</c:v>
                </c:pt>
                <c:pt idx="376">
                  <c:v>-220.01650000000004</c:v>
                </c:pt>
                <c:pt idx="377">
                  <c:v>-220.01650000000004</c:v>
                </c:pt>
                <c:pt idx="378">
                  <c:v>-220.01650000000004</c:v>
                </c:pt>
                <c:pt idx="379">
                  <c:v>-220.01650000000004</c:v>
                </c:pt>
                <c:pt idx="380">
                  <c:v>-220.01650000000004</c:v>
                </c:pt>
                <c:pt idx="381">
                  <c:v>-220.01650000000004</c:v>
                </c:pt>
                <c:pt idx="382">
                  <c:v>-220.01650000000004</c:v>
                </c:pt>
                <c:pt idx="383">
                  <c:v>-220.01650000000004</c:v>
                </c:pt>
                <c:pt idx="384">
                  <c:v>-220.01650000000004</c:v>
                </c:pt>
                <c:pt idx="385">
                  <c:v>-220.01650000000004</c:v>
                </c:pt>
                <c:pt idx="386">
                  <c:v>-220.01650000000004</c:v>
                </c:pt>
                <c:pt idx="387">
                  <c:v>-220.01650000000004</c:v>
                </c:pt>
                <c:pt idx="388">
                  <c:v>-220.01650000000004</c:v>
                </c:pt>
                <c:pt idx="389">
                  <c:v>-220.01650000000004</c:v>
                </c:pt>
                <c:pt idx="390">
                  <c:v>-220.01650000000004</c:v>
                </c:pt>
                <c:pt idx="391">
                  <c:v>-220.01650000000004</c:v>
                </c:pt>
                <c:pt idx="392">
                  <c:v>-220.01650000000004</c:v>
                </c:pt>
              </c:numCache>
            </c:numRef>
          </c:yVal>
        </c:ser>
        <c:axId val="138635520"/>
        <c:axId val="138645504"/>
      </c:scatterChart>
      <c:valAx>
        <c:axId val="138635520"/>
        <c:scaling>
          <c:orientation val="minMax"/>
        </c:scaling>
        <c:delete val="1"/>
        <c:axPos val="b"/>
        <c:tickLblPos val="none"/>
        <c:crossAx val="138645504"/>
        <c:crosses val="autoZero"/>
        <c:crossBetween val="midCat"/>
        <c:majorUnit val="20"/>
      </c:valAx>
      <c:valAx>
        <c:axId val="138645504"/>
        <c:scaling>
          <c:orientation val="minMax"/>
        </c:scaling>
        <c:axPos val="l"/>
        <c:majorGridlines/>
        <c:numFmt formatCode="#,##0.00_ ;[Red]\-#,##0.00\ " sourceLinked="1"/>
        <c:tickLblPos val="nextTo"/>
        <c:crossAx val="138635520"/>
        <c:crosses val="autoZero"/>
        <c:crossBetween val="midCat"/>
        <c:majorUnit val="10"/>
      </c:valAx>
    </c:plotArea>
    <c:plotVisOnly val="1"/>
    <c:dispBlanksAs val="gap"/>
  </c:chart>
</c:chartSpace>
</file>

<file path=xl/charts/chart3.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CAGNOTTE YANN</a:t>
            </a:r>
          </a:p>
        </c:rich>
      </c:tx>
    </c:title>
    <c:plotArea>
      <c:layout>
        <c:manualLayout>
          <c:layoutTarget val="inner"/>
          <c:xMode val="edge"/>
          <c:yMode val="edge"/>
          <c:x val="5.9999578534594887E-2"/>
          <c:y val="7.5543297614713831E-2"/>
          <c:w val="0.91815303107812785"/>
          <c:h val="0.91167852450972664"/>
        </c:manualLayout>
      </c:layout>
      <c:lineChart>
        <c:grouping val="standard"/>
        <c:ser>
          <c:idx val="0"/>
          <c:order val="0"/>
          <c:tx>
            <c:strRef>
              <c:f>recap!$T$1</c:f>
              <c:strCache>
                <c:ptCount val="1"/>
                <c:pt idx="0">
                  <c:v>GAIN YANN</c:v>
                </c:pt>
              </c:strCache>
            </c:strRef>
          </c:tx>
          <c:marker>
            <c:symbol val="none"/>
          </c:marker>
          <c:trendline>
            <c:trendlineType val="linear"/>
          </c:trendline>
          <c:val>
            <c:numRef>
              <c:f>recap!$T$3:$T$395</c:f>
              <c:numCache>
                <c:formatCode>#,##0.00_ ;[Red]\-#,##0.00\ </c:formatCode>
                <c:ptCount val="393"/>
                <c:pt idx="0">
                  <c:v>7.5</c:v>
                </c:pt>
                <c:pt idx="1">
                  <c:v>-2.5</c:v>
                </c:pt>
                <c:pt idx="2">
                  <c:v>-7.5</c:v>
                </c:pt>
                <c:pt idx="3">
                  <c:v>-7.5</c:v>
                </c:pt>
                <c:pt idx="4">
                  <c:v>-7.5</c:v>
                </c:pt>
                <c:pt idx="5">
                  <c:v>-7.5</c:v>
                </c:pt>
                <c:pt idx="6">
                  <c:v>-7.5</c:v>
                </c:pt>
                <c:pt idx="7">
                  <c:v>-7.5</c:v>
                </c:pt>
                <c:pt idx="8">
                  <c:v>-7.5</c:v>
                </c:pt>
                <c:pt idx="9">
                  <c:v>-7.5</c:v>
                </c:pt>
                <c:pt idx="10">
                  <c:v>-12.5</c:v>
                </c:pt>
                <c:pt idx="11">
                  <c:v>-17.5</c:v>
                </c:pt>
                <c:pt idx="12">
                  <c:v>-22.5</c:v>
                </c:pt>
                <c:pt idx="13">
                  <c:v>-20.399999999999999</c:v>
                </c:pt>
                <c:pt idx="14">
                  <c:v>-25.4</c:v>
                </c:pt>
                <c:pt idx="15">
                  <c:v>-30.4</c:v>
                </c:pt>
                <c:pt idx="16">
                  <c:v>-30.4</c:v>
                </c:pt>
                <c:pt idx="17">
                  <c:v>-30.4</c:v>
                </c:pt>
                <c:pt idx="18">
                  <c:v>-30.4</c:v>
                </c:pt>
                <c:pt idx="19">
                  <c:v>-30.4</c:v>
                </c:pt>
                <c:pt idx="20">
                  <c:v>-30.4</c:v>
                </c:pt>
                <c:pt idx="21">
                  <c:v>-30.4</c:v>
                </c:pt>
                <c:pt idx="22">
                  <c:v>-30.4</c:v>
                </c:pt>
                <c:pt idx="23">
                  <c:v>-30.4</c:v>
                </c:pt>
                <c:pt idx="24">
                  <c:v>-30.4</c:v>
                </c:pt>
                <c:pt idx="25">
                  <c:v>-30.4</c:v>
                </c:pt>
                <c:pt idx="26">
                  <c:v>-30.4</c:v>
                </c:pt>
                <c:pt idx="27">
                  <c:v>-30.4</c:v>
                </c:pt>
                <c:pt idx="28">
                  <c:v>-30.4</c:v>
                </c:pt>
                <c:pt idx="29">
                  <c:v>-30.4</c:v>
                </c:pt>
                <c:pt idx="30">
                  <c:v>-30.4</c:v>
                </c:pt>
                <c:pt idx="31">
                  <c:v>-30.4</c:v>
                </c:pt>
                <c:pt idx="32">
                  <c:v>-30.4</c:v>
                </c:pt>
                <c:pt idx="33">
                  <c:v>-30.4</c:v>
                </c:pt>
                <c:pt idx="34">
                  <c:v>-30.4</c:v>
                </c:pt>
                <c:pt idx="35">
                  <c:v>-30.4</c:v>
                </c:pt>
                <c:pt idx="36">
                  <c:v>-30.4</c:v>
                </c:pt>
                <c:pt idx="37">
                  <c:v>-30.4</c:v>
                </c:pt>
                <c:pt idx="38">
                  <c:v>-30.4</c:v>
                </c:pt>
                <c:pt idx="39">
                  <c:v>-30.4</c:v>
                </c:pt>
                <c:pt idx="40">
                  <c:v>-30.4</c:v>
                </c:pt>
                <c:pt idx="41">
                  <c:v>-30.4</c:v>
                </c:pt>
                <c:pt idx="42">
                  <c:v>-30.4</c:v>
                </c:pt>
                <c:pt idx="43">
                  <c:v>-30.4</c:v>
                </c:pt>
                <c:pt idx="44">
                  <c:v>-30.4</c:v>
                </c:pt>
                <c:pt idx="45">
                  <c:v>-30.4</c:v>
                </c:pt>
                <c:pt idx="46">
                  <c:v>-26.799999999999997</c:v>
                </c:pt>
                <c:pt idx="47">
                  <c:v>-26.799999999999997</c:v>
                </c:pt>
                <c:pt idx="48">
                  <c:v>-31.799999999999997</c:v>
                </c:pt>
                <c:pt idx="49">
                  <c:v>-31.799999999999997</c:v>
                </c:pt>
                <c:pt idx="50">
                  <c:v>-28.449999999999996</c:v>
                </c:pt>
                <c:pt idx="51">
                  <c:v>-28.449999999999996</c:v>
                </c:pt>
                <c:pt idx="52">
                  <c:v>-33.449999999999996</c:v>
                </c:pt>
                <c:pt idx="53">
                  <c:v>-33.449999999999996</c:v>
                </c:pt>
                <c:pt idx="54">
                  <c:v>-33.449999999999996</c:v>
                </c:pt>
                <c:pt idx="55">
                  <c:v>-33.449999999999996</c:v>
                </c:pt>
                <c:pt idx="56">
                  <c:v>-33.449999999999996</c:v>
                </c:pt>
                <c:pt idx="57">
                  <c:v>-33.449999999999996</c:v>
                </c:pt>
                <c:pt idx="58">
                  <c:v>-38.449999999999996</c:v>
                </c:pt>
                <c:pt idx="59">
                  <c:v>-43.449999999999996</c:v>
                </c:pt>
                <c:pt idx="60">
                  <c:v>-43.449999999999996</c:v>
                </c:pt>
                <c:pt idx="61">
                  <c:v>-43.449999999999996</c:v>
                </c:pt>
                <c:pt idx="62">
                  <c:v>-43.449999999999996</c:v>
                </c:pt>
                <c:pt idx="63">
                  <c:v>-38.537499999999994</c:v>
                </c:pt>
                <c:pt idx="64">
                  <c:v>-38.537499999999994</c:v>
                </c:pt>
                <c:pt idx="65">
                  <c:v>-35.437499999999993</c:v>
                </c:pt>
                <c:pt idx="66">
                  <c:v>-9.1874999999999929</c:v>
                </c:pt>
                <c:pt idx="67">
                  <c:v>-9.1874999999999929</c:v>
                </c:pt>
                <c:pt idx="68">
                  <c:v>-9.1874999999999929</c:v>
                </c:pt>
                <c:pt idx="69">
                  <c:v>-9.1874999999999929</c:v>
                </c:pt>
                <c:pt idx="70">
                  <c:v>-9.1874999999999929</c:v>
                </c:pt>
                <c:pt idx="71">
                  <c:v>-14.187499999999993</c:v>
                </c:pt>
                <c:pt idx="72">
                  <c:v>-19.187499999999993</c:v>
                </c:pt>
                <c:pt idx="73">
                  <c:v>-11.937499999999993</c:v>
                </c:pt>
                <c:pt idx="74">
                  <c:v>-11.937499999999993</c:v>
                </c:pt>
                <c:pt idx="75">
                  <c:v>-11.937499999999993</c:v>
                </c:pt>
                <c:pt idx="76">
                  <c:v>-7.387499999999994</c:v>
                </c:pt>
                <c:pt idx="77">
                  <c:v>-3.887499999999994</c:v>
                </c:pt>
                <c:pt idx="78">
                  <c:v>-3.887499999999994</c:v>
                </c:pt>
                <c:pt idx="79">
                  <c:v>-8.887499999999994</c:v>
                </c:pt>
                <c:pt idx="80">
                  <c:v>-0.13749999999999396</c:v>
                </c:pt>
                <c:pt idx="81">
                  <c:v>-0.13749999999999396</c:v>
                </c:pt>
                <c:pt idx="82">
                  <c:v>-0.13749999999999396</c:v>
                </c:pt>
                <c:pt idx="83">
                  <c:v>-0.13749999999999396</c:v>
                </c:pt>
                <c:pt idx="84">
                  <c:v>-0.13749999999999396</c:v>
                </c:pt>
                <c:pt idx="85">
                  <c:v>-0.13749999999999396</c:v>
                </c:pt>
                <c:pt idx="86">
                  <c:v>-0.13749999999999396</c:v>
                </c:pt>
                <c:pt idx="87">
                  <c:v>-0.13749999999999396</c:v>
                </c:pt>
                <c:pt idx="88">
                  <c:v>-0.13749999999999396</c:v>
                </c:pt>
                <c:pt idx="89">
                  <c:v>4.2625000000000046</c:v>
                </c:pt>
                <c:pt idx="90">
                  <c:v>-0.73749999999999538</c:v>
                </c:pt>
                <c:pt idx="91">
                  <c:v>-5.7374999999999954</c:v>
                </c:pt>
                <c:pt idx="92">
                  <c:v>-5.7374999999999954</c:v>
                </c:pt>
                <c:pt idx="93">
                  <c:v>-5.7374999999999954</c:v>
                </c:pt>
                <c:pt idx="94">
                  <c:v>-5.7374999999999954</c:v>
                </c:pt>
                <c:pt idx="95">
                  <c:v>-5.7374999999999954</c:v>
                </c:pt>
                <c:pt idx="96">
                  <c:v>-5.7374999999999954</c:v>
                </c:pt>
                <c:pt idx="97">
                  <c:v>-5.7374999999999954</c:v>
                </c:pt>
                <c:pt idx="98">
                  <c:v>-5.7374999999999954</c:v>
                </c:pt>
                <c:pt idx="99">
                  <c:v>-10.737499999999995</c:v>
                </c:pt>
                <c:pt idx="100">
                  <c:v>-15.737499999999995</c:v>
                </c:pt>
                <c:pt idx="101">
                  <c:v>-20.737499999999997</c:v>
                </c:pt>
                <c:pt idx="102">
                  <c:v>-20.737499999999997</c:v>
                </c:pt>
                <c:pt idx="103">
                  <c:v>-20.737499999999997</c:v>
                </c:pt>
                <c:pt idx="104">
                  <c:v>-20.737499999999997</c:v>
                </c:pt>
                <c:pt idx="105">
                  <c:v>-20.737499999999997</c:v>
                </c:pt>
                <c:pt idx="106">
                  <c:v>-20.737499999999997</c:v>
                </c:pt>
                <c:pt idx="107">
                  <c:v>-20.737499999999997</c:v>
                </c:pt>
                <c:pt idx="108">
                  <c:v>-20.737499999999997</c:v>
                </c:pt>
                <c:pt idx="109">
                  <c:v>-20.737499999999997</c:v>
                </c:pt>
                <c:pt idx="110">
                  <c:v>-20.737499999999997</c:v>
                </c:pt>
                <c:pt idx="111">
                  <c:v>-20.737499999999997</c:v>
                </c:pt>
                <c:pt idx="112">
                  <c:v>-25.737499999999997</c:v>
                </c:pt>
                <c:pt idx="113">
                  <c:v>-22.387499999999996</c:v>
                </c:pt>
                <c:pt idx="114">
                  <c:v>-27.387499999999996</c:v>
                </c:pt>
                <c:pt idx="115">
                  <c:v>-24.037499999999994</c:v>
                </c:pt>
                <c:pt idx="116">
                  <c:v>-21.637499999999996</c:v>
                </c:pt>
                <c:pt idx="117">
                  <c:v>-21.637499999999996</c:v>
                </c:pt>
                <c:pt idx="118">
                  <c:v>-26.637499999999996</c:v>
                </c:pt>
                <c:pt idx="119">
                  <c:v>-31.637499999999996</c:v>
                </c:pt>
                <c:pt idx="120">
                  <c:v>-31.637499999999996</c:v>
                </c:pt>
                <c:pt idx="121">
                  <c:v>-27.887499999999996</c:v>
                </c:pt>
                <c:pt idx="122">
                  <c:v>-22.137499999999996</c:v>
                </c:pt>
                <c:pt idx="123">
                  <c:v>-18.137499999999996</c:v>
                </c:pt>
                <c:pt idx="124">
                  <c:v>-13.637499999999996</c:v>
                </c:pt>
                <c:pt idx="125">
                  <c:v>-13.637499999999996</c:v>
                </c:pt>
                <c:pt idx="126">
                  <c:v>-9.7374999999999954</c:v>
                </c:pt>
                <c:pt idx="127">
                  <c:v>-4.9874999999999954</c:v>
                </c:pt>
                <c:pt idx="128">
                  <c:v>-9.9874999999999954</c:v>
                </c:pt>
                <c:pt idx="129">
                  <c:v>-9.9874999999999954</c:v>
                </c:pt>
                <c:pt idx="130">
                  <c:v>-7.8874999999999957</c:v>
                </c:pt>
                <c:pt idx="131">
                  <c:v>-2.8874999999999957</c:v>
                </c:pt>
                <c:pt idx="132">
                  <c:v>-2.8874999999999957</c:v>
                </c:pt>
                <c:pt idx="133">
                  <c:v>-2.8874999999999957</c:v>
                </c:pt>
                <c:pt idx="134">
                  <c:v>-2.8874999999999957</c:v>
                </c:pt>
                <c:pt idx="135">
                  <c:v>-2.8874999999999957</c:v>
                </c:pt>
                <c:pt idx="136">
                  <c:v>3.6125000000000043</c:v>
                </c:pt>
                <c:pt idx="137">
                  <c:v>-1.3874999999999957</c:v>
                </c:pt>
                <c:pt idx="138">
                  <c:v>2.1125000000000043</c:v>
                </c:pt>
                <c:pt idx="139">
                  <c:v>-2.8874999999999957</c:v>
                </c:pt>
                <c:pt idx="140">
                  <c:v>-2.8874999999999957</c:v>
                </c:pt>
                <c:pt idx="141">
                  <c:v>-7.8874999999999957</c:v>
                </c:pt>
                <c:pt idx="142">
                  <c:v>-4.7874999999999943</c:v>
                </c:pt>
                <c:pt idx="143">
                  <c:v>-9.7874999999999943</c:v>
                </c:pt>
                <c:pt idx="144">
                  <c:v>-14.787499999999994</c:v>
                </c:pt>
                <c:pt idx="145">
                  <c:v>-14.787499999999994</c:v>
                </c:pt>
                <c:pt idx="146">
                  <c:v>-5.2874999999999943</c:v>
                </c:pt>
                <c:pt idx="147">
                  <c:v>2.7125000000000057</c:v>
                </c:pt>
                <c:pt idx="148">
                  <c:v>7.4625000000000057</c:v>
                </c:pt>
                <c:pt idx="149">
                  <c:v>10.962500000000006</c:v>
                </c:pt>
                <c:pt idx="150">
                  <c:v>14.462500000000006</c:v>
                </c:pt>
                <c:pt idx="151">
                  <c:v>9.4625000000000057</c:v>
                </c:pt>
                <c:pt idx="152">
                  <c:v>4.4625000000000057</c:v>
                </c:pt>
                <c:pt idx="153">
                  <c:v>13.462500000000006</c:v>
                </c:pt>
                <c:pt idx="154">
                  <c:v>8.4625000000000057</c:v>
                </c:pt>
                <c:pt idx="155">
                  <c:v>8.4625000000000057</c:v>
                </c:pt>
                <c:pt idx="156">
                  <c:v>8.4625000000000057</c:v>
                </c:pt>
                <c:pt idx="157">
                  <c:v>3.4625000000000057</c:v>
                </c:pt>
                <c:pt idx="158">
                  <c:v>-1.5374999999999943</c:v>
                </c:pt>
                <c:pt idx="159">
                  <c:v>2.612500000000006</c:v>
                </c:pt>
                <c:pt idx="160">
                  <c:v>7.162500000000005</c:v>
                </c:pt>
                <c:pt idx="161">
                  <c:v>18.162500000000005</c:v>
                </c:pt>
                <c:pt idx="162">
                  <c:v>13.162500000000005</c:v>
                </c:pt>
                <c:pt idx="163">
                  <c:v>13.162500000000005</c:v>
                </c:pt>
                <c:pt idx="164">
                  <c:v>13.162500000000005</c:v>
                </c:pt>
                <c:pt idx="165">
                  <c:v>13.162500000000005</c:v>
                </c:pt>
                <c:pt idx="166">
                  <c:v>13.162500000000005</c:v>
                </c:pt>
                <c:pt idx="167">
                  <c:v>13.162500000000005</c:v>
                </c:pt>
                <c:pt idx="168">
                  <c:v>13.162500000000005</c:v>
                </c:pt>
                <c:pt idx="169">
                  <c:v>8.162500000000005</c:v>
                </c:pt>
                <c:pt idx="170">
                  <c:v>8.162500000000005</c:v>
                </c:pt>
                <c:pt idx="171">
                  <c:v>3.162500000000005</c:v>
                </c:pt>
                <c:pt idx="172">
                  <c:v>-1.837499999999995</c:v>
                </c:pt>
                <c:pt idx="173">
                  <c:v>-6.837499999999995</c:v>
                </c:pt>
                <c:pt idx="174">
                  <c:v>-3.4874999999999954</c:v>
                </c:pt>
                <c:pt idx="175">
                  <c:v>0.26250000000000462</c:v>
                </c:pt>
                <c:pt idx="176">
                  <c:v>-4.7374999999999954</c:v>
                </c:pt>
                <c:pt idx="177">
                  <c:v>-1.7374999999999954</c:v>
                </c:pt>
                <c:pt idx="178">
                  <c:v>-6.7374999999999954</c:v>
                </c:pt>
                <c:pt idx="179">
                  <c:v>-11.737499999999995</c:v>
                </c:pt>
                <c:pt idx="180">
                  <c:v>-7.2374999999999954</c:v>
                </c:pt>
                <c:pt idx="181">
                  <c:v>-1.9874999999999954</c:v>
                </c:pt>
                <c:pt idx="182">
                  <c:v>-6.9874999999999954</c:v>
                </c:pt>
                <c:pt idx="183">
                  <c:v>-11.987499999999995</c:v>
                </c:pt>
                <c:pt idx="184">
                  <c:v>-11.987499999999995</c:v>
                </c:pt>
                <c:pt idx="185">
                  <c:v>-11.987499999999995</c:v>
                </c:pt>
                <c:pt idx="186">
                  <c:v>-11.987499999999995</c:v>
                </c:pt>
                <c:pt idx="187">
                  <c:v>-11.987499999999995</c:v>
                </c:pt>
                <c:pt idx="188">
                  <c:v>-11.987499999999995</c:v>
                </c:pt>
                <c:pt idx="189">
                  <c:v>-16.987499999999997</c:v>
                </c:pt>
                <c:pt idx="190">
                  <c:v>-11.237499999999997</c:v>
                </c:pt>
                <c:pt idx="191">
                  <c:v>-16.237499999999997</c:v>
                </c:pt>
                <c:pt idx="192">
                  <c:v>-12.737499999999997</c:v>
                </c:pt>
                <c:pt idx="193">
                  <c:v>-17.737499999999997</c:v>
                </c:pt>
                <c:pt idx="194">
                  <c:v>-14.487499999999997</c:v>
                </c:pt>
                <c:pt idx="195">
                  <c:v>-19.487499999999997</c:v>
                </c:pt>
                <c:pt idx="196">
                  <c:v>-24.487499999999997</c:v>
                </c:pt>
                <c:pt idx="197">
                  <c:v>-29.487499999999997</c:v>
                </c:pt>
                <c:pt idx="198">
                  <c:v>-34.487499999999997</c:v>
                </c:pt>
                <c:pt idx="199">
                  <c:v>-29.737499999999997</c:v>
                </c:pt>
                <c:pt idx="200">
                  <c:v>-29.737499999999997</c:v>
                </c:pt>
                <c:pt idx="201">
                  <c:v>-29.737499999999997</c:v>
                </c:pt>
                <c:pt idx="202">
                  <c:v>-29.737499999999997</c:v>
                </c:pt>
                <c:pt idx="203">
                  <c:v>-29.737499999999997</c:v>
                </c:pt>
                <c:pt idx="204">
                  <c:v>-39.737499999999997</c:v>
                </c:pt>
                <c:pt idx="205">
                  <c:v>-39.737499999999997</c:v>
                </c:pt>
                <c:pt idx="206">
                  <c:v>-36.887499999999996</c:v>
                </c:pt>
                <c:pt idx="207">
                  <c:v>-41.887499999999996</c:v>
                </c:pt>
                <c:pt idx="208">
                  <c:v>-41.887499999999996</c:v>
                </c:pt>
                <c:pt idx="209">
                  <c:v>-41.887499999999996</c:v>
                </c:pt>
                <c:pt idx="210">
                  <c:v>-46.887499999999996</c:v>
                </c:pt>
                <c:pt idx="211">
                  <c:v>-45.332499999999996</c:v>
                </c:pt>
                <c:pt idx="212">
                  <c:v>-50.332499999999996</c:v>
                </c:pt>
                <c:pt idx="213">
                  <c:v>-50.332499999999996</c:v>
                </c:pt>
                <c:pt idx="214">
                  <c:v>-53.702499999999993</c:v>
                </c:pt>
                <c:pt idx="215">
                  <c:v>-51.737499999999997</c:v>
                </c:pt>
                <c:pt idx="216">
                  <c:v>-50.137499999999996</c:v>
                </c:pt>
                <c:pt idx="217">
                  <c:v>-48.697499999999998</c:v>
                </c:pt>
                <c:pt idx="218">
                  <c:v>-48.697499999999998</c:v>
                </c:pt>
                <c:pt idx="219">
                  <c:v>-48.697499999999998</c:v>
                </c:pt>
                <c:pt idx="220">
                  <c:v>-53.697499999999998</c:v>
                </c:pt>
                <c:pt idx="221">
                  <c:v>-53.697499999999998</c:v>
                </c:pt>
                <c:pt idx="222">
                  <c:v>-53.697499999999998</c:v>
                </c:pt>
                <c:pt idx="223">
                  <c:v>-53.697499999999998</c:v>
                </c:pt>
                <c:pt idx="224">
                  <c:v>-55.697499999999998</c:v>
                </c:pt>
                <c:pt idx="225">
                  <c:v>-53.747500000000002</c:v>
                </c:pt>
                <c:pt idx="226">
                  <c:v>-51.622500000000002</c:v>
                </c:pt>
                <c:pt idx="227">
                  <c:v>-54.122500000000002</c:v>
                </c:pt>
                <c:pt idx="228">
                  <c:v>-57.122500000000002</c:v>
                </c:pt>
                <c:pt idx="229">
                  <c:v>-59.122500000000002</c:v>
                </c:pt>
                <c:pt idx="230">
                  <c:v>-59.122500000000002</c:v>
                </c:pt>
                <c:pt idx="231">
                  <c:v>-59.122500000000002</c:v>
                </c:pt>
                <c:pt idx="232">
                  <c:v>-59.122500000000002</c:v>
                </c:pt>
                <c:pt idx="233">
                  <c:v>-59.122500000000002</c:v>
                </c:pt>
                <c:pt idx="234">
                  <c:v>-55.997500000000002</c:v>
                </c:pt>
                <c:pt idx="235">
                  <c:v>-53.597500000000004</c:v>
                </c:pt>
                <c:pt idx="236">
                  <c:v>-52.197500000000005</c:v>
                </c:pt>
                <c:pt idx="237">
                  <c:v>-43.697500000000005</c:v>
                </c:pt>
                <c:pt idx="238">
                  <c:v>-45.697500000000005</c:v>
                </c:pt>
                <c:pt idx="239">
                  <c:v>-41.547500000000007</c:v>
                </c:pt>
                <c:pt idx="240">
                  <c:v>-44.047500000000007</c:v>
                </c:pt>
                <c:pt idx="241">
                  <c:v>-46.047500000000007</c:v>
                </c:pt>
                <c:pt idx="242">
                  <c:v>-43.297500000000007</c:v>
                </c:pt>
                <c:pt idx="243">
                  <c:v>-45.797500000000007</c:v>
                </c:pt>
                <c:pt idx="244">
                  <c:v>-45.797500000000007</c:v>
                </c:pt>
                <c:pt idx="245">
                  <c:v>-47.797500000000007</c:v>
                </c:pt>
                <c:pt idx="246">
                  <c:v>-45.346500000000006</c:v>
                </c:pt>
                <c:pt idx="247">
                  <c:v>-47.346500000000006</c:v>
                </c:pt>
                <c:pt idx="248">
                  <c:v>-49.346500000000006</c:v>
                </c:pt>
                <c:pt idx="249">
                  <c:v>-51.346500000000006</c:v>
                </c:pt>
                <c:pt idx="250">
                  <c:v>-53.346500000000006</c:v>
                </c:pt>
                <c:pt idx="251">
                  <c:v>-53.346500000000006</c:v>
                </c:pt>
                <c:pt idx="252">
                  <c:v>-53.346500000000006</c:v>
                </c:pt>
                <c:pt idx="253">
                  <c:v>-53.346500000000006</c:v>
                </c:pt>
                <c:pt idx="254">
                  <c:v>-53.346500000000006</c:v>
                </c:pt>
                <c:pt idx="255">
                  <c:v>-58.346500000000006</c:v>
                </c:pt>
                <c:pt idx="256">
                  <c:v>-54.596500000000006</c:v>
                </c:pt>
                <c:pt idx="257">
                  <c:v>-59.596500000000006</c:v>
                </c:pt>
                <c:pt idx="258">
                  <c:v>-64.596500000000006</c:v>
                </c:pt>
                <c:pt idx="259">
                  <c:v>-64.596500000000006</c:v>
                </c:pt>
                <c:pt idx="260">
                  <c:v>-64.596500000000006</c:v>
                </c:pt>
                <c:pt idx="261">
                  <c:v>-64.596500000000006</c:v>
                </c:pt>
                <c:pt idx="262">
                  <c:v>-64.596500000000006</c:v>
                </c:pt>
                <c:pt idx="263">
                  <c:v>-64.596500000000006</c:v>
                </c:pt>
                <c:pt idx="264">
                  <c:v>-64.596500000000006</c:v>
                </c:pt>
                <c:pt idx="265">
                  <c:v>-64.596500000000006</c:v>
                </c:pt>
                <c:pt idx="266">
                  <c:v>-64.596500000000006</c:v>
                </c:pt>
                <c:pt idx="267">
                  <c:v>-64.596500000000006</c:v>
                </c:pt>
                <c:pt idx="268">
                  <c:v>-64.596500000000006</c:v>
                </c:pt>
                <c:pt idx="269">
                  <c:v>-64.596500000000006</c:v>
                </c:pt>
                <c:pt idx="270">
                  <c:v>-64.596500000000006</c:v>
                </c:pt>
                <c:pt idx="271">
                  <c:v>-64.596500000000006</c:v>
                </c:pt>
                <c:pt idx="272">
                  <c:v>-64.596500000000006</c:v>
                </c:pt>
                <c:pt idx="273">
                  <c:v>-64.596500000000006</c:v>
                </c:pt>
                <c:pt idx="274">
                  <c:v>-69.596500000000006</c:v>
                </c:pt>
                <c:pt idx="275">
                  <c:v>-74.596500000000006</c:v>
                </c:pt>
                <c:pt idx="276">
                  <c:v>-68.596500000000006</c:v>
                </c:pt>
                <c:pt idx="277">
                  <c:v>-68.596500000000006</c:v>
                </c:pt>
                <c:pt idx="278">
                  <c:v>-66.596500000000006</c:v>
                </c:pt>
                <c:pt idx="279">
                  <c:v>-58.596500000000006</c:v>
                </c:pt>
                <c:pt idx="280">
                  <c:v>-61.096500000000006</c:v>
                </c:pt>
                <c:pt idx="281">
                  <c:v>-61.096500000000006</c:v>
                </c:pt>
                <c:pt idx="282">
                  <c:v>-61.096500000000006</c:v>
                </c:pt>
                <c:pt idx="283">
                  <c:v>-57.346500000000006</c:v>
                </c:pt>
                <c:pt idx="284">
                  <c:v>-52.346500000000006</c:v>
                </c:pt>
                <c:pt idx="285">
                  <c:v>-57.346500000000006</c:v>
                </c:pt>
                <c:pt idx="286">
                  <c:v>-57.346500000000006</c:v>
                </c:pt>
                <c:pt idx="287">
                  <c:v>-57.346500000000006</c:v>
                </c:pt>
                <c:pt idx="288">
                  <c:v>-48.346500000000006</c:v>
                </c:pt>
                <c:pt idx="289">
                  <c:v>-44.446500000000007</c:v>
                </c:pt>
                <c:pt idx="290">
                  <c:v>-49.446500000000007</c:v>
                </c:pt>
                <c:pt idx="291">
                  <c:v>-49.446500000000007</c:v>
                </c:pt>
                <c:pt idx="292">
                  <c:v>-54.446500000000007</c:v>
                </c:pt>
                <c:pt idx="293">
                  <c:v>-44.946500000000007</c:v>
                </c:pt>
                <c:pt idx="294">
                  <c:v>-44.946500000000007</c:v>
                </c:pt>
                <c:pt idx="295">
                  <c:v>-44.946500000000007</c:v>
                </c:pt>
                <c:pt idx="296">
                  <c:v>-36.446500000000007</c:v>
                </c:pt>
                <c:pt idx="297">
                  <c:v>-38.446500000000007</c:v>
                </c:pt>
                <c:pt idx="298">
                  <c:v>-40.446500000000007</c:v>
                </c:pt>
                <c:pt idx="299">
                  <c:v>-42.446500000000007</c:v>
                </c:pt>
                <c:pt idx="300">
                  <c:v>-44.446500000000007</c:v>
                </c:pt>
                <c:pt idx="301">
                  <c:v>-46.446500000000007</c:v>
                </c:pt>
                <c:pt idx="302">
                  <c:v>-46.446500000000007</c:v>
                </c:pt>
                <c:pt idx="303">
                  <c:v>-46.446500000000007</c:v>
                </c:pt>
                <c:pt idx="304">
                  <c:v>-48.446500000000007</c:v>
                </c:pt>
                <c:pt idx="305">
                  <c:v>-37.446500000000007</c:v>
                </c:pt>
                <c:pt idx="306">
                  <c:v>-39.446500000000007</c:v>
                </c:pt>
                <c:pt idx="307">
                  <c:v>-44.446500000000007</c:v>
                </c:pt>
                <c:pt idx="308">
                  <c:v>-26.446500000000007</c:v>
                </c:pt>
                <c:pt idx="309">
                  <c:v>-31.446500000000007</c:v>
                </c:pt>
                <c:pt idx="310">
                  <c:v>-31.446500000000007</c:v>
                </c:pt>
                <c:pt idx="311">
                  <c:v>-31.446500000000007</c:v>
                </c:pt>
                <c:pt idx="312">
                  <c:v>-31.446500000000007</c:v>
                </c:pt>
                <c:pt idx="313">
                  <c:v>-31.446500000000007</c:v>
                </c:pt>
                <c:pt idx="314">
                  <c:v>-31.446500000000007</c:v>
                </c:pt>
                <c:pt idx="315">
                  <c:v>-36.446500000000007</c:v>
                </c:pt>
                <c:pt idx="316">
                  <c:v>-38.946500000000007</c:v>
                </c:pt>
                <c:pt idx="317">
                  <c:v>-40.946500000000007</c:v>
                </c:pt>
                <c:pt idx="318">
                  <c:v>-42.946500000000007</c:v>
                </c:pt>
                <c:pt idx="319">
                  <c:v>-44.946500000000007</c:v>
                </c:pt>
                <c:pt idx="320">
                  <c:v>-49.946500000000007</c:v>
                </c:pt>
                <c:pt idx="321">
                  <c:v>-54.946500000000007</c:v>
                </c:pt>
                <c:pt idx="322">
                  <c:v>-51.446500000000007</c:v>
                </c:pt>
                <c:pt idx="323">
                  <c:v>-55.016500000000008</c:v>
                </c:pt>
                <c:pt idx="324">
                  <c:v>-52.016500000000008</c:v>
                </c:pt>
                <c:pt idx="325">
                  <c:v>-40.516500000000008</c:v>
                </c:pt>
                <c:pt idx="326">
                  <c:v>-40.516500000000008</c:v>
                </c:pt>
                <c:pt idx="327">
                  <c:v>-40.516500000000008</c:v>
                </c:pt>
                <c:pt idx="328">
                  <c:v>-36.916500000000006</c:v>
                </c:pt>
                <c:pt idx="329">
                  <c:v>-29.916500000000006</c:v>
                </c:pt>
                <c:pt idx="330">
                  <c:v>-31.916500000000006</c:v>
                </c:pt>
                <c:pt idx="331">
                  <c:v>-33.916500000000006</c:v>
                </c:pt>
                <c:pt idx="332">
                  <c:v>-38.916500000000006</c:v>
                </c:pt>
                <c:pt idx="333">
                  <c:v>-20.916500000000006</c:v>
                </c:pt>
                <c:pt idx="334">
                  <c:v>-22.916500000000006</c:v>
                </c:pt>
                <c:pt idx="335">
                  <c:v>-24.916500000000006</c:v>
                </c:pt>
                <c:pt idx="336">
                  <c:v>-26.916500000000006</c:v>
                </c:pt>
                <c:pt idx="337">
                  <c:v>-31.916500000000006</c:v>
                </c:pt>
                <c:pt idx="338">
                  <c:v>-27.916500000000006</c:v>
                </c:pt>
                <c:pt idx="339">
                  <c:v>-27.916500000000006</c:v>
                </c:pt>
                <c:pt idx="340">
                  <c:v>-27.916500000000006</c:v>
                </c:pt>
                <c:pt idx="341">
                  <c:v>-15.916500000000006</c:v>
                </c:pt>
                <c:pt idx="342">
                  <c:v>-20.916500000000006</c:v>
                </c:pt>
                <c:pt idx="343">
                  <c:v>-22.916500000000006</c:v>
                </c:pt>
                <c:pt idx="344">
                  <c:v>-24.916500000000006</c:v>
                </c:pt>
                <c:pt idx="345">
                  <c:v>-17.916500000000006</c:v>
                </c:pt>
                <c:pt idx="346">
                  <c:v>-22.916500000000006</c:v>
                </c:pt>
                <c:pt idx="347">
                  <c:v>-22.916500000000006</c:v>
                </c:pt>
                <c:pt idx="348">
                  <c:v>-18.566500000000005</c:v>
                </c:pt>
                <c:pt idx="349">
                  <c:v>-18.566500000000005</c:v>
                </c:pt>
                <c:pt idx="350">
                  <c:v>-20.566500000000005</c:v>
                </c:pt>
                <c:pt idx="351">
                  <c:v>-25.566500000000005</c:v>
                </c:pt>
                <c:pt idx="352">
                  <c:v>-17.066500000000005</c:v>
                </c:pt>
                <c:pt idx="353">
                  <c:v>-22.066500000000005</c:v>
                </c:pt>
                <c:pt idx="354">
                  <c:v>-22.066500000000005</c:v>
                </c:pt>
                <c:pt idx="355">
                  <c:v>-22.066500000000005</c:v>
                </c:pt>
                <c:pt idx="356">
                  <c:v>-22.066500000000005</c:v>
                </c:pt>
                <c:pt idx="357">
                  <c:v>-22.066500000000005</c:v>
                </c:pt>
                <c:pt idx="358">
                  <c:v>-22.066500000000005</c:v>
                </c:pt>
                <c:pt idx="359">
                  <c:v>-27.066500000000005</c:v>
                </c:pt>
                <c:pt idx="360">
                  <c:v>-27.066500000000005</c:v>
                </c:pt>
                <c:pt idx="361">
                  <c:v>-27.066500000000005</c:v>
                </c:pt>
                <c:pt idx="362">
                  <c:v>-32.066500000000005</c:v>
                </c:pt>
                <c:pt idx="363">
                  <c:v>-32.066500000000005</c:v>
                </c:pt>
                <c:pt idx="364">
                  <c:v>-32.066500000000005</c:v>
                </c:pt>
                <c:pt idx="365">
                  <c:v>-32.066500000000005</c:v>
                </c:pt>
                <c:pt idx="366">
                  <c:v>-32.066500000000005</c:v>
                </c:pt>
                <c:pt idx="367">
                  <c:v>-32.066500000000005</c:v>
                </c:pt>
                <c:pt idx="368">
                  <c:v>-32.066500000000005</c:v>
                </c:pt>
                <c:pt idx="369">
                  <c:v>-32.066500000000005</c:v>
                </c:pt>
                <c:pt idx="370">
                  <c:v>-32.066500000000005</c:v>
                </c:pt>
                <c:pt idx="371">
                  <c:v>-32.066500000000005</c:v>
                </c:pt>
                <c:pt idx="372">
                  <c:v>-32.066500000000005</c:v>
                </c:pt>
                <c:pt idx="373">
                  <c:v>-32.066500000000005</c:v>
                </c:pt>
                <c:pt idx="374">
                  <c:v>-32.066500000000005</c:v>
                </c:pt>
                <c:pt idx="375">
                  <c:v>-32.066500000000005</c:v>
                </c:pt>
                <c:pt idx="376">
                  <c:v>-32.066500000000005</c:v>
                </c:pt>
                <c:pt idx="377">
                  <c:v>-32.066500000000005</c:v>
                </c:pt>
                <c:pt idx="378">
                  <c:v>-32.066500000000005</c:v>
                </c:pt>
                <c:pt idx="379">
                  <c:v>-32.066500000000005</c:v>
                </c:pt>
                <c:pt idx="380">
                  <c:v>-32.066500000000005</c:v>
                </c:pt>
                <c:pt idx="381">
                  <c:v>-32.066500000000005</c:v>
                </c:pt>
                <c:pt idx="382">
                  <c:v>-32.066500000000005</c:v>
                </c:pt>
                <c:pt idx="383">
                  <c:v>-32.066500000000005</c:v>
                </c:pt>
                <c:pt idx="384">
                  <c:v>-32.066500000000005</c:v>
                </c:pt>
                <c:pt idx="385">
                  <c:v>-32.066500000000005</c:v>
                </c:pt>
                <c:pt idx="386">
                  <c:v>-32.066500000000005</c:v>
                </c:pt>
                <c:pt idx="387">
                  <c:v>-32.066500000000005</c:v>
                </c:pt>
                <c:pt idx="388">
                  <c:v>-32.066500000000005</c:v>
                </c:pt>
                <c:pt idx="389">
                  <c:v>-32.066500000000005</c:v>
                </c:pt>
                <c:pt idx="390">
                  <c:v>-32.066500000000005</c:v>
                </c:pt>
                <c:pt idx="391">
                  <c:v>-32.066500000000005</c:v>
                </c:pt>
                <c:pt idx="392">
                  <c:v>-32.066500000000005</c:v>
                </c:pt>
              </c:numCache>
            </c:numRef>
          </c:val>
        </c:ser>
        <c:marker val="1"/>
        <c:axId val="138703232"/>
        <c:axId val="138704768"/>
      </c:lineChart>
      <c:catAx>
        <c:axId val="138703232"/>
        <c:scaling>
          <c:orientation val="minMax"/>
        </c:scaling>
        <c:delete val="1"/>
        <c:axPos val="b"/>
        <c:tickLblPos val="none"/>
        <c:crossAx val="138704768"/>
        <c:crosses val="autoZero"/>
        <c:auto val="1"/>
        <c:lblAlgn val="ctr"/>
        <c:lblOffset val="100"/>
        <c:tickMarkSkip val="20"/>
      </c:catAx>
      <c:valAx>
        <c:axId val="138704768"/>
        <c:scaling>
          <c:orientation val="minMax"/>
          <c:min val="-100"/>
        </c:scaling>
        <c:axPos val="l"/>
        <c:majorGridlines/>
        <c:numFmt formatCode="#,##0.00_ ;[Red]\-#,##0.00\ " sourceLinked="1"/>
        <c:tickLblPos val="nextTo"/>
        <c:crossAx val="138703232"/>
        <c:crosses val="autoZero"/>
        <c:crossBetween val="between"/>
        <c:majorUnit val="10"/>
      </c:valAx>
    </c:plotArea>
    <c:plotVisOnly val="1"/>
    <c:dispBlanksAs val="gap"/>
  </c:chart>
</c:chartSpace>
</file>

<file path=xl/charts/chart4.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en-US"/>
              <a:t>Cagnotte Phane</a:t>
            </a:r>
          </a:p>
        </c:rich>
      </c:tx>
    </c:title>
    <c:plotArea>
      <c:layout/>
      <c:scatterChart>
        <c:scatterStyle val="smoothMarker"/>
        <c:ser>
          <c:idx val="0"/>
          <c:order val="0"/>
          <c:tx>
            <c:strRef>
              <c:f>recap!$V$1</c:f>
              <c:strCache>
                <c:ptCount val="1"/>
                <c:pt idx="0">
                  <c:v>GAIN PHANE</c:v>
                </c:pt>
              </c:strCache>
            </c:strRef>
          </c:tx>
          <c:marker>
            <c:symbol val="none"/>
          </c:marker>
          <c:trendline>
            <c:trendlineType val="linear"/>
          </c:trendline>
          <c:yVal>
            <c:numRef>
              <c:f>recap!$V$20:$V$395</c:f>
              <c:numCache>
                <c:formatCode>#,##0.00_ ;[Red]\-#,##0.00\ </c:formatCode>
                <c:ptCount val="376"/>
                <c:pt idx="0">
                  <c:v>-5</c:v>
                </c:pt>
                <c:pt idx="1">
                  <c:v>-10</c:v>
                </c:pt>
                <c:pt idx="2">
                  <c:v>-15</c:v>
                </c:pt>
                <c:pt idx="3">
                  <c:v>-12.149999999999999</c:v>
                </c:pt>
                <c:pt idx="4">
                  <c:v>-17.149999999999999</c:v>
                </c:pt>
                <c:pt idx="5">
                  <c:v>-17.149999999999999</c:v>
                </c:pt>
                <c:pt idx="6">
                  <c:v>-17.149999999999999</c:v>
                </c:pt>
                <c:pt idx="7">
                  <c:v>-17.149999999999999</c:v>
                </c:pt>
                <c:pt idx="8">
                  <c:v>-17.149999999999999</c:v>
                </c:pt>
                <c:pt idx="9">
                  <c:v>-17.149999999999999</c:v>
                </c:pt>
                <c:pt idx="10">
                  <c:v>-17.149999999999999</c:v>
                </c:pt>
                <c:pt idx="11">
                  <c:v>-17.149999999999999</c:v>
                </c:pt>
                <c:pt idx="12">
                  <c:v>-17.149999999999999</c:v>
                </c:pt>
                <c:pt idx="13">
                  <c:v>-17.149999999999999</c:v>
                </c:pt>
                <c:pt idx="14">
                  <c:v>-17.149999999999999</c:v>
                </c:pt>
                <c:pt idx="15">
                  <c:v>-17.149999999999999</c:v>
                </c:pt>
                <c:pt idx="16">
                  <c:v>-17.149999999999999</c:v>
                </c:pt>
                <c:pt idx="17">
                  <c:v>-17.149999999999999</c:v>
                </c:pt>
                <c:pt idx="18">
                  <c:v>-17.149999999999999</c:v>
                </c:pt>
                <c:pt idx="19">
                  <c:v>-17.149999999999999</c:v>
                </c:pt>
                <c:pt idx="20">
                  <c:v>-17.149999999999999</c:v>
                </c:pt>
                <c:pt idx="21">
                  <c:v>-17.149999999999999</c:v>
                </c:pt>
                <c:pt idx="22">
                  <c:v>-17.149999999999999</c:v>
                </c:pt>
                <c:pt idx="23">
                  <c:v>-22.15</c:v>
                </c:pt>
                <c:pt idx="24">
                  <c:v>-27.15</c:v>
                </c:pt>
                <c:pt idx="25">
                  <c:v>-27.15</c:v>
                </c:pt>
                <c:pt idx="26">
                  <c:v>-22.15</c:v>
                </c:pt>
                <c:pt idx="27">
                  <c:v>-20.75</c:v>
                </c:pt>
                <c:pt idx="28">
                  <c:v>-12.25</c:v>
                </c:pt>
                <c:pt idx="29">
                  <c:v>-12.25</c:v>
                </c:pt>
                <c:pt idx="30">
                  <c:v>-12.25</c:v>
                </c:pt>
                <c:pt idx="31">
                  <c:v>-12.25</c:v>
                </c:pt>
                <c:pt idx="32">
                  <c:v>-12.25</c:v>
                </c:pt>
                <c:pt idx="33">
                  <c:v>-12.25</c:v>
                </c:pt>
                <c:pt idx="34">
                  <c:v>-12.25</c:v>
                </c:pt>
                <c:pt idx="35">
                  <c:v>-12.25</c:v>
                </c:pt>
                <c:pt idx="36">
                  <c:v>-12.25</c:v>
                </c:pt>
                <c:pt idx="37">
                  <c:v>-12.25</c:v>
                </c:pt>
                <c:pt idx="38">
                  <c:v>-12.25</c:v>
                </c:pt>
                <c:pt idx="39">
                  <c:v>-12.25</c:v>
                </c:pt>
                <c:pt idx="40">
                  <c:v>-12.25</c:v>
                </c:pt>
                <c:pt idx="41">
                  <c:v>-12.25</c:v>
                </c:pt>
                <c:pt idx="42">
                  <c:v>-12.25</c:v>
                </c:pt>
                <c:pt idx="43">
                  <c:v>-17.25</c:v>
                </c:pt>
                <c:pt idx="44">
                  <c:v>-14.25</c:v>
                </c:pt>
                <c:pt idx="45">
                  <c:v>-19.25</c:v>
                </c:pt>
                <c:pt idx="46">
                  <c:v>-19.25</c:v>
                </c:pt>
                <c:pt idx="47">
                  <c:v>-19.25</c:v>
                </c:pt>
                <c:pt idx="48">
                  <c:v>-19.25</c:v>
                </c:pt>
                <c:pt idx="49">
                  <c:v>-19.25</c:v>
                </c:pt>
                <c:pt idx="50">
                  <c:v>-14.899999999999999</c:v>
                </c:pt>
                <c:pt idx="51">
                  <c:v>-8.6499999999999986</c:v>
                </c:pt>
                <c:pt idx="52">
                  <c:v>-8.6499999999999986</c:v>
                </c:pt>
                <c:pt idx="53">
                  <c:v>-8.6499999999999986</c:v>
                </c:pt>
                <c:pt idx="54">
                  <c:v>-8.6499999999999986</c:v>
                </c:pt>
                <c:pt idx="55">
                  <c:v>-8.6499999999999986</c:v>
                </c:pt>
                <c:pt idx="56">
                  <c:v>-8.6499999999999986</c:v>
                </c:pt>
                <c:pt idx="57">
                  <c:v>-8.6499999999999986</c:v>
                </c:pt>
                <c:pt idx="58">
                  <c:v>-8.6499999999999986</c:v>
                </c:pt>
                <c:pt idx="59">
                  <c:v>-8.6499999999999986</c:v>
                </c:pt>
                <c:pt idx="60">
                  <c:v>-8.6499999999999986</c:v>
                </c:pt>
                <c:pt idx="61">
                  <c:v>-8.6499999999999986</c:v>
                </c:pt>
                <c:pt idx="62">
                  <c:v>-8.6499999999999986</c:v>
                </c:pt>
                <c:pt idx="63">
                  <c:v>-8.6499999999999986</c:v>
                </c:pt>
                <c:pt idx="64">
                  <c:v>-8.6499999999999986</c:v>
                </c:pt>
                <c:pt idx="65">
                  <c:v>-8.6499999999999986</c:v>
                </c:pt>
                <c:pt idx="66">
                  <c:v>-8.6499999999999986</c:v>
                </c:pt>
                <c:pt idx="67">
                  <c:v>-8.6499999999999986</c:v>
                </c:pt>
                <c:pt idx="68">
                  <c:v>-8.6499999999999986</c:v>
                </c:pt>
                <c:pt idx="69">
                  <c:v>-8.6499999999999986</c:v>
                </c:pt>
                <c:pt idx="70">
                  <c:v>-8.6499999999999986</c:v>
                </c:pt>
                <c:pt idx="71">
                  <c:v>-8.6499999999999986</c:v>
                </c:pt>
                <c:pt idx="72">
                  <c:v>-8.6499999999999986</c:v>
                </c:pt>
                <c:pt idx="73">
                  <c:v>-8.6499999999999986</c:v>
                </c:pt>
                <c:pt idx="74">
                  <c:v>-8.6499999999999986</c:v>
                </c:pt>
                <c:pt idx="75">
                  <c:v>-8.6499999999999986</c:v>
                </c:pt>
                <c:pt idx="76">
                  <c:v>-8.6499999999999986</c:v>
                </c:pt>
                <c:pt idx="77">
                  <c:v>-5.5499999999999972</c:v>
                </c:pt>
                <c:pt idx="78">
                  <c:v>-2.4499999999999957</c:v>
                </c:pt>
                <c:pt idx="79">
                  <c:v>0.65000000000000568</c:v>
                </c:pt>
                <c:pt idx="80">
                  <c:v>-4.3499999999999943</c:v>
                </c:pt>
                <c:pt idx="81">
                  <c:v>1.4000000000000057</c:v>
                </c:pt>
                <c:pt idx="82">
                  <c:v>1.4000000000000057</c:v>
                </c:pt>
                <c:pt idx="83">
                  <c:v>1.4000000000000057</c:v>
                </c:pt>
                <c:pt idx="84">
                  <c:v>1.4000000000000057</c:v>
                </c:pt>
                <c:pt idx="85">
                  <c:v>1.4000000000000057</c:v>
                </c:pt>
                <c:pt idx="86">
                  <c:v>1.4000000000000057</c:v>
                </c:pt>
                <c:pt idx="87">
                  <c:v>1.4000000000000057</c:v>
                </c:pt>
                <c:pt idx="88">
                  <c:v>1.4000000000000057</c:v>
                </c:pt>
                <c:pt idx="89">
                  <c:v>1.4000000000000057</c:v>
                </c:pt>
                <c:pt idx="90">
                  <c:v>1.4000000000000057</c:v>
                </c:pt>
                <c:pt idx="91">
                  <c:v>-3.5999999999999943</c:v>
                </c:pt>
                <c:pt idx="92">
                  <c:v>-8.5999999999999943</c:v>
                </c:pt>
                <c:pt idx="93">
                  <c:v>-6.8999999999999941</c:v>
                </c:pt>
                <c:pt idx="94">
                  <c:v>3.6000000000000059</c:v>
                </c:pt>
                <c:pt idx="95">
                  <c:v>3.6000000000000059</c:v>
                </c:pt>
                <c:pt idx="96">
                  <c:v>3.6000000000000059</c:v>
                </c:pt>
                <c:pt idx="97">
                  <c:v>3.6000000000000059</c:v>
                </c:pt>
                <c:pt idx="98">
                  <c:v>3.6000000000000059</c:v>
                </c:pt>
                <c:pt idx="99">
                  <c:v>3.6000000000000059</c:v>
                </c:pt>
                <c:pt idx="100">
                  <c:v>5.6000000000000059</c:v>
                </c:pt>
                <c:pt idx="101">
                  <c:v>5.6000000000000059</c:v>
                </c:pt>
                <c:pt idx="102">
                  <c:v>5.6000000000000059</c:v>
                </c:pt>
                <c:pt idx="103">
                  <c:v>5.6000000000000059</c:v>
                </c:pt>
                <c:pt idx="104">
                  <c:v>5.6000000000000059</c:v>
                </c:pt>
                <c:pt idx="105">
                  <c:v>5.6000000000000059</c:v>
                </c:pt>
                <c:pt idx="106">
                  <c:v>5.6000000000000059</c:v>
                </c:pt>
                <c:pt idx="107">
                  <c:v>5.6000000000000059</c:v>
                </c:pt>
                <c:pt idx="108">
                  <c:v>5.6000000000000059</c:v>
                </c:pt>
                <c:pt idx="109">
                  <c:v>5.6000000000000059</c:v>
                </c:pt>
                <c:pt idx="110">
                  <c:v>5.6000000000000059</c:v>
                </c:pt>
                <c:pt idx="111">
                  <c:v>5.6000000000000059</c:v>
                </c:pt>
                <c:pt idx="112">
                  <c:v>5.6000000000000059</c:v>
                </c:pt>
                <c:pt idx="113">
                  <c:v>5.6000000000000059</c:v>
                </c:pt>
                <c:pt idx="114">
                  <c:v>5.6000000000000059</c:v>
                </c:pt>
                <c:pt idx="115">
                  <c:v>0.60000000000000586</c:v>
                </c:pt>
                <c:pt idx="116">
                  <c:v>1.7000000000000055</c:v>
                </c:pt>
                <c:pt idx="117">
                  <c:v>-3.2999999999999945</c:v>
                </c:pt>
                <c:pt idx="118">
                  <c:v>-2.5499999999999945</c:v>
                </c:pt>
                <c:pt idx="119">
                  <c:v>-2.5499999999999945</c:v>
                </c:pt>
                <c:pt idx="120">
                  <c:v>-2.5499999999999945</c:v>
                </c:pt>
                <c:pt idx="121">
                  <c:v>-2.5499999999999945</c:v>
                </c:pt>
                <c:pt idx="122">
                  <c:v>-2.5499999999999945</c:v>
                </c:pt>
                <c:pt idx="123">
                  <c:v>-2.5499999999999945</c:v>
                </c:pt>
                <c:pt idx="124">
                  <c:v>-2.5499999999999945</c:v>
                </c:pt>
                <c:pt idx="125">
                  <c:v>-2.5499999999999945</c:v>
                </c:pt>
                <c:pt idx="126">
                  <c:v>-2.5499999999999945</c:v>
                </c:pt>
                <c:pt idx="127">
                  <c:v>-2.5499999999999945</c:v>
                </c:pt>
                <c:pt idx="128">
                  <c:v>-2.5499999999999945</c:v>
                </c:pt>
                <c:pt idx="129">
                  <c:v>-2.5499999999999945</c:v>
                </c:pt>
                <c:pt idx="130">
                  <c:v>-2.5499999999999945</c:v>
                </c:pt>
                <c:pt idx="131">
                  <c:v>-2.5499999999999945</c:v>
                </c:pt>
                <c:pt idx="132">
                  <c:v>-2.5499999999999945</c:v>
                </c:pt>
                <c:pt idx="133">
                  <c:v>-2.5499999999999945</c:v>
                </c:pt>
                <c:pt idx="134">
                  <c:v>-2.5499999999999945</c:v>
                </c:pt>
                <c:pt idx="135">
                  <c:v>-2.5499999999999945</c:v>
                </c:pt>
                <c:pt idx="136">
                  <c:v>-2.5499999999999945</c:v>
                </c:pt>
                <c:pt idx="137">
                  <c:v>-2.5499999999999945</c:v>
                </c:pt>
                <c:pt idx="138">
                  <c:v>-2.5499999999999945</c:v>
                </c:pt>
                <c:pt idx="139">
                  <c:v>-2.5499999999999945</c:v>
                </c:pt>
                <c:pt idx="140">
                  <c:v>-2.5499999999999945</c:v>
                </c:pt>
                <c:pt idx="141">
                  <c:v>-2.5499999999999945</c:v>
                </c:pt>
                <c:pt idx="142">
                  <c:v>-2.5499999999999945</c:v>
                </c:pt>
                <c:pt idx="143">
                  <c:v>-2.5499999999999945</c:v>
                </c:pt>
                <c:pt idx="144">
                  <c:v>-2.5499999999999945</c:v>
                </c:pt>
                <c:pt idx="145">
                  <c:v>-2.5499999999999945</c:v>
                </c:pt>
                <c:pt idx="146">
                  <c:v>-1.4499999999999948</c:v>
                </c:pt>
                <c:pt idx="147">
                  <c:v>1.4000000000000057</c:v>
                </c:pt>
                <c:pt idx="148">
                  <c:v>2.5000000000000053</c:v>
                </c:pt>
                <c:pt idx="149">
                  <c:v>-2.4999999999999947</c:v>
                </c:pt>
                <c:pt idx="150">
                  <c:v>3.8000000000000043</c:v>
                </c:pt>
                <c:pt idx="151">
                  <c:v>3.8000000000000043</c:v>
                </c:pt>
                <c:pt idx="152">
                  <c:v>3.8000000000000043</c:v>
                </c:pt>
                <c:pt idx="153">
                  <c:v>3.8000000000000043</c:v>
                </c:pt>
                <c:pt idx="154">
                  <c:v>3.8000000000000043</c:v>
                </c:pt>
                <c:pt idx="155">
                  <c:v>3.8000000000000043</c:v>
                </c:pt>
                <c:pt idx="156">
                  <c:v>3.8000000000000043</c:v>
                </c:pt>
                <c:pt idx="157">
                  <c:v>3.8000000000000043</c:v>
                </c:pt>
                <c:pt idx="158">
                  <c:v>3.8000000000000043</c:v>
                </c:pt>
                <c:pt idx="159">
                  <c:v>3.8000000000000043</c:v>
                </c:pt>
                <c:pt idx="160">
                  <c:v>3.8000000000000043</c:v>
                </c:pt>
                <c:pt idx="161">
                  <c:v>3.8000000000000043</c:v>
                </c:pt>
                <c:pt idx="162">
                  <c:v>3.8000000000000043</c:v>
                </c:pt>
                <c:pt idx="163">
                  <c:v>3.8000000000000043</c:v>
                </c:pt>
                <c:pt idx="164">
                  <c:v>3.8000000000000043</c:v>
                </c:pt>
                <c:pt idx="165">
                  <c:v>3.8000000000000043</c:v>
                </c:pt>
                <c:pt idx="166">
                  <c:v>3.8000000000000043</c:v>
                </c:pt>
                <c:pt idx="167">
                  <c:v>10.050000000000004</c:v>
                </c:pt>
                <c:pt idx="168">
                  <c:v>13.300000000000004</c:v>
                </c:pt>
                <c:pt idx="169">
                  <c:v>8.3000000000000043</c:v>
                </c:pt>
                <c:pt idx="170">
                  <c:v>10.950000000000005</c:v>
                </c:pt>
                <c:pt idx="171">
                  <c:v>5.9500000000000046</c:v>
                </c:pt>
                <c:pt idx="172">
                  <c:v>5.9500000000000046</c:v>
                </c:pt>
                <c:pt idx="173">
                  <c:v>5.9500000000000046</c:v>
                </c:pt>
                <c:pt idx="174">
                  <c:v>5.9500000000000046</c:v>
                </c:pt>
                <c:pt idx="175">
                  <c:v>5.9500000000000046</c:v>
                </c:pt>
                <c:pt idx="176">
                  <c:v>5.9500000000000046</c:v>
                </c:pt>
                <c:pt idx="177">
                  <c:v>5.9500000000000046</c:v>
                </c:pt>
                <c:pt idx="178">
                  <c:v>5.9500000000000046</c:v>
                </c:pt>
                <c:pt idx="179">
                  <c:v>5.9500000000000046</c:v>
                </c:pt>
                <c:pt idx="180">
                  <c:v>5.9500000000000046</c:v>
                </c:pt>
                <c:pt idx="181">
                  <c:v>5.9500000000000046</c:v>
                </c:pt>
                <c:pt idx="182">
                  <c:v>5.9500000000000046</c:v>
                </c:pt>
                <c:pt idx="183">
                  <c:v>14.450000000000005</c:v>
                </c:pt>
                <c:pt idx="184">
                  <c:v>14.450000000000005</c:v>
                </c:pt>
                <c:pt idx="185">
                  <c:v>14.450000000000005</c:v>
                </c:pt>
                <c:pt idx="186">
                  <c:v>9.4500000000000046</c:v>
                </c:pt>
                <c:pt idx="187">
                  <c:v>9.4500000000000046</c:v>
                </c:pt>
                <c:pt idx="188">
                  <c:v>4.4500000000000046</c:v>
                </c:pt>
                <c:pt idx="189">
                  <c:v>4.4500000000000046</c:v>
                </c:pt>
                <c:pt idx="190">
                  <c:v>4.4500000000000046</c:v>
                </c:pt>
                <c:pt idx="191">
                  <c:v>7.2000000000000046</c:v>
                </c:pt>
                <c:pt idx="192">
                  <c:v>2.2000000000000046</c:v>
                </c:pt>
                <c:pt idx="193">
                  <c:v>2.2000000000000046</c:v>
                </c:pt>
                <c:pt idx="194">
                  <c:v>2.2000000000000046</c:v>
                </c:pt>
                <c:pt idx="195">
                  <c:v>2.2000000000000046</c:v>
                </c:pt>
                <c:pt idx="196">
                  <c:v>2.2000000000000046</c:v>
                </c:pt>
                <c:pt idx="197">
                  <c:v>2.2000000000000046</c:v>
                </c:pt>
                <c:pt idx="198">
                  <c:v>2.2000000000000046</c:v>
                </c:pt>
                <c:pt idx="199">
                  <c:v>2.2000000000000046</c:v>
                </c:pt>
                <c:pt idx="200">
                  <c:v>2.2000000000000046</c:v>
                </c:pt>
                <c:pt idx="201">
                  <c:v>2.2000000000000046</c:v>
                </c:pt>
                <c:pt idx="202">
                  <c:v>2.2000000000000046</c:v>
                </c:pt>
                <c:pt idx="203">
                  <c:v>2.2000000000000046</c:v>
                </c:pt>
                <c:pt idx="204">
                  <c:v>2.2000000000000046</c:v>
                </c:pt>
                <c:pt idx="205">
                  <c:v>2.2000000000000046</c:v>
                </c:pt>
                <c:pt idx="206">
                  <c:v>2.2000000000000046</c:v>
                </c:pt>
                <c:pt idx="207">
                  <c:v>2.2000000000000046</c:v>
                </c:pt>
                <c:pt idx="208">
                  <c:v>2.2000000000000046</c:v>
                </c:pt>
                <c:pt idx="209">
                  <c:v>2.2000000000000046</c:v>
                </c:pt>
                <c:pt idx="210">
                  <c:v>2.2000000000000046</c:v>
                </c:pt>
                <c:pt idx="211">
                  <c:v>2.2000000000000046</c:v>
                </c:pt>
                <c:pt idx="212">
                  <c:v>2.2000000000000046</c:v>
                </c:pt>
                <c:pt idx="213">
                  <c:v>14.700000000000005</c:v>
                </c:pt>
                <c:pt idx="214">
                  <c:v>21.450000000000003</c:v>
                </c:pt>
                <c:pt idx="215">
                  <c:v>22.85</c:v>
                </c:pt>
                <c:pt idx="216">
                  <c:v>17.850000000000001</c:v>
                </c:pt>
                <c:pt idx="217">
                  <c:v>17.850000000000001</c:v>
                </c:pt>
                <c:pt idx="218">
                  <c:v>17.850000000000001</c:v>
                </c:pt>
                <c:pt idx="219">
                  <c:v>17.850000000000001</c:v>
                </c:pt>
                <c:pt idx="220">
                  <c:v>17.850000000000001</c:v>
                </c:pt>
                <c:pt idx="221">
                  <c:v>17.850000000000001</c:v>
                </c:pt>
                <c:pt idx="222">
                  <c:v>17.850000000000001</c:v>
                </c:pt>
                <c:pt idx="223">
                  <c:v>17.850000000000001</c:v>
                </c:pt>
                <c:pt idx="224">
                  <c:v>17.850000000000001</c:v>
                </c:pt>
                <c:pt idx="225">
                  <c:v>17.850000000000001</c:v>
                </c:pt>
                <c:pt idx="226">
                  <c:v>17.850000000000001</c:v>
                </c:pt>
                <c:pt idx="227">
                  <c:v>17.850000000000001</c:v>
                </c:pt>
                <c:pt idx="228">
                  <c:v>17.850000000000001</c:v>
                </c:pt>
                <c:pt idx="229">
                  <c:v>17.850000000000001</c:v>
                </c:pt>
                <c:pt idx="230">
                  <c:v>17.850000000000001</c:v>
                </c:pt>
                <c:pt idx="231">
                  <c:v>17.850000000000001</c:v>
                </c:pt>
                <c:pt idx="232">
                  <c:v>17.850000000000001</c:v>
                </c:pt>
                <c:pt idx="233">
                  <c:v>17.850000000000001</c:v>
                </c:pt>
                <c:pt idx="234">
                  <c:v>17.850000000000001</c:v>
                </c:pt>
                <c:pt idx="235">
                  <c:v>17.850000000000001</c:v>
                </c:pt>
                <c:pt idx="236">
                  <c:v>12.850000000000001</c:v>
                </c:pt>
                <c:pt idx="237">
                  <c:v>7.8500000000000014</c:v>
                </c:pt>
                <c:pt idx="238">
                  <c:v>7.8500000000000014</c:v>
                </c:pt>
                <c:pt idx="239">
                  <c:v>7.8500000000000014</c:v>
                </c:pt>
                <c:pt idx="240">
                  <c:v>7.8500000000000014</c:v>
                </c:pt>
                <c:pt idx="241">
                  <c:v>7.8500000000000014</c:v>
                </c:pt>
                <c:pt idx="242">
                  <c:v>7.8500000000000014</c:v>
                </c:pt>
                <c:pt idx="243">
                  <c:v>7.8500000000000014</c:v>
                </c:pt>
                <c:pt idx="244">
                  <c:v>7.8500000000000014</c:v>
                </c:pt>
                <c:pt idx="245">
                  <c:v>7.8500000000000014</c:v>
                </c:pt>
                <c:pt idx="246">
                  <c:v>7.8500000000000014</c:v>
                </c:pt>
                <c:pt idx="247">
                  <c:v>7.8500000000000014</c:v>
                </c:pt>
                <c:pt idx="248">
                  <c:v>7.8500000000000014</c:v>
                </c:pt>
                <c:pt idx="249">
                  <c:v>7.8500000000000014</c:v>
                </c:pt>
                <c:pt idx="250">
                  <c:v>7.8500000000000014</c:v>
                </c:pt>
                <c:pt idx="251">
                  <c:v>7.8500000000000014</c:v>
                </c:pt>
                <c:pt idx="252">
                  <c:v>7.8500000000000014</c:v>
                </c:pt>
                <c:pt idx="253">
                  <c:v>2.8500000000000014</c:v>
                </c:pt>
                <c:pt idx="254">
                  <c:v>-2.1499999999999986</c:v>
                </c:pt>
                <c:pt idx="255">
                  <c:v>-7.1499999999999986</c:v>
                </c:pt>
                <c:pt idx="256">
                  <c:v>-1.6499999999999986</c:v>
                </c:pt>
                <c:pt idx="257">
                  <c:v>-1.6499999999999986</c:v>
                </c:pt>
                <c:pt idx="258">
                  <c:v>-1.6499999999999986</c:v>
                </c:pt>
                <c:pt idx="259">
                  <c:v>-1.6499999999999986</c:v>
                </c:pt>
                <c:pt idx="260">
                  <c:v>-1.6499999999999986</c:v>
                </c:pt>
                <c:pt idx="261">
                  <c:v>-1.6499999999999986</c:v>
                </c:pt>
                <c:pt idx="262">
                  <c:v>-1.6499999999999986</c:v>
                </c:pt>
                <c:pt idx="263">
                  <c:v>-1.6499999999999986</c:v>
                </c:pt>
                <c:pt idx="264">
                  <c:v>-1.6499999999999986</c:v>
                </c:pt>
                <c:pt idx="265">
                  <c:v>-1.6499999999999986</c:v>
                </c:pt>
                <c:pt idx="266">
                  <c:v>-1.6499999999999986</c:v>
                </c:pt>
                <c:pt idx="267">
                  <c:v>-1.6499999999999986</c:v>
                </c:pt>
                <c:pt idx="268">
                  <c:v>-1.6499999999999986</c:v>
                </c:pt>
                <c:pt idx="269">
                  <c:v>-1.6499999999999986</c:v>
                </c:pt>
                <c:pt idx="270">
                  <c:v>-1.6499999999999986</c:v>
                </c:pt>
                <c:pt idx="271">
                  <c:v>-1.6499999999999986</c:v>
                </c:pt>
                <c:pt idx="272">
                  <c:v>-1.6499999999999986</c:v>
                </c:pt>
                <c:pt idx="273">
                  <c:v>-1.6499999999999986</c:v>
                </c:pt>
                <c:pt idx="274">
                  <c:v>-1.6499999999999986</c:v>
                </c:pt>
                <c:pt idx="275">
                  <c:v>-1.6499999999999986</c:v>
                </c:pt>
                <c:pt idx="276">
                  <c:v>-1.6499999999999986</c:v>
                </c:pt>
                <c:pt idx="277">
                  <c:v>-1.6499999999999986</c:v>
                </c:pt>
                <c:pt idx="278">
                  <c:v>-1.6499999999999986</c:v>
                </c:pt>
                <c:pt idx="279">
                  <c:v>-1.6499999999999986</c:v>
                </c:pt>
                <c:pt idx="280">
                  <c:v>-1.6499999999999986</c:v>
                </c:pt>
                <c:pt idx="281">
                  <c:v>-1.6499999999999986</c:v>
                </c:pt>
                <c:pt idx="282">
                  <c:v>-1.6499999999999986</c:v>
                </c:pt>
                <c:pt idx="283">
                  <c:v>-1.6499999999999986</c:v>
                </c:pt>
                <c:pt idx="284">
                  <c:v>-1.6499999999999986</c:v>
                </c:pt>
                <c:pt idx="285">
                  <c:v>-1.6499999999999986</c:v>
                </c:pt>
                <c:pt idx="286">
                  <c:v>-1.6499999999999986</c:v>
                </c:pt>
                <c:pt idx="287">
                  <c:v>-1.6499999999999986</c:v>
                </c:pt>
                <c:pt idx="288">
                  <c:v>-1.6499999999999986</c:v>
                </c:pt>
                <c:pt idx="289">
                  <c:v>-1.6499999999999986</c:v>
                </c:pt>
                <c:pt idx="290">
                  <c:v>-1.6499999999999986</c:v>
                </c:pt>
                <c:pt idx="291">
                  <c:v>-1.6499999999999986</c:v>
                </c:pt>
                <c:pt idx="292">
                  <c:v>-1.6499999999999986</c:v>
                </c:pt>
                <c:pt idx="293">
                  <c:v>-1.6499999999999986</c:v>
                </c:pt>
                <c:pt idx="294">
                  <c:v>-0.49999999999999822</c:v>
                </c:pt>
                <c:pt idx="295">
                  <c:v>2.5000000000000018</c:v>
                </c:pt>
                <c:pt idx="296">
                  <c:v>3.6000000000000014</c:v>
                </c:pt>
                <c:pt idx="297">
                  <c:v>-1.3999999999999986</c:v>
                </c:pt>
                <c:pt idx="298">
                  <c:v>-1.3999999999999986</c:v>
                </c:pt>
                <c:pt idx="299">
                  <c:v>-1.3999999999999986</c:v>
                </c:pt>
                <c:pt idx="300">
                  <c:v>-1.3999999999999986</c:v>
                </c:pt>
                <c:pt idx="301">
                  <c:v>-1.3999999999999986</c:v>
                </c:pt>
                <c:pt idx="302">
                  <c:v>-1.3999999999999986</c:v>
                </c:pt>
                <c:pt idx="303">
                  <c:v>-1.3999999999999986</c:v>
                </c:pt>
                <c:pt idx="304">
                  <c:v>-1.3999999999999986</c:v>
                </c:pt>
                <c:pt idx="305">
                  <c:v>-1.3999999999999986</c:v>
                </c:pt>
                <c:pt idx="306">
                  <c:v>-1.3999999999999986</c:v>
                </c:pt>
                <c:pt idx="307">
                  <c:v>-1.3999999999999986</c:v>
                </c:pt>
                <c:pt idx="308">
                  <c:v>-1.3999999999999986</c:v>
                </c:pt>
                <c:pt idx="309">
                  <c:v>-1.3999999999999986</c:v>
                </c:pt>
                <c:pt idx="310">
                  <c:v>-1.3999999999999986</c:v>
                </c:pt>
                <c:pt idx="311">
                  <c:v>-1.3999999999999986</c:v>
                </c:pt>
                <c:pt idx="312">
                  <c:v>-1.3999999999999986</c:v>
                </c:pt>
                <c:pt idx="313">
                  <c:v>-1.3999999999999986</c:v>
                </c:pt>
                <c:pt idx="314">
                  <c:v>-1.3999999999999986</c:v>
                </c:pt>
                <c:pt idx="315">
                  <c:v>-1.3999999999999986</c:v>
                </c:pt>
                <c:pt idx="316">
                  <c:v>-1.3999999999999986</c:v>
                </c:pt>
                <c:pt idx="317">
                  <c:v>-1.3999999999999986</c:v>
                </c:pt>
                <c:pt idx="318">
                  <c:v>-1.3999999999999986</c:v>
                </c:pt>
                <c:pt idx="319">
                  <c:v>-1.3999999999999986</c:v>
                </c:pt>
                <c:pt idx="320">
                  <c:v>-1.3999999999999986</c:v>
                </c:pt>
                <c:pt idx="321">
                  <c:v>-1.3999999999999986</c:v>
                </c:pt>
                <c:pt idx="322">
                  <c:v>-1.3999999999999986</c:v>
                </c:pt>
                <c:pt idx="323">
                  <c:v>-1.3999999999999986</c:v>
                </c:pt>
                <c:pt idx="324">
                  <c:v>-1.3999999999999986</c:v>
                </c:pt>
                <c:pt idx="325">
                  <c:v>-1.3999999999999986</c:v>
                </c:pt>
                <c:pt idx="326">
                  <c:v>-1.3999999999999986</c:v>
                </c:pt>
                <c:pt idx="327">
                  <c:v>-1.3999999999999986</c:v>
                </c:pt>
                <c:pt idx="328">
                  <c:v>-1.3999999999999986</c:v>
                </c:pt>
                <c:pt idx="329">
                  <c:v>-1.3999999999999986</c:v>
                </c:pt>
                <c:pt idx="330">
                  <c:v>-1.3999999999999986</c:v>
                </c:pt>
                <c:pt idx="331">
                  <c:v>-1.3999999999999986</c:v>
                </c:pt>
                <c:pt idx="332">
                  <c:v>-1.3999999999999986</c:v>
                </c:pt>
                <c:pt idx="333">
                  <c:v>-1.3999999999999986</c:v>
                </c:pt>
                <c:pt idx="334">
                  <c:v>-1.3999999999999986</c:v>
                </c:pt>
                <c:pt idx="335">
                  <c:v>-1.3999999999999986</c:v>
                </c:pt>
                <c:pt idx="336">
                  <c:v>-1.3999999999999986</c:v>
                </c:pt>
                <c:pt idx="337">
                  <c:v>-1.3999999999999986</c:v>
                </c:pt>
                <c:pt idx="338">
                  <c:v>-1.3999999999999986</c:v>
                </c:pt>
                <c:pt idx="339">
                  <c:v>-1.3999999999999986</c:v>
                </c:pt>
                <c:pt idx="340">
                  <c:v>-1.3999999999999986</c:v>
                </c:pt>
                <c:pt idx="341">
                  <c:v>-1.3999999999999986</c:v>
                </c:pt>
                <c:pt idx="342">
                  <c:v>-1.3999999999999986</c:v>
                </c:pt>
                <c:pt idx="343">
                  <c:v>-1.3999999999999986</c:v>
                </c:pt>
                <c:pt idx="344">
                  <c:v>-1.3999999999999986</c:v>
                </c:pt>
                <c:pt idx="345">
                  <c:v>-1.3999999999999986</c:v>
                </c:pt>
                <c:pt idx="346">
                  <c:v>-1.3999999999999986</c:v>
                </c:pt>
                <c:pt idx="347">
                  <c:v>-6.3999999999999986</c:v>
                </c:pt>
                <c:pt idx="348">
                  <c:v>-6.3999999999999986</c:v>
                </c:pt>
                <c:pt idx="349">
                  <c:v>-6.3999999999999986</c:v>
                </c:pt>
                <c:pt idx="350">
                  <c:v>-6.3999999999999986</c:v>
                </c:pt>
                <c:pt idx="351">
                  <c:v>-6.3999999999999986</c:v>
                </c:pt>
                <c:pt idx="352">
                  <c:v>-6.3999999999999986</c:v>
                </c:pt>
                <c:pt idx="353">
                  <c:v>-6.3999999999999986</c:v>
                </c:pt>
                <c:pt idx="354">
                  <c:v>-6.3999999999999986</c:v>
                </c:pt>
                <c:pt idx="355">
                  <c:v>-6.3999999999999986</c:v>
                </c:pt>
                <c:pt idx="356">
                  <c:v>-6.3999999999999986</c:v>
                </c:pt>
                <c:pt idx="357">
                  <c:v>-6.3999999999999986</c:v>
                </c:pt>
                <c:pt idx="358">
                  <c:v>-6.3999999999999986</c:v>
                </c:pt>
                <c:pt idx="359">
                  <c:v>-6.3999999999999986</c:v>
                </c:pt>
                <c:pt idx="360">
                  <c:v>-6.3999999999999986</c:v>
                </c:pt>
                <c:pt idx="361">
                  <c:v>-6.3999999999999986</c:v>
                </c:pt>
                <c:pt idx="362">
                  <c:v>-6.3999999999999986</c:v>
                </c:pt>
                <c:pt idx="363">
                  <c:v>-6.3999999999999986</c:v>
                </c:pt>
                <c:pt idx="364">
                  <c:v>-6.3999999999999986</c:v>
                </c:pt>
                <c:pt idx="365">
                  <c:v>-6.3999999999999986</c:v>
                </c:pt>
                <c:pt idx="366">
                  <c:v>-6.3999999999999986</c:v>
                </c:pt>
                <c:pt idx="367">
                  <c:v>-6.3999999999999986</c:v>
                </c:pt>
                <c:pt idx="368">
                  <c:v>-6.3999999999999986</c:v>
                </c:pt>
                <c:pt idx="369">
                  <c:v>-6.3999999999999986</c:v>
                </c:pt>
                <c:pt idx="370">
                  <c:v>-6.3999999999999986</c:v>
                </c:pt>
                <c:pt idx="371">
                  <c:v>-6.3999999999999986</c:v>
                </c:pt>
                <c:pt idx="372">
                  <c:v>-6.3999999999999986</c:v>
                </c:pt>
                <c:pt idx="373">
                  <c:v>-6.3999999999999986</c:v>
                </c:pt>
                <c:pt idx="374">
                  <c:v>-6.3999999999999986</c:v>
                </c:pt>
                <c:pt idx="375">
                  <c:v>-6.3999999999999986</c:v>
                </c:pt>
              </c:numCache>
            </c:numRef>
          </c:yVal>
          <c:smooth val="1"/>
        </c:ser>
        <c:axId val="138746112"/>
        <c:axId val="138764288"/>
      </c:scatterChart>
      <c:valAx>
        <c:axId val="138746112"/>
        <c:scaling>
          <c:orientation val="minMax"/>
        </c:scaling>
        <c:delete val="1"/>
        <c:axPos val="b"/>
        <c:tickLblPos val="none"/>
        <c:crossAx val="138764288"/>
        <c:crosses val="autoZero"/>
        <c:crossBetween val="midCat"/>
      </c:valAx>
      <c:valAx>
        <c:axId val="138764288"/>
        <c:scaling>
          <c:orientation val="minMax"/>
          <c:min val="-50"/>
        </c:scaling>
        <c:axPos val="l"/>
        <c:majorGridlines/>
        <c:numFmt formatCode="#,##0.00_ ;[Red]\-#,##0.00\ " sourceLinked="1"/>
        <c:tickLblPos val="nextTo"/>
        <c:crossAx val="138746112"/>
        <c:crosses val="autoZero"/>
        <c:crossBetween val="midCat"/>
        <c:majorUnit val="10"/>
      </c:valAx>
    </c:plotArea>
    <c:plotVisOnly val="1"/>
    <c:dispBlanksAs val="gap"/>
  </c:chart>
</c:chartSpace>
</file>

<file path=xl/charts/chart5.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en-US"/>
              <a:t>CAGNOTTE</a:t>
            </a:r>
            <a:r>
              <a:rPr lang="en-US" baseline="0"/>
              <a:t> DJO</a:t>
            </a:r>
            <a:endParaRPr lang="en-US"/>
          </a:p>
        </c:rich>
      </c:tx>
    </c:title>
    <c:plotArea>
      <c:layout/>
      <c:scatterChart>
        <c:scatterStyle val="smoothMarker"/>
        <c:ser>
          <c:idx val="0"/>
          <c:order val="0"/>
          <c:tx>
            <c:strRef>
              <c:f>recap!$U$1</c:f>
              <c:strCache>
                <c:ptCount val="1"/>
                <c:pt idx="0">
                  <c:v>GAIN DJO</c:v>
                </c:pt>
              </c:strCache>
            </c:strRef>
          </c:tx>
          <c:marker>
            <c:symbol val="none"/>
          </c:marker>
          <c:trendline>
            <c:trendlineType val="linear"/>
          </c:trendline>
          <c:yVal>
            <c:numRef>
              <c:f>recap!$U$6:$U$395</c:f>
              <c:numCache>
                <c:formatCode>#,##0.00_ ;[Red]\-#,##0.00\ </c:formatCode>
                <c:ptCount val="390"/>
                <c:pt idx="0">
                  <c:v>7</c:v>
                </c:pt>
                <c:pt idx="1">
                  <c:v>-3</c:v>
                </c:pt>
                <c:pt idx="2">
                  <c:v>-8</c:v>
                </c:pt>
                <c:pt idx="3">
                  <c:v>-8</c:v>
                </c:pt>
                <c:pt idx="4">
                  <c:v>-3.5</c:v>
                </c:pt>
                <c:pt idx="5">
                  <c:v>-13.5</c:v>
                </c:pt>
                <c:pt idx="6">
                  <c:v>-23.5</c:v>
                </c:pt>
                <c:pt idx="7">
                  <c:v>-23.5</c:v>
                </c:pt>
                <c:pt idx="8">
                  <c:v>-23.5</c:v>
                </c:pt>
                <c:pt idx="9">
                  <c:v>-23.5</c:v>
                </c:pt>
                <c:pt idx="10">
                  <c:v>-23.5</c:v>
                </c:pt>
                <c:pt idx="11">
                  <c:v>-23.5</c:v>
                </c:pt>
                <c:pt idx="12">
                  <c:v>-23.5</c:v>
                </c:pt>
                <c:pt idx="13">
                  <c:v>-23.5</c:v>
                </c:pt>
                <c:pt idx="14">
                  <c:v>-23.5</c:v>
                </c:pt>
                <c:pt idx="15">
                  <c:v>-23.5</c:v>
                </c:pt>
                <c:pt idx="16">
                  <c:v>-23.5</c:v>
                </c:pt>
                <c:pt idx="17">
                  <c:v>-23.5</c:v>
                </c:pt>
                <c:pt idx="18">
                  <c:v>-23.5</c:v>
                </c:pt>
                <c:pt idx="19">
                  <c:v>-23.5</c:v>
                </c:pt>
                <c:pt idx="20">
                  <c:v>-23.5</c:v>
                </c:pt>
                <c:pt idx="21">
                  <c:v>-23.5</c:v>
                </c:pt>
                <c:pt idx="22">
                  <c:v>-23.5</c:v>
                </c:pt>
                <c:pt idx="23">
                  <c:v>-23.5</c:v>
                </c:pt>
                <c:pt idx="24">
                  <c:v>-23.5</c:v>
                </c:pt>
                <c:pt idx="25">
                  <c:v>-23.5</c:v>
                </c:pt>
                <c:pt idx="26">
                  <c:v>-23.5</c:v>
                </c:pt>
                <c:pt idx="27">
                  <c:v>-23.5</c:v>
                </c:pt>
                <c:pt idx="28">
                  <c:v>-23.5</c:v>
                </c:pt>
                <c:pt idx="29">
                  <c:v>-23.5</c:v>
                </c:pt>
                <c:pt idx="30">
                  <c:v>-23.5</c:v>
                </c:pt>
                <c:pt idx="31">
                  <c:v>-23.5</c:v>
                </c:pt>
                <c:pt idx="32">
                  <c:v>-23.5</c:v>
                </c:pt>
                <c:pt idx="33">
                  <c:v>-23.5</c:v>
                </c:pt>
                <c:pt idx="34">
                  <c:v>-23.5</c:v>
                </c:pt>
                <c:pt idx="35">
                  <c:v>-23.5</c:v>
                </c:pt>
                <c:pt idx="36">
                  <c:v>-23.5</c:v>
                </c:pt>
                <c:pt idx="37">
                  <c:v>-23.5</c:v>
                </c:pt>
                <c:pt idx="38">
                  <c:v>-23.5</c:v>
                </c:pt>
                <c:pt idx="39">
                  <c:v>-23.5</c:v>
                </c:pt>
                <c:pt idx="40">
                  <c:v>-23.5</c:v>
                </c:pt>
                <c:pt idx="41">
                  <c:v>-23.5</c:v>
                </c:pt>
                <c:pt idx="42">
                  <c:v>-23.5</c:v>
                </c:pt>
                <c:pt idx="43">
                  <c:v>-23.5</c:v>
                </c:pt>
                <c:pt idx="44">
                  <c:v>-28.5</c:v>
                </c:pt>
                <c:pt idx="45">
                  <c:v>-28.5</c:v>
                </c:pt>
                <c:pt idx="46">
                  <c:v>-25.85</c:v>
                </c:pt>
                <c:pt idx="47">
                  <c:v>-25.85</c:v>
                </c:pt>
                <c:pt idx="48">
                  <c:v>-24.200000000000003</c:v>
                </c:pt>
                <c:pt idx="49">
                  <c:v>-24.200000000000003</c:v>
                </c:pt>
                <c:pt idx="50">
                  <c:v>-19.850000000000001</c:v>
                </c:pt>
                <c:pt idx="51">
                  <c:v>-18.100000000000001</c:v>
                </c:pt>
                <c:pt idx="52">
                  <c:v>-23.1</c:v>
                </c:pt>
                <c:pt idx="53">
                  <c:v>-18.350000000000001</c:v>
                </c:pt>
                <c:pt idx="54">
                  <c:v>-16.8</c:v>
                </c:pt>
                <c:pt idx="55">
                  <c:v>-16.8</c:v>
                </c:pt>
                <c:pt idx="56">
                  <c:v>-16.8</c:v>
                </c:pt>
                <c:pt idx="57">
                  <c:v>-16.8</c:v>
                </c:pt>
                <c:pt idx="58">
                  <c:v>-16.8</c:v>
                </c:pt>
                <c:pt idx="59">
                  <c:v>-16.8</c:v>
                </c:pt>
                <c:pt idx="60">
                  <c:v>-16.8</c:v>
                </c:pt>
                <c:pt idx="61">
                  <c:v>-16.8</c:v>
                </c:pt>
                <c:pt idx="62">
                  <c:v>-16.8</c:v>
                </c:pt>
                <c:pt idx="63">
                  <c:v>-16.8</c:v>
                </c:pt>
                <c:pt idx="64">
                  <c:v>-16.8</c:v>
                </c:pt>
                <c:pt idx="65">
                  <c:v>-16.8</c:v>
                </c:pt>
                <c:pt idx="66">
                  <c:v>-15.700000000000001</c:v>
                </c:pt>
                <c:pt idx="67">
                  <c:v>-20.700000000000003</c:v>
                </c:pt>
                <c:pt idx="68">
                  <c:v>-20.700000000000003</c:v>
                </c:pt>
                <c:pt idx="69">
                  <c:v>-20.700000000000003</c:v>
                </c:pt>
                <c:pt idx="70">
                  <c:v>-20.700000000000003</c:v>
                </c:pt>
                <c:pt idx="71">
                  <c:v>-20.700000000000003</c:v>
                </c:pt>
                <c:pt idx="72">
                  <c:v>-20.700000000000003</c:v>
                </c:pt>
                <c:pt idx="73">
                  <c:v>-20.700000000000003</c:v>
                </c:pt>
                <c:pt idx="74">
                  <c:v>-20.700000000000003</c:v>
                </c:pt>
                <c:pt idx="75">
                  <c:v>-18.050000000000004</c:v>
                </c:pt>
                <c:pt idx="76">
                  <c:v>-18.050000000000004</c:v>
                </c:pt>
                <c:pt idx="77">
                  <c:v>-18.050000000000004</c:v>
                </c:pt>
                <c:pt idx="78">
                  <c:v>-23.050000000000004</c:v>
                </c:pt>
                <c:pt idx="79">
                  <c:v>-21.750000000000004</c:v>
                </c:pt>
                <c:pt idx="80">
                  <c:v>-19.950000000000003</c:v>
                </c:pt>
                <c:pt idx="81">
                  <c:v>-24.950000000000003</c:v>
                </c:pt>
                <c:pt idx="82">
                  <c:v>-29.950000000000003</c:v>
                </c:pt>
                <c:pt idx="83">
                  <c:v>-34.950000000000003</c:v>
                </c:pt>
                <c:pt idx="84">
                  <c:v>-31.85</c:v>
                </c:pt>
                <c:pt idx="85">
                  <c:v>-36.85</c:v>
                </c:pt>
                <c:pt idx="86">
                  <c:v>-36.85</c:v>
                </c:pt>
                <c:pt idx="87">
                  <c:v>-36.85</c:v>
                </c:pt>
                <c:pt idx="88">
                  <c:v>-36.85</c:v>
                </c:pt>
                <c:pt idx="89">
                  <c:v>-36.85</c:v>
                </c:pt>
                <c:pt idx="90">
                  <c:v>-36.85</c:v>
                </c:pt>
                <c:pt idx="91">
                  <c:v>-36.85</c:v>
                </c:pt>
                <c:pt idx="92">
                  <c:v>-36.85</c:v>
                </c:pt>
                <c:pt idx="93">
                  <c:v>-36.85</c:v>
                </c:pt>
                <c:pt idx="94">
                  <c:v>-36.85</c:v>
                </c:pt>
                <c:pt idx="95">
                  <c:v>-36.85</c:v>
                </c:pt>
                <c:pt idx="96">
                  <c:v>-36.85</c:v>
                </c:pt>
                <c:pt idx="97">
                  <c:v>-36.85</c:v>
                </c:pt>
                <c:pt idx="98">
                  <c:v>-36.85</c:v>
                </c:pt>
                <c:pt idx="99">
                  <c:v>-36.85</c:v>
                </c:pt>
                <c:pt idx="100">
                  <c:v>-36.85</c:v>
                </c:pt>
                <c:pt idx="101">
                  <c:v>-34.85</c:v>
                </c:pt>
                <c:pt idx="102">
                  <c:v>-39.85</c:v>
                </c:pt>
                <c:pt idx="103">
                  <c:v>-44.85</c:v>
                </c:pt>
                <c:pt idx="104">
                  <c:v>-44.85</c:v>
                </c:pt>
                <c:pt idx="105">
                  <c:v>-44.85</c:v>
                </c:pt>
                <c:pt idx="106">
                  <c:v>-44.85</c:v>
                </c:pt>
                <c:pt idx="107">
                  <c:v>-44.85</c:v>
                </c:pt>
                <c:pt idx="108">
                  <c:v>-44.85</c:v>
                </c:pt>
                <c:pt idx="109">
                  <c:v>-44.85</c:v>
                </c:pt>
                <c:pt idx="110">
                  <c:v>-44.85</c:v>
                </c:pt>
                <c:pt idx="111">
                  <c:v>-44.85</c:v>
                </c:pt>
                <c:pt idx="112">
                  <c:v>-44.85</c:v>
                </c:pt>
                <c:pt idx="113">
                  <c:v>-44.85</c:v>
                </c:pt>
                <c:pt idx="114">
                  <c:v>-44.85</c:v>
                </c:pt>
                <c:pt idx="115">
                  <c:v>-44.85</c:v>
                </c:pt>
                <c:pt idx="116">
                  <c:v>-44.85</c:v>
                </c:pt>
                <c:pt idx="117">
                  <c:v>-44.85</c:v>
                </c:pt>
                <c:pt idx="118">
                  <c:v>-44.85</c:v>
                </c:pt>
                <c:pt idx="119">
                  <c:v>-44.85</c:v>
                </c:pt>
                <c:pt idx="120">
                  <c:v>-44.85</c:v>
                </c:pt>
                <c:pt idx="121">
                  <c:v>-44.85</c:v>
                </c:pt>
                <c:pt idx="122">
                  <c:v>-49.85</c:v>
                </c:pt>
                <c:pt idx="123">
                  <c:v>-49.85</c:v>
                </c:pt>
                <c:pt idx="124">
                  <c:v>-49.85</c:v>
                </c:pt>
                <c:pt idx="125">
                  <c:v>-49.85</c:v>
                </c:pt>
                <c:pt idx="126">
                  <c:v>-45.85</c:v>
                </c:pt>
                <c:pt idx="127">
                  <c:v>-45.85</c:v>
                </c:pt>
                <c:pt idx="128">
                  <c:v>-45.85</c:v>
                </c:pt>
                <c:pt idx="129">
                  <c:v>-45.85</c:v>
                </c:pt>
                <c:pt idx="130">
                  <c:v>-45.85</c:v>
                </c:pt>
                <c:pt idx="131">
                  <c:v>-45.85</c:v>
                </c:pt>
                <c:pt idx="132">
                  <c:v>-45.85</c:v>
                </c:pt>
                <c:pt idx="133">
                  <c:v>-45.85</c:v>
                </c:pt>
                <c:pt idx="134">
                  <c:v>-45.85</c:v>
                </c:pt>
                <c:pt idx="135">
                  <c:v>-45.85</c:v>
                </c:pt>
                <c:pt idx="136">
                  <c:v>-45.85</c:v>
                </c:pt>
                <c:pt idx="137">
                  <c:v>-50.85</c:v>
                </c:pt>
                <c:pt idx="138">
                  <c:v>-50.85</c:v>
                </c:pt>
                <c:pt idx="139">
                  <c:v>-50.85</c:v>
                </c:pt>
                <c:pt idx="140">
                  <c:v>-50.85</c:v>
                </c:pt>
                <c:pt idx="141">
                  <c:v>-50.85</c:v>
                </c:pt>
                <c:pt idx="142">
                  <c:v>-44.85</c:v>
                </c:pt>
                <c:pt idx="143">
                  <c:v>-44.85</c:v>
                </c:pt>
                <c:pt idx="144">
                  <c:v>-44.85</c:v>
                </c:pt>
                <c:pt idx="145">
                  <c:v>-44.85</c:v>
                </c:pt>
                <c:pt idx="146">
                  <c:v>-44.85</c:v>
                </c:pt>
                <c:pt idx="147">
                  <c:v>-44.85</c:v>
                </c:pt>
                <c:pt idx="148">
                  <c:v>-44.85</c:v>
                </c:pt>
                <c:pt idx="149">
                  <c:v>-44.85</c:v>
                </c:pt>
                <c:pt idx="150">
                  <c:v>-44.85</c:v>
                </c:pt>
                <c:pt idx="151">
                  <c:v>-44.85</c:v>
                </c:pt>
                <c:pt idx="152">
                  <c:v>-49.85</c:v>
                </c:pt>
                <c:pt idx="153">
                  <c:v>-54.85</c:v>
                </c:pt>
                <c:pt idx="154">
                  <c:v>-54.85</c:v>
                </c:pt>
                <c:pt idx="155">
                  <c:v>-54.85</c:v>
                </c:pt>
                <c:pt idx="156">
                  <c:v>-54.85</c:v>
                </c:pt>
                <c:pt idx="157">
                  <c:v>-54.85</c:v>
                </c:pt>
                <c:pt idx="158">
                  <c:v>-54.85</c:v>
                </c:pt>
                <c:pt idx="159">
                  <c:v>-54.85</c:v>
                </c:pt>
                <c:pt idx="160">
                  <c:v>-54.85</c:v>
                </c:pt>
                <c:pt idx="161">
                  <c:v>-54.85</c:v>
                </c:pt>
                <c:pt idx="162">
                  <c:v>-54.85</c:v>
                </c:pt>
                <c:pt idx="163">
                  <c:v>-54.85</c:v>
                </c:pt>
                <c:pt idx="164">
                  <c:v>-54.85</c:v>
                </c:pt>
                <c:pt idx="165">
                  <c:v>-54.85</c:v>
                </c:pt>
                <c:pt idx="166">
                  <c:v>-54.85</c:v>
                </c:pt>
                <c:pt idx="167">
                  <c:v>-59.85</c:v>
                </c:pt>
                <c:pt idx="168">
                  <c:v>-59.85</c:v>
                </c:pt>
                <c:pt idx="169">
                  <c:v>-59.85</c:v>
                </c:pt>
                <c:pt idx="170">
                  <c:v>-59.85</c:v>
                </c:pt>
                <c:pt idx="171">
                  <c:v>-59.85</c:v>
                </c:pt>
                <c:pt idx="172">
                  <c:v>-59.85</c:v>
                </c:pt>
                <c:pt idx="173">
                  <c:v>-59.85</c:v>
                </c:pt>
                <c:pt idx="174">
                  <c:v>-59.85</c:v>
                </c:pt>
                <c:pt idx="175">
                  <c:v>-59.85</c:v>
                </c:pt>
                <c:pt idx="176">
                  <c:v>-59.85</c:v>
                </c:pt>
                <c:pt idx="177">
                  <c:v>-59.85</c:v>
                </c:pt>
                <c:pt idx="178">
                  <c:v>-59.85</c:v>
                </c:pt>
                <c:pt idx="179">
                  <c:v>-59.85</c:v>
                </c:pt>
                <c:pt idx="180">
                  <c:v>-59.85</c:v>
                </c:pt>
                <c:pt idx="181">
                  <c:v>-59.85</c:v>
                </c:pt>
                <c:pt idx="182">
                  <c:v>-59.85</c:v>
                </c:pt>
                <c:pt idx="183">
                  <c:v>-59.85</c:v>
                </c:pt>
                <c:pt idx="184">
                  <c:v>-59.85</c:v>
                </c:pt>
                <c:pt idx="185">
                  <c:v>-59.85</c:v>
                </c:pt>
                <c:pt idx="186">
                  <c:v>-59.85</c:v>
                </c:pt>
                <c:pt idx="187">
                  <c:v>-59.85</c:v>
                </c:pt>
                <c:pt idx="188">
                  <c:v>-59.85</c:v>
                </c:pt>
                <c:pt idx="189">
                  <c:v>-59.85</c:v>
                </c:pt>
                <c:pt idx="190">
                  <c:v>-59.85</c:v>
                </c:pt>
                <c:pt idx="191">
                  <c:v>-59.85</c:v>
                </c:pt>
                <c:pt idx="192">
                  <c:v>-59.85</c:v>
                </c:pt>
                <c:pt idx="193">
                  <c:v>-59.85</c:v>
                </c:pt>
                <c:pt idx="194">
                  <c:v>-59.85</c:v>
                </c:pt>
                <c:pt idx="195">
                  <c:v>-59.85</c:v>
                </c:pt>
                <c:pt idx="196">
                  <c:v>-59.85</c:v>
                </c:pt>
                <c:pt idx="197">
                  <c:v>-59.85</c:v>
                </c:pt>
                <c:pt idx="198">
                  <c:v>-59.85</c:v>
                </c:pt>
                <c:pt idx="199">
                  <c:v>-59.85</c:v>
                </c:pt>
                <c:pt idx="200">
                  <c:v>-59.85</c:v>
                </c:pt>
                <c:pt idx="201">
                  <c:v>-59.85</c:v>
                </c:pt>
                <c:pt idx="202">
                  <c:v>-59.85</c:v>
                </c:pt>
                <c:pt idx="203">
                  <c:v>-59.85</c:v>
                </c:pt>
                <c:pt idx="204">
                  <c:v>-59.85</c:v>
                </c:pt>
                <c:pt idx="205">
                  <c:v>-59.85</c:v>
                </c:pt>
                <c:pt idx="206">
                  <c:v>-59.85</c:v>
                </c:pt>
                <c:pt idx="207">
                  <c:v>-59.85</c:v>
                </c:pt>
                <c:pt idx="208">
                  <c:v>-59.85</c:v>
                </c:pt>
                <c:pt idx="209">
                  <c:v>-59.85</c:v>
                </c:pt>
                <c:pt idx="210">
                  <c:v>-59.85</c:v>
                </c:pt>
                <c:pt idx="211">
                  <c:v>-59.85</c:v>
                </c:pt>
                <c:pt idx="212">
                  <c:v>-59.85</c:v>
                </c:pt>
                <c:pt idx="213">
                  <c:v>-59.85</c:v>
                </c:pt>
                <c:pt idx="214">
                  <c:v>-59.85</c:v>
                </c:pt>
                <c:pt idx="215">
                  <c:v>-59.85</c:v>
                </c:pt>
                <c:pt idx="216">
                  <c:v>-59.85</c:v>
                </c:pt>
                <c:pt idx="217">
                  <c:v>-59.85</c:v>
                </c:pt>
                <c:pt idx="218">
                  <c:v>-59.85</c:v>
                </c:pt>
                <c:pt idx="219">
                  <c:v>-59.85</c:v>
                </c:pt>
                <c:pt idx="220">
                  <c:v>-59.85</c:v>
                </c:pt>
                <c:pt idx="221">
                  <c:v>-59.85</c:v>
                </c:pt>
                <c:pt idx="222">
                  <c:v>-59.85</c:v>
                </c:pt>
                <c:pt idx="223">
                  <c:v>-59.85</c:v>
                </c:pt>
                <c:pt idx="224">
                  <c:v>-59.85</c:v>
                </c:pt>
                <c:pt idx="225">
                  <c:v>-59.85</c:v>
                </c:pt>
                <c:pt idx="226">
                  <c:v>-59.85</c:v>
                </c:pt>
                <c:pt idx="227">
                  <c:v>-59.85</c:v>
                </c:pt>
                <c:pt idx="228">
                  <c:v>-59.85</c:v>
                </c:pt>
                <c:pt idx="229">
                  <c:v>-59.85</c:v>
                </c:pt>
                <c:pt idx="230">
                  <c:v>-59.85</c:v>
                </c:pt>
                <c:pt idx="231">
                  <c:v>-59.85</c:v>
                </c:pt>
                <c:pt idx="232">
                  <c:v>-59.85</c:v>
                </c:pt>
                <c:pt idx="233">
                  <c:v>-59.85</c:v>
                </c:pt>
                <c:pt idx="234">
                  <c:v>-59.85</c:v>
                </c:pt>
                <c:pt idx="235">
                  <c:v>-59.85</c:v>
                </c:pt>
                <c:pt idx="236">
                  <c:v>-59.85</c:v>
                </c:pt>
                <c:pt idx="237">
                  <c:v>-59.85</c:v>
                </c:pt>
                <c:pt idx="238">
                  <c:v>-59.85</c:v>
                </c:pt>
                <c:pt idx="239">
                  <c:v>-59.85</c:v>
                </c:pt>
                <c:pt idx="240">
                  <c:v>-59.85</c:v>
                </c:pt>
                <c:pt idx="241">
                  <c:v>-59.85</c:v>
                </c:pt>
                <c:pt idx="242">
                  <c:v>-59.85</c:v>
                </c:pt>
                <c:pt idx="243">
                  <c:v>-59.85</c:v>
                </c:pt>
                <c:pt idx="244">
                  <c:v>-59.85</c:v>
                </c:pt>
                <c:pt idx="245">
                  <c:v>-59.85</c:v>
                </c:pt>
                <c:pt idx="246">
                  <c:v>-59.85</c:v>
                </c:pt>
                <c:pt idx="247">
                  <c:v>-59.85</c:v>
                </c:pt>
                <c:pt idx="248">
                  <c:v>-59.85</c:v>
                </c:pt>
                <c:pt idx="249">
                  <c:v>-59.85</c:v>
                </c:pt>
                <c:pt idx="250">
                  <c:v>-59.85</c:v>
                </c:pt>
                <c:pt idx="251">
                  <c:v>-59.85</c:v>
                </c:pt>
                <c:pt idx="252">
                  <c:v>-59.85</c:v>
                </c:pt>
                <c:pt idx="253">
                  <c:v>-59.85</c:v>
                </c:pt>
                <c:pt idx="254">
                  <c:v>-59.85</c:v>
                </c:pt>
                <c:pt idx="255">
                  <c:v>-59.85</c:v>
                </c:pt>
                <c:pt idx="256">
                  <c:v>-59.85</c:v>
                </c:pt>
                <c:pt idx="257">
                  <c:v>-59.85</c:v>
                </c:pt>
                <c:pt idx="258">
                  <c:v>-59.85</c:v>
                </c:pt>
                <c:pt idx="259">
                  <c:v>-59.85</c:v>
                </c:pt>
                <c:pt idx="260">
                  <c:v>-59.85</c:v>
                </c:pt>
                <c:pt idx="261">
                  <c:v>-59.85</c:v>
                </c:pt>
                <c:pt idx="262">
                  <c:v>-59.85</c:v>
                </c:pt>
                <c:pt idx="263">
                  <c:v>-59.85</c:v>
                </c:pt>
                <c:pt idx="264">
                  <c:v>-59.85</c:v>
                </c:pt>
                <c:pt idx="265">
                  <c:v>-59.85</c:v>
                </c:pt>
                <c:pt idx="266">
                  <c:v>-59.85</c:v>
                </c:pt>
                <c:pt idx="267">
                  <c:v>-59.85</c:v>
                </c:pt>
                <c:pt idx="268">
                  <c:v>-59.85</c:v>
                </c:pt>
                <c:pt idx="269">
                  <c:v>-59.85</c:v>
                </c:pt>
                <c:pt idx="270">
                  <c:v>-59.85</c:v>
                </c:pt>
                <c:pt idx="271">
                  <c:v>-59.85</c:v>
                </c:pt>
                <c:pt idx="272">
                  <c:v>-59.85</c:v>
                </c:pt>
                <c:pt idx="273">
                  <c:v>-59.85</c:v>
                </c:pt>
                <c:pt idx="274">
                  <c:v>-59.85</c:v>
                </c:pt>
                <c:pt idx="275">
                  <c:v>-59.85</c:v>
                </c:pt>
                <c:pt idx="276">
                  <c:v>-59.85</c:v>
                </c:pt>
                <c:pt idx="277">
                  <c:v>-59.85</c:v>
                </c:pt>
                <c:pt idx="278">
                  <c:v>-59.85</c:v>
                </c:pt>
                <c:pt idx="279">
                  <c:v>-59.85</c:v>
                </c:pt>
                <c:pt idx="280">
                  <c:v>-59.85</c:v>
                </c:pt>
                <c:pt idx="281">
                  <c:v>-59.85</c:v>
                </c:pt>
                <c:pt idx="282">
                  <c:v>-59.85</c:v>
                </c:pt>
                <c:pt idx="283">
                  <c:v>-59.85</c:v>
                </c:pt>
                <c:pt idx="284">
                  <c:v>-59.85</c:v>
                </c:pt>
                <c:pt idx="285">
                  <c:v>-59.85</c:v>
                </c:pt>
                <c:pt idx="286">
                  <c:v>-59.85</c:v>
                </c:pt>
                <c:pt idx="287">
                  <c:v>-59.85</c:v>
                </c:pt>
                <c:pt idx="288">
                  <c:v>-79.849999999999994</c:v>
                </c:pt>
                <c:pt idx="289">
                  <c:v>-79.849999999999994</c:v>
                </c:pt>
                <c:pt idx="290">
                  <c:v>-79.849999999999994</c:v>
                </c:pt>
                <c:pt idx="291">
                  <c:v>-79.849999999999994</c:v>
                </c:pt>
                <c:pt idx="292">
                  <c:v>-79.849999999999994</c:v>
                </c:pt>
                <c:pt idx="293">
                  <c:v>-79.849999999999994</c:v>
                </c:pt>
                <c:pt idx="294">
                  <c:v>-79.849999999999994</c:v>
                </c:pt>
                <c:pt idx="295">
                  <c:v>-79.849999999999994</c:v>
                </c:pt>
                <c:pt idx="296">
                  <c:v>-79.849999999999994</c:v>
                </c:pt>
                <c:pt idx="297">
                  <c:v>-79.849999999999994</c:v>
                </c:pt>
                <c:pt idx="298">
                  <c:v>-79.849999999999994</c:v>
                </c:pt>
                <c:pt idx="299">
                  <c:v>-79.849999999999994</c:v>
                </c:pt>
                <c:pt idx="300">
                  <c:v>-79.849999999999994</c:v>
                </c:pt>
                <c:pt idx="301">
                  <c:v>-79.849999999999994</c:v>
                </c:pt>
                <c:pt idx="302">
                  <c:v>-79.849999999999994</c:v>
                </c:pt>
                <c:pt idx="303">
                  <c:v>-79.849999999999994</c:v>
                </c:pt>
                <c:pt idx="304">
                  <c:v>-79.849999999999994</c:v>
                </c:pt>
                <c:pt idx="305">
                  <c:v>-79.849999999999994</c:v>
                </c:pt>
                <c:pt idx="306">
                  <c:v>-79.849999999999994</c:v>
                </c:pt>
                <c:pt idx="307">
                  <c:v>-77.649999999999991</c:v>
                </c:pt>
                <c:pt idx="308">
                  <c:v>-77.649999999999991</c:v>
                </c:pt>
                <c:pt idx="309">
                  <c:v>-77.649999999999991</c:v>
                </c:pt>
                <c:pt idx="310">
                  <c:v>-77.649999999999991</c:v>
                </c:pt>
                <c:pt idx="311">
                  <c:v>-77.649999999999991</c:v>
                </c:pt>
                <c:pt idx="312">
                  <c:v>-77.649999999999991</c:v>
                </c:pt>
                <c:pt idx="313">
                  <c:v>-77.649999999999991</c:v>
                </c:pt>
                <c:pt idx="314">
                  <c:v>-77.649999999999991</c:v>
                </c:pt>
                <c:pt idx="315">
                  <c:v>-77.649999999999991</c:v>
                </c:pt>
                <c:pt idx="316">
                  <c:v>-77.649999999999991</c:v>
                </c:pt>
                <c:pt idx="317">
                  <c:v>-77.649999999999991</c:v>
                </c:pt>
                <c:pt idx="318">
                  <c:v>-77.649999999999991</c:v>
                </c:pt>
                <c:pt idx="319">
                  <c:v>-77.649999999999991</c:v>
                </c:pt>
                <c:pt idx="320">
                  <c:v>-77.649999999999991</c:v>
                </c:pt>
                <c:pt idx="321">
                  <c:v>-77.649999999999991</c:v>
                </c:pt>
                <c:pt idx="322">
                  <c:v>-77.649999999999991</c:v>
                </c:pt>
                <c:pt idx="323">
                  <c:v>-77.649999999999991</c:v>
                </c:pt>
                <c:pt idx="324">
                  <c:v>-77.649999999999991</c:v>
                </c:pt>
                <c:pt idx="325">
                  <c:v>-77.649999999999991</c:v>
                </c:pt>
                <c:pt idx="326">
                  <c:v>-77.649999999999991</c:v>
                </c:pt>
                <c:pt idx="327">
                  <c:v>-77.649999999999991</c:v>
                </c:pt>
                <c:pt idx="328">
                  <c:v>-77.649999999999991</c:v>
                </c:pt>
                <c:pt idx="329">
                  <c:v>-77.649999999999991</c:v>
                </c:pt>
                <c:pt idx="330">
                  <c:v>-77.649999999999991</c:v>
                </c:pt>
                <c:pt idx="331">
                  <c:v>-77.649999999999991</c:v>
                </c:pt>
                <c:pt idx="332">
                  <c:v>-77.649999999999991</c:v>
                </c:pt>
                <c:pt idx="333">
                  <c:v>-77.649999999999991</c:v>
                </c:pt>
                <c:pt idx="334">
                  <c:v>-77.649999999999991</c:v>
                </c:pt>
                <c:pt idx="335">
                  <c:v>-77.649999999999991</c:v>
                </c:pt>
                <c:pt idx="336">
                  <c:v>-77.649999999999991</c:v>
                </c:pt>
                <c:pt idx="337">
                  <c:v>-77.649999999999991</c:v>
                </c:pt>
                <c:pt idx="338">
                  <c:v>-77.649999999999991</c:v>
                </c:pt>
                <c:pt idx="339">
                  <c:v>-77.649999999999991</c:v>
                </c:pt>
                <c:pt idx="340">
                  <c:v>-77.649999999999991</c:v>
                </c:pt>
                <c:pt idx="341">
                  <c:v>-77.649999999999991</c:v>
                </c:pt>
                <c:pt idx="342">
                  <c:v>-77.649999999999991</c:v>
                </c:pt>
                <c:pt idx="343">
                  <c:v>-77.649999999999991</c:v>
                </c:pt>
                <c:pt idx="344">
                  <c:v>-77.649999999999991</c:v>
                </c:pt>
                <c:pt idx="345">
                  <c:v>-77.649999999999991</c:v>
                </c:pt>
                <c:pt idx="346">
                  <c:v>-77.649999999999991</c:v>
                </c:pt>
                <c:pt idx="347">
                  <c:v>-77.649999999999991</c:v>
                </c:pt>
                <c:pt idx="348">
                  <c:v>-77.649999999999991</c:v>
                </c:pt>
                <c:pt idx="349">
                  <c:v>-77.649999999999991</c:v>
                </c:pt>
                <c:pt idx="350">
                  <c:v>-77.649999999999991</c:v>
                </c:pt>
                <c:pt idx="351">
                  <c:v>-74.3</c:v>
                </c:pt>
                <c:pt idx="352">
                  <c:v>-72.3</c:v>
                </c:pt>
                <c:pt idx="353">
                  <c:v>-77.3</c:v>
                </c:pt>
                <c:pt idx="354">
                  <c:v>-82.3</c:v>
                </c:pt>
                <c:pt idx="355">
                  <c:v>-87.3</c:v>
                </c:pt>
                <c:pt idx="356">
                  <c:v>-87.3</c:v>
                </c:pt>
                <c:pt idx="357">
                  <c:v>-87.3</c:v>
                </c:pt>
                <c:pt idx="358">
                  <c:v>-87.3</c:v>
                </c:pt>
                <c:pt idx="359">
                  <c:v>-87.3</c:v>
                </c:pt>
                <c:pt idx="360">
                  <c:v>-87.3</c:v>
                </c:pt>
                <c:pt idx="361">
                  <c:v>-87.3</c:v>
                </c:pt>
                <c:pt idx="362">
                  <c:v>-87.3</c:v>
                </c:pt>
                <c:pt idx="363">
                  <c:v>-87.3</c:v>
                </c:pt>
                <c:pt idx="364">
                  <c:v>-87.3</c:v>
                </c:pt>
                <c:pt idx="365">
                  <c:v>-87.3</c:v>
                </c:pt>
                <c:pt idx="366">
                  <c:v>-87.3</c:v>
                </c:pt>
                <c:pt idx="367">
                  <c:v>-87.3</c:v>
                </c:pt>
                <c:pt idx="368">
                  <c:v>-87.3</c:v>
                </c:pt>
                <c:pt idx="369">
                  <c:v>-87.3</c:v>
                </c:pt>
                <c:pt idx="370">
                  <c:v>-87.3</c:v>
                </c:pt>
                <c:pt idx="371">
                  <c:v>-87.3</c:v>
                </c:pt>
                <c:pt idx="372">
                  <c:v>-87.3</c:v>
                </c:pt>
                <c:pt idx="373">
                  <c:v>-87.3</c:v>
                </c:pt>
                <c:pt idx="374">
                  <c:v>-87.3</c:v>
                </c:pt>
                <c:pt idx="375">
                  <c:v>-87.3</c:v>
                </c:pt>
                <c:pt idx="376">
                  <c:v>-87.3</c:v>
                </c:pt>
                <c:pt idx="377">
                  <c:v>-87.3</c:v>
                </c:pt>
                <c:pt idx="378">
                  <c:v>-87.3</c:v>
                </c:pt>
                <c:pt idx="379">
                  <c:v>-87.3</c:v>
                </c:pt>
                <c:pt idx="380">
                  <c:v>-87.3</c:v>
                </c:pt>
                <c:pt idx="381">
                  <c:v>-87.3</c:v>
                </c:pt>
                <c:pt idx="382">
                  <c:v>-87.3</c:v>
                </c:pt>
                <c:pt idx="383">
                  <c:v>-87.3</c:v>
                </c:pt>
                <c:pt idx="384">
                  <c:v>-87.3</c:v>
                </c:pt>
                <c:pt idx="385">
                  <c:v>-87.3</c:v>
                </c:pt>
                <c:pt idx="386">
                  <c:v>-87.3</c:v>
                </c:pt>
                <c:pt idx="387">
                  <c:v>-87.3</c:v>
                </c:pt>
                <c:pt idx="388">
                  <c:v>-87.3</c:v>
                </c:pt>
                <c:pt idx="389">
                  <c:v>-87.3</c:v>
                </c:pt>
              </c:numCache>
            </c:numRef>
          </c:yVal>
          <c:smooth val="1"/>
        </c:ser>
        <c:axId val="138826112"/>
        <c:axId val="138827648"/>
      </c:scatterChart>
      <c:valAx>
        <c:axId val="138826112"/>
        <c:scaling>
          <c:orientation val="minMax"/>
        </c:scaling>
        <c:delete val="1"/>
        <c:axPos val="b"/>
        <c:tickLblPos val="none"/>
        <c:crossAx val="138827648"/>
        <c:crosses val="autoZero"/>
        <c:crossBetween val="midCat"/>
      </c:valAx>
      <c:valAx>
        <c:axId val="138827648"/>
        <c:scaling>
          <c:orientation val="minMax"/>
          <c:min val="-100"/>
        </c:scaling>
        <c:axPos val="l"/>
        <c:majorGridlines/>
        <c:numFmt formatCode="#,##0.00_ ;[Red]\-#,##0.00\ " sourceLinked="1"/>
        <c:tickLblPos val="nextTo"/>
        <c:crossAx val="138826112"/>
        <c:crosses val="autoZero"/>
        <c:crossBetween val="midCat"/>
        <c:majorUnit val="10"/>
      </c:valAx>
    </c:plotArea>
    <c:plotVisOnly val="1"/>
    <c:dispBlanksAs val="gap"/>
  </c:chart>
</c:chartSpace>
</file>

<file path=xl/charts/chart6.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CAGNOTTE</a:t>
            </a:r>
            <a:r>
              <a:rPr lang="fr-FR" baseline="0"/>
              <a:t> TOF</a:t>
            </a:r>
            <a:endParaRPr lang="fr-FR"/>
          </a:p>
        </c:rich>
      </c:tx>
    </c:title>
    <c:plotArea>
      <c:layout>
        <c:manualLayout>
          <c:layoutTarget val="inner"/>
          <c:xMode val="edge"/>
          <c:yMode val="edge"/>
          <c:x val="5.9999578534594887E-2"/>
          <c:y val="8.6012889303935289E-2"/>
          <c:w val="0.90777208011025157"/>
          <c:h val="0.88864542279347403"/>
        </c:manualLayout>
      </c:layout>
      <c:scatterChart>
        <c:scatterStyle val="lineMarker"/>
        <c:ser>
          <c:idx val="0"/>
          <c:order val="0"/>
          <c:tx>
            <c:strRef>
              <c:f>recap!$W$1</c:f>
              <c:strCache>
                <c:ptCount val="1"/>
                <c:pt idx="0">
                  <c:v>GAIN TOF</c:v>
                </c:pt>
              </c:strCache>
            </c:strRef>
          </c:tx>
          <c:marker>
            <c:symbol val="none"/>
          </c:marker>
          <c:trendline>
            <c:trendlineType val="linear"/>
          </c:trendline>
          <c:yVal>
            <c:numRef>
              <c:f>recap!$W$26:$W$395</c:f>
              <c:numCache>
                <c:formatCode>#,##0.00_ ;[Red]\-#,##0.00\ </c:formatCode>
                <c:ptCount val="370"/>
                <c:pt idx="0">
                  <c:v>2.5</c:v>
                </c:pt>
                <c:pt idx="1">
                  <c:v>-2.5</c:v>
                </c:pt>
                <c:pt idx="2">
                  <c:v>-7.5</c:v>
                </c:pt>
                <c:pt idx="3">
                  <c:v>-5</c:v>
                </c:pt>
                <c:pt idx="4">
                  <c:v>-10</c:v>
                </c:pt>
                <c:pt idx="5">
                  <c:v>-15</c:v>
                </c:pt>
                <c:pt idx="6">
                  <c:v>-15</c:v>
                </c:pt>
                <c:pt idx="7">
                  <c:v>-12.5</c:v>
                </c:pt>
                <c:pt idx="8">
                  <c:v>-17.5</c:v>
                </c:pt>
                <c:pt idx="9">
                  <c:v>-22.5</c:v>
                </c:pt>
                <c:pt idx="10">
                  <c:v>-27.5</c:v>
                </c:pt>
                <c:pt idx="11">
                  <c:v>-25.3</c:v>
                </c:pt>
                <c:pt idx="12">
                  <c:v>-22.8</c:v>
                </c:pt>
                <c:pt idx="13">
                  <c:v>-27.8</c:v>
                </c:pt>
                <c:pt idx="14">
                  <c:v>-32.799999999999997</c:v>
                </c:pt>
                <c:pt idx="15">
                  <c:v>-37.799999999999997</c:v>
                </c:pt>
                <c:pt idx="16">
                  <c:v>-35.599999999999994</c:v>
                </c:pt>
                <c:pt idx="17">
                  <c:v>-35.599999999999994</c:v>
                </c:pt>
                <c:pt idx="18">
                  <c:v>-35.599999999999994</c:v>
                </c:pt>
                <c:pt idx="19">
                  <c:v>-40.599999999999994</c:v>
                </c:pt>
                <c:pt idx="20">
                  <c:v>-40.599999999999994</c:v>
                </c:pt>
                <c:pt idx="21">
                  <c:v>-40.599999999999994</c:v>
                </c:pt>
                <c:pt idx="22">
                  <c:v>-40.599999999999994</c:v>
                </c:pt>
                <c:pt idx="23">
                  <c:v>-40.599999999999994</c:v>
                </c:pt>
                <c:pt idx="24">
                  <c:v>-40.599999999999994</c:v>
                </c:pt>
                <c:pt idx="25">
                  <c:v>-40.599999999999994</c:v>
                </c:pt>
                <c:pt idx="26">
                  <c:v>-40.599999999999994</c:v>
                </c:pt>
                <c:pt idx="27">
                  <c:v>-40.599999999999994</c:v>
                </c:pt>
                <c:pt idx="28">
                  <c:v>-40.599999999999994</c:v>
                </c:pt>
                <c:pt idx="29">
                  <c:v>-40.599999999999994</c:v>
                </c:pt>
                <c:pt idx="30">
                  <c:v>-40.599999999999994</c:v>
                </c:pt>
                <c:pt idx="31">
                  <c:v>-40.599999999999994</c:v>
                </c:pt>
                <c:pt idx="32">
                  <c:v>-40.599999999999994</c:v>
                </c:pt>
                <c:pt idx="33">
                  <c:v>-40.599999999999994</c:v>
                </c:pt>
                <c:pt idx="34">
                  <c:v>-40.599999999999994</c:v>
                </c:pt>
                <c:pt idx="35">
                  <c:v>-40.599999999999994</c:v>
                </c:pt>
                <c:pt idx="36">
                  <c:v>-40.599999999999994</c:v>
                </c:pt>
                <c:pt idx="37">
                  <c:v>-40.599999999999994</c:v>
                </c:pt>
                <c:pt idx="38">
                  <c:v>-40.599999999999994</c:v>
                </c:pt>
                <c:pt idx="39">
                  <c:v>-40.599999999999994</c:v>
                </c:pt>
                <c:pt idx="40">
                  <c:v>-40.599999999999994</c:v>
                </c:pt>
                <c:pt idx="41">
                  <c:v>-45.599999999999994</c:v>
                </c:pt>
                <c:pt idx="42">
                  <c:v>-45.599999999999994</c:v>
                </c:pt>
                <c:pt idx="43">
                  <c:v>-45.599999999999994</c:v>
                </c:pt>
                <c:pt idx="44">
                  <c:v>-45.599999999999994</c:v>
                </c:pt>
                <c:pt idx="45">
                  <c:v>-45.599999999999994</c:v>
                </c:pt>
                <c:pt idx="46">
                  <c:v>-45.599999999999994</c:v>
                </c:pt>
                <c:pt idx="47">
                  <c:v>-45.599999999999994</c:v>
                </c:pt>
                <c:pt idx="48">
                  <c:v>-45.599999999999994</c:v>
                </c:pt>
                <c:pt idx="49">
                  <c:v>-45.599999999999994</c:v>
                </c:pt>
                <c:pt idx="50">
                  <c:v>-45.599999999999994</c:v>
                </c:pt>
                <c:pt idx="51">
                  <c:v>-50.599999999999994</c:v>
                </c:pt>
                <c:pt idx="52">
                  <c:v>-47.249999999999993</c:v>
                </c:pt>
                <c:pt idx="53">
                  <c:v>-47.249999999999993</c:v>
                </c:pt>
                <c:pt idx="54">
                  <c:v>-47.249999999999993</c:v>
                </c:pt>
                <c:pt idx="55">
                  <c:v>-47.249999999999993</c:v>
                </c:pt>
                <c:pt idx="56">
                  <c:v>-47.249999999999993</c:v>
                </c:pt>
                <c:pt idx="57">
                  <c:v>-47.249999999999993</c:v>
                </c:pt>
                <c:pt idx="58">
                  <c:v>-47.249999999999993</c:v>
                </c:pt>
                <c:pt idx="59">
                  <c:v>-47.249999999999993</c:v>
                </c:pt>
                <c:pt idx="60">
                  <c:v>-47.249999999999993</c:v>
                </c:pt>
                <c:pt idx="61">
                  <c:v>-47.249999999999993</c:v>
                </c:pt>
                <c:pt idx="62">
                  <c:v>-47.249999999999993</c:v>
                </c:pt>
                <c:pt idx="63">
                  <c:v>-47.249999999999993</c:v>
                </c:pt>
                <c:pt idx="64">
                  <c:v>-47.249999999999993</c:v>
                </c:pt>
                <c:pt idx="65">
                  <c:v>-47.249999999999993</c:v>
                </c:pt>
                <c:pt idx="66">
                  <c:v>-47.249999999999993</c:v>
                </c:pt>
                <c:pt idx="67">
                  <c:v>-47.249999999999993</c:v>
                </c:pt>
                <c:pt idx="68">
                  <c:v>-47.249999999999993</c:v>
                </c:pt>
                <c:pt idx="69">
                  <c:v>-52.249999999999993</c:v>
                </c:pt>
                <c:pt idx="70">
                  <c:v>-50.449999999999989</c:v>
                </c:pt>
                <c:pt idx="71">
                  <c:v>-50.449999999999989</c:v>
                </c:pt>
                <c:pt idx="72">
                  <c:v>-50.449999999999989</c:v>
                </c:pt>
                <c:pt idx="73">
                  <c:v>-50.449999999999989</c:v>
                </c:pt>
                <c:pt idx="74">
                  <c:v>-50.449999999999989</c:v>
                </c:pt>
                <c:pt idx="75">
                  <c:v>-50.449999999999989</c:v>
                </c:pt>
                <c:pt idx="76">
                  <c:v>-50.449999999999989</c:v>
                </c:pt>
                <c:pt idx="77">
                  <c:v>-50.449999999999989</c:v>
                </c:pt>
                <c:pt idx="78">
                  <c:v>-50.449999999999989</c:v>
                </c:pt>
                <c:pt idx="79">
                  <c:v>-55.449999999999989</c:v>
                </c:pt>
                <c:pt idx="80">
                  <c:v>-54.199999999999989</c:v>
                </c:pt>
                <c:pt idx="81">
                  <c:v>-54.199999999999989</c:v>
                </c:pt>
                <c:pt idx="82">
                  <c:v>-54.199999999999989</c:v>
                </c:pt>
                <c:pt idx="83">
                  <c:v>-54.199999999999989</c:v>
                </c:pt>
                <c:pt idx="84">
                  <c:v>-54.199999999999989</c:v>
                </c:pt>
                <c:pt idx="85">
                  <c:v>-54.199999999999989</c:v>
                </c:pt>
                <c:pt idx="86">
                  <c:v>-54.199999999999989</c:v>
                </c:pt>
                <c:pt idx="87">
                  <c:v>-54.199999999999989</c:v>
                </c:pt>
                <c:pt idx="88">
                  <c:v>-54.199999999999989</c:v>
                </c:pt>
                <c:pt idx="89">
                  <c:v>-54.199999999999989</c:v>
                </c:pt>
                <c:pt idx="90">
                  <c:v>-54.199999999999989</c:v>
                </c:pt>
                <c:pt idx="91">
                  <c:v>-54.199999999999989</c:v>
                </c:pt>
                <c:pt idx="92">
                  <c:v>-54.199999999999989</c:v>
                </c:pt>
                <c:pt idx="93">
                  <c:v>-54.199999999999989</c:v>
                </c:pt>
                <c:pt idx="94">
                  <c:v>-54.199999999999989</c:v>
                </c:pt>
                <c:pt idx="95">
                  <c:v>-54.199999999999989</c:v>
                </c:pt>
                <c:pt idx="96">
                  <c:v>-54.199999999999989</c:v>
                </c:pt>
                <c:pt idx="97">
                  <c:v>-54.199999999999989</c:v>
                </c:pt>
                <c:pt idx="98">
                  <c:v>-54.199999999999989</c:v>
                </c:pt>
                <c:pt idx="99">
                  <c:v>-54.199999999999989</c:v>
                </c:pt>
                <c:pt idx="100">
                  <c:v>-54.199999999999989</c:v>
                </c:pt>
                <c:pt idx="101">
                  <c:v>-54.199999999999989</c:v>
                </c:pt>
                <c:pt idx="102">
                  <c:v>-54.199999999999989</c:v>
                </c:pt>
                <c:pt idx="103">
                  <c:v>-54.199999999999989</c:v>
                </c:pt>
                <c:pt idx="104">
                  <c:v>-54.199999999999989</c:v>
                </c:pt>
                <c:pt idx="105">
                  <c:v>-54.199999999999989</c:v>
                </c:pt>
                <c:pt idx="106">
                  <c:v>-54.199999999999989</c:v>
                </c:pt>
                <c:pt idx="107">
                  <c:v>-54.199999999999989</c:v>
                </c:pt>
                <c:pt idx="108">
                  <c:v>-54.199999999999989</c:v>
                </c:pt>
                <c:pt idx="109">
                  <c:v>-54.199999999999989</c:v>
                </c:pt>
                <c:pt idx="110">
                  <c:v>-54.199999999999989</c:v>
                </c:pt>
                <c:pt idx="111">
                  <c:v>-54.199999999999989</c:v>
                </c:pt>
                <c:pt idx="112">
                  <c:v>-54.199999999999989</c:v>
                </c:pt>
                <c:pt idx="113">
                  <c:v>-54.199999999999989</c:v>
                </c:pt>
                <c:pt idx="114">
                  <c:v>-54.199999999999989</c:v>
                </c:pt>
                <c:pt idx="115">
                  <c:v>-54.199999999999989</c:v>
                </c:pt>
                <c:pt idx="116">
                  <c:v>-54.199999999999989</c:v>
                </c:pt>
                <c:pt idx="117">
                  <c:v>-54.199999999999989</c:v>
                </c:pt>
                <c:pt idx="118">
                  <c:v>-54.199999999999989</c:v>
                </c:pt>
                <c:pt idx="119">
                  <c:v>-54.199999999999989</c:v>
                </c:pt>
                <c:pt idx="120">
                  <c:v>-54.199999999999989</c:v>
                </c:pt>
                <c:pt idx="121">
                  <c:v>-54.199999999999989</c:v>
                </c:pt>
                <c:pt idx="122">
                  <c:v>-54.199999999999989</c:v>
                </c:pt>
                <c:pt idx="123">
                  <c:v>-54.199999999999989</c:v>
                </c:pt>
                <c:pt idx="124">
                  <c:v>-54.199999999999989</c:v>
                </c:pt>
                <c:pt idx="125">
                  <c:v>-54.199999999999989</c:v>
                </c:pt>
                <c:pt idx="126">
                  <c:v>-54.199999999999989</c:v>
                </c:pt>
                <c:pt idx="127">
                  <c:v>-54.199999999999989</c:v>
                </c:pt>
                <c:pt idx="128">
                  <c:v>-54.199999999999989</c:v>
                </c:pt>
                <c:pt idx="129">
                  <c:v>-54.199999999999989</c:v>
                </c:pt>
                <c:pt idx="130">
                  <c:v>-54.199999999999989</c:v>
                </c:pt>
                <c:pt idx="131">
                  <c:v>-54.199999999999989</c:v>
                </c:pt>
                <c:pt idx="132">
                  <c:v>-54.199999999999989</c:v>
                </c:pt>
                <c:pt idx="133">
                  <c:v>-54.199999999999989</c:v>
                </c:pt>
                <c:pt idx="134">
                  <c:v>-54.199999999999989</c:v>
                </c:pt>
                <c:pt idx="135">
                  <c:v>-54.199999999999989</c:v>
                </c:pt>
                <c:pt idx="136">
                  <c:v>-54.199999999999989</c:v>
                </c:pt>
                <c:pt idx="137">
                  <c:v>-54.199999999999989</c:v>
                </c:pt>
                <c:pt idx="138">
                  <c:v>-54.199999999999989</c:v>
                </c:pt>
                <c:pt idx="139">
                  <c:v>-54.199999999999989</c:v>
                </c:pt>
                <c:pt idx="140">
                  <c:v>-54.199999999999989</c:v>
                </c:pt>
                <c:pt idx="141">
                  <c:v>-54.199999999999989</c:v>
                </c:pt>
                <c:pt idx="142">
                  <c:v>-54.199999999999989</c:v>
                </c:pt>
                <c:pt idx="143">
                  <c:v>-54.199999999999989</c:v>
                </c:pt>
                <c:pt idx="144">
                  <c:v>-54.199999999999989</c:v>
                </c:pt>
                <c:pt idx="145">
                  <c:v>-49.199999999999989</c:v>
                </c:pt>
                <c:pt idx="146">
                  <c:v>-49.199999999999989</c:v>
                </c:pt>
                <c:pt idx="147">
                  <c:v>-49.199999999999989</c:v>
                </c:pt>
                <c:pt idx="148">
                  <c:v>-49.199999999999989</c:v>
                </c:pt>
                <c:pt idx="149">
                  <c:v>-49.199999999999989</c:v>
                </c:pt>
                <c:pt idx="150">
                  <c:v>-49.199999999999989</c:v>
                </c:pt>
                <c:pt idx="151">
                  <c:v>-49.199999999999989</c:v>
                </c:pt>
                <c:pt idx="152">
                  <c:v>-49.199999999999989</c:v>
                </c:pt>
                <c:pt idx="153">
                  <c:v>-49.199999999999989</c:v>
                </c:pt>
                <c:pt idx="154">
                  <c:v>-49.199999999999989</c:v>
                </c:pt>
                <c:pt idx="155">
                  <c:v>-49.199999999999989</c:v>
                </c:pt>
                <c:pt idx="156">
                  <c:v>-49.199999999999989</c:v>
                </c:pt>
                <c:pt idx="157">
                  <c:v>-49.199999999999989</c:v>
                </c:pt>
                <c:pt idx="158">
                  <c:v>-49.199999999999989</c:v>
                </c:pt>
                <c:pt idx="159">
                  <c:v>-49.199999999999989</c:v>
                </c:pt>
                <c:pt idx="160">
                  <c:v>-49.199999999999989</c:v>
                </c:pt>
                <c:pt idx="161">
                  <c:v>-49.199999999999989</c:v>
                </c:pt>
                <c:pt idx="162">
                  <c:v>-49.199999999999989</c:v>
                </c:pt>
                <c:pt idx="163">
                  <c:v>-49.199999999999989</c:v>
                </c:pt>
                <c:pt idx="164">
                  <c:v>-49.199999999999989</c:v>
                </c:pt>
                <c:pt idx="165">
                  <c:v>-49.199999999999989</c:v>
                </c:pt>
                <c:pt idx="166">
                  <c:v>-49.199999999999989</c:v>
                </c:pt>
                <c:pt idx="167">
                  <c:v>-49.199999999999989</c:v>
                </c:pt>
                <c:pt idx="168">
                  <c:v>-49.199999999999989</c:v>
                </c:pt>
                <c:pt idx="169">
                  <c:v>-49.199999999999989</c:v>
                </c:pt>
                <c:pt idx="170">
                  <c:v>-49.199999999999989</c:v>
                </c:pt>
                <c:pt idx="171">
                  <c:v>-49.199999999999989</c:v>
                </c:pt>
                <c:pt idx="172">
                  <c:v>-49.199999999999989</c:v>
                </c:pt>
                <c:pt idx="173">
                  <c:v>-49.199999999999989</c:v>
                </c:pt>
                <c:pt idx="174">
                  <c:v>-49.199999999999989</c:v>
                </c:pt>
                <c:pt idx="175">
                  <c:v>-49.199999999999989</c:v>
                </c:pt>
                <c:pt idx="176">
                  <c:v>-49.199999999999989</c:v>
                </c:pt>
                <c:pt idx="177">
                  <c:v>-49.199999999999989</c:v>
                </c:pt>
                <c:pt idx="178">
                  <c:v>-54.199999999999989</c:v>
                </c:pt>
                <c:pt idx="179">
                  <c:v>-52.199999999999989</c:v>
                </c:pt>
                <c:pt idx="180">
                  <c:v>-52.199999999999989</c:v>
                </c:pt>
                <c:pt idx="181">
                  <c:v>-52.199999999999989</c:v>
                </c:pt>
                <c:pt idx="182">
                  <c:v>-52.199999999999989</c:v>
                </c:pt>
                <c:pt idx="183">
                  <c:v>-52.199999999999989</c:v>
                </c:pt>
                <c:pt idx="184">
                  <c:v>-52.199999999999989</c:v>
                </c:pt>
                <c:pt idx="185">
                  <c:v>-52.199999999999989</c:v>
                </c:pt>
                <c:pt idx="186">
                  <c:v>-52.199999999999989</c:v>
                </c:pt>
                <c:pt idx="187">
                  <c:v>-52.199999999999989</c:v>
                </c:pt>
                <c:pt idx="188">
                  <c:v>-52.199999999999989</c:v>
                </c:pt>
                <c:pt idx="189">
                  <c:v>-52.199999999999989</c:v>
                </c:pt>
                <c:pt idx="190">
                  <c:v>-52.199999999999989</c:v>
                </c:pt>
                <c:pt idx="191">
                  <c:v>-52.199999999999989</c:v>
                </c:pt>
                <c:pt idx="192">
                  <c:v>-52.199999999999989</c:v>
                </c:pt>
                <c:pt idx="193">
                  <c:v>-52.199999999999989</c:v>
                </c:pt>
                <c:pt idx="194">
                  <c:v>-52.199999999999989</c:v>
                </c:pt>
                <c:pt idx="195">
                  <c:v>-52.199999999999989</c:v>
                </c:pt>
                <c:pt idx="196">
                  <c:v>-52.199999999999989</c:v>
                </c:pt>
                <c:pt idx="197">
                  <c:v>-52.199999999999989</c:v>
                </c:pt>
                <c:pt idx="198">
                  <c:v>-52.199999999999989</c:v>
                </c:pt>
                <c:pt idx="199">
                  <c:v>-52.199999999999989</c:v>
                </c:pt>
                <c:pt idx="200">
                  <c:v>-52.199999999999989</c:v>
                </c:pt>
                <c:pt idx="201">
                  <c:v>-52.199999999999989</c:v>
                </c:pt>
                <c:pt idx="202">
                  <c:v>-52.199999999999989</c:v>
                </c:pt>
                <c:pt idx="203">
                  <c:v>-52.199999999999989</c:v>
                </c:pt>
                <c:pt idx="204">
                  <c:v>-52.199999999999989</c:v>
                </c:pt>
                <c:pt idx="205">
                  <c:v>-52.199999999999989</c:v>
                </c:pt>
                <c:pt idx="206">
                  <c:v>-52.199999999999989</c:v>
                </c:pt>
                <c:pt idx="207">
                  <c:v>-52.199999999999989</c:v>
                </c:pt>
                <c:pt idx="208">
                  <c:v>-52.199999999999989</c:v>
                </c:pt>
                <c:pt idx="209">
                  <c:v>-52.199999999999989</c:v>
                </c:pt>
                <c:pt idx="210">
                  <c:v>-52.199999999999989</c:v>
                </c:pt>
                <c:pt idx="211">
                  <c:v>-52.199999999999989</c:v>
                </c:pt>
                <c:pt idx="212">
                  <c:v>-52.199999999999989</c:v>
                </c:pt>
                <c:pt idx="213">
                  <c:v>-52.199999999999989</c:v>
                </c:pt>
                <c:pt idx="214">
                  <c:v>-52.199999999999989</c:v>
                </c:pt>
                <c:pt idx="215">
                  <c:v>-52.199999999999989</c:v>
                </c:pt>
                <c:pt idx="216">
                  <c:v>-52.199999999999989</c:v>
                </c:pt>
                <c:pt idx="217">
                  <c:v>-52.199999999999989</c:v>
                </c:pt>
                <c:pt idx="218">
                  <c:v>-52.199999999999989</c:v>
                </c:pt>
                <c:pt idx="219">
                  <c:v>-52.199999999999989</c:v>
                </c:pt>
                <c:pt idx="220">
                  <c:v>-52.199999999999989</c:v>
                </c:pt>
                <c:pt idx="221">
                  <c:v>-52.199999999999989</c:v>
                </c:pt>
                <c:pt idx="222">
                  <c:v>-52.199999999999989</c:v>
                </c:pt>
                <c:pt idx="223">
                  <c:v>-52.199999999999989</c:v>
                </c:pt>
                <c:pt idx="224">
                  <c:v>-52.199999999999989</c:v>
                </c:pt>
                <c:pt idx="225">
                  <c:v>-52.199999999999989</c:v>
                </c:pt>
                <c:pt idx="226">
                  <c:v>-52.199999999999989</c:v>
                </c:pt>
                <c:pt idx="227">
                  <c:v>-52.199999999999989</c:v>
                </c:pt>
                <c:pt idx="228">
                  <c:v>-52.199999999999989</c:v>
                </c:pt>
                <c:pt idx="229">
                  <c:v>-52.199999999999989</c:v>
                </c:pt>
                <c:pt idx="230">
                  <c:v>-52.199999999999989</c:v>
                </c:pt>
                <c:pt idx="231">
                  <c:v>-52.199999999999989</c:v>
                </c:pt>
                <c:pt idx="232">
                  <c:v>-52.199999999999989</c:v>
                </c:pt>
                <c:pt idx="233">
                  <c:v>-52.199999999999989</c:v>
                </c:pt>
                <c:pt idx="234">
                  <c:v>-52.199999999999989</c:v>
                </c:pt>
                <c:pt idx="235">
                  <c:v>-52.199999999999989</c:v>
                </c:pt>
                <c:pt idx="236">
                  <c:v>-52.199999999999989</c:v>
                </c:pt>
                <c:pt idx="237">
                  <c:v>-52.199999999999989</c:v>
                </c:pt>
                <c:pt idx="238">
                  <c:v>-52.199999999999989</c:v>
                </c:pt>
                <c:pt idx="239">
                  <c:v>-52.199999999999989</c:v>
                </c:pt>
                <c:pt idx="240">
                  <c:v>-52.199999999999989</c:v>
                </c:pt>
                <c:pt idx="241">
                  <c:v>-52.199999999999989</c:v>
                </c:pt>
                <c:pt idx="242">
                  <c:v>-52.199999999999989</c:v>
                </c:pt>
                <c:pt idx="243">
                  <c:v>-52.199999999999989</c:v>
                </c:pt>
                <c:pt idx="244">
                  <c:v>-52.199999999999989</c:v>
                </c:pt>
                <c:pt idx="245">
                  <c:v>-52.199999999999989</c:v>
                </c:pt>
                <c:pt idx="246">
                  <c:v>-52.199999999999989</c:v>
                </c:pt>
                <c:pt idx="247">
                  <c:v>-52.199999999999989</c:v>
                </c:pt>
                <c:pt idx="248">
                  <c:v>-52.199999999999989</c:v>
                </c:pt>
                <c:pt idx="249">
                  <c:v>-52.199999999999989</c:v>
                </c:pt>
                <c:pt idx="250">
                  <c:v>-52.199999999999989</c:v>
                </c:pt>
                <c:pt idx="251">
                  <c:v>-52.199999999999989</c:v>
                </c:pt>
                <c:pt idx="252">
                  <c:v>-52.199999999999989</c:v>
                </c:pt>
                <c:pt idx="253">
                  <c:v>-52.199999999999989</c:v>
                </c:pt>
                <c:pt idx="254">
                  <c:v>-52.199999999999989</c:v>
                </c:pt>
                <c:pt idx="255">
                  <c:v>-52.199999999999989</c:v>
                </c:pt>
                <c:pt idx="256">
                  <c:v>-52.199999999999989</c:v>
                </c:pt>
                <c:pt idx="257">
                  <c:v>-52.199999999999989</c:v>
                </c:pt>
                <c:pt idx="258">
                  <c:v>-52.199999999999989</c:v>
                </c:pt>
                <c:pt idx="259">
                  <c:v>-52.199999999999989</c:v>
                </c:pt>
                <c:pt idx="260">
                  <c:v>-52.199999999999989</c:v>
                </c:pt>
                <c:pt idx="261">
                  <c:v>-52.199999999999989</c:v>
                </c:pt>
                <c:pt idx="262">
                  <c:v>-52.199999999999989</c:v>
                </c:pt>
                <c:pt idx="263">
                  <c:v>-52.199999999999989</c:v>
                </c:pt>
                <c:pt idx="264">
                  <c:v>-52.199999999999989</c:v>
                </c:pt>
                <c:pt idx="265">
                  <c:v>-52.199999999999989</c:v>
                </c:pt>
                <c:pt idx="266">
                  <c:v>-52.199999999999989</c:v>
                </c:pt>
                <c:pt idx="267">
                  <c:v>-52.199999999999989</c:v>
                </c:pt>
                <c:pt idx="268">
                  <c:v>-52.199999999999989</c:v>
                </c:pt>
                <c:pt idx="269">
                  <c:v>-52.199999999999989</c:v>
                </c:pt>
                <c:pt idx="270">
                  <c:v>-52.199999999999989</c:v>
                </c:pt>
                <c:pt idx="271">
                  <c:v>-52.199999999999989</c:v>
                </c:pt>
                <c:pt idx="272">
                  <c:v>-52.199999999999989</c:v>
                </c:pt>
                <c:pt idx="273">
                  <c:v>-52.199999999999989</c:v>
                </c:pt>
                <c:pt idx="274">
                  <c:v>-52.199999999999989</c:v>
                </c:pt>
                <c:pt idx="275">
                  <c:v>-52.199999999999989</c:v>
                </c:pt>
                <c:pt idx="276">
                  <c:v>-52.199999999999989</c:v>
                </c:pt>
                <c:pt idx="277">
                  <c:v>-52.199999999999989</c:v>
                </c:pt>
                <c:pt idx="278">
                  <c:v>-52.199999999999989</c:v>
                </c:pt>
                <c:pt idx="279">
                  <c:v>-52.199999999999989</c:v>
                </c:pt>
                <c:pt idx="280">
                  <c:v>-52.199999999999989</c:v>
                </c:pt>
                <c:pt idx="281">
                  <c:v>-52.199999999999989</c:v>
                </c:pt>
                <c:pt idx="282">
                  <c:v>-52.199999999999989</c:v>
                </c:pt>
                <c:pt idx="283">
                  <c:v>-52.199999999999989</c:v>
                </c:pt>
                <c:pt idx="284">
                  <c:v>-52.199999999999989</c:v>
                </c:pt>
                <c:pt idx="285">
                  <c:v>-52.199999999999989</c:v>
                </c:pt>
                <c:pt idx="286">
                  <c:v>-52.199999999999989</c:v>
                </c:pt>
                <c:pt idx="287">
                  <c:v>-52.199999999999989</c:v>
                </c:pt>
                <c:pt idx="288">
                  <c:v>-52.199999999999989</c:v>
                </c:pt>
                <c:pt idx="289">
                  <c:v>-52.199999999999989</c:v>
                </c:pt>
                <c:pt idx="290">
                  <c:v>-52.199999999999989</c:v>
                </c:pt>
                <c:pt idx="291">
                  <c:v>-52.199999999999989</c:v>
                </c:pt>
                <c:pt idx="292">
                  <c:v>-52.199999999999989</c:v>
                </c:pt>
                <c:pt idx="293">
                  <c:v>-52.199999999999989</c:v>
                </c:pt>
                <c:pt idx="294">
                  <c:v>-52.199999999999989</c:v>
                </c:pt>
                <c:pt idx="295">
                  <c:v>-52.199999999999989</c:v>
                </c:pt>
                <c:pt idx="296">
                  <c:v>-52.199999999999989</c:v>
                </c:pt>
                <c:pt idx="297">
                  <c:v>-52.199999999999989</c:v>
                </c:pt>
                <c:pt idx="298">
                  <c:v>-52.199999999999989</c:v>
                </c:pt>
                <c:pt idx="299">
                  <c:v>-52.199999999999989</c:v>
                </c:pt>
                <c:pt idx="300">
                  <c:v>-52.199999999999989</c:v>
                </c:pt>
                <c:pt idx="301">
                  <c:v>-52.199999999999989</c:v>
                </c:pt>
                <c:pt idx="302">
                  <c:v>-52.199999999999989</c:v>
                </c:pt>
                <c:pt idx="303">
                  <c:v>-52.199999999999989</c:v>
                </c:pt>
                <c:pt idx="304">
                  <c:v>-52.199999999999989</c:v>
                </c:pt>
                <c:pt idx="305">
                  <c:v>-52.199999999999989</c:v>
                </c:pt>
                <c:pt idx="306">
                  <c:v>-52.199999999999989</c:v>
                </c:pt>
                <c:pt idx="307">
                  <c:v>-52.199999999999989</c:v>
                </c:pt>
                <c:pt idx="308">
                  <c:v>-52.199999999999989</c:v>
                </c:pt>
                <c:pt idx="309">
                  <c:v>-52.199999999999989</c:v>
                </c:pt>
                <c:pt idx="310">
                  <c:v>-52.199999999999989</c:v>
                </c:pt>
                <c:pt idx="311">
                  <c:v>-52.199999999999989</c:v>
                </c:pt>
                <c:pt idx="312">
                  <c:v>-52.199999999999989</c:v>
                </c:pt>
                <c:pt idx="313">
                  <c:v>-52.199999999999989</c:v>
                </c:pt>
                <c:pt idx="314">
                  <c:v>-52.199999999999989</c:v>
                </c:pt>
                <c:pt idx="315">
                  <c:v>-52.199999999999989</c:v>
                </c:pt>
                <c:pt idx="316">
                  <c:v>-52.199999999999989</c:v>
                </c:pt>
                <c:pt idx="317">
                  <c:v>-52.199999999999989</c:v>
                </c:pt>
                <c:pt idx="318">
                  <c:v>-52.199999999999989</c:v>
                </c:pt>
                <c:pt idx="319">
                  <c:v>-52.199999999999989</c:v>
                </c:pt>
                <c:pt idx="320">
                  <c:v>-52.199999999999989</c:v>
                </c:pt>
                <c:pt idx="321">
                  <c:v>-52.199999999999989</c:v>
                </c:pt>
                <c:pt idx="322">
                  <c:v>-52.199999999999989</c:v>
                </c:pt>
                <c:pt idx="323">
                  <c:v>-52.199999999999989</c:v>
                </c:pt>
                <c:pt idx="324">
                  <c:v>-52.199999999999989</c:v>
                </c:pt>
                <c:pt idx="325">
                  <c:v>-52.199999999999989</c:v>
                </c:pt>
                <c:pt idx="326">
                  <c:v>-52.199999999999989</c:v>
                </c:pt>
                <c:pt idx="327">
                  <c:v>-52.199999999999989</c:v>
                </c:pt>
                <c:pt idx="328">
                  <c:v>-52.199999999999989</c:v>
                </c:pt>
                <c:pt idx="329">
                  <c:v>-52.199999999999989</c:v>
                </c:pt>
                <c:pt idx="330">
                  <c:v>-52.199999999999989</c:v>
                </c:pt>
                <c:pt idx="331">
                  <c:v>-52.199999999999989</c:v>
                </c:pt>
                <c:pt idx="332">
                  <c:v>-52.199999999999989</c:v>
                </c:pt>
                <c:pt idx="333">
                  <c:v>-52.199999999999989</c:v>
                </c:pt>
                <c:pt idx="334">
                  <c:v>-52.199999999999989</c:v>
                </c:pt>
                <c:pt idx="335">
                  <c:v>-52.199999999999989</c:v>
                </c:pt>
                <c:pt idx="336">
                  <c:v>-52.199999999999989</c:v>
                </c:pt>
                <c:pt idx="337">
                  <c:v>-52.199999999999989</c:v>
                </c:pt>
                <c:pt idx="338">
                  <c:v>-52.199999999999989</c:v>
                </c:pt>
                <c:pt idx="339">
                  <c:v>-52.199999999999989</c:v>
                </c:pt>
                <c:pt idx="340">
                  <c:v>-52.199999999999989</c:v>
                </c:pt>
                <c:pt idx="341">
                  <c:v>-52.199999999999989</c:v>
                </c:pt>
                <c:pt idx="342">
                  <c:v>-57.199999999999989</c:v>
                </c:pt>
                <c:pt idx="343">
                  <c:v>-57.199999999999989</c:v>
                </c:pt>
                <c:pt idx="344">
                  <c:v>-57.199999999999989</c:v>
                </c:pt>
                <c:pt idx="345">
                  <c:v>-57.199999999999989</c:v>
                </c:pt>
                <c:pt idx="346">
                  <c:v>-57.199999999999989</c:v>
                </c:pt>
                <c:pt idx="347">
                  <c:v>-57.199999999999989</c:v>
                </c:pt>
                <c:pt idx="348">
                  <c:v>-57.199999999999989</c:v>
                </c:pt>
                <c:pt idx="349">
                  <c:v>-57.199999999999989</c:v>
                </c:pt>
                <c:pt idx="350">
                  <c:v>-57.199999999999989</c:v>
                </c:pt>
                <c:pt idx="351">
                  <c:v>-57.199999999999989</c:v>
                </c:pt>
                <c:pt idx="352">
                  <c:v>-57.199999999999989</c:v>
                </c:pt>
                <c:pt idx="353">
                  <c:v>-57.199999999999989</c:v>
                </c:pt>
                <c:pt idx="354">
                  <c:v>-57.199999999999989</c:v>
                </c:pt>
                <c:pt idx="355">
                  <c:v>-57.199999999999989</c:v>
                </c:pt>
                <c:pt idx="356">
                  <c:v>-57.199999999999989</c:v>
                </c:pt>
                <c:pt idx="357">
                  <c:v>-57.199999999999989</c:v>
                </c:pt>
                <c:pt idx="358">
                  <c:v>-57.199999999999989</c:v>
                </c:pt>
                <c:pt idx="359">
                  <c:v>-57.199999999999989</c:v>
                </c:pt>
                <c:pt idx="360">
                  <c:v>-57.199999999999989</c:v>
                </c:pt>
                <c:pt idx="361">
                  <c:v>-57.199999999999989</c:v>
                </c:pt>
                <c:pt idx="362">
                  <c:v>-57.199999999999989</c:v>
                </c:pt>
                <c:pt idx="363">
                  <c:v>-57.199999999999989</c:v>
                </c:pt>
                <c:pt idx="364">
                  <c:v>-57.199999999999989</c:v>
                </c:pt>
                <c:pt idx="365">
                  <c:v>-57.199999999999989</c:v>
                </c:pt>
                <c:pt idx="366">
                  <c:v>-57.199999999999989</c:v>
                </c:pt>
                <c:pt idx="367">
                  <c:v>-57.199999999999989</c:v>
                </c:pt>
                <c:pt idx="368">
                  <c:v>-57.199999999999989</c:v>
                </c:pt>
                <c:pt idx="369">
                  <c:v>-57.199999999999989</c:v>
                </c:pt>
              </c:numCache>
            </c:numRef>
          </c:yVal>
        </c:ser>
        <c:axId val="138840320"/>
        <c:axId val="138862592"/>
      </c:scatterChart>
      <c:valAx>
        <c:axId val="138840320"/>
        <c:scaling>
          <c:orientation val="minMax"/>
        </c:scaling>
        <c:delete val="1"/>
        <c:axPos val="b"/>
        <c:tickLblPos val="none"/>
        <c:crossAx val="138862592"/>
        <c:crosses val="autoZero"/>
        <c:crossBetween val="midCat"/>
      </c:valAx>
      <c:valAx>
        <c:axId val="138862592"/>
        <c:scaling>
          <c:orientation val="minMax"/>
          <c:min val="-100"/>
        </c:scaling>
        <c:axPos val="l"/>
        <c:majorGridlines/>
        <c:numFmt formatCode="#,##0.00_ ;[Red]\-#,##0.00\ " sourceLinked="1"/>
        <c:tickLblPos val="nextTo"/>
        <c:crossAx val="138840320"/>
        <c:crosses val="autoZero"/>
        <c:crossBetween val="midCat"/>
        <c:majorUnit val="10"/>
      </c:valAx>
    </c:plotArea>
    <c:plotVisOnly val="1"/>
    <c:dispBlanksAs val="gap"/>
  </c:chart>
</c:chartSpace>
</file>

<file path=xl/charts/chart7.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CAGNOTTE</a:t>
            </a:r>
            <a:r>
              <a:rPr lang="fr-FR" baseline="0"/>
              <a:t> YOAN</a:t>
            </a:r>
            <a:endParaRPr lang="fr-FR"/>
          </a:p>
        </c:rich>
      </c:tx>
    </c:title>
    <c:plotArea>
      <c:layout>
        <c:manualLayout>
          <c:layoutTarget val="inner"/>
          <c:xMode val="edge"/>
          <c:yMode val="edge"/>
          <c:x val="5.9999578534594887E-2"/>
          <c:y val="8.8106807641779708E-2"/>
          <c:w val="0.90777208011025157"/>
          <c:h val="0.88864542279347425"/>
        </c:manualLayout>
      </c:layout>
      <c:scatterChart>
        <c:scatterStyle val="lineMarker"/>
        <c:ser>
          <c:idx val="0"/>
          <c:order val="0"/>
          <c:tx>
            <c:strRef>
              <c:f>recap!$X$1</c:f>
              <c:strCache>
                <c:ptCount val="1"/>
                <c:pt idx="0">
                  <c:v>GAIN YOAN</c:v>
                </c:pt>
              </c:strCache>
            </c:strRef>
          </c:tx>
          <c:marker>
            <c:symbol val="none"/>
          </c:marker>
          <c:trendline>
            <c:trendlineType val="linear"/>
          </c:trendline>
          <c:trendline>
            <c:trendlineType val="linear"/>
          </c:trendline>
          <c:yVal>
            <c:numRef>
              <c:f>recap!$X$219:$X$395</c:f>
              <c:numCache>
                <c:formatCode>#,##0.00_ ;[Red]\-#,##0.00\ </c:formatCode>
                <c:ptCount val="177"/>
                <c:pt idx="0">
                  <c:v>0</c:v>
                </c:pt>
                <c:pt idx="1">
                  <c:v>0</c:v>
                </c:pt>
                <c:pt idx="2">
                  <c:v>-1</c:v>
                </c:pt>
                <c:pt idx="3">
                  <c:v>-2</c:v>
                </c:pt>
                <c:pt idx="4">
                  <c:v>-2</c:v>
                </c:pt>
                <c:pt idx="5">
                  <c:v>-2</c:v>
                </c:pt>
                <c:pt idx="6">
                  <c:v>-2</c:v>
                </c:pt>
                <c:pt idx="7">
                  <c:v>-2</c:v>
                </c:pt>
                <c:pt idx="8">
                  <c:v>-2</c:v>
                </c:pt>
                <c:pt idx="9">
                  <c:v>-2</c:v>
                </c:pt>
                <c:pt idx="10">
                  <c:v>-2</c:v>
                </c:pt>
                <c:pt idx="11">
                  <c:v>-2</c:v>
                </c:pt>
                <c:pt idx="12">
                  <c:v>-2</c:v>
                </c:pt>
                <c:pt idx="13">
                  <c:v>-2</c:v>
                </c:pt>
                <c:pt idx="14">
                  <c:v>-2</c:v>
                </c:pt>
                <c:pt idx="15">
                  <c:v>-2</c:v>
                </c:pt>
                <c:pt idx="16">
                  <c:v>-2</c:v>
                </c:pt>
                <c:pt idx="17">
                  <c:v>-2</c:v>
                </c:pt>
                <c:pt idx="18">
                  <c:v>-2</c:v>
                </c:pt>
                <c:pt idx="19">
                  <c:v>-2</c:v>
                </c:pt>
                <c:pt idx="20">
                  <c:v>-2</c:v>
                </c:pt>
                <c:pt idx="21">
                  <c:v>-2</c:v>
                </c:pt>
                <c:pt idx="22">
                  <c:v>-2</c:v>
                </c:pt>
                <c:pt idx="23">
                  <c:v>-2</c:v>
                </c:pt>
                <c:pt idx="24">
                  <c:v>-2</c:v>
                </c:pt>
                <c:pt idx="25">
                  <c:v>-2</c:v>
                </c:pt>
                <c:pt idx="26">
                  <c:v>-2</c:v>
                </c:pt>
                <c:pt idx="27">
                  <c:v>-2</c:v>
                </c:pt>
                <c:pt idx="28">
                  <c:v>-2</c:v>
                </c:pt>
                <c:pt idx="29">
                  <c:v>-2</c:v>
                </c:pt>
                <c:pt idx="30">
                  <c:v>-2</c:v>
                </c:pt>
                <c:pt idx="31">
                  <c:v>-2</c:v>
                </c:pt>
                <c:pt idx="32">
                  <c:v>-2</c:v>
                </c:pt>
                <c:pt idx="33">
                  <c:v>-2</c:v>
                </c:pt>
                <c:pt idx="34">
                  <c:v>-2</c:v>
                </c:pt>
                <c:pt idx="35">
                  <c:v>-2</c:v>
                </c:pt>
                <c:pt idx="36">
                  <c:v>-2</c:v>
                </c:pt>
                <c:pt idx="37">
                  <c:v>-2</c:v>
                </c:pt>
                <c:pt idx="38">
                  <c:v>-2</c:v>
                </c:pt>
                <c:pt idx="39">
                  <c:v>-2</c:v>
                </c:pt>
                <c:pt idx="40">
                  <c:v>-2</c:v>
                </c:pt>
                <c:pt idx="41">
                  <c:v>-2</c:v>
                </c:pt>
                <c:pt idx="42">
                  <c:v>-2</c:v>
                </c:pt>
                <c:pt idx="43">
                  <c:v>-2</c:v>
                </c:pt>
                <c:pt idx="44">
                  <c:v>-2</c:v>
                </c:pt>
                <c:pt idx="45">
                  <c:v>-2</c:v>
                </c:pt>
                <c:pt idx="46">
                  <c:v>-2</c:v>
                </c:pt>
                <c:pt idx="47">
                  <c:v>-2</c:v>
                </c:pt>
                <c:pt idx="48">
                  <c:v>-2</c:v>
                </c:pt>
                <c:pt idx="49">
                  <c:v>-2</c:v>
                </c:pt>
                <c:pt idx="50">
                  <c:v>-2</c:v>
                </c:pt>
                <c:pt idx="51">
                  <c:v>-2</c:v>
                </c:pt>
                <c:pt idx="52">
                  <c:v>-2</c:v>
                </c:pt>
                <c:pt idx="53">
                  <c:v>-2</c:v>
                </c:pt>
                <c:pt idx="54">
                  <c:v>-2</c:v>
                </c:pt>
                <c:pt idx="55">
                  <c:v>-2</c:v>
                </c:pt>
                <c:pt idx="56">
                  <c:v>-2</c:v>
                </c:pt>
                <c:pt idx="57">
                  <c:v>-2</c:v>
                </c:pt>
                <c:pt idx="58">
                  <c:v>-2</c:v>
                </c:pt>
                <c:pt idx="59">
                  <c:v>-2</c:v>
                </c:pt>
                <c:pt idx="60">
                  <c:v>-2</c:v>
                </c:pt>
                <c:pt idx="61">
                  <c:v>-2</c:v>
                </c:pt>
                <c:pt idx="62">
                  <c:v>-2</c:v>
                </c:pt>
                <c:pt idx="63">
                  <c:v>-2</c:v>
                </c:pt>
                <c:pt idx="64">
                  <c:v>-2</c:v>
                </c:pt>
                <c:pt idx="65">
                  <c:v>-2</c:v>
                </c:pt>
                <c:pt idx="66">
                  <c:v>-2</c:v>
                </c:pt>
                <c:pt idx="67">
                  <c:v>-2</c:v>
                </c:pt>
                <c:pt idx="68">
                  <c:v>-2</c:v>
                </c:pt>
                <c:pt idx="69">
                  <c:v>-2</c:v>
                </c:pt>
                <c:pt idx="70">
                  <c:v>-2</c:v>
                </c:pt>
                <c:pt idx="71">
                  <c:v>-2</c:v>
                </c:pt>
                <c:pt idx="72">
                  <c:v>-2</c:v>
                </c:pt>
                <c:pt idx="73">
                  <c:v>-2</c:v>
                </c:pt>
                <c:pt idx="74">
                  <c:v>-2</c:v>
                </c:pt>
                <c:pt idx="75">
                  <c:v>-2</c:v>
                </c:pt>
                <c:pt idx="76">
                  <c:v>-2</c:v>
                </c:pt>
                <c:pt idx="77">
                  <c:v>-2</c:v>
                </c:pt>
                <c:pt idx="78">
                  <c:v>-2</c:v>
                </c:pt>
                <c:pt idx="79">
                  <c:v>-2</c:v>
                </c:pt>
                <c:pt idx="80">
                  <c:v>-2</c:v>
                </c:pt>
                <c:pt idx="81">
                  <c:v>-2</c:v>
                </c:pt>
                <c:pt idx="82">
                  <c:v>-2</c:v>
                </c:pt>
                <c:pt idx="83">
                  <c:v>-2</c:v>
                </c:pt>
                <c:pt idx="84">
                  <c:v>-2</c:v>
                </c:pt>
                <c:pt idx="85">
                  <c:v>-2</c:v>
                </c:pt>
                <c:pt idx="86">
                  <c:v>-2</c:v>
                </c:pt>
                <c:pt idx="87">
                  <c:v>-2</c:v>
                </c:pt>
                <c:pt idx="88">
                  <c:v>-2</c:v>
                </c:pt>
                <c:pt idx="89">
                  <c:v>-2</c:v>
                </c:pt>
                <c:pt idx="90">
                  <c:v>-2</c:v>
                </c:pt>
                <c:pt idx="91">
                  <c:v>-2</c:v>
                </c:pt>
                <c:pt idx="92">
                  <c:v>-2</c:v>
                </c:pt>
                <c:pt idx="93">
                  <c:v>-2</c:v>
                </c:pt>
                <c:pt idx="94">
                  <c:v>-2</c:v>
                </c:pt>
                <c:pt idx="95">
                  <c:v>-2</c:v>
                </c:pt>
                <c:pt idx="96">
                  <c:v>-2</c:v>
                </c:pt>
                <c:pt idx="97">
                  <c:v>-2</c:v>
                </c:pt>
                <c:pt idx="98">
                  <c:v>-2</c:v>
                </c:pt>
                <c:pt idx="99">
                  <c:v>-2</c:v>
                </c:pt>
                <c:pt idx="100">
                  <c:v>-2</c:v>
                </c:pt>
                <c:pt idx="101">
                  <c:v>-2</c:v>
                </c:pt>
                <c:pt idx="102">
                  <c:v>-2</c:v>
                </c:pt>
                <c:pt idx="103">
                  <c:v>-2</c:v>
                </c:pt>
                <c:pt idx="104">
                  <c:v>-2</c:v>
                </c:pt>
                <c:pt idx="105">
                  <c:v>-2</c:v>
                </c:pt>
                <c:pt idx="106">
                  <c:v>-2</c:v>
                </c:pt>
                <c:pt idx="107">
                  <c:v>-2</c:v>
                </c:pt>
                <c:pt idx="108">
                  <c:v>-2</c:v>
                </c:pt>
                <c:pt idx="109">
                  <c:v>-2</c:v>
                </c:pt>
                <c:pt idx="110">
                  <c:v>-2</c:v>
                </c:pt>
                <c:pt idx="111">
                  <c:v>-2</c:v>
                </c:pt>
                <c:pt idx="112">
                  <c:v>-2</c:v>
                </c:pt>
                <c:pt idx="113">
                  <c:v>-2</c:v>
                </c:pt>
                <c:pt idx="114">
                  <c:v>-2</c:v>
                </c:pt>
                <c:pt idx="115">
                  <c:v>-2</c:v>
                </c:pt>
                <c:pt idx="116">
                  <c:v>-2</c:v>
                </c:pt>
                <c:pt idx="117">
                  <c:v>-2</c:v>
                </c:pt>
                <c:pt idx="118">
                  <c:v>-2</c:v>
                </c:pt>
                <c:pt idx="119">
                  <c:v>-2</c:v>
                </c:pt>
                <c:pt idx="120">
                  <c:v>-2</c:v>
                </c:pt>
                <c:pt idx="121">
                  <c:v>-2</c:v>
                </c:pt>
                <c:pt idx="122">
                  <c:v>-2</c:v>
                </c:pt>
                <c:pt idx="123">
                  <c:v>-2</c:v>
                </c:pt>
                <c:pt idx="124">
                  <c:v>-2</c:v>
                </c:pt>
                <c:pt idx="125">
                  <c:v>-2</c:v>
                </c:pt>
                <c:pt idx="126">
                  <c:v>-2</c:v>
                </c:pt>
                <c:pt idx="127">
                  <c:v>-2</c:v>
                </c:pt>
                <c:pt idx="128">
                  <c:v>-2</c:v>
                </c:pt>
                <c:pt idx="129">
                  <c:v>-2</c:v>
                </c:pt>
                <c:pt idx="130">
                  <c:v>-2</c:v>
                </c:pt>
                <c:pt idx="131">
                  <c:v>-2</c:v>
                </c:pt>
                <c:pt idx="132">
                  <c:v>-2</c:v>
                </c:pt>
                <c:pt idx="133">
                  <c:v>-2</c:v>
                </c:pt>
                <c:pt idx="134">
                  <c:v>-2</c:v>
                </c:pt>
                <c:pt idx="135">
                  <c:v>-2</c:v>
                </c:pt>
                <c:pt idx="136">
                  <c:v>-2</c:v>
                </c:pt>
                <c:pt idx="137">
                  <c:v>-2</c:v>
                </c:pt>
                <c:pt idx="138">
                  <c:v>-2</c:v>
                </c:pt>
                <c:pt idx="139">
                  <c:v>-2</c:v>
                </c:pt>
                <c:pt idx="140">
                  <c:v>-2</c:v>
                </c:pt>
                <c:pt idx="141">
                  <c:v>-2</c:v>
                </c:pt>
                <c:pt idx="142">
                  <c:v>-2</c:v>
                </c:pt>
                <c:pt idx="143">
                  <c:v>-2</c:v>
                </c:pt>
                <c:pt idx="144">
                  <c:v>-2</c:v>
                </c:pt>
                <c:pt idx="145">
                  <c:v>-2</c:v>
                </c:pt>
                <c:pt idx="146">
                  <c:v>-2</c:v>
                </c:pt>
                <c:pt idx="147">
                  <c:v>-2</c:v>
                </c:pt>
                <c:pt idx="148">
                  <c:v>-2</c:v>
                </c:pt>
                <c:pt idx="149">
                  <c:v>-2</c:v>
                </c:pt>
                <c:pt idx="150">
                  <c:v>-2</c:v>
                </c:pt>
                <c:pt idx="151">
                  <c:v>-2</c:v>
                </c:pt>
                <c:pt idx="152">
                  <c:v>-2</c:v>
                </c:pt>
                <c:pt idx="153">
                  <c:v>-2</c:v>
                </c:pt>
                <c:pt idx="154">
                  <c:v>-2</c:v>
                </c:pt>
                <c:pt idx="155">
                  <c:v>-2</c:v>
                </c:pt>
                <c:pt idx="156">
                  <c:v>-2</c:v>
                </c:pt>
                <c:pt idx="157">
                  <c:v>-2</c:v>
                </c:pt>
                <c:pt idx="158">
                  <c:v>-2</c:v>
                </c:pt>
                <c:pt idx="159">
                  <c:v>-2</c:v>
                </c:pt>
                <c:pt idx="160">
                  <c:v>-2</c:v>
                </c:pt>
                <c:pt idx="161">
                  <c:v>-2</c:v>
                </c:pt>
                <c:pt idx="162">
                  <c:v>-2</c:v>
                </c:pt>
                <c:pt idx="163">
                  <c:v>-2</c:v>
                </c:pt>
                <c:pt idx="164">
                  <c:v>-2</c:v>
                </c:pt>
                <c:pt idx="165">
                  <c:v>-2</c:v>
                </c:pt>
                <c:pt idx="166">
                  <c:v>-2</c:v>
                </c:pt>
                <c:pt idx="167">
                  <c:v>-2</c:v>
                </c:pt>
                <c:pt idx="168">
                  <c:v>-2</c:v>
                </c:pt>
                <c:pt idx="169">
                  <c:v>-2</c:v>
                </c:pt>
                <c:pt idx="170">
                  <c:v>-2</c:v>
                </c:pt>
                <c:pt idx="171">
                  <c:v>-2</c:v>
                </c:pt>
                <c:pt idx="172">
                  <c:v>-2</c:v>
                </c:pt>
                <c:pt idx="173">
                  <c:v>-2</c:v>
                </c:pt>
                <c:pt idx="174">
                  <c:v>-2</c:v>
                </c:pt>
                <c:pt idx="175">
                  <c:v>-2</c:v>
                </c:pt>
                <c:pt idx="176">
                  <c:v>-2</c:v>
                </c:pt>
              </c:numCache>
            </c:numRef>
          </c:yVal>
        </c:ser>
        <c:axId val="138933376"/>
        <c:axId val="138934912"/>
      </c:scatterChart>
      <c:valAx>
        <c:axId val="138933376"/>
        <c:scaling>
          <c:orientation val="minMax"/>
        </c:scaling>
        <c:axPos val="b"/>
        <c:tickLblPos val="none"/>
        <c:crossAx val="138934912"/>
        <c:crosses val="autoZero"/>
        <c:crossBetween val="midCat"/>
      </c:valAx>
      <c:valAx>
        <c:axId val="138934912"/>
        <c:scaling>
          <c:orientation val="minMax"/>
          <c:min val="-20"/>
        </c:scaling>
        <c:axPos val="l"/>
        <c:majorGridlines/>
        <c:numFmt formatCode="#,##0.00_ ;[Red]\-#,##0.00\ " sourceLinked="1"/>
        <c:tickLblPos val="nextTo"/>
        <c:crossAx val="138933376"/>
        <c:crosses val="autoZero"/>
        <c:crossBetween val="midCat"/>
        <c:majorUnit val="5"/>
      </c:valAx>
    </c:plotArea>
    <c:plotVisOnly val="1"/>
    <c:dispBlanksAs val="gap"/>
  </c:chart>
</c:chartSpace>
</file>

<file path=xl/charts/chart8.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fr-FR"/>
              <a:t>CAGNOTTE</a:t>
            </a:r>
            <a:r>
              <a:rPr lang="fr-FR" baseline="0"/>
              <a:t> JEAN</a:t>
            </a:r>
            <a:endParaRPr lang="fr-FR"/>
          </a:p>
        </c:rich>
      </c:tx>
    </c:title>
    <c:plotArea>
      <c:layout>
        <c:manualLayout>
          <c:layoutTarget val="inner"/>
          <c:xMode val="edge"/>
          <c:yMode val="edge"/>
          <c:x val="5.9999578534594887E-2"/>
          <c:y val="8.8106807641779708E-2"/>
          <c:w val="0.90777208011025157"/>
          <c:h val="0.88864542279347447"/>
        </c:manualLayout>
      </c:layout>
      <c:scatterChart>
        <c:scatterStyle val="lineMarker"/>
        <c:ser>
          <c:idx val="0"/>
          <c:order val="0"/>
          <c:tx>
            <c:strRef>
              <c:f>recap!$Y$1</c:f>
              <c:strCache>
                <c:ptCount val="1"/>
                <c:pt idx="0">
                  <c:v>GAIN JEAN</c:v>
                </c:pt>
              </c:strCache>
            </c:strRef>
          </c:tx>
          <c:marker>
            <c:symbol val="none"/>
          </c:marker>
          <c:trendline>
            <c:trendlineType val="linear"/>
          </c:trendline>
          <c:trendline>
            <c:trendlineType val="linear"/>
          </c:trendline>
          <c:yVal>
            <c:numRef>
              <c:f>recap!$Y$225:$Y$395</c:f>
              <c:numCache>
                <c:formatCode>#,##0.00_ ;[Red]\-#,##0.00\ </c:formatCode>
                <c:ptCount val="171"/>
                <c:pt idx="0">
                  <c:v>2.1999999999999993</c:v>
                </c:pt>
                <c:pt idx="1">
                  <c:v>6.35</c:v>
                </c:pt>
                <c:pt idx="2">
                  <c:v>6.35</c:v>
                </c:pt>
                <c:pt idx="3">
                  <c:v>6.35</c:v>
                </c:pt>
                <c:pt idx="4">
                  <c:v>6.35</c:v>
                </c:pt>
                <c:pt idx="5">
                  <c:v>6.35</c:v>
                </c:pt>
                <c:pt idx="6">
                  <c:v>6.35</c:v>
                </c:pt>
                <c:pt idx="7">
                  <c:v>6.35</c:v>
                </c:pt>
                <c:pt idx="8">
                  <c:v>6.35</c:v>
                </c:pt>
                <c:pt idx="9">
                  <c:v>6.35</c:v>
                </c:pt>
                <c:pt idx="10">
                  <c:v>6.35</c:v>
                </c:pt>
                <c:pt idx="11">
                  <c:v>6.35</c:v>
                </c:pt>
                <c:pt idx="12">
                  <c:v>6.35</c:v>
                </c:pt>
                <c:pt idx="13">
                  <c:v>6.35</c:v>
                </c:pt>
                <c:pt idx="14">
                  <c:v>6.35</c:v>
                </c:pt>
                <c:pt idx="15">
                  <c:v>6.35</c:v>
                </c:pt>
                <c:pt idx="16">
                  <c:v>6.35</c:v>
                </c:pt>
                <c:pt idx="17">
                  <c:v>6.35</c:v>
                </c:pt>
                <c:pt idx="18">
                  <c:v>6.35</c:v>
                </c:pt>
                <c:pt idx="19">
                  <c:v>6.35</c:v>
                </c:pt>
                <c:pt idx="20">
                  <c:v>6.35</c:v>
                </c:pt>
                <c:pt idx="21">
                  <c:v>6.35</c:v>
                </c:pt>
                <c:pt idx="22">
                  <c:v>1.3499999999999996</c:v>
                </c:pt>
                <c:pt idx="23">
                  <c:v>1.3499999999999996</c:v>
                </c:pt>
                <c:pt idx="24">
                  <c:v>1.3499999999999996</c:v>
                </c:pt>
                <c:pt idx="25">
                  <c:v>1.3499999999999996</c:v>
                </c:pt>
                <c:pt idx="26">
                  <c:v>1.3499999999999996</c:v>
                </c:pt>
                <c:pt idx="27">
                  <c:v>1.3499999999999996</c:v>
                </c:pt>
                <c:pt idx="28">
                  <c:v>1.3499999999999996</c:v>
                </c:pt>
                <c:pt idx="29">
                  <c:v>3.0999999999999996</c:v>
                </c:pt>
                <c:pt idx="30">
                  <c:v>-1.9000000000000004</c:v>
                </c:pt>
                <c:pt idx="31">
                  <c:v>-1.9000000000000004</c:v>
                </c:pt>
                <c:pt idx="32">
                  <c:v>-1.9000000000000004</c:v>
                </c:pt>
                <c:pt idx="33">
                  <c:v>-1.9000000000000004</c:v>
                </c:pt>
                <c:pt idx="34">
                  <c:v>-1.9000000000000004</c:v>
                </c:pt>
                <c:pt idx="35">
                  <c:v>-1.9000000000000004</c:v>
                </c:pt>
                <c:pt idx="36">
                  <c:v>-1.9000000000000004</c:v>
                </c:pt>
                <c:pt idx="37">
                  <c:v>-1.1500000000000004</c:v>
                </c:pt>
                <c:pt idx="38">
                  <c:v>-6.15</c:v>
                </c:pt>
                <c:pt idx="39">
                  <c:v>-11.15</c:v>
                </c:pt>
                <c:pt idx="40">
                  <c:v>-11.15</c:v>
                </c:pt>
                <c:pt idx="41">
                  <c:v>-11.15</c:v>
                </c:pt>
                <c:pt idx="42">
                  <c:v>-16.149999999999999</c:v>
                </c:pt>
                <c:pt idx="43">
                  <c:v>-14.349999999999998</c:v>
                </c:pt>
                <c:pt idx="44">
                  <c:v>-19.349999999999998</c:v>
                </c:pt>
                <c:pt idx="45">
                  <c:v>-17.149999999999999</c:v>
                </c:pt>
                <c:pt idx="46">
                  <c:v>-14.749999999999998</c:v>
                </c:pt>
                <c:pt idx="47">
                  <c:v>-19.75</c:v>
                </c:pt>
                <c:pt idx="48">
                  <c:v>-19.75</c:v>
                </c:pt>
                <c:pt idx="49">
                  <c:v>-19.75</c:v>
                </c:pt>
                <c:pt idx="50">
                  <c:v>-19.75</c:v>
                </c:pt>
                <c:pt idx="51">
                  <c:v>-19.75</c:v>
                </c:pt>
                <c:pt idx="52">
                  <c:v>-19.75</c:v>
                </c:pt>
                <c:pt idx="53">
                  <c:v>-19.75</c:v>
                </c:pt>
                <c:pt idx="54">
                  <c:v>-19.75</c:v>
                </c:pt>
                <c:pt idx="55">
                  <c:v>-24.75</c:v>
                </c:pt>
                <c:pt idx="56">
                  <c:v>-24.75</c:v>
                </c:pt>
                <c:pt idx="57">
                  <c:v>-24.75</c:v>
                </c:pt>
                <c:pt idx="58">
                  <c:v>-24.75</c:v>
                </c:pt>
                <c:pt idx="59">
                  <c:v>-20.200000000000003</c:v>
                </c:pt>
                <c:pt idx="60">
                  <c:v>-23.200000000000003</c:v>
                </c:pt>
                <c:pt idx="61">
                  <c:v>-23.200000000000003</c:v>
                </c:pt>
                <c:pt idx="62">
                  <c:v>-23.200000000000003</c:v>
                </c:pt>
                <c:pt idx="63">
                  <c:v>-23.200000000000003</c:v>
                </c:pt>
                <c:pt idx="64">
                  <c:v>-28.200000000000003</c:v>
                </c:pt>
                <c:pt idx="65">
                  <c:v>-25.550000000000004</c:v>
                </c:pt>
                <c:pt idx="66">
                  <c:v>-25.550000000000004</c:v>
                </c:pt>
                <c:pt idx="67">
                  <c:v>-25.550000000000004</c:v>
                </c:pt>
                <c:pt idx="68">
                  <c:v>-25.550000000000004</c:v>
                </c:pt>
                <c:pt idx="69">
                  <c:v>-25.550000000000004</c:v>
                </c:pt>
                <c:pt idx="70">
                  <c:v>-25.550000000000004</c:v>
                </c:pt>
                <c:pt idx="71">
                  <c:v>-25.550000000000004</c:v>
                </c:pt>
                <c:pt idx="72">
                  <c:v>-30.550000000000004</c:v>
                </c:pt>
                <c:pt idx="73">
                  <c:v>-29.150000000000006</c:v>
                </c:pt>
                <c:pt idx="74">
                  <c:v>-29.150000000000006</c:v>
                </c:pt>
                <c:pt idx="75">
                  <c:v>-29.150000000000006</c:v>
                </c:pt>
                <c:pt idx="76">
                  <c:v>-29.150000000000006</c:v>
                </c:pt>
                <c:pt idx="77">
                  <c:v>-29.150000000000006</c:v>
                </c:pt>
                <c:pt idx="78">
                  <c:v>-29.150000000000006</c:v>
                </c:pt>
                <c:pt idx="79">
                  <c:v>-29.150000000000006</c:v>
                </c:pt>
                <c:pt idx="80">
                  <c:v>-39.150000000000006</c:v>
                </c:pt>
                <c:pt idx="81">
                  <c:v>-34.950000000000003</c:v>
                </c:pt>
                <c:pt idx="82">
                  <c:v>-34.950000000000003</c:v>
                </c:pt>
                <c:pt idx="83">
                  <c:v>-34.950000000000003</c:v>
                </c:pt>
                <c:pt idx="84">
                  <c:v>-34.950000000000003</c:v>
                </c:pt>
                <c:pt idx="85">
                  <c:v>-34.950000000000003</c:v>
                </c:pt>
                <c:pt idx="86">
                  <c:v>-34.950000000000003</c:v>
                </c:pt>
                <c:pt idx="87">
                  <c:v>-34.950000000000003</c:v>
                </c:pt>
                <c:pt idx="88">
                  <c:v>-34.950000000000003</c:v>
                </c:pt>
                <c:pt idx="89">
                  <c:v>-34.950000000000003</c:v>
                </c:pt>
                <c:pt idx="90">
                  <c:v>-34.950000000000003</c:v>
                </c:pt>
                <c:pt idx="91">
                  <c:v>-34.950000000000003</c:v>
                </c:pt>
                <c:pt idx="92">
                  <c:v>-34.950000000000003</c:v>
                </c:pt>
                <c:pt idx="93">
                  <c:v>-34.950000000000003</c:v>
                </c:pt>
                <c:pt idx="94">
                  <c:v>-34.950000000000003</c:v>
                </c:pt>
                <c:pt idx="95">
                  <c:v>-34.950000000000003</c:v>
                </c:pt>
                <c:pt idx="96">
                  <c:v>-34.950000000000003</c:v>
                </c:pt>
                <c:pt idx="97">
                  <c:v>-34.950000000000003</c:v>
                </c:pt>
                <c:pt idx="98">
                  <c:v>-34.950000000000003</c:v>
                </c:pt>
                <c:pt idx="99">
                  <c:v>-34.950000000000003</c:v>
                </c:pt>
                <c:pt idx="100">
                  <c:v>-34.950000000000003</c:v>
                </c:pt>
                <c:pt idx="101">
                  <c:v>-34.950000000000003</c:v>
                </c:pt>
                <c:pt idx="102">
                  <c:v>-34.950000000000003</c:v>
                </c:pt>
                <c:pt idx="103">
                  <c:v>-34.950000000000003</c:v>
                </c:pt>
                <c:pt idx="104">
                  <c:v>-32.200000000000003</c:v>
                </c:pt>
                <c:pt idx="105">
                  <c:v>-35.700000000000003</c:v>
                </c:pt>
                <c:pt idx="106">
                  <c:v>-35.700000000000003</c:v>
                </c:pt>
                <c:pt idx="107">
                  <c:v>-35.700000000000003</c:v>
                </c:pt>
                <c:pt idx="108">
                  <c:v>-35.700000000000003</c:v>
                </c:pt>
                <c:pt idx="109">
                  <c:v>-35.700000000000003</c:v>
                </c:pt>
                <c:pt idx="110">
                  <c:v>-35.700000000000003</c:v>
                </c:pt>
                <c:pt idx="111">
                  <c:v>-35.700000000000003</c:v>
                </c:pt>
                <c:pt idx="112">
                  <c:v>-35.700000000000003</c:v>
                </c:pt>
                <c:pt idx="113">
                  <c:v>-35.700000000000003</c:v>
                </c:pt>
                <c:pt idx="114">
                  <c:v>-35.700000000000003</c:v>
                </c:pt>
                <c:pt idx="115">
                  <c:v>-35.700000000000003</c:v>
                </c:pt>
                <c:pt idx="116">
                  <c:v>-35.700000000000003</c:v>
                </c:pt>
                <c:pt idx="117">
                  <c:v>-34.050000000000004</c:v>
                </c:pt>
                <c:pt idx="118">
                  <c:v>-30.450000000000003</c:v>
                </c:pt>
                <c:pt idx="119">
                  <c:v>-30.450000000000003</c:v>
                </c:pt>
                <c:pt idx="120">
                  <c:v>-30.450000000000003</c:v>
                </c:pt>
                <c:pt idx="121">
                  <c:v>-30.450000000000003</c:v>
                </c:pt>
                <c:pt idx="122">
                  <c:v>-30.450000000000003</c:v>
                </c:pt>
                <c:pt idx="123">
                  <c:v>-30.450000000000003</c:v>
                </c:pt>
                <c:pt idx="124">
                  <c:v>-30.450000000000003</c:v>
                </c:pt>
                <c:pt idx="125">
                  <c:v>-28.800000000000004</c:v>
                </c:pt>
                <c:pt idx="126">
                  <c:v>-28.800000000000004</c:v>
                </c:pt>
                <c:pt idx="127">
                  <c:v>-15.050000000000004</c:v>
                </c:pt>
                <c:pt idx="128">
                  <c:v>-15.050000000000004</c:v>
                </c:pt>
                <c:pt idx="129">
                  <c:v>-15.050000000000004</c:v>
                </c:pt>
                <c:pt idx="130">
                  <c:v>-15.050000000000004</c:v>
                </c:pt>
                <c:pt idx="131">
                  <c:v>-15.050000000000004</c:v>
                </c:pt>
                <c:pt idx="132">
                  <c:v>-15.050000000000004</c:v>
                </c:pt>
                <c:pt idx="133">
                  <c:v>-15.050000000000004</c:v>
                </c:pt>
                <c:pt idx="134">
                  <c:v>-15.050000000000004</c:v>
                </c:pt>
                <c:pt idx="135">
                  <c:v>-15.050000000000004</c:v>
                </c:pt>
                <c:pt idx="136">
                  <c:v>-15.050000000000004</c:v>
                </c:pt>
                <c:pt idx="137">
                  <c:v>-15.050000000000004</c:v>
                </c:pt>
                <c:pt idx="138">
                  <c:v>-25.050000000000004</c:v>
                </c:pt>
                <c:pt idx="139">
                  <c:v>-30.050000000000004</c:v>
                </c:pt>
                <c:pt idx="140">
                  <c:v>-30.050000000000004</c:v>
                </c:pt>
                <c:pt idx="141">
                  <c:v>-35.050000000000004</c:v>
                </c:pt>
                <c:pt idx="142">
                  <c:v>-35.050000000000004</c:v>
                </c:pt>
                <c:pt idx="143">
                  <c:v>-35.050000000000004</c:v>
                </c:pt>
                <c:pt idx="144">
                  <c:v>-35.050000000000004</c:v>
                </c:pt>
                <c:pt idx="145">
                  <c:v>-35.050000000000004</c:v>
                </c:pt>
                <c:pt idx="146">
                  <c:v>-35.050000000000004</c:v>
                </c:pt>
                <c:pt idx="147">
                  <c:v>-35.050000000000004</c:v>
                </c:pt>
                <c:pt idx="148">
                  <c:v>-35.050000000000004</c:v>
                </c:pt>
                <c:pt idx="149">
                  <c:v>-35.050000000000004</c:v>
                </c:pt>
                <c:pt idx="150">
                  <c:v>-35.050000000000004</c:v>
                </c:pt>
                <c:pt idx="151">
                  <c:v>-35.050000000000004</c:v>
                </c:pt>
                <c:pt idx="152">
                  <c:v>-35.050000000000004</c:v>
                </c:pt>
                <c:pt idx="153">
                  <c:v>-35.050000000000004</c:v>
                </c:pt>
                <c:pt idx="154">
                  <c:v>-35.050000000000004</c:v>
                </c:pt>
                <c:pt idx="155">
                  <c:v>-35.050000000000004</c:v>
                </c:pt>
                <c:pt idx="156">
                  <c:v>-35.050000000000004</c:v>
                </c:pt>
                <c:pt idx="157">
                  <c:v>-35.050000000000004</c:v>
                </c:pt>
                <c:pt idx="158">
                  <c:v>-35.050000000000004</c:v>
                </c:pt>
                <c:pt idx="159">
                  <c:v>-35.050000000000004</c:v>
                </c:pt>
                <c:pt idx="160">
                  <c:v>-35.050000000000004</c:v>
                </c:pt>
                <c:pt idx="161">
                  <c:v>-35.050000000000004</c:v>
                </c:pt>
                <c:pt idx="162">
                  <c:v>-35.050000000000004</c:v>
                </c:pt>
                <c:pt idx="163">
                  <c:v>-35.050000000000004</c:v>
                </c:pt>
                <c:pt idx="164">
                  <c:v>-35.050000000000004</c:v>
                </c:pt>
                <c:pt idx="165">
                  <c:v>-35.050000000000004</c:v>
                </c:pt>
                <c:pt idx="166">
                  <c:v>-35.050000000000004</c:v>
                </c:pt>
                <c:pt idx="167">
                  <c:v>-35.050000000000004</c:v>
                </c:pt>
                <c:pt idx="168">
                  <c:v>-35.050000000000004</c:v>
                </c:pt>
                <c:pt idx="169">
                  <c:v>-35.050000000000004</c:v>
                </c:pt>
                <c:pt idx="170">
                  <c:v>-35.050000000000004</c:v>
                </c:pt>
              </c:numCache>
            </c:numRef>
          </c:yVal>
        </c:ser>
        <c:axId val="138964992"/>
        <c:axId val="138966528"/>
      </c:scatterChart>
      <c:valAx>
        <c:axId val="138964992"/>
        <c:scaling>
          <c:orientation val="minMax"/>
        </c:scaling>
        <c:delete val="1"/>
        <c:axPos val="b"/>
        <c:tickLblPos val="none"/>
        <c:crossAx val="138966528"/>
        <c:crosses val="autoZero"/>
        <c:crossBetween val="midCat"/>
      </c:valAx>
      <c:valAx>
        <c:axId val="138966528"/>
        <c:scaling>
          <c:orientation val="minMax"/>
          <c:min val="-100"/>
        </c:scaling>
        <c:axPos val="l"/>
        <c:majorGridlines/>
        <c:numFmt formatCode="#,##0.00_ ;[Red]\-#,##0.00\ " sourceLinked="1"/>
        <c:tickLblPos val="nextTo"/>
        <c:crossAx val="138964992"/>
        <c:crosses val="autoZero"/>
        <c:crossBetween val="midCat"/>
        <c:majorUnit val="5"/>
      </c:valAx>
    </c:plotArea>
    <c:plotVisOnly val="1"/>
    <c:dispBlanksAs val="gap"/>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9.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10.xml"/></Relationships>
</file>

<file path=xl/chartsheets/sheet1.xml><?xml version="1.0" encoding="utf-8"?>
<chartsheet xmlns="http://schemas.openxmlformats.org/spreadsheetml/2006/main" xmlns:r="http://schemas.openxmlformats.org/officeDocument/2006/relationships">
  <sheetPr codeName="Graph5"/>
  <sheetViews>
    <sheetView zoomScale="75" workbookViewId="0"/>
  </sheetViews>
  <pageMargins left="0.19685039370078741" right="0.23622047244094491" top="0.15748031496062992" bottom="0.15748031496062992" header="0.15748031496062992" footer="0.15748031496062992"/>
  <pageSetup paperSize="9" orientation="landscape" r:id="rId1"/>
  <drawing r:id="rId2"/>
</chartsheet>
</file>

<file path=xl/chartsheets/sheet2.xml><?xml version="1.0" encoding="utf-8"?>
<chartsheet xmlns="http://schemas.openxmlformats.org/spreadsheetml/2006/main" xmlns:r="http://schemas.openxmlformats.org/officeDocument/2006/relationships">
  <sheetPr codeName="Graph1"/>
  <sheetViews>
    <sheetView zoomScale="75" workbookViewId="0"/>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sheetPr codeName="Graph2"/>
  <sheetViews>
    <sheetView zoomScale="75" workbookViewId="0"/>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sheetPr codeName="Graph3"/>
  <sheetViews>
    <sheetView zoomScale="75" workbookViewId="0"/>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sheetPr codeName="Graph4"/>
  <sheetViews>
    <sheetView zoomScale="75" workbookViewId="0"/>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sheetPr codeName="Graph6"/>
  <sheetViews>
    <sheetView zoomScale="75" workbookViewId="0"/>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sheetPr codeName="Graph7"/>
  <sheetViews>
    <sheetView zoomScale="75" workbookViewId="0"/>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sheetPr codeName="Graph8"/>
  <sheetViews>
    <sheetView zoomScale="75"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28</xdr:row>
      <xdr:rowOff>0</xdr:rowOff>
    </xdr:from>
    <xdr:to>
      <xdr:col>5</xdr:col>
      <xdr:colOff>219075</xdr:colOff>
      <xdr:row>34</xdr:row>
      <xdr:rowOff>123825</xdr:rowOff>
    </xdr:to>
    <xdr:pic macro="[1]!djo">
      <xdr:nvPicPr>
        <xdr:cNvPr id="6" name="Image 1" descr="ourson.jpg"/>
        <xdr:cNvPicPr>
          <a:picLocks noChangeAspect="1"/>
        </xdr:cNvPicPr>
      </xdr:nvPicPr>
      <xdr:blipFill>
        <a:blip xmlns:r="http://schemas.openxmlformats.org/officeDocument/2006/relationships" r:embed="rId1" cstate="print"/>
        <a:stretch>
          <a:fillRect/>
        </a:stretch>
      </xdr:blipFill>
      <xdr:spPr bwMode="auto">
        <a:xfrm>
          <a:off x="4362450" y="5867400"/>
          <a:ext cx="1057275" cy="1095375"/>
        </a:xfrm>
        <a:prstGeom prst="rect">
          <a:avLst/>
        </a:prstGeom>
        <a:noFill/>
        <a:ln w="25400">
          <a:solidFill>
            <a:srgbClr val="000000"/>
          </a:solid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0</xdr:colOff>
      <xdr:row>404</xdr:row>
      <xdr:rowOff>0</xdr:rowOff>
    </xdr:from>
    <xdr:to>
      <xdr:col>11</xdr:col>
      <xdr:colOff>58395</xdr:colOff>
      <xdr:row>408</xdr:row>
      <xdr:rowOff>10040</xdr:rowOff>
    </xdr:to>
    <xdr:pic macro="[1]!tof">
      <xdr:nvPicPr>
        <xdr:cNvPr id="6" name="Image 5" descr="loutre.jpg"/>
        <xdr:cNvPicPr>
          <a:picLocks noChangeAspect="1"/>
        </xdr:cNvPicPr>
      </xdr:nvPicPr>
      <xdr:blipFill>
        <a:blip xmlns:r="http://schemas.openxmlformats.org/officeDocument/2006/relationships" r:embed="rId1" cstate="print"/>
        <a:stretch>
          <a:fillRect/>
        </a:stretch>
      </xdr:blipFill>
      <xdr:spPr>
        <a:xfrm>
          <a:off x="10657417" y="36406667"/>
          <a:ext cx="587560" cy="602707"/>
        </a:xfrm>
        <a:prstGeom prst="rect">
          <a:avLst/>
        </a:prstGeom>
        <a:ln w="25400">
          <a:solidFill>
            <a:schemeClr val="tx1"/>
          </a:solidFill>
        </a:ln>
      </xdr:spPr>
    </xdr:pic>
    <xdr:clientData/>
  </xdr:twoCellAnchor>
  <xdr:twoCellAnchor editAs="oneCell">
    <xdr:from>
      <xdr:col>10</xdr:col>
      <xdr:colOff>0</xdr:colOff>
      <xdr:row>411</xdr:row>
      <xdr:rowOff>0</xdr:rowOff>
    </xdr:from>
    <xdr:to>
      <xdr:col>11</xdr:col>
      <xdr:colOff>38101</xdr:colOff>
      <xdr:row>415</xdr:row>
      <xdr:rowOff>23901</xdr:rowOff>
    </xdr:to>
    <xdr:pic macro="[1]!psy">
      <xdr:nvPicPr>
        <xdr:cNvPr id="8" name="Image 7" descr="paresseux.jpg"/>
        <xdr:cNvPicPr>
          <a:picLocks noChangeAspect="1"/>
        </xdr:cNvPicPr>
      </xdr:nvPicPr>
      <xdr:blipFill>
        <a:blip xmlns:r="http://schemas.openxmlformats.org/officeDocument/2006/relationships" r:embed="rId2" cstate="print"/>
        <a:stretch>
          <a:fillRect/>
        </a:stretch>
      </xdr:blipFill>
      <xdr:spPr>
        <a:xfrm>
          <a:off x="11239500" y="40449500"/>
          <a:ext cx="567266" cy="616566"/>
        </a:xfrm>
        <a:prstGeom prst="rect">
          <a:avLst/>
        </a:prstGeom>
        <a:ln w="25400">
          <a:solidFill>
            <a:schemeClr val="tx1"/>
          </a:solidFill>
        </a:ln>
      </xdr:spPr>
    </xdr:pic>
    <xdr:clientData/>
  </xdr:twoCellAnchor>
  <xdr:twoCellAnchor editAs="oneCell">
    <xdr:from>
      <xdr:col>10</xdr:col>
      <xdr:colOff>0</xdr:colOff>
      <xdr:row>418</xdr:row>
      <xdr:rowOff>0</xdr:rowOff>
    </xdr:from>
    <xdr:to>
      <xdr:col>11</xdr:col>
      <xdr:colOff>29213</xdr:colOff>
      <xdr:row>422</xdr:row>
      <xdr:rowOff>56027</xdr:rowOff>
    </xdr:to>
    <xdr:pic macro="[1]!PHANE">
      <xdr:nvPicPr>
        <xdr:cNvPr id="10" name="Image 9" descr="macaque.jpg"/>
        <xdr:cNvPicPr>
          <a:picLocks noChangeAspect="1"/>
        </xdr:cNvPicPr>
      </xdr:nvPicPr>
      <xdr:blipFill>
        <a:blip xmlns:r="http://schemas.openxmlformats.org/officeDocument/2006/relationships" r:embed="rId3" cstate="print"/>
        <a:stretch>
          <a:fillRect/>
        </a:stretch>
      </xdr:blipFill>
      <xdr:spPr>
        <a:xfrm>
          <a:off x="11239500" y="41486667"/>
          <a:ext cx="558378" cy="648695"/>
        </a:xfrm>
        <a:prstGeom prst="rect">
          <a:avLst/>
        </a:prstGeom>
        <a:ln w="25400">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absoluteAnchor>
    <xdr:pos x="-190500" y="25400"/>
    <xdr:ext cx="10185400" cy="7162800"/>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9284939" cy="6063476"/>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9296400" cy="6070600"/>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0" y="30816"/>
    <xdr:ext cx="9300882" cy="6065184"/>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0" y="0"/>
    <xdr:ext cx="9300882" cy="6065184"/>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9300882" cy="6065184"/>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absoluteAnchor>
    <xdr:pos x="0" y="0"/>
    <xdr:ext cx="9300882" cy="6065184"/>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xdr:wsDr xmlns:xdr="http://schemas.openxmlformats.org/drawingml/2006/spreadsheetDrawing" xmlns:a="http://schemas.openxmlformats.org/drawingml/2006/main">
  <xdr:absoluteAnchor>
    <xdr:pos x="0" y="0"/>
    <xdr:ext cx="9300882" cy="6065184"/>
    <xdr:graphicFrame macro="">
      <xdr:nvGraphicFramePr>
        <xdr:cNvPr id="2" name="Graphique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DJO\Local%20Settings\Temporary%20Internet%20Files\Content.IE5\ZXXAUTYR\PSYFUNS%5b1%5d.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xlsm]LES_PARIS_DU_JOUR"/>
      <sheetName val=".xlsm]les 5 derniers"/>
      <sheetName val=".xlsm]recap"/>
      <sheetName val=".xlsm]% bon par sport"/>
      <sheetName val=".xlsm]gain en cours"/>
      <sheetName val=".xlsm]gain réel par parieur "/>
      <sheetName val=".xlsm]TOTAL BWIN"/>
      <sheetName val=".xlsm]GAIN TOTAL"/>
      <sheetName val=".xlsm]YANN"/>
      <sheetName val=".xlsm]PHANE"/>
      <sheetName val=".xlsm]DJO"/>
      <sheetName val=".xlsm]TOF"/>
      <sheetName val=".xlsm]YOAN"/>
      <sheetName val=".xlsm]JEAN"/>
    </sheetNames>
    <definedNames>
      <definedName name="djo"/>
      <definedName name="PHANE"/>
      <definedName name="psy"/>
      <definedName name="tof"/>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Documents%20and%20Settings\DJO\Local%20Settings\Temporary%20Internet%20Files\Content.IE5\ZXXAUTYR\PSYFUNS%5b1%5d.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DP" refreshedDate="41284.558677314817" missingItemsLimit="0" createdVersion="3" refreshedVersion="3" minRefreshableVersion="3" recordCount="424">
  <cacheSource type="worksheet">
    <worksheetSource ref="A1:Z1048576" sheet="recap" r:id="rId2"/>
  </cacheSource>
  <cacheFields count="26">
    <cacheField name="PARIEUR" numFmtId="0">
      <sharedItems containsBlank="1" count="7">
        <m/>
        <s v="YANN"/>
        <s v="DJO"/>
        <s v="PHANE"/>
        <s v="TOF"/>
        <s v="YOAN"/>
        <s v="JEAN"/>
      </sharedItems>
    </cacheField>
    <cacheField name="Heure du match" numFmtId="0">
      <sharedItems containsNonDate="0" containsDate="1" containsString="0" containsBlank="1" minDate="2012-11-27T19:30:00" maxDate="2013-01-19T15:30:00"/>
    </cacheField>
    <cacheField name="à vide" numFmtId="0">
      <sharedItems containsNonDate="0" containsString="0" containsBlank="1"/>
    </cacheField>
    <cacheField name="Épreuve" numFmtId="0">
      <sharedItems containsBlank="1"/>
    </cacheField>
    <cacheField name="Pari" numFmtId="0">
      <sharedItems containsBlank="1"/>
    </cacheField>
    <cacheField name="Pronostic" numFmtId="0">
      <sharedItems containsBlank="1" containsMixedTypes="1" containsNumber="1" containsInteger="1" minValue="1" maxValue="1"/>
    </cacheField>
    <cacheField name="à vide2" numFmtId="0">
      <sharedItems containsBlank="1"/>
    </cacheField>
    <cacheField name="Cote" numFmtId="4">
      <sharedItems containsBlank="1" containsMixedTypes="1" containsNumber="1" minValue="1" maxValue="10"/>
    </cacheField>
    <cacheField name="Date du Pari" numFmtId="0">
      <sharedItems containsNonDate="0" containsDate="1" containsString="0" containsBlank="1" minDate="2012-11-27T14:15:00" maxDate="2013-01-08T20:27:00"/>
    </cacheField>
    <cacheField name="SPORT" numFmtId="0">
      <sharedItems containsBlank="1" count="9">
        <m/>
        <s v="FOOT"/>
        <s v="BASKET"/>
        <s v="DIVERS"/>
        <s v="RUGBY"/>
        <s v="VOLLEYBALL"/>
        <s v="HAND"/>
        <s v="US FOOT"/>
        <s v="TENNIS"/>
      </sharedItems>
    </cacheField>
    <cacheField name="Mise par pari" numFmtId="0">
      <sharedItems containsBlank="1" containsMixedTypes="1" containsNumber="1" minValue="1" maxValue="10"/>
    </cacheField>
    <cacheField name="BON ou PERDU" numFmtId="0">
      <sharedItems containsBlank="1" containsMixedTypes="1" containsNumber="1" minValue="-220.01650000000004" maxValue="0"/>
    </cacheField>
    <cacheField name="si bon" numFmtId="4">
      <sharedItems containsString="0" containsBlank="1" containsNumber="1" minValue="0" maxValue="58.4"/>
    </cacheField>
    <cacheField name="BON" numFmtId="4">
      <sharedItems containsString="0" containsBlank="1" containsNumber="1" containsInteger="1" minValue="0" maxValue="1"/>
    </cacheField>
    <cacheField name="PERDU" numFmtId="4">
      <sharedItems containsString="0" containsBlank="1" containsNumber="1" containsInteger="1" minValue="0" maxValue="1"/>
    </cacheField>
    <cacheField name="nb en attente" numFmtId="4">
      <sharedItems containsString="0" containsBlank="1" containsNumber="1" containsInteger="1" minValue="0" maxValue="12"/>
    </cacheField>
    <cacheField name="en cours" numFmtId="4">
      <sharedItems containsString="0" containsBlank="1" containsNumber="1" minValue="-20" maxValue="26.25"/>
    </cacheField>
    <cacheField name="GAIN REEL" numFmtId="2">
      <sharedItems containsString="0" containsBlank="1" containsNumber="1" minValue="-20" maxValue="26.25"/>
    </cacheField>
    <cacheField name="BWIN" numFmtId="0">
      <sharedItems containsBlank="1" containsMixedTypes="1" containsNumber="1" minValue="34.5" maxValue="179.99349999999998"/>
    </cacheField>
    <cacheField name="GAIN YANN" numFmtId="0">
      <sharedItems containsBlank="1" containsMixedTypes="1" containsNumber="1" minValue="-74.596500000000006" maxValue="18.162500000000005"/>
    </cacheField>
    <cacheField name="GAIN DJO" numFmtId="164">
      <sharedItems containsString="0" containsBlank="1" containsNumber="1" minValue="-87.3" maxValue="7"/>
    </cacheField>
    <cacheField name="GAIN PHANE" numFmtId="164">
      <sharedItems containsString="0" containsBlank="1" containsNumber="1" minValue="-27.15" maxValue="22.85"/>
    </cacheField>
    <cacheField name="GAIN TOF" numFmtId="164">
      <sharedItems containsString="0" containsBlank="1" containsNumber="1" minValue="-57.199999999999989" maxValue="2.5"/>
    </cacheField>
    <cacheField name="GAIN YOAN" numFmtId="164">
      <sharedItems containsString="0" containsBlank="1" containsNumber="1" containsInteger="1" minValue="-2" maxValue="0"/>
    </cacheField>
    <cacheField name="GAIN JEAN" numFmtId="164">
      <sharedItems containsString="0" containsBlank="1" containsNumber="1" minValue="-39.150000000000006" maxValue="6.35"/>
    </cacheField>
    <cacheField name="GAIN TOTAL" numFmtId="164">
      <sharedItems containsString="0" containsBlank="1" containsNumber="1" minValue="-223.21650000000002" maxValue="7.5"/>
    </cacheField>
  </cacheFields>
</pivotCacheDefinition>
</file>

<file path=xl/pivotCache/pivotCacheRecords1.xml><?xml version="1.0" encoding="utf-8"?>
<pivotCacheRecords xmlns="http://schemas.openxmlformats.org/spreadsheetml/2006/main" xmlns:r="http://schemas.openxmlformats.org/officeDocument/2006/relationships" count="424">
  <r>
    <x v="0"/>
    <m/>
    <m/>
    <s v="Dépôt via Mastercard / Dépôt via Mastercard YANN"/>
    <m/>
    <m/>
    <m/>
    <m/>
    <d v="2012-11-27T14:15:00"/>
    <x v="0"/>
    <m/>
    <m/>
    <m/>
    <n v="0"/>
    <n v="0"/>
    <n v="0"/>
    <m/>
    <m/>
    <n v="50"/>
    <n v="0"/>
    <n v="0"/>
    <n v="0"/>
    <n v="0"/>
    <n v="0"/>
    <n v="0"/>
    <n v="0"/>
  </r>
  <r>
    <x v="1"/>
    <d v="2012-11-27T20:45:00"/>
    <m/>
    <s v="Lazio Rome - Udinese "/>
    <s v="Nombre de buts marqués "/>
    <s v="Plus de 2,5"/>
    <m/>
    <s v="1,75"/>
    <d v="2012-11-27T17:28:00"/>
    <x v="1"/>
    <n v="10"/>
    <s v="BON"/>
    <n v="17.5"/>
    <n v="1"/>
    <n v="0"/>
    <n v="0"/>
    <n v="7.5"/>
    <n v="7.5"/>
    <n v="57.5"/>
    <n v="7.5"/>
    <n v="0"/>
    <n v="0"/>
    <n v="0"/>
    <n v="0"/>
    <n v="0"/>
    <n v="7.5"/>
  </r>
  <r>
    <x v="1"/>
    <d v="2012-11-27T21:00:00"/>
    <m/>
    <s v="AS Saint-Etienne - Paris Saint-Germain "/>
    <s v="Qui va se qualifier ?"/>
    <s v="Paris Saint-Germain"/>
    <m/>
    <s v="1,7"/>
    <d v="2012-11-27T17:28:00"/>
    <x v="1"/>
    <n v="10"/>
    <s v="PERDU"/>
    <n v="0"/>
    <n v="0"/>
    <n v="1"/>
    <n v="0"/>
    <n v="-10"/>
    <n v="-10"/>
    <n v="47.5"/>
    <n v="-2.5"/>
    <n v="0"/>
    <n v="0"/>
    <n v="0"/>
    <n v="0"/>
    <n v="0"/>
    <n v="-2.5"/>
  </r>
  <r>
    <x v="1"/>
    <d v="2012-11-27T20:30:00"/>
    <m/>
    <s v="Cajasol (ESP) - Orléans (FRA)"/>
    <s v="Avance du vainqueur (en pts, buts ou temps)"/>
    <s v="Cajasol (ESP) par 1-5"/>
    <m/>
    <s v="4,6"/>
    <d v="2012-11-27T17:31:00"/>
    <x v="2"/>
    <n v="5"/>
    <s v="PERDU"/>
    <n v="0"/>
    <n v="0"/>
    <n v="1"/>
    <n v="0"/>
    <n v="-5"/>
    <n v="-5"/>
    <n v="42.5"/>
    <n v="-7.5"/>
    <n v="0"/>
    <n v="0"/>
    <n v="0"/>
    <n v="0"/>
    <n v="0"/>
    <n v="-7.5"/>
  </r>
  <r>
    <x v="2"/>
    <d v="2012-11-27T20:00:00"/>
    <m/>
    <s v="Hanovre 96 - Greuther Fürth "/>
    <s v="1 X 2"/>
    <s v="Hanovre 96"/>
    <m/>
    <s v="1,7"/>
    <d v="2012-11-27T18:56:00"/>
    <x v="1"/>
    <n v="10"/>
    <s v="BON"/>
    <n v="17"/>
    <n v="1"/>
    <n v="0"/>
    <n v="0"/>
    <n v="7"/>
    <n v="7"/>
    <n v="49.5"/>
    <n v="-7.5"/>
    <n v="7"/>
    <n v="0"/>
    <n v="0"/>
    <n v="0"/>
    <n v="0"/>
    <n v="-0.5"/>
  </r>
  <r>
    <x v="2"/>
    <d v="2012-11-27T19:30:00"/>
    <m/>
    <s v="Real Sociedad - Cordoba"/>
    <s v="1 X 2"/>
    <s v="Real Sociedad"/>
    <m/>
    <s v="1,42"/>
    <d v="2012-11-27T18:59:00"/>
    <x v="1"/>
    <n v="10"/>
    <s v="PERDU"/>
    <n v="0"/>
    <n v="0"/>
    <n v="1"/>
    <n v="0"/>
    <n v="-10"/>
    <n v="-10"/>
    <n v="39.5"/>
    <n v="-7.5"/>
    <n v="-3"/>
    <n v="0"/>
    <n v="0"/>
    <n v="0"/>
    <n v="0"/>
    <n v="-10.5"/>
  </r>
  <r>
    <x v="2"/>
    <d v="2012-11-27T21:15:00"/>
    <m/>
    <s v="Pacos Ferreira - Maritimo Funchal"/>
    <s v="1 X 2"/>
    <s v="Pacos Ferreira"/>
    <m/>
    <s v="2,2"/>
    <d v="2012-11-27T19:01:00"/>
    <x v="1"/>
    <n v="5"/>
    <s v="PERDU"/>
    <n v="0"/>
    <n v="0"/>
    <n v="1"/>
    <n v="0"/>
    <n v="-5"/>
    <n v="-5"/>
    <n v="34.5"/>
    <n v="-7.5"/>
    <n v="-8"/>
    <n v="0"/>
    <n v="0"/>
    <n v="0"/>
    <n v="0"/>
    <n v="-15.5"/>
  </r>
  <r>
    <x v="0"/>
    <m/>
    <m/>
    <s v="Dépôt via VISA / Dépôt via VISA DJO"/>
    <m/>
    <m/>
    <m/>
    <m/>
    <d v="2012-11-29T20:31:00"/>
    <x v="0"/>
    <m/>
    <m/>
    <n v="0"/>
    <n v="0"/>
    <n v="0"/>
    <n v="0"/>
    <n v="0"/>
    <n v="0"/>
    <n v="84.5"/>
    <n v="-7.5"/>
    <n v="-8"/>
    <n v="0"/>
    <n v="0"/>
    <n v="0"/>
    <n v="0"/>
    <n v="-15.5"/>
  </r>
  <r>
    <x v="2"/>
    <d v="2012-11-30T18:45:00"/>
    <m/>
    <s v="AS Monaco FC - CS Sedan Ardennes "/>
    <s v="1 X 2"/>
    <s v="AS Monaco FC"/>
    <m/>
    <s v="1,45"/>
    <d v="2012-11-29T20:55:00"/>
    <x v="1"/>
    <n v="10"/>
    <s v="BON"/>
    <n v="14.5"/>
    <n v="1"/>
    <n v="0"/>
    <n v="0"/>
    <n v="4.5"/>
    <n v="4.5"/>
    <n v="89"/>
    <n v="-7.5"/>
    <n v="-3.5"/>
    <n v="0"/>
    <n v="0"/>
    <n v="0"/>
    <n v="0"/>
    <n v="-11"/>
  </r>
  <r>
    <x v="2"/>
    <d v="2012-12-01T20:00:00"/>
    <m/>
    <s v="Girondins de Bordeaux - FC Sochaux Montbéliard "/>
    <s v="1 X 2"/>
    <s v="Girondins de Bordeaux"/>
    <m/>
    <s v="1,48"/>
    <d v="2012-11-29T21:00:00"/>
    <x v="1"/>
    <n v="10"/>
    <s v="PERDU"/>
    <n v="0"/>
    <n v="0"/>
    <n v="1"/>
    <n v="0"/>
    <n v="-10"/>
    <n v="-10"/>
    <n v="79"/>
    <n v="-7.5"/>
    <n v="-13.5"/>
    <n v="0"/>
    <n v="0"/>
    <n v="0"/>
    <n v="0"/>
    <n v="-21"/>
  </r>
  <r>
    <x v="2"/>
    <d v="2012-12-01T20:00:00"/>
    <m/>
    <s v="LOSC Lille Métropole - SC Bastia "/>
    <s v="1 X 2"/>
    <s v="LOSC Lille Métropole"/>
    <m/>
    <s v="1,44"/>
    <d v="2012-11-29T21:02:00"/>
    <x v="1"/>
    <n v="10"/>
    <s v="PERDU"/>
    <n v="0"/>
    <n v="0"/>
    <n v="1"/>
    <n v="0"/>
    <n v="-10"/>
    <n v="-10"/>
    <n v="69"/>
    <n v="-7.5"/>
    <n v="-23.5"/>
    <n v="0"/>
    <n v="0"/>
    <n v="0"/>
    <n v="0"/>
    <n v="-31"/>
  </r>
  <r>
    <x v="1"/>
    <d v="2012-12-01T20:00:00"/>
    <m/>
    <s v="Paris Combiné"/>
    <s v="1 X 2"/>
    <n v="1"/>
    <m/>
    <s v="85,85"/>
    <d v="2012-11-30T17:43:00"/>
    <x v="3"/>
    <n v="5"/>
    <s v="PERDU"/>
    <n v="0"/>
    <n v="0"/>
    <n v="1"/>
    <n v="0"/>
    <n v="-5"/>
    <n v="-5"/>
    <n v="64"/>
    <n v="-12.5"/>
    <n v="-23.5"/>
    <n v="0"/>
    <n v="0"/>
    <n v="0"/>
    <n v="0"/>
    <n v="-36"/>
  </r>
  <r>
    <x v="1"/>
    <d v="2012-12-01T20:00:00"/>
    <m/>
    <s v="Girondins de Bordeaux - FC Sochaux Montbéliard"/>
    <s v="1 X 2"/>
    <s v="Girondins de Bordeaux"/>
    <m/>
    <s v="1,48"/>
    <d v="2012-11-30T17:47:00"/>
    <x v="1"/>
    <n v="5"/>
    <s v="PERDU"/>
    <n v="0"/>
    <n v="0"/>
    <n v="1"/>
    <n v="0"/>
    <n v="-5"/>
    <n v="-5"/>
    <n v="59"/>
    <n v="-17.5"/>
    <n v="-23.5"/>
    <n v="0"/>
    <n v="0"/>
    <n v="0"/>
    <n v="0"/>
    <n v="-41"/>
  </r>
  <r>
    <x v="1"/>
    <d v="2012-12-01T20:00:00"/>
    <m/>
    <s v="LOSC Lille Métropole - SC Bastia"/>
    <s v="1 X 2"/>
    <s v="LOSC Lille Métropole"/>
    <m/>
    <s v="1,44"/>
    <d v="2012-11-30T17:47:00"/>
    <x v="1"/>
    <n v="5"/>
    <s v="PERDU"/>
    <n v="0"/>
    <n v="0"/>
    <n v="1"/>
    <n v="0"/>
    <n v="-5"/>
    <n v="-5"/>
    <n v="54"/>
    <n v="-22.5"/>
    <n v="-23.5"/>
    <n v="0"/>
    <n v="0"/>
    <n v="0"/>
    <n v="0"/>
    <n v="-46"/>
  </r>
  <r>
    <x v="1"/>
    <d v="2012-11-30T18:45:00"/>
    <m/>
    <s v="AS Monaco FC - CS Sedan Ardennes"/>
    <s v="1 X 2"/>
    <s v="AS Monaco FC"/>
    <m/>
    <s v="1,42"/>
    <d v="2012-11-30T17:47:00"/>
    <x v="1"/>
    <n v="5"/>
    <s v="BON"/>
    <n v="7.1"/>
    <n v="1"/>
    <n v="0"/>
    <n v="0"/>
    <n v="2.0999999999999996"/>
    <n v="2.0999999999999996"/>
    <n v="56.1"/>
    <n v="-20.399999999999999"/>
    <n v="-23.5"/>
    <n v="0"/>
    <n v="0"/>
    <n v="0"/>
    <n v="0"/>
    <n v="-43.9"/>
  </r>
  <r>
    <x v="1"/>
    <d v="2012-11-30T20:05:00"/>
    <m/>
    <s v="Ospreys - Cardiff Blues"/>
    <s v="1 X 2"/>
    <s v="Cardiff Blues"/>
    <m/>
    <s v="4,1"/>
    <d v="2012-11-30T17:47:00"/>
    <x v="4"/>
    <n v="5"/>
    <s v="PERDU"/>
    <n v="0"/>
    <n v="0"/>
    <n v="1"/>
    <n v="0"/>
    <n v="-5"/>
    <n v="-5"/>
    <n v="51.1"/>
    <n v="-25.4"/>
    <n v="-23.5"/>
    <n v="0"/>
    <n v="0"/>
    <n v="0"/>
    <n v="0"/>
    <n v="-48.9"/>
  </r>
  <r>
    <x v="1"/>
    <d v="2012-11-30T20:50:00"/>
    <m/>
    <s v="Perpignan - Agen"/>
    <s v="Avance du vainqueur (en pts, buts ou temps"/>
    <s v="Perpignan par 1-5"/>
    <m/>
    <n v="7"/>
    <d v="2012-11-30T17:47:00"/>
    <x v="4"/>
    <n v="5"/>
    <s v="PERDU"/>
    <n v="0"/>
    <n v="0"/>
    <n v="1"/>
    <n v="0"/>
    <n v="-5"/>
    <n v="-5"/>
    <n v="46.1"/>
    <n v="-30.4"/>
    <n v="-23.5"/>
    <n v="0"/>
    <n v="0"/>
    <n v="0"/>
    <n v="0"/>
    <n v="-53.9"/>
  </r>
  <r>
    <x v="0"/>
    <m/>
    <m/>
    <s v="Dépôt via VISA / Dépôt via VISA PHANE"/>
    <m/>
    <m/>
    <m/>
    <m/>
    <d v="2012-11-30T23:29:00"/>
    <x v="0"/>
    <m/>
    <m/>
    <n v="0"/>
    <n v="0"/>
    <n v="0"/>
    <n v="0"/>
    <n v="0"/>
    <n v="0"/>
    <n v="96.1"/>
    <n v="-30.4"/>
    <n v="-23.5"/>
    <n v="0"/>
    <n v="0"/>
    <n v="0"/>
    <n v="0"/>
    <n v="-53.9"/>
  </r>
  <r>
    <x v="3"/>
    <d v="2012-12-05T20:45:00"/>
    <m/>
    <s v="FC Barcelone - Benfica "/>
    <s v="1 X 2"/>
    <s v="FC Barcelone"/>
    <m/>
    <s v="1,44"/>
    <d v="2012-11-30T23:39:00"/>
    <x v="1"/>
    <n v="5"/>
    <s v="PERDU"/>
    <n v="0"/>
    <n v="0"/>
    <n v="1"/>
    <n v="0"/>
    <n v="-5"/>
    <n v="-5"/>
    <n v="91.1"/>
    <n v="-30.4"/>
    <n v="-23.5"/>
    <n v="-5"/>
    <n v="0"/>
    <n v="0"/>
    <n v="0"/>
    <n v="-58.9"/>
  </r>
  <r>
    <x v="3"/>
    <d v="2012-12-05T20:45:00"/>
    <m/>
    <s v="Pari combiné"/>
    <s v="1 X 2"/>
    <n v="1"/>
    <m/>
    <s v="2,13"/>
    <d v="2012-11-30T23:59:00"/>
    <x v="1"/>
    <n v="5"/>
    <s v="PERDU"/>
    <n v="0"/>
    <n v="0"/>
    <n v="1"/>
    <n v="0"/>
    <n v="-5"/>
    <n v="-5"/>
    <n v="86.1"/>
    <n v="-30.4"/>
    <n v="-23.5"/>
    <n v="-10"/>
    <n v="0"/>
    <n v="0"/>
    <n v="0"/>
    <n v="-63.9"/>
  </r>
  <r>
    <x v="3"/>
    <d v="2012-12-05T20:45:00"/>
    <m/>
    <s v="Pari combiné"/>
    <s v="1 X 2"/>
    <n v="1"/>
    <m/>
    <s v="6,93"/>
    <d v="2012-12-01T00:01:00"/>
    <x v="1"/>
    <n v="5"/>
    <s v="PERDU"/>
    <n v="0"/>
    <n v="0"/>
    <n v="1"/>
    <n v="0"/>
    <n v="-5"/>
    <n v="-5"/>
    <n v="81.099999999999994"/>
    <n v="-30.4"/>
    <n v="-23.5"/>
    <n v="-15"/>
    <n v="0"/>
    <n v="0"/>
    <n v="0"/>
    <n v="-68.900000000000006"/>
  </r>
  <r>
    <x v="3"/>
    <d v="2012-12-01T20:00:00"/>
    <m/>
    <s v="Valenciennes FC - Stade de Reims"/>
    <s v="1 X 2"/>
    <s v="Valenciennes FC"/>
    <m/>
    <s v="1,57"/>
    <d v="2012-12-01T00:10:00"/>
    <x v="1"/>
    <n v="5"/>
    <s v="BON"/>
    <n v="7.8500000000000005"/>
    <n v="1"/>
    <n v="0"/>
    <n v="0"/>
    <n v="2.8500000000000005"/>
    <n v="2.8500000000000005"/>
    <n v="83.949999999999989"/>
    <n v="-30.4"/>
    <n v="-23.5"/>
    <n v="-12.149999999999999"/>
    <n v="0"/>
    <n v="0"/>
    <n v="0"/>
    <n v="-66.050000000000011"/>
  </r>
  <r>
    <x v="3"/>
    <d v="2012-12-04T20:45:00"/>
    <m/>
    <s v="Pari combiné"/>
    <s v="1 X 2"/>
    <n v="1"/>
    <m/>
    <s v="3,85"/>
    <d v="2012-12-01T00:14:00"/>
    <x v="1"/>
    <n v="5"/>
    <s v="PERDU"/>
    <n v="0"/>
    <n v="0"/>
    <n v="1"/>
    <n v="0"/>
    <n v="-5"/>
    <n v="-5"/>
    <n v="78.949999999999989"/>
    <n v="-30.4"/>
    <n v="-23.5"/>
    <n v="-17.149999999999999"/>
    <n v="0"/>
    <n v="0"/>
    <n v="0"/>
    <n v="-71.050000000000011"/>
  </r>
  <r>
    <x v="0"/>
    <m/>
    <m/>
    <s v="Dépôt via Mastercard / Dépôt via Mastercard TOF"/>
    <m/>
    <m/>
    <m/>
    <m/>
    <d v="2012-12-01T14:45:00"/>
    <x v="0"/>
    <m/>
    <m/>
    <n v="0"/>
    <n v="0"/>
    <n v="0"/>
    <n v="0"/>
    <n v="0"/>
    <n v="0"/>
    <n v="128.94999999999999"/>
    <n v="-30.4"/>
    <n v="-23.5"/>
    <n v="-17.149999999999999"/>
    <n v="0"/>
    <n v="0"/>
    <n v="0"/>
    <n v="-71.050000000000011"/>
  </r>
  <r>
    <x v="4"/>
    <d v="2012-12-01T20:00:00"/>
    <m/>
    <s v="Valenciennes FC - Stade de Reims"/>
    <s v="1 X 2"/>
    <s v="Valenciennes FC"/>
    <m/>
    <s v="1,5"/>
    <d v="2012-12-01T14:47:00"/>
    <x v="1"/>
    <n v="5"/>
    <s v="BON"/>
    <n v="7.5"/>
    <n v="1"/>
    <n v="0"/>
    <n v="0"/>
    <n v="2.5"/>
    <n v="2.5"/>
    <n v="131.44999999999999"/>
    <n v="-30.4"/>
    <n v="-23.5"/>
    <n v="-17.149999999999999"/>
    <n v="2.5"/>
    <n v="0"/>
    <n v="0"/>
    <n v="-68.550000000000011"/>
  </r>
  <r>
    <x v="4"/>
    <d v="2012-12-04T20:45:00"/>
    <m/>
    <s v="Milan AC - FC Zenit St. Petersburg"/>
    <s v="1 X 2"/>
    <s v="Milan AC"/>
    <m/>
    <s v="2,45"/>
    <d v="2012-12-01T14:47:00"/>
    <x v="1"/>
    <n v="5"/>
    <s v="PERDU"/>
    <n v="0"/>
    <n v="0"/>
    <n v="1"/>
    <n v="0"/>
    <n v="-5"/>
    <n v="-5"/>
    <n v="126.44999999999999"/>
    <n v="-30.4"/>
    <n v="-23.5"/>
    <n v="-17.149999999999999"/>
    <n v="-2.5"/>
    <n v="0"/>
    <n v="0"/>
    <n v="-73.550000000000011"/>
  </r>
  <r>
    <x v="4"/>
    <d v="2012-12-01T20:00:00"/>
    <m/>
    <s v="OGC Nice - Paris Saint-Germain"/>
    <s v="1 X 2"/>
    <s v="Paris Saint-Germain"/>
    <m/>
    <s v="1,75"/>
    <d v="2012-12-01T14:47:00"/>
    <x v="1"/>
    <n v="5"/>
    <s v="PERDU"/>
    <n v="0"/>
    <n v="0"/>
    <n v="1"/>
    <n v="0"/>
    <n v="-5"/>
    <n v="-5"/>
    <n v="121.44999999999999"/>
    <n v="-30.4"/>
    <n v="-23.5"/>
    <n v="-17.149999999999999"/>
    <n v="-7.5"/>
    <n v="0"/>
    <n v="0"/>
    <n v="-78.550000000000011"/>
  </r>
  <r>
    <x v="4"/>
    <d v="2012-12-01T20:00:00"/>
    <m/>
    <s v="Valenciennes FC - Stade de Reims"/>
    <s v="1 X 2"/>
    <s v="Valenciennes FC"/>
    <m/>
    <s v="1,5"/>
    <d v="2012-12-01T14:49:00"/>
    <x v="1"/>
    <n v="5"/>
    <s v="BON"/>
    <n v="7.5"/>
    <n v="1"/>
    <n v="0"/>
    <n v="0"/>
    <n v="2.5"/>
    <n v="2.5"/>
    <n v="123.94999999999999"/>
    <n v="-30.4"/>
    <n v="-23.5"/>
    <n v="-17.149999999999999"/>
    <n v="-5"/>
    <n v="0"/>
    <n v="0"/>
    <n v="-76.050000000000011"/>
  </r>
  <r>
    <x v="4"/>
    <d v="2012-12-04T20:45:00"/>
    <m/>
    <s v="Milan AC - FC Zenit St. Petersburg"/>
    <s v="1 X 2"/>
    <s v="Milan AC"/>
    <m/>
    <s v="2,45"/>
    <d v="2012-12-01T14:49:00"/>
    <x v="1"/>
    <n v="5"/>
    <s v="PERDU"/>
    <n v="0"/>
    <n v="0"/>
    <n v="1"/>
    <n v="0"/>
    <n v="-5"/>
    <n v="-5"/>
    <n v="118.94999999999999"/>
    <n v="-30.4"/>
    <n v="-23.5"/>
    <n v="-17.149999999999999"/>
    <n v="-10"/>
    <n v="0"/>
    <n v="0"/>
    <n v="-81.050000000000011"/>
  </r>
  <r>
    <x v="4"/>
    <d v="2012-12-01T20:00:00"/>
    <m/>
    <s v="OGC Nice - Paris Saint-Germain"/>
    <s v="1 X 2"/>
    <s v="Paris Saint-Germain"/>
    <m/>
    <s v="1,75"/>
    <d v="2012-12-01T14:49:00"/>
    <x v="1"/>
    <n v="5"/>
    <s v="PERDU"/>
    <n v="0"/>
    <n v="0"/>
    <n v="1"/>
    <n v="0"/>
    <n v="-5"/>
    <n v="-5"/>
    <n v="113.94999999999999"/>
    <n v="-30.4"/>
    <n v="-23.5"/>
    <n v="-17.149999999999999"/>
    <n v="-15"/>
    <n v="0"/>
    <n v="0"/>
    <n v="-86.050000000000011"/>
  </r>
  <r>
    <x v="0"/>
    <m/>
    <m/>
    <m/>
    <m/>
    <m/>
    <m/>
    <m/>
    <m/>
    <x v="0"/>
    <m/>
    <m/>
    <n v="0"/>
    <n v="0"/>
    <n v="0"/>
    <n v="0"/>
    <n v="0"/>
    <n v="0"/>
    <n v="113.94999999999999"/>
    <n v="-30.4"/>
    <n v="-23.5"/>
    <n v="-17.149999999999999"/>
    <n v="-15"/>
    <n v="0"/>
    <n v="0"/>
    <n v="-86.050000000000011"/>
  </r>
  <r>
    <x v="4"/>
    <d v="2012-12-01T20:00:00"/>
    <m/>
    <s v="Valenciennes FC - Stade de Reims"/>
    <s v="1 X 2"/>
    <s v="Valenciennes FC"/>
    <m/>
    <s v="1,5"/>
    <d v="2012-12-01T14:50:00"/>
    <x v="1"/>
    <n v="5"/>
    <s v="BON"/>
    <n v="7.5"/>
    <n v="1"/>
    <n v="0"/>
    <n v="0"/>
    <n v="2.5"/>
    <n v="2.5"/>
    <n v="116.44999999999999"/>
    <n v="-30.4"/>
    <n v="-23.5"/>
    <n v="-17.149999999999999"/>
    <n v="-12.5"/>
    <n v="0"/>
    <n v="0"/>
    <n v="-83.550000000000011"/>
  </r>
  <r>
    <x v="4"/>
    <d v="2012-12-04T20:45:00"/>
    <m/>
    <s v="Milan AC - FC Zenit St. Petersburg"/>
    <s v="1 X 2"/>
    <s v="Milan AC"/>
    <m/>
    <s v="2,45"/>
    <d v="2012-12-01T14:50:00"/>
    <x v="1"/>
    <n v="5"/>
    <s v="PERDU"/>
    <n v="0"/>
    <n v="0"/>
    <n v="1"/>
    <n v="0"/>
    <n v="-5"/>
    <n v="-5"/>
    <n v="111.44999999999999"/>
    <n v="-30.4"/>
    <n v="-23.5"/>
    <n v="-17.149999999999999"/>
    <n v="-17.5"/>
    <n v="0"/>
    <n v="0"/>
    <n v="-88.550000000000011"/>
  </r>
  <r>
    <x v="4"/>
    <d v="2012-12-01T20:00:00"/>
    <m/>
    <s v="OGC Nice - Paris Saint-Germain"/>
    <s v="1 X 2"/>
    <s v="Paris Saint-Germain"/>
    <m/>
    <s v="1,75"/>
    <d v="2012-12-01T14:50:00"/>
    <x v="1"/>
    <n v="5"/>
    <s v="PERDU"/>
    <n v="0"/>
    <n v="0"/>
    <n v="1"/>
    <n v="0"/>
    <n v="-5"/>
    <n v="-5"/>
    <n v="106.44999999999999"/>
    <n v="-30.4"/>
    <n v="-23.5"/>
    <n v="-17.149999999999999"/>
    <n v="-22.5"/>
    <n v="0"/>
    <n v="0"/>
    <n v="-93.550000000000011"/>
  </r>
  <r>
    <x v="4"/>
    <d v="2012-12-01T20:00:00"/>
    <m/>
    <s v="LOSC Lille Métropole - SC Bastia"/>
    <s v="1 X 2"/>
    <s v="LOSC Lille Métropole"/>
    <m/>
    <s v="1,34"/>
    <d v="2012-12-01T14:50:00"/>
    <x v="1"/>
    <n v="5"/>
    <s v="PERDU"/>
    <n v="0"/>
    <n v="0"/>
    <n v="1"/>
    <n v="0"/>
    <n v="-5"/>
    <n v="-5"/>
    <n v="101.44999999999999"/>
    <n v="-30.4"/>
    <n v="-23.5"/>
    <n v="-17.149999999999999"/>
    <n v="-27.5"/>
    <n v="0"/>
    <n v="0"/>
    <n v="-98.550000000000011"/>
  </r>
  <r>
    <x v="4"/>
    <d v="2012-12-01T22:00:00"/>
    <m/>
    <s v="Real Madrid - Atletico Madrid"/>
    <s v="1 X 2"/>
    <s v="Real Madrid"/>
    <m/>
    <s v="1,44"/>
    <d v="2012-12-01T14:50:00"/>
    <x v="1"/>
    <n v="5"/>
    <s v="BON"/>
    <n v="7.1999999999999993"/>
    <n v="1"/>
    <n v="0"/>
    <n v="0"/>
    <n v="2.1999999999999993"/>
    <n v="2.1999999999999993"/>
    <n v="103.64999999999999"/>
    <n v="-30.4"/>
    <n v="-23.5"/>
    <n v="-17.149999999999999"/>
    <n v="-25.3"/>
    <n v="0"/>
    <n v="0"/>
    <n v="-96.350000000000009"/>
  </r>
  <r>
    <x v="4"/>
    <d v="2012-12-01T22:00:00"/>
    <m/>
    <s v="Valenciennes FC - Stade de Reims"/>
    <s v="1 X 2"/>
    <s v="Valenciennes FC"/>
    <m/>
    <s v="1,5"/>
    <d v="2012-12-01T14:51:00"/>
    <x v="1"/>
    <n v="5"/>
    <s v="BON"/>
    <n v="7.5"/>
    <n v="1"/>
    <n v="0"/>
    <n v="0"/>
    <n v="2.5"/>
    <n v="2.5"/>
    <n v="106.14999999999999"/>
    <n v="-30.4"/>
    <n v="-23.5"/>
    <n v="-17.149999999999999"/>
    <n v="-22.8"/>
    <n v="0"/>
    <n v="0"/>
    <n v="-93.850000000000009"/>
  </r>
  <r>
    <x v="4"/>
    <d v="2012-12-04T20:45:00"/>
    <m/>
    <s v="Milan AC - FC Zenit St. Petersburg"/>
    <s v="1 X 2"/>
    <s v="Milan AC"/>
    <m/>
    <s v="2,45"/>
    <d v="2012-12-01T14:51:00"/>
    <x v="1"/>
    <n v="5"/>
    <s v="PERDU"/>
    <n v="0"/>
    <n v="0"/>
    <n v="1"/>
    <n v="0"/>
    <n v="-5"/>
    <n v="-5"/>
    <n v="101.14999999999999"/>
    <n v="-30.4"/>
    <n v="-23.5"/>
    <n v="-17.149999999999999"/>
    <n v="-27.8"/>
    <n v="0"/>
    <n v="0"/>
    <n v="-98.850000000000009"/>
  </r>
  <r>
    <x v="4"/>
    <d v="2012-12-01T20:00:00"/>
    <m/>
    <s v="OGC Nice - Paris Saint-Germain"/>
    <s v="1 X 2"/>
    <s v="Paris Saint-Germain"/>
    <m/>
    <s v="1,75"/>
    <d v="2012-12-01T14:51:00"/>
    <x v="1"/>
    <n v="5"/>
    <s v="PERDU"/>
    <n v="0"/>
    <n v="0"/>
    <n v="1"/>
    <n v="0"/>
    <n v="-5"/>
    <n v="-5"/>
    <n v="96.149999999999991"/>
    <n v="-30.4"/>
    <n v="-23.5"/>
    <n v="-17.149999999999999"/>
    <n v="-32.799999999999997"/>
    <n v="0"/>
    <n v="0"/>
    <n v="-103.85000000000001"/>
  </r>
  <r>
    <x v="4"/>
    <d v="2012-12-01T20:00:00"/>
    <m/>
    <s v="LOSC Lille Métropole - SC Bastia"/>
    <s v="1 X 2"/>
    <s v="LOSC Lille Métropole"/>
    <m/>
    <s v="1,34"/>
    <d v="2012-12-01T14:51:00"/>
    <x v="1"/>
    <n v="5"/>
    <s v="PERDU"/>
    <n v="0"/>
    <n v="0"/>
    <n v="1"/>
    <n v="0"/>
    <n v="-5"/>
    <n v="-5"/>
    <n v="91.149999999999991"/>
    <n v="-30.4"/>
    <n v="-23.5"/>
    <n v="-17.149999999999999"/>
    <n v="-37.799999999999997"/>
    <n v="0"/>
    <n v="0"/>
    <n v="-108.85000000000001"/>
  </r>
  <r>
    <x v="4"/>
    <d v="2012-12-01T22:00:00"/>
    <m/>
    <s v="Real Madrid - Atletico Madrid"/>
    <s v="1 X 2"/>
    <s v="Real Madrid"/>
    <m/>
    <s v="1,44"/>
    <d v="2012-12-01T14:51:00"/>
    <x v="1"/>
    <n v="5"/>
    <s v="BON"/>
    <n v="7.1999999999999993"/>
    <n v="1"/>
    <n v="0"/>
    <n v="0"/>
    <n v="2.1999999999999993"/>
    <n v="2.1999999999999993"/>
    <n v="93.35"/>
    <n v="-30.4"/>
    <n v="-23.5"/>
    <n v="-17.149999999999999"/>
    <n v="-35.599999999999994"/>
    <n v="0"/>
    <n v="0"/>
    <n v="-106.65"/>
  </r>
  <r>
    <x v="3"/>
    <d v="2012-12-01T17:00:00"/>
    <m/>
    <s v="Olympique Lyonnais - Montpellier HSC"/>
    <s v="1 X 2"/>
    <s v="X"/>
    <m/>
    <s v="3,5"/>
    <d v="2012-12-01T15:36:00"/>
    <x v="1"/>
    <n v="5"/>
    <s v="PERDU"/>
    <n v="0"/>
    <n v="0"/>
    <n v="1"/>
    <n v="0"/>
    <n v="-5"/>
    <n v="-5"/>
    <n v="88.35"/>
    <n v="-30.4"/>
    <n v="-23.5"/>
    <n v="-22.15"/>
    <n v="-35.599999999999994"/>
    <n v="0"/>
    <n v="0"/>
    <n v="-111.65"/>
  </r>
  <r>
    <x v="3"/>
    <d v="2012-12-01T17:00:00"/>
    <m/>
    <s v="Olympique Lyonnais - Montpellier HSC"/>
    <s v="1 X 2"/>
    <s v="X"/>
    <m/>
    <s v="3,5"/>
    <d v="2012-12-01T15:38:00"/>
    <x v="1"/>
    <n v="5"/>
    <s v="PERDU"/>
    <n v="0"/>
    <n v="0"/>
    <n v="1"/>
    <n v="0"/>
    <n v="-5"/>
    <n v="-5"/>
    <n v="83.35"/>
    <n v="-30.4"/>
    <n v="-23.5"/>
    <n v="-27.15"/>
    <n v="-35.599999999999994"/>
    <n v="0"/>
    <n v="0"/>
    <n v="-116.65"/>
  </r>
  <r>
    <x v="4"/>
    <d v="2012-12-01T20:00:00"/>
    <m/>
    <s v="Limoges - Le Havre"/>
    <s v="1 X 2"/>
    <s v="Limoges"/>
    <m/>
    <s v="1,3"/>
    <d v="2012-12-01T20:00:00"/>
    <x v="2"/>
    <n v="5"/>
    <s v="PERDU"/>
    <n v="0"/>
    <n v="0"/>
    <n v="1"/>
    <n v="0"/>
    <n v="-5"/>
    <n v="-5"/>
    <n v="78.349999999999994"/>
    <n v="-30.4"/>
    <n v="-23.5"/>
    <n v="-27.15"/>
    <n v="-40.599999999999994"/>
    <n v="0"/>
    <n v="0"/>
    <n v="-121.65"/>
  </r>
  <r>
    <x v="3"/>
    <d v="2012-12-04T20:45:00"/>
    <m/>
    <s v="Paris Saint-Germain - FC Porto"/>
    <s v="1 X 2"/>
    <s v="Paris Saint-Germain"/>
    <m/>
    <n v="2"/>
    <d v="2012-12-02T20:21:00"/>
    <x v="1"/>
    <n v="5"/>
    <s v="BON"/>
    <n v="10"/>
    <n v="1"/>
    <n v="0"/>
    <n v="0"/>
    <n v="5"/>
    <n v="5"/>
    <n v="83.35"/>
    <n v="-30.4"/>
    <n v="-23.5"/>
    <n v="-22.15"/>
    <n v="-40.599999999999994"/>
    <n v="0"/>
    <n v="0"/>
    <n v="-116.65"/>
  </r>
  <r>
    <x v="3"/>
    <d v="2012-12-04T20:45:00"/>
    <m/>
    <s v="Real Madrid - Ajax Amsterdam"/>
    <s v="1 X 2"/>
    <s v="Real Madrid"/>
    <m/>
    <s v="1,28"/>
    <d v="2012-12-02T20:22:00"/>
    <x v="1"/>
    <n v="5"/>
    <s v="BON"/>
    <n v="6.4"/>
    <n v="1"/>
    <n v="0"/>
    <n v="0"/>
    <n v="1.4000000000000004"/>
    <n v="1.4000000000000004"/>
    <n v="84.75"/>
    <n v="-30.4"/>
    <n v="-23.5"/>
    <n v="-20.75"/>
    <n v="-40.599999999999994"/>
    <n v="0"/>
    <n v="0"/>
    <n v="-115.25"/>
  </r>
  <r>
    <x v="3"/>
    <d v="2012-12-02T21:00:00"/>
    <m/>
    <s v="FC Lorient - Toulouse FC"/>
    <s v="1 X 2"/>
    <s v="FC Lorient"/>
    <m/>
    <s v="2,7"/>
    <d v="2012-12-02T20:32:00"/>
    <x v="1"/>
    <n v="5"/>
    <s v="BON"/>
    <n v="13.5"/>
    <n v="1"/>
    <n v="0"/>
    <n v="0"/>
    <n v="8.5"/>
    <n v="8.5"/>
    <n v="93.25"/>
    <n v="-30.4"/>
    <n v="-23.5"/>
    <n v="-12.25"/>
    <n v="-40.599999999999994"/>
    <n v="0"/>
    <n v="0"/>
    <n v="-106.75"/>
  </r>
  <r>
    <x v="1"/>
    <d v="2012-12-03T18:00:00"/>
    <m/>
    <s v="Astra Ploiesti - Gloria Bistrita "/>
    <s v="Astra Ploiesti gagne avec 2 buts d'avance ou plus"/>
    <m/>
    <m/>
    <s v="1,72"/>
    <d v="2012-12-03T17:22:00"/>
    <x v="1"/>
    <n v="5"/>
    <s v="BON"/>
    <n v="8.6"/>
    <n v="1"/>
    <n v="0"/>
    <n v="0"/>
    <n v="3.5999999999999996"/>
    <n v="3.5999999999999996"/>
    <n v="96.85"/>
    <n v="-26.799999999999997"/>
    <n v="-23.5"/>
    <n v="-12.25"/>
    <n v="-40.599999999999994"/>
    <n v="0"/>
    <n v="0"/>
    <n v="-103.15"/>
  </r>
  <r>
    <x v="2"/>
    <d v="2012-12-03T21:30:00"/>
    <m/>
    <s v="FC Séville - Real Valladolid "/>
    <s v="1 X 2"/>
    <s v="FC Séville"/>
    <m/>
    <s v="1,65"/>
    <d v="2012-12-03T19:23:00"/>
    <x v="1"/>
    <n v="5"/>
    <s v="PERDU"/>
    <n v="0"/>
    <n v="0"/>
    <n v="1"/>
    <n v="0"/>
    <n v="-5"/>
    <n v="-5"/>
    <n v="91.85"/>
    <n v="-26.799999999999997"/>
    <n v="-28.5"/>
    <n v="-12.25"/>
    <n v="-40.599999999999994"/>
    <n v="0"/>
    <n v="0"/>
    <n v="-108.15"/>
  </r>
  <r>
    <x v="1"/>
    <d v="2012-12-03T20:15:00"/>
    <m/>
    <s v="Energie Cottbus - Hertha Berlin"/>
    <s v="1 X 2"/>
    <s v="X"/>
    <m/>
    <s v="2,95"/>
    <d v="2012-12-03T19:23:00"/>
    <x v="1"/>
    <n v="5"/>
    <s v="PERDU"/>
    <n v="0"/>
    <n v="0"/>
    <n v="1"/>
    <n v="0"/>
    <n v="-5"/>
    <n v="-5"/>
    <n v="86.85"/>
    <n v="-31.799999999999997"/>
    <n v="-28.5"/>
    <n v="-12.25"/>
    <n v="-40.599999999999994"/>
    <n v="0"/>
    <n v="0"/>
    <n v="-113.15"/>
  </r>
  <r>
    <x v="2"/>
    <d v="2012-12-05T20:45:00"/>
    <m/>
    <s v="Celtic - Spartak Moscou"/>
    <s v="1 X 2"/>
    <s v="Celtic"/>
    <m/>
    <s v="1,53"/>
    <d v="2012-12-04T19:33:00"/>
    <x v="1"/>
    <n v="5"/>
    <s v="BON"/>
    <n v="7.65"/>
    <n v="1"/>
    <n v="0"/>
    <n v="0"/>
    <n v="2.6500000000000004"/>
    <n v="2.6500000000000004"/>
    <n v="89.5"/>
    <n v="-31.799999999999997"/>
    <n v="-25.85"/>
    <n v="-12.25"/>
    <n v="-40.599999999999994"/>
    <n v="0"/>
    <n v="0"/>
    <n v="-110.5"/>
  </r>
  <r>
    <x v="1"/>
    <d v="2012-12-05T20:45:00"/>
    <m/>
    <s v="chelsea - FC Nordsjælland "/>
    <s v="gagne les 2 mi-temps"/>
    <s v="chelsea"/>
    <m/>
    <s v="1,67"/>
    <d v="2012-12-05T17:15:00"/>
    <x v="1"/>
    <n v="5"/>
    <s v="BON"/>
    <n v="8.35"/>
    <n v="1"/>
    <n v="0"/>
    <n v="0"/>
    <n v="3.3499999999999996"/>
    <n v="3.3499999999999996"/>
    <n v="92.85"/>
    <n v="-28.449999999999996"/>
    <n v="-25.85"/>
    <n v="-12.25"/>
    <n v="-40.599999999999994"/>
    <n v="0"/>
    <n v="0"/>
    <n v="-107.15"/>
  </r>
  <r>
    <x v="2"/>
    <d v="2012-12-05T20:45:00"/>
    <m/>
    <s v="FC Bayern Munich - Bate Borisov "/>
    <s v="Résultat à la mi-temps "/>
    <s v="FC Bayern Munich"/>
    <m/>
    <s v="1,33"/>
    <d v="2012-12-05T19:40:00"/>
    <x v="1"/>
    <n v="5"/>
    <s v="BON"/>
    <n v="6.65"/>
    <n v="1"/>
    <n v="0"/>
    <n v="0"/>
    <n v="1.6500000000000004"/>
    <n v="1.6500000000000004"/>
    <n v="94.5"/>
    <n v="-28.449999999999996"/>
    <n v="-24.200000000000003"/>
    <n v="-12.25"/>
    <n v="-40.599999999999994"/>
    <n v="0"/>
    <n v="0"/>
    <n v="-105.5"/>
  </r>
  <r>
    <x v="1"/>
    <d v="2012-12-05T20:30:00"/>
    <m/>
    <s v="Hypo Tirol Innsbruck // Knack Roeselare "/>
    <s v="Quelle équipe va gagner le premier set?"/>
    <s v="Hypo Tirol Volleyball team"/>
    <m/>
    <s v="2,75"/>
    <d v="2012-12-05T20:09:00"/>
    <x v="5"/>
    <n v="5"/>
    <s v="PERDU"/>
    <n v="0"/>
    <n v="0"/>
    <n v="1"/>
    <n v="0"/>
    <n v="-5"/>
    <n v="-5"/>
    <n v="89.5"/>
    <n v="-33.449999999999996"/>
    <n v="-24.200000000000003"/>
    <n v="-12.25"/>
    <n v="-40.599999999999994"/>
    <n v="0"/>
    <n v="0"/>
    <n v="-110.5"/>
  </r>
  <r>
    <x v="2"/>
    <d v="2012-12-06T19:00:00"/>
    <m/>
    <s v="BSC Young Boys - Anzhi Makhachkala "/>
    <s v="1 X 2"/>
    <s v="BSC Young Boys"/>
    <m/>
    <s v="1,87"/>
    <d v="2012-12-06T17:35:00"/>
    <x v="1"/>
    <n v="5"/>
    <s v="BON"/>
    <n v="9.3500000000000014"/>
    <n v="1"/>
    <n v="0"/>
    <n v="0"/>
    <n v="4.3500000000000014"/>
    <n v="4.3500000000000014"/>
    <n v="93.85"/>
    <n v="-33.449999999999996"/>
    <n v="-19.850000000000001"/>
    <n v="-12.25"/>
    <n v="-40.599999999999994"/>
    <n v="0"/>
    <n v="0"/>
    <n v="-106.15"/>
  </r>
  <r>
    <x v="2"/>
    <d v="2012-12-06T21:05:00"/>
    <m/>
    <s v="Bayer Leverkusen - Rosenborg"/>
    <s v="1 X 2"/>
    <s v="Bayer Leverkusen"/>
    <m/>
    <s v="1,35"/>
    <d v="2012-12-06T17:37:00"/>
    <x v="1"/>
    <n v="5"/>
    <s v="BON"/>
    <n v="6.75"/>
    <n v="1"/>
    <n v="0"/>
    <n v="0"/>
    <n v="1.75"/>
    <n v="1.75"/>
    <n v="95.6"/>
    <n v="-33.449999999999996"/>
    <n v="-18.100000000000001"/>
    <n v="-12.25"/>
    <n v="-40.599999999999994"/>
    <n v="0"/>
    <n v="0"/>
    <n v="-104.4"/>
  </r>
  <r>
    <x v="2"/>
    <d v="2012-12-07T20:45:00"/>
    <m/>
    <s v="Toulouse FC - SC Bastia"/>
    <s v="1 X 2"/>
    <s v="Toulouse FC"/>
    <m/>
    <s v="1,62"/>
    <d v="2012-12-06T17:43:00"/>
    <x v="1"/>
    <n v="5"/>
    <s v="PERDU"/>
    <n v="0"/>
    <n v="0"/>
    <n v="1"/>
    <n v="0"/>
    <n v="-5"/>
    <n v="-5"/>
    <n v="90.6"/>
    <n v="-33.449999999999996"/>
    <n v="-23.1"/>
    <n v="-12.25"/>
    <n v="-40.599999999999994"/>
    <n v="0"/>
    <n v="0"/>
    <n v="-109.4"/>
  </r>
  <r>
    <x v="2"/>
    <d v="2012-12-07T20:30:00"/>
    <m/>
    <s v="Hambourg SV - 1899 Hoffenheim"/>
    <s v="1 X 2"/>
    <s v="Hambourg SV"/>
    <m/>
    <s v="1,95"/>
    <d v="2012-12-06T17:46:00"/>
    <x v="1"/>
    <n v="5"/>
    <s v="BON"/>
    <n v="9.75"/>
    <n v="1"/>
    <n v="0"/>
    <n v="0"/>
    <n v="4.75"/>
    <n v="4.75"/>
    <n v="95.35"/>
    <n v="-33.449999999999996"/>
    <n v="-18.350000000000001"/>
    <n v="-12.25"/>
    <n v="-40.599999999999994"/>
    <n v="0"/>
    <n v="0"/>
    <n v="-104.65"/>
  </r>
  <r>
    <x v="2"/>
    <d v="2012-12-07T20:30:00"/>
    <m/>
    <s v="Standard - SC Charleroi"/>
    <s v="1 X 2"/>
    <s v="Standard"/>
    <m/>
    <s v="1,31"/>
    <d v="2012-12-06T17:50:00"/>
    <x v="1"/>
    <n v="5"/>
    <s v="BON"/>
    <n v="6.5500000000000007"/>
    <n v="1"/>
    <n v="0"/>
    <n v="0"/>
    <n v="1.5500000000000007"/>
    <n v="1.5500000000000007"/>
    <n v="96.899999999999991"/>
    <n v="-33.449999999999996"/>
    <n v="-16.8"/>
    <n v="-12.25"/>
    <n v="-40.599999999999994"/>
    <n v="0"/>
    <n v="0"/>
    <n v="-103.10000000000001"/>
  </r>
  <r>
    <x v="1"/>
    <d v="2012-12-06T20:45:00"/>
    <m/>
    <s v="Worcester Warriors - Perpignan "/>
    <s v="1 X 2"/>
    <s v="perpignan"/>
    <m/>
    <s v="1,95"/>
    <d v="2012-12-06T18:23:00"/>
    <x v="4"/>
    <n v="5"/>
    <s v="PERDU"/>
    <n v="0"/>
    <n v="0"/>
    <n v="1"/>
    <n v="0"/>
    <n v="-5"/>
    <n v="-5"/>
    <n v="91.899999999999991"/>
    <n v="-38.449999999999996"/>
    <n v="-16.8"/>
    <n v="-12.25"/>
    <n v="-40.599999999999994"/>
    <n v="0"/>
    <n v="0"/>
    <n v="-108.10000000000001"/>
  </r>
  <r>
    <x v="1"/>
    <d v="2012-12-06T19:00:00"/>
    <m/>
    <s v="Udinese - Liverpool"/>
    <s v="Les deux équipes marqueront-elles lors de la rencontre ?"/>
    <m/>
    <m/>
    <s v="1,65"/>
    <d v="2012-12-06T18:49:00"/>
    <x v="1"/>
    <n v="5"/>
    <s v="PERDU"/>
    <n v="0"/>
    <n v="0"/>
    <n v="1"/>
    <n v="0"/>
    <n v="-5"/>
    <n v="-5"/>
    <n v="86.899999999999991"/>
    <n v="-43.449999999999996"/>
    <n v="-16.8"/>
    <n v="-12.25"/>
    <n v="-40.599999999999994"/>
    <n v="0"/>
    <n v="0"/>
    <n v="-113.10000000000001"/>
  </r>
  <r>
    <x v="3"/>
    <d v="2012-12-08T14:00:00"/>
    <m/>
    <s v="Dunkerque Handball Grand Littoral - Chambery Savoie HB"/>
    <s v="1 X 2"/>
    <s v="Chambery Savoie HB"/>
    <m/>
    <n v="2"/>
    <d v="2012-12-07T13:29:00"/>
    <x v="6"/>
    <n v="5"/>
    <s v="PERDU"/>
    <n v="0"/>
    <n v="0"/>
    <n v="1"/>
    <n v="0"/>
    <n v="-5"/>
    <n v="-5"/>
    <n v="81.899999999999991"/>
    <n v="-43.449999999999996"/>
    <n v="-16.8"/>
    <n v="-17.25"/>
    <n v="-40.599999999999994"/>
    <n v="0"/>
    <n v="0"/>
    <n v="-118.10000000000001"/>
  </r>
  <r>
    <x v="3"/>
    <d v="2012-12-08T20:00:00"/>
    <m/>
    <s v="Montpellier HSC - AC Ajaccio"/>
    <s v="1 X 2"/>
    <s v="Montpellier HSC"/>
    <m/>
    <s v="1,6"/>
    <d v="2012-12-07T13:34:00"/>
    <x v="1"/>
    <n v="5"/>
    <s v="BON"/>
    <n v="8"/>
    <n v="1"/>
    <n v="0"/>
    <n v="0"/>
    <n v="3"/>
    <n v="3"/>
    <n v="84.899999999999991"/>
    <n v="-43.449999999999996"/>
    <n v="-16.8"/>
    <n v="-14.25"/>
    <n v="-40.599999999999994"/>
    <n v="0"/>
    <n v="0"/>
    <n v="-115.10000000000001"/>
  </r>
  <r>
    <x v="3"/>
    <d v="2012-12-08T20:00:00"/>
    <m/>
    <s v="AS Nancy Lorraine - Valenciennes FC"/>
    <s v="1 X 2"/>
    <s v="Valenciennes FC"/>
    <m/>
    <s v="2,45"/>
    <d v="2012-12-07T13:40:00"/>
    <x v="1"/>
    <n v="5"/>
    <s v="PERDU"/>
    <n v="0"/>
    <n v="0"/>
    <n v="1"/>
    <n v="0"/>
    <n v="-5"/>
    <n v="-5"/>
    <n v="79.899999999999991"/>
    <n v="-43.449999999999996"/>
    <n v="-16.8"/>
    <n v="-19.25"/>
    <n v="-40.599999999999994"/>
    <n v="0"/>
    <n v="0"/>
    <n v="-120.10000000000001"/>
  </r>
  <r>
    <x v="1"/>
    <d v="2012-12-07T18:00:00"/>
    <m/>
    <s v="SonderjyskE - Brøndby IF"/>
    <s v="Nombre de buts marqués"/>
    <s v="Plus de 2,5"/>
    <m/>
    <s v="1,75"/>
    <d v="2012-12-07T17:10:00"/>
    <x v="1"/>
    <n v="6.55"/>
    <s v="BON"/>
    <n v="11.4625"/>
    <n v="1"/>
    <n v="0"/>
    <n v="0"/>
    <n v="4.9125000000000005"/>
    <n v="4.9125000000000005"/>
    <n v="84.8125"/>
    <n v="-38.537499999999994"/>
    <n v="-16.8"/>
    <n v="-19.25"/>
    <n v="-40.599999999999994"/>
    <n v="0"/>
    <n v="0"/>
    <n v="-115.18750000000001"/>
  </r>
  <r>
    <x v="4"/>
    <d v="2012-12-08T20:00:00"/>
    <m/>
    <s v="Real Valladolid - Real Madrid"/>
    <s v="1 X 2"/>
    <s v="Real Valladolid"/>
    <m/>
    <n v="10"/>
    <d v="2012-12-07T20:29:00"/>
    <x v="1"/>
    <n v="5"/>
    <s v="PERDU"/>
    <n v="0"/>
    <n v="0"/>
    <n v="1"/>
    <n v="0"/>
    <n v="-5"/>
    <n v="-5"/>
    <n v="79.8125"/>
    <n v="-38.537499999999994"/>
    <n v="-16.8"/>
    <n v="-19.25"/>
    <n v="-45.599999999999994"/>
    <n v="0"/>
    <n v="0"/>
    <n v="-120.18750000000001"/>
  </r>
  <r>
    <x v="1"/>
    <d v="2012-12-08T17:00:00"/>
    <m/>
    <s v="Paris Saint-Germain - Evian-TG FC"/>
    <s v="1X2 et nombre de buts marqués"/>
    <s v="L'équipe 1 gagne et il y a un total de plus de 2,5 buts dans le match"/>
    <m/>
    <s v="1,62"/>
    <d v="2012-12-08T12:08:00"/>
    <x v="1"/>
    <n v="5"/>
    <s v="BON"/>
    <n v="8.1000000000000014"/>
    <n v="1"/>
    <n v="0"/>
    <n v="0"/>
    <n v="3.1000000000000014"/>
    <n v="3.1000000000000014"/>
    <n v="82.912499999999994"/>
    <n v="-35.437499999999993"/>
    <n v="-16.8"/>
    <n v="-19.25"/>
    <n v="-45.599999999999994"/>
    <n v="0"/>
    <n v="0"/>
    <n v="-117.08750000000001"/>
  </r>
  <r>
    <x v="1"/>
    <d v="2012-12-08T16:40:00"/>
    <m/>
    <s v="Sale Sharks - Toulon"/>
    <s v="Avance du vainqueur (en pts, buts ou temps)"/>
    <s v="Toulon par 11-15"/>
    <m/>
    <s v="6,25"/>
    <d v="2012-12-08T12:12:00"/>
    <x v="4"/>
    <n v="5"/>
    <s v="BON"/>
    <n v="31.25"/>
    <n v="1"/>
    <n v="0"/>
    <n v="0"/>
    <n v="26.25"/>
    <n v="26.25"/>
    <n v="109.16249999999999"/>
    <n v="-9.1874999999999929"/>
    <n v="-16.8"/>
    <n v="-19.25"/>
    <n v="-45.599999999999994"/>
    <n v="0"/>
    <n v="0"/>
    <n v="-90.837500000000006"/>
  </r>
  <r>
    <x v="3"/>
    <d v="2012-12-08T20:45:00"/>
    <m/>
    <s v="AS Rome - Fiorentina"/>
    <s v="1 X 2"/>
    <s v="AS Rome"/>
    <m/>
    <s v="1,87"/>
    <d v="2012-12-08T12:57:00"/>
    <x v="1"/>
    <n v="5"/>
    <s v="BON"/>
    <n v="9.3500000000000014"/>
    <n v="1"/>
    <n v="0"/>
    <n v="0"/>
    <n v="4.3500000000000014"/>
    <n v="4.3500000000000014"/>
    <n v="113.51249999999999"/>
    <n v="-9.1874999999999929"/>
    <n v="-16.8"/>
    <n v="-14.899999999999999"/>
    <n v="-45.599999999999994"/>
    <n v="0"/>
    <n v="0"/>
    <n v="-86.487500000000011"/>
  </r>
  <r>
    <x v="3"/>
    <d v="2012-12-09T20:45:00"/>
    <m/>
    <s v="Inter Milan - SSC Naples"/>
    <s v="1 X 2"/>
    <s v="Inter Milan"/>
    <m/>
    <s v="2,25"/>
    <d v="2012-12-08T12:59:00"/>
    <x v="1"/>
    <n v="5"/>
    <s v="BON"/>
    <n v="11.25"/>
    <n v="1"/>
    <n v="0"/>
    <n v="0"/>
    <n v="6.25"/>
    <n v="6.25"/>
    <n v="119.76249999999999"/>
    <n v="-9.1874999999999929"/>
    <n v="-16.8"/>
    <n v="-8.6499999999999986"/>
    <n v="-45.599999999999994"/>
    <n v="0"/>
    <n v="0"/>
    <n v="-80.237500000000011"/>
  </r>
  <r>
    <x v="2"/>
    <d v="2012-12-09T19:00:00"/>
    <m/>
    <s v="Atletico Madrid - Deportivo La Corogne"/>
    <s v="1 X 2"/>
    <s v="Atletico Madrid"/>
    <m/>
    <s v="1,22"/>
    <d v="2012-12-08T19:44:00"/>
    <x v="1"/>
    <n v="5"/>
    <s v="BON"/>
    <n v="6.1"/>
    <n v="1"/>
    <n v="0"/>
    <n v="0"/>
    <n v="1.0999999999999996"/>
    <n v="1.0999999999999996"/>
    <n v="120.86249999999998"/>
    <n v="-9.1874999999999929"/>
    <n v="-15.700000000000001"/>
    <n v="-8.6499999999999986"/>
    <n v="-45.599999999999994"/>
    <n v="0"/>
    <n v="0"/>
    <n v="-79.137500000000017"/>
  </r>
  <r>
    <x v="2"/>
    <d v="2012-12-10T21:00:00"/>
    <m/>
    <s v="Rayo Vallecano - Real Saragosse"/>
    <s v="1 X 2"/>
    <s v="Rayo Vallecano"/>
    <m/>
    <n v="2"/>
    <d v="2012-12-08T19:50:00"/>
    <x v="1"/>
    <n v="5"/>
    <s v="PERDU"/>
    <n v="0"/>
    <n v="0"/>
    <n v="1"/>
    <n v="0"/>
    <n v="-5"/>
    <n v="-5"/>
    <n v="115.86249999999998"/>
    <n v="-9.1874999999999929"/>
    <n v="-20.700000000000003"/>
    <n v="-8.6499999999999986"/>
    <n v="-45.599999999999994"/>
    <n v="0"/>
    <n v="0"/>
    <n v="-84.137500000000017"/>
  </r>
  <r>
    <x v="1"/>
    <d v="2012-12-09T16:00:00"/>
    <m/>
    <s v="Clermont - Leinster"/>
    <s v="Avance du vainqueur (en pts, buts ou temps)"/>
    <s v="Clermont Auvergne par 6-10"/>
    <m/>
    <s v="4,5"/>
    <d v="2012-12-08T22:24:00"/>
    <x v="4"/>
    <n v="5"/>
    <s v="PERDU"/>
    <n v="0"/>
    <n v="0"/>
    <n v="1"/>
    <n v="0"/>
    <n v="-5"/>
    <n v="-5"/>
    <n v="110.86249999999998"/>
    <n v="-14.187499999999993"/>
    <n v="-20.700000000000003"/>
    <n v="-8.6499999999999986"/>
    <n v="-45.599999999999994"/>
    <n v="0"/>
    <n v="0"/>
    <n v="-89.137500000000017"/>
  </r>
  <r>
    <x v="1"/>
    <d v="2012-12-09T16:00:00"/>
    <m/>
    <s v="Clermont - Leinster"/>
    <s v="Avance du vainqueur (en pts, buts ou temps)"/>
    <s v="Clermont Auvergne par 6-10"/>
    <m/>
    <s v="4,5"/>
    <d v="2012-12-09T10:01:00"/>
    <x v="4"/>
    <n v="5"/>
    <s v="PERDU"/>
    <n v="0"/>
    <n v="0"/>
    <n v="1"/>
    <n v="0"/>
    <n v="-5"/>
    <n v="-5"/>
    <n v="105.86249999999998"/>
    <n v="-19.187499999999993"/>
    <n v="-20.700000000000003"/>
    <n v="-8.6499999999999986"/>
    <n v="-45.599999999999994"/>
    <n v="0"/>
    <n v="0"/>
    <n v="-94.137500000000017"/>
  </r>
  <r>
    <x v="1"/>
    <d v="2012-12-09T14:30:00"/>
    <m/>
    <s v="Manchester City - Manchester Utd"/>
    <s v="Nombre de buts marqués"/>
    <s v="Plus de 3,5"/>
    <m/>
    <s v="2,45"/>
    <d v="2012-12-09T13:09:00"/>
    <x v="1"/>
    <n v="5"/>
    <s v="BON"/>
    <n v="12.25"/>
    <n v="1"/>
    <n v="0"/>
    <n v="0"/>
    <n v="7.25"/>
    <n v="7.25"/>
    <n v="113.11249999999998"/>
    <n v="-11.937499999999993"/>
    <n v="-20.700000000000003"/>
    <n v="-8.6499999999999986"/>
    <n v="-45.599999999999994"/>
    <n v="0"/>
    <n v="0"/>
    <n v="-86.887500000000017"/>
  </r>
  <r>
    <x v="4"/>
    <d v="2012-12-09T21:00:00"/>
    <m/>
    <s v="Betis Seville - FC Barcelone (1 X 2)"/>
    <s v="1 X 2"/>
    <s v="Betis Seville"/>
    <m/>
    <s v="7,75"/>
    <d v="2012-12-09T16:15:00"/>
    <x v="1"/>
    <n v="5"/>
    <s v="PERDU"/>
    <n v="0"/>
    <n v="0"/>
    <n v="1"/>
    <n v="0"/>
    <n v="-5"/>
    <n v="-5"/>
    <n v="108.11249999999998"/>
    <n v="-11.937499999999993"/>
    <n v="-20.700000000000003"/>
    <n v="-8.6499999999999986"/>
    <n v="-50.599999999999994"/>
    <n v="0"/>
    <n v="0"/>
    <n v="-91.887500000000017"/>
  </r>
  <r>
    <x v="4"/>
    <d v="2012-12-09T16:30:00"/>
    <m/>
    <s v="PSV Eindhoven - FC Twente (1 X 2)"/>
    <s v="1 X 2"/>
    <s v="PSV Eindhoven"/>
    <m/>
    <s v="1,67"/>
    <d v="2012-12-09T16:16:00"/>
    <x v="1"/>
    <n v="5"/>
    <s v="BON"/>
    <n v="8.35"/>
    <n v="1"/>
    <n v="0"/>
    <n v="0"/>
    <n v="3.3499999999999996"/>
    <n v="3.3499999999999996"/>
    <n v="111.46249999999998"/>
    <n v="-11.937499999999993"/>
    <n v="-20.700000000000003"/>
    <n v="-8.6499999999999986"/>
    <n v="-47.249999999999993"/>
    <n v="0"/>
    <n v="0"/>
    <n v="-88.537500000000023"/>
  </r>
  <r>
    <x v="1"/>
    <d v="2012-12-09T18:00:00"/>
    <m/>
    <s v="Racing Genk - Lierse SK"/>
    <s v="Ecart entre les équipes"/>
    <s v="Racing Genk gagne avec 2 buts d'avance ou plus"/>
    <m/>
    <s v="1,91"/>
    <d v="2012-12-09T17:32:00"/>
    <x v="1"/>
    <n v="5"/>
    <s v="BON"/>
    <n v="9.5499999999999989"/>
    <n v="1"/>
    <n v="0"/>
    <n v="0"/>
    <n v="4.5499999999999989"/>
    <n v="4.5499999999999989"/>
    <n v="116.01249999999997"/>
    <n v="-7.387499999999994"/>
    <n v="-20.700000000000003"/>
    <n v="-8.6499999999999986"/>
    <n v="-47.249999999999993"/>
    <n v="0"/>
    <n v="0"/>
    <n v="-83.987500000000026"/>
  </r>
  <r>
    <x v="1"/>
    <d v="2012-12-09T19:00:00"/>
    <m/>
    <s v="Baltimore Ravens chez Washington Redskins"/>
    <s v="Pari sur le vainqueur"/>
    <s v="Washington Redskins"/>
    <m/>
    <s v="1,7"/>
    <d v="2012-12-09T18:00:00"/>
    <x v="7"/>
    <n v="5"/>
    <s v="BON"/>
    <n v="8.5"/>
    <n v="1"/>
    <n v="0"/>
    <n v="0"/>
    <n v="3.5"/>
    <n v="3.5"/>
    <n v="119.51249999999997"/>
    <n v="-3.887499999999994"/>
    <n v="-20.700000000000003"/>
    <n v="-8.6499999999999986"/>
    <n v="-47.249999999999993"/>
    <n v="0"/>
    <n v="0"/>
    <n v="-80.487500000000026"/>
  </r>
  <r>
    <x v="2"/>
    <d v="2012-12-11T02:05:00"/>
    <m/>
    <s v="San Antonio Spurs chez Houston Rockets "/>
    <s v="Pari sur le vainqueur (US)"/>
    <s v="San Antonio Spurs"/>
    <m/>
    <s v="1,53"/>
    <d v="2012-12-09T18:17:00"/>
    <x v="2"/>
    <n v="5"/>
    <s v="BON"/>
    <n v="7.65"/>
    <n v="1"/>
    <n v="0"/>
    <n v="0"/>
    <n v="2.6500000000000004"/>
    <n v="2.6500000000000004"/>
    <n v="122.16249999999998"/>
    <n v="-3.887499999999994"/>
    <n v="-18.050000000000004"/>
    <n v="-8.6499999999999986"/>
    <n v="-47.249999999999993"/>
    <n v="0"/>
    <n v="0"/>
    <n v="-77.83750000000002"/>
  </r>
  <r>
    <x v="1"/>
    <d v="2012-12-10T14:45:00"/>
    <m/>
    <s v="Rubin Kazan - Spartak Moscou"/>
    <s v="1 X 2"/>
    <s v="Rubin Kazan"/>
    <m/>
    <s v="1,87"/>
    <d v="2012-12-10T13:12:00"/>
    <x v="1"/>
    <n v="5"/>
    <s v="PERDU"/>
    <n v="0"/>
    <n v="0"/>
    <n v="1"/>
    <n v="0"/>
    <n v="-5"/>
    <n v="-5"/>
    <n v="117.16249999999998"/>
    <n v="-8.887499999999994"/>
    <n v="-18.050000000000004"/>
    <n v="-8.6499999999999986"/>
    <n v="-47.249999999999993"/>
    <n v="0"/>
    <n v="0"/>
    <n v="-82.83750000000002"/>
  </r>
  <r>
    <x v="1"/>
    <d v="2012-12-10T20:45:00"/>
    <m/>
    <s v="Clermont Foot - FC Nantes"/>
    <s v="1 X 2"/>
    <s v="FC Nantes"/>
    <m/>
    <s v="2,75"/>
    <d v="2012-12-10T17:32:00"/>
    <x v="1"/>
    <n v="5"/>
    <s v="BON"/>
    <n v="13.75"/>
    <n v="1"/>
    <n v="0"/>
    <n v="0"/>
    <n v="8.75"/>
    <n v="8.75"/>
    <n v="125.91249999999997"/>
    <n v="-0.13749999999999396"/>
    <n v="-18.050000000000004"/>
    <n v="-8.6499999999999986"/>
    <n v="-47.249999999999993"/>
    <n v="0"/>
    <n v="0"/>
    <n v="-74.08750000000002"/>
  </r>
  <r>
    <x v="2"/>
    <d v="2012-12-11T19:00:00"/>
    <m/>
    <s v="Valenciennes FC - Paris Saint-Germain"/>
    <s v="Les deux équipes marqueront-elles lors de la rencontre ?"/>
    <m/>
    <m/>
    <s v="1,7"/>
    <d v="2012-12-11T17:17:00"/>
    <x v="1"/>
    <n v="5"/>
    <s v="PERDU"/>
    <n v="0"/>
    <n v="0"/>
    <n v="1"/>
    <n v="0"/>
    <n v="-5"/>
    <n v="-5"/>
    <n v="120.91249999999997"/>
    <n v="-0.13749999999999396"/>
    <n v="-23.050000000000004"/>
    <n v="-8.6499999999999986"/>
    <n v="-47.249999999999993"/>
    <n v="0"/>
    <n v="0"/>
    <n v="-79.08750000000002"/>
  </r>
  <r>
    <x v="2"/>
    <d v="2012-12-11T20:00:00"/>
    <m/>
    <s v="Osasuna - Valence CF"/>
    <s v="Chance double"/>
    <s v="X ou Valence CF"/>
    <m/>
    <s v="1,26"/>
    <d v="2012-12-11T17:20:00"/>
    <x v="1"/>
    <n v="5"/>
    <s v="BON"/>
    <n v="6.3"/>
    <n v="1"/>
    <n v="0"/>
    <n v="0"/>
    <n v="1.2999999999999998"/>
    <n v="1.2999999999999998"/>
    <n v="122.21249999999996"/>
    <n v="-0.13749999999999396"/>
    <n v="-21.750000000000004"/>
    <n v="-8.6499999999999986"/>
    <n v="-47.249999999999993"/>
    <n v="0"/>
    <n v="0"/>
    <n v="-77.787500000000023"/>
  </r>
  <r>
    <x v="2"/>
    <d v="2012-12-11T21:00:00"/>
    <m/>
    <s v="AS Rome - Atalanta Bergame"/>
    <s v="1 X 2"/>
    <s v="AS Rome"/>
    <m/>
    <s v="1,36"/>
    <d v="2012-12-11T17:23:00"/>
    <x v="1"/>
    <n v="5"/>
    <s v="BON"/>
    <n v="6.8000000000000007"/>
    <n v="1"/>
    <n v="0"/>
    <n v="0"/>
    <n v="1.8000000000000007"/>
    <n v="1.8000000000000007"/>
    <n v="124.01249999999996"/>
    <n v="-0.13749999999999396"/>
    <n v="-19.950000000000003"/>
    <n v="-8.6499999999999986"/>
    <n v="-47.249999999999993"/>
    <n v="0"/>
    <n v="0"/>
    <n v="-75.987500000000026"/>
  </r>
  <r>
    <x v="2"/>
    <d v="2012-12-11T20:45:00"/>
    <m/>
    <s v="Bradford City - Arsenal"/>
    <s v="1 X 2"/>
    <s v="Arsenal"/>
    <m/>
    <s v="1,36"/>
    <d v="2012-12-11T17:24:00"/>
    <x v="1"/>
    <n v="5"/>
    <s v="PERDU"/>
    <n v="0"/>
    <n v="0"/>
    <n v="1"/>
    <n v="0"/>
    <n v="-5"/>
    <n v="-5"/>
    <n v="119.01249999999996"/>
    <n v="-0.13749999999999396"/>
    <n v="-24.950000000000003"/>
    <n v="-8.6499999999999986"/>
    <n v="-47.249999999999993"/>
    <n v="0"/>
    <n v="0"/>
    <n v="-80.987500000000026"/>
  </r>
  <r>
    <x v="2"/>
    <d v="2012-12-12T19:00:00"/>
    <m/>
    <s v="Olympique Lyonnais - AS Nancy Lorraine"/>
    <s v="1 X 2"/>
    <s v="Olympique Lyonnais"/>
    <m/>
    <s v="1,33"/>
    <d v="2012-12-11T17:26:00"/>
    <x v="1"/>
    <n v="5"/>
    <s v="PERDU"/>
    <n v="0"/>
    <n v="0"/>
    <n v="1"/>
    <n v="0"/>
    <n v="-5"/>
    <n v="-5"/>
    <n v="114.01249999999996"/>
    <n v="-0.13749999999999396"/>
    <n v="-29.950000000000003"/>
    <n v="-8.6499999999999986"/>
    <n v="-47.249999999999993"/>
    <n v="0"/>
    <n v="0"/>
    <n v="-85.987500000000026"/>
  </r>
  <r>
    <x v="2"/>
    <d v="2012-12-12T22:00:00"/>
    <m/>
    <s v="Celta Vigo - Real Madrid"/>
    <s v="1 X 2"/>
    <s v="Real Madrid"/>
    <m/>
    <s v="1,36"/>
    <d v="2012-12-11T17:28:00"/>
    <x v="1"/>
    <n v="5"/>
    <s v="PERDU"/>
    <n v="0"/>
    <n v="0"/>
    <n v="1"/>
    <n v="0"/>
    <n v="-5"/>
    <n v="-5"/>
    <n v="109.01249999999996"/>
    <n v="-0.13749999999999396"/>
    <n v="-34.950000000000003"/>
    <n v="-8.6499999999999986"/>
    <n v="-47.249999999999993"/>
    <n v="0"/>
    <n v="0"/>
    <n v="-90.987500000000026"/>
  </r>
  <r>
    <x v="2"/>
    <d v="2012-12-12T20:00:00"/>
    <m/>
    <s v="Cordoba - FC Barcelone"/>
    <s v="Ecart entre les équipes"/>
    <s v="FC Barcelone gagne avec 2 buts d'avance ou plus"/>
    <m/>
    <s v="1,62"/>
    <d v="2012-12-11T17:30:00"/>
    <x v="1"/>
    <n v="5"/>
    <s v="BON"/>
    <n v="8.1000000000000014"/>
    <n v="1"/>
    <n v="0"/>
    <n v="0"/>
    <n v="3.1000000000000014"/>
    <n v="3.1000000000000014"/>
    <n v="112.11249999999995"/>
    <n v="-0.13749999999999396"/>
    <n v="-31.85"/>
    <n v="-8.6499999999999986"/>
    <n v="-47.249999999999993"/>
    <n v="0"/>
    <n v="0"/>
    <n v="-87.887500000000017"/>
  </r>
  <r>
    <x v="2"/>
    <d v="2012-12-12T21:00:00"/>
    <m/>
    <s v="Juventus - Cagliari"/>
    <s v="Résultat à la mi-temps"/>
    <s v="Juventus"/>
    <m/>
    <s v="1,65"/>
    <d v="2012-12-11T17:32:00"/>
    <x v="1"/>
    <n v="5"/>
    <s v="PERDU"/>
    <n v="0"/>
    <n v="0"/>
    <n v="1"/>
    <n v="0"/>
    <n v="-5"/>
    <n v="-5"/>
    <n v="107.11249999999995"/>
    <n v="-0.13749999999999396"/>
    <n v="-36.85"/>
    <n v="-8.6499999999999986"/>
    <n v="-47.249999999999993"/>
    <n v="0"/>
    <n v="0"/>
    <n v="-92.887500000000017"/>
  </r>
  <r>
    <x v="1"/>
    <d v="2012-12-11T20:45:00"/>
    <m/>
    <s v="Sunderland - Reading"/>
    <s v="1 X 2"/>
    <s v="Sunderland"/>
    <m/>
    <s v="1,88"/>
    <d v="2012-12-11T18:37:00"/>
    <x v="1"/>
    <n v="5"/>
    <s v="BON"/>
    <n v="9.3999999999999986"/>
    <n v="1"/>
    <n v="0"/>
    <n v="0"/>
    <n v="4.3999999999999986"/>
    <n v="4.3999999999999986"/>
    <n v="111.51249999999996"/>
    <n v="4.2625000000000046"/>
    <n v="-36.85"/>
    <n v="-8.6499999999999986"/>
    <n v="-47.249999999999993"/>
    <n v="0"/>
    <n v="0"/>
    <n v="-88.487500000000011"/>
  </r>
  <r>
    <x v="1"/>
    <d v="2012-12-11T19:00:00"/>
    <m/>
    <s v="Valenciennes FC - Paris Saint-Germain"/>
    <s v="1 X 2"/>
    <s v="Valenciennes FC"/>
    <m/>
    <s v="4,25"/>
    <d v="2012-12-11T18:39:00"/>
    <x v="1"/>
    <n v="5"/>
    <s v="PERDU"/>
    <n v="0"/>
    <n v="0"/>
    <n v="1"/>
    <n v="0"/>
    <n v="-5"/>
    <n v="-5"/>
    <n v="106.51249999999996"/>
    <n v="-0.73749999999999538"/>
    <n v="-36.85"/>
    <n v="-8.6499999999999986"/>
    <n v="-47.249999999999993"/>
    <n v="0"/>
    <n v="0"/>
    <n v="-93.487500000000011"/>
  </r>
  <r>
    <x v="1"/>
    <d v="2012-12-11T21:00:00"/>
    <m/>
    <s v="Stade Malherbe Caen - AS Monaco FC"/>
    <s v="1 X 2"/>
    <s v="X"/>
    <m/>
    <s v="2,85"/>
    <d v="2012-12-11T18:40:00"/>
    <x v="1"/>
    <n v="5"/>
    <s v="PERDU"/>
    <n v="0"/>
    <n v="0"/>
    <n v="1"/>
    <n v="0"/>
    <n v="-5"/>
    <n v="-5"/>
    <n v="101.51249999999996"/>
    <n v="-5.7374999999999954"/>
    <n v="-36.85"/>
    <n v="-8.6499999999999986"/>
    <n v="-47.249999999999993"/>
    <n v="0"/>
    <n v="0"/>
    <n v="-98.487500000000011"/>
  </r>
  <r>
    <x v="4"/>
    <d v="2012-12-11T20:45:00"/>
    <m/>
    <s v="Bradford City - Arsenal (1 X 2)"/>
    <s v="1 X 2"/>
    <s v="Arsenal"/>
    <m/>
    <s v="1,33"/>
    <d v="2012-12-11T18:44:00"/>
    <x v="1"/>
    <n v="5"/>
    <s v="PERDU"/>
    <n v="0"/>
    <n v="0"/>
    <n v="1"/>
    <n v="0"/>
    <n v="-5"/>
    <n v="-5"/>
    <n v="96.51249999999996"/>
    <n v="-5.7374999999999954"/>
    <n v="-36.85"/>
    <n v="-8.6499999999999986"/>
    <n v="-52.249999999999993"/>
    <n v="0"/>
    <n v="0"/>
    <n v="-103.48750000000001"/>
  </r>
  <r>
    <x v="4"/>
    <d v="2012-12-11T21:00:00"/>
    <m/>
    <s v="AS Rome - Atalanta Bergame (1 X 2)"/>
    <s v="1 X 2"/>
    <s v="AS Rome"/>
    <m/>
    <s v="1,36"/>
    <d v="2012-12-11T18:45:00"/>
    <x v="1"/>
    <n v="5"/>
    <s v="BON"/>
    <n v="6.8000000000000007"/>
    <n v="1"/>
    <n v="0"/>
    <n v="0"/>
    <n v="1.8000000000000007"/>
    <n v="1.8000000000000007"/>
    <n v="98.312499999999957"/>
    <n v="-5.7374999999999954"/>
    <n v="-36.85"/>
    <n v="-8.6499999999999986"/>
    <n v="-50.449999999999989"/>
    <n v="0"/>
    <n v="0"/>
    <n v="-101.68750000000001"/>
  </r>
  <r>
    <x v="3"/>
    <d v="2012-12-12T19:00:00"/>
    <m/>
    <s v="FC Lorient - FC Sochaux Montbéliard"/>
    <s v="1 X 2"/>
    <s v="FC Lorient"/>
    <m/>
    <s v="1,62"/>
    <d v="2012-12-11T20:55:00"/>
    <x v="1"/>
    <n v="5"/>
    <s v="BON"/>
    <n v="8.1000000000000014"/>
    <n v="1"/>
    <n v="0"/>
    <n v="0"/>
    <n v="3.1000000000000014"/>
    <n v="3.1000000000000014"/>
    <n v="101.41249999999997"/>
    <n v="-5.7374999999999954"/>
    <n v="-36.85"/>
    <n v="-5.5499999999999972"/>
    <n v="-50.449999999999989"/>
    <n v="0"/>
    <n v="0"/>
    <n v="-98.587500000000006"/>
  </r>
  <r>
    <x v="3"/>
    <d v="2012-12-12T20:00:00"/>
    <m/>
    <s v="Cordoba - FC Barcelone"/>
    <s v="Ecart entre les équipes"/>
    <s v="FC Barcelone gagne avec 2 buts d'avance ou plus"/>
    <m/>
    <s v="1,62"/>
    <d v="2012-12-11T21:06:00"/>
    <x v="1"/>
    <n v="5"/>
    <s v="BON"/>
    <n v="8.1000000000000014"/>
    <n v="1"/>
    <n v="0"/>
    <n v="0"/>
    <n v="3.1000000000000014"/>
    <n v="3.1000000000000014"/>
    <n v="104.51249999999996"/>
    <n v="-5.7374999999999954"/>
    <n v="-36.85"/>
    <n v="-2.4499999999999957"/>
    <n v="-50.449999999999989"/>
    <n v="0"/>
    <n v="0"/>
    <n v="-95.487500000000011"/>
  </r>
  <r>
    <x v="3"/>
    <d v="2012-12-15T20:00:00"/>
    <m/>
    <s v="Montpellier HSC - SC Bastia"/>
    <s v="1 X 2"/>
    <s v="Montpellier HSC"/>
    <m/>
    <s v="1,62"/>
    <d v="2012-12-11T21:12:00"/>
    <x v="1"/>
    <n v="5"/>
    <s v="BON"/>
    <n v="8.1000000000000014"/>
    <n v="1"/>
    <n v="0"/>
    <n v="0"/>
    <n v="3.1000000000000014"/>
    <n v="3.1000000000000014"/>
    <n v="107.61249999999995"/>
    <n v="-5.7374999999999954"/>
    <n v="-36.85"/>
    <n v="0.65000000000000568"/>
    <n v="-50.449999999999989"/>
    <n v="0"/>
    <n v="0"/>
    <n v="-92.387500000000017"/>
  </r>
  <r>
    <x v="3"/>
    <d v="2012-12-16T21:00:00"/>
    <m/>
    <s v="Paris Saint-Germain - Olympique Lyonnais"/>
    <s v="1 X 2"/>
    <s v="X"/>
    <m/>
    <s v="3,2"/>
    <d v="2012-12-11T22:25:00"/>
    <x v="1"/>
    <n v="5"/>
    <s v="PERDU"/>
    <n v="0"/>
    <n v="0"/>
    <n v="1"/>
    <n v="0"/>
    <n v="-5"/>
    <n v="-5"/>
    <n v="102.61249999999995"/>
    <n v="-5.7374999999999954"/>
    <n v="-36.85"/>
    <n v="-4.3499999999999943"/>
    <n v="-50.449999999999989"/>
    <n v="0"/>
    <n v="0"/>
    <n v="-97.387500000000017"/>
  </r>
  <r>
    <x v="3"/>
    <d v="2012-12-12T21:00:00"/>
    <m/>
    <s v="SC Bastia - Olympique de Marseille"/>
    <s v="1 X 2"/>
    <s v="Olympique de Marseille"/>
    <m/>
    <s v="2,15"/>
    <d v="2012-12-11T23:09:00"/>
    <x v="1"/>
    <n v="5"/>
    <s v="BON"/>
    <n v="10.75"/>
    <n v="1"/>
    <n v="0"/>
    <n v="0"/>
    <n v="5.75"/>
    <n v="5.75"/>
    <n v="108.36249999999995"/>
    <n v="-5.7374999999999954"/>
    <n v="-36.85"/>
    <n v="1.4000000000000057"/>
    <n v="-50.449999999999989"/>
    <n v="0"/>
    <n v="0"/>
    <n v="-91.637500000000017"/>
  </r>
  <r>
    <x v="1"/>
    <d v="2012-12-12T20:00:00"/>
    <m/>
    <s v="Cholet (FRA) - Spartak St. Pétersbourg (RUS)"/>
    <s v="Avance du vainqueur (en pts, buts ou temps)"/>
    <s v="Cholet (FRA) par 1-5"/>
    <m/>
    <s v="4,25"/>
    <d v="2012-12-12T17:20:00"/>
    <x v="2"/>
    <n v="5"/>
    <s v="PERDU"/>
    <n v="0"/>
    <n v="0"/>
    <n v="1"/>
    <n v="0"/>
    <n v="-5"/>
    <n v="-5"/>
    <n v="103.36249999999995"/>
    <n v="-10.737499999999995"/>
    <n v="-36.85"/>
    <n v="1.4000000000000057"/>
    <n v="-50.449999999999989"/>
    <n v="0"/>
    <n v="0"/>
    <n v="-96.637500000000017"/>
  </r>
  <r>
    <x v="1"/>
    <d v="2012-12-12T19:00:00"/>
    <m/>
    <s v="Olympique Lyonnais - AS Nancy Lorraine "/>
    <s v="Quel joueur va marquer un but au cours du match (temps régl./but contre son camp exclu) ?"/>
    <s v="Bafetimbi Gomis (Lyo)"/>
    <m/>
    <s v="2,2"/>
    <d v="2012-12-12T17:21:00"/>
    <x v="1"/>
    <n v="5"/>
    <s v="PERDU"/>
    <n v="0"/>
    <n v="0"/>
    <n v="1"/>
    <n v="0"/>
    <n v="-5"/>
    <n v="-5"/>
    <n v="98.362499999999955"/>
    <n v="-15.737499999999995"/>
    <n v="-36.85"/>
    <n v="1.4000000000000057"/>
    <n v="-50.449999999999989"/>
    <n v="0"/>
    <n v="0"/>
    <n v="-101.63750000000002"/>
  </r>
  <r>
    <x v="1"/>
    <d v="2012-12-12T19:00:00"/>
    <m/>
    <s v="FC Lorient - FC Sochaux Montbéliard"/>
    <s v="Nombre de buts marqués"/>
    <s v="Plus de 2,5"/>
    <m/>
    <s v="1,83"/>
    <d v="2012-12-12T17:29:00"/>
    <x v="1"/>
    <n v="5"/>
    <s v="PERDU"/>
    <n v="0"/>
    <n v="0"/>
    <n v="1"/>
    <n v="0"/>
    <n v="-5"/>
    <n v="-5"/>
    <n v="93.362499999999955"/>
    <n v="-20.737499999999997"/>
    <n v="-36.85"/>
    <n v="1.4000000000000057"/>
    <n v="-50.449999999999989"/>
    <n v="0"/>
    <n v="0"/>
    <n v="-106.63750000000002"/>
  </r>
  <r>
    <x v="4"/>
    <d v="2012-12-12T01:05:00"/>
    <m/>
    <s v="San Antonio Spurs chez Utah Jazz"/>
    <s v="Pari sur le vainqueur (US)"/>
    <s v="San Antonio Spurs"/>
    <m/>
    <s v="1,53"/>
    <d v="2012-12-12T21:08:00"/>
    <x v="2"/>
    <n v="5"/>
    <s v="PERDU"/>
    <n v="0"/>
    <n v="0"/>
    <n v="1"/>
    <n v="0"/>
    <n v="-5"/>
    <n v="-5"/>
    <n v="88.362499999999955"/>
    <n v="-20.737499999999997"/>
    <n v="-36.85"/>
    <n v="1.4000000000000057"/>
    <n v="-55.449999999999989"/>
    <n v="0"/>
    <n v="0"/>
    <n v="-111.63750000000002"/>
  </r>
  <r>
    <x v="4"/>
    <d v="2012-12-12T04:35:00"/>
    <m/>
    <s v="Brooklyn Nets chez Toronto Raptors (Pari sur le vainqueur (US))"/>
    <s v="Pari sur le vainqueur (US)"/>
    <s v="Brooklyn Nets"/>
    <m/>
    <s v="1,25"/>
    <d v="2012-12-12T21:08:00"/>
    <x v="2"/>
    <n v="5"/>
    <s v="BON"/>
    <n v="6.25"/>
    <n v="1"/>
    <n v="0"/>
    <n v="0"/>
    <n v="1.25"/>
    <n v="1.25"/>
    <n v="89.612499999999955"/>
    <n v="-20.737499999999997"/>
    <n v="-36.85"/>
    <n v="1.4000000000000057"/>
    <n v="-54.199999999999989"/>
    <n v="0"/>
    <n v="0"/>
    <n v="-110.38750000000002"/>
  </r>
  <r>
    <x v="2"/>
    <d v="2012-12-13T11:30:00"/>
    <m/>
    <s v="Monterrey - Chelsea"/>
    <s v="1 X 2"/>
    <s v="Chelsea"/>
    <m/>
    <s v="1,4"/>
    <d v="2012-12-12T22:35:00"/>
    <x v="1"/>
    <n v="5"/>
    <s v="BON"/>
    <n v="7"/>
    <n v="1"/>
    <n v="0"/>
    <n v="0"/>
    <n v="2"/>
    <n v="2"/>
    <n v="91.612499999999955"/>
    <n v="-20.737499999999997"/>
    <n v="-34.85"/>
    <n v="1.4000000000000057"/>
    <n v="-54.199999999999989"/>
    <n v="0"/>
    <n v="0"/>
    <n v="-108.38750000000002"/>
  </r>
  <r>
    <x v="2"/>
    <d v="2012-12-13T20:00:00"/>
    <m/>
    <s v="Levante - Real Saragosse"/>
    <s v="1 X 2"/>
    <s v="Levante"/>
    <m/>
    <s v="1,75"/>
    <d v="2012-12-12T22:37:00"/>
    <x v="1"/>
    <n v="5"/>
    <s v="PERDU"/>
    <n v="0"/>
    <n v="0"/>
    <n v="1"/>
    <n v="0"/>
    <n v="-5"/>
    <n v="-5"/>
    <n v="86.612499999999955"/>
    <n v="-20.737499999999997"/>
    <n v="-39.85"/>
    <n v="1.4000000000000057"/>
    <n v="-54.199999999999989"/>
    <n v="0"/>
    <n v="0"/>
    <n v="-113.38750000000002"/>
  </r>
  <r>
    <x v="2"/>
    <d v="2012-12-14T18:45:00"/>
    <m/>
    <s v="Châteauroux - Clermont Foot"/>
    <s v="1 X 2"/>
    <s v="Châteauroux"/>
    <m/>
    <n v="2"/>
    <d v="2012-12-12T22:39:00"/>
    <x v="1"/>
    <n v="5"/>
    <s v="PERDU"/>
    <n v="0"/>
    <n v="0"/>
    <n v="1"/>
    <n v="0"/>
    <n v="-5"/>
    <n v="-5"/>
    <n v="81.612499999999955"/>
    <n v="-20.737499999999997"/>
    <n v="-44.85"/>
    <n v="1.4000000000000057"/>
    <n v="-54.199999999999989"/>
    <n v="0"/>
    <n v="0"/>
    <n v="-118.38750000000002"/>
  </r>
  <r>
    <x v="2"/>
    <d v="2012-12-14T21:15:00"/>
    <m/>
    <s v="Vitoria Setubal - FC Porto"/>
    <s v="1 X 2"/>
    <s v="FC Porto"/>
    <m/>
    <n v="1"/>
    <d v="2012-12-12T22:40:00"/>
    <x v="1"/>
    <n v="5"/>
    <s v="BON"/>
    <n v="5"/>
    <n v="1"/>
    <n v="0"/>
    <n v="0"/>
    <n v="0"/>
    <n v="0"/>
    <n v="81.612499999999955"/>
    <n v="-20.737499999999997"/>
    <n v="-44.85"/>
    <n v="1.4000000000000057"/>
    <n v="-54.199999999999989"/>
    <n v="0"/>
    <n v="0"/>
    <n v="-118.38750000000002"/>
  </r>
  <r>
    <x v="3"/>
    <d v="2012-12-14T18:45:00"/>
    <m/>
    <s v="AS Monaco FC - Nîmes Olympique "/>
    <s v="1 X 2"/>
    <s v="AS Monaco FC"/>
    <m/>
    <s v="1,53"/>
    <d v="2012-12-13T11:43:00"/>
    <x v="1"/>
    <n v="5"/>
    <s v="PERDU"/>
    <n v="0"/>
    <n v="0"/>
    <n v="1"/>
    <n v="0"/>
    <n v="-5"/>
    <n v="-5"/>
    <n v="76.612499999999955"/>
    <n v="-20.737499999999997"/>
    <n v="-44.85"/>
    <n v="-3.5999999999999943"/>
    <n v="-54.199999999999989"/>
    <n v="0"/>
    <n v="0"/>
    <n v="-123.38750000000002"/>
  </r>
  <r>
    <x v="3"/>
    <d v="2012-12-14T20:30:00"/>
    <m/>
    <s v="FC Bayern Munich - Borussia M'Gladbach"/>
    <s v="Ecart entre les équipes"/>
    <s v="FC Bayern Munich gagne avec 2 buts d'avance ou plus"/>
    <m/>
    <s v="1,4"/>
    <d v="2012-12-13T11:56:00"/>
    <x v="1"/>
    <n v="5"/>
    <s v="PERDU"/>
    <n v="0"/>
    <n v="0"/>
    <n v="1"/>
    <n v="0"/>
    <n v="-5"/>
    <n v="-5"/>
    <n v="71.612499999999955"/>
    <n v="-20.737499999999997"/>
    <n v="-44.85"/>
    <n v="-8.5999999999999943"/>
    <n v="-54.199999999999989"/>
    <n v="0"/>
    <n v="0"/>
    <n v="-128.38750000000002"/>
  </r>
  <r>
    <x v="3"/>
    <d v="2012-12-18T21:00:00"/>
    <m/>
    <s v="Inter Milan - Hellas Verona"/>
    <s v="1 X 2"/>
    <s v="Inter Milan"/>
    <m/>
    <s v="1,34"/>
    <d v="2012-12-13T11:59:00"/>
    <x v="1"/>
    <n v="5"/>
    <s v="BON"/>
    <n v="6.7"/>
    <n v="1"/>
    <n v="0"/>
    <n v="0"/>
    <n v="1.7000000000000002"/>
    <n v="1.7000000000000002"/>
    <n v="73.312499999999957"/>
    <n v="-20.737499999999997"/>
    <n v="-44.85"/>
    <n v="-6.8999999999999941"/>
    <n v="-54.199999999999989"/>
    <n v="0"/>
    <n v="0"/>
    <n v="-126.68750000000001"/>
  </r>
  <r>
    <x v="3"/>
    <d v="2012-12-13T21:00:00"/>
    <m/>
    <s v="Girondins de Bordeaux - AS Saint-Etienne"/>
    <s v="1 X 2"/>
    <s v="X"/>
    <m/>
    <s v="3,1"/>
    <d v="2012-12-13T12:07:00"/>
    <x v="1"/>
    <n v="5"/>
    <s v="BON"/>
    <n v="15.5"/>
    <n v="1"/>
    <n v="0"/>
    <n v="0"/>
    <n v="10.5"/>
    <n v="10.5"/>
    <n v="83.812499999999957"/>
    <n v="-20.737499999999997"/>
    <n v="-44.85"/>
    <n v="3.6000000000000059"/>
    <n v="-54.199999999999989"/>
    <n v="0"/>
    <n v="0"/>
    <n v="-116.18750000000001"/>
  </r>
  <r>
    <x v="1"/>
    <d v="2012-12-13T18:00:00"/>
    <m/>
    <s v="Fenerbahce Ulker (TUR) - Pallacanestro Cantu (ITA)"/>
    <s v="Pari sur le vainqueur"/>
    <s v="Pallacanestro Cantu (ITA)"/>
    <m/>
    <s v="4,2"/>
    <d v="2012-12-13T15:25:00"/>
    <x v="2"/>
    <n v="5"/>
    <s v="PERDU"/>
    <n v="0"/>
    <n v="0"/>
    <n v="1"/>
    <n v="0"/>
    <n v="-5"/>
    <n v="-5"/>
    <n v="78.812499999999957"/>
    <n v="-25.737499999999997"/>
    <n v="-44.85"/>
    <n v="3.6000000000000059"/>
    <n v="-54.199999999999989"/>
    <n v="0"/>
    <n v="0"/>
    <n v="-121.18750000000001"/>
  </r>
  <r>
    <x v="1"/>
    <d v="2012-12-13T18:00:00"/>
    <m/>
    <s v="Fenerbahce Ulker (TUR) - Pallacanestro Cantu (ITA)"/>
    <s v="Total 1ère mi-temps"/>
    <s v="Plus de 71,5"/>
    <m/>
    <s v="1,67"/>
    <d v="2012-12-13T15:28:00"/>
    <x v="2"/>
    <n v="5"/>
    <s v="BON"/>
    <n v="8.35"/>
    <n v="1"/>
    <n v="0"/>
    <n v="0"/>
    <n v="3.3499999999999996"/>
    <n v="3.3499999999999996"/>
    <n v="82.162499999999952"/>
    <n v="-22.387499999999996"/>
    <n v="-44.85"/>
    <n v="3.6000000000000059"/>
    <n v="-54.199999999999989"/>
    <n v="0"/>
    <n v="0"/>
    <n v="-117.83750000000002"/>
  </r>
  <r>
    <x v="1"/>
    <d v="2012-12-13T21:00:00"/>
    <m/>
    <s v="Milan AC - Reggina"/>
    <s v="Nombre de buts marqués en 1ère mi-temps"/>
    <s v="Plus de 0,5"/>
    <m/>
    <s v="1,2"/>
    <d v="2012-12-13T20:08:00"/>
    <x v="1"/>
    <n v="5"/>
    <s v="PERDU"/>
    <n v="0"/>
    <n v="0"/>
    <n v="1"/>
    <n v="0"/>
    <n v="-5"/>
    <n v="-5"/>
    <n v="77.162499999999952"/>
    <n v="-27.387499999999996"/>
    <n v="-44.85"/>
    <n v="3.6000000000000059"/>
    <n v="-54.199999999999989"/>
    <n v="0"/>
    <n v="0"/>
    <n v="-122.83750000000002"/>
  </r>
  <r>
    <x v="1"/>
    <d v="2012-12-13T21:00:00"/>
    <m/>
    <s v="Milan AC - Reggina"/>
    <s v="L'équipe 1 gagnera-t-elle sans encaisser de but ?"/>
    <s v="Oui"/>
    <m/>
    <s v="1,67"/>
    <d v="2012-12-13T20:08:00"/>
    <x v="1"/>
    <n v="5"/>
    <s v="BON"/>
    <n v="8.35"/>
    <n v="1"/>
    <n v="0"/>
    <n v="0"/>
    <n v="3.3499999999999996"/>
    <n v="3.3499999999999996"/>
    <n v="80.512499999999946"/>
    <n v="-24.037499999999994"/>
    <n v="-44.85"/>
    <n v="3.6000000000000059"/>
    <n v="-54.199999999999989"/>
    <n v="0"/>
    <n v="0"/>
    <n v="-119.48750000000003"/>
  </r>
  <r>
    <x v="1"/>
    <d v="2012-12-13T21:00:00"/>
    <m/>
    <s v="Milan AC - Reggina"/>
    <s v="Nombre de buts marqués"/>
    <s v="Plus de 2,5"/>
    <m/>
    <s v="1,48"/>
    <d v="2012-12-13T20:09:00"/>
    <x v="1"/>
    <n v="5"/>
    <s v="BON"/>
    <n v="7.4"/>
    <n v="1"/>
    <n v="0"/>
    <n v="0"/>
    <n v="2.4000000000000004"/>
    <n v="2.4000000000000004"/>
    <n v="82.912499999999952"/>
    <n v="-21.637499999999996"/>
    <n v="-44.85"/>
    <n v="3.6000000000000059"/>
    <n v="-54.199999999999989"/>
    <n v="0"/>
    <n v="0"/>
    <n v="-117.08750000000002"/>
  </r>
  <r>
    <x v="3"/>
    <d v="2012-12-14T02:05:00"/>
    <m/>
    <s v="Los Angeles Lakers chez New York Knicks"/>
    <s v="New York Knicks"/>
    <s v="New York"/>
    <m/>
    <s v="1,4"/>
    <d v="2012-12-13T23:25:00"/>
    <x v="2"/>
    <n v="5"/>
    <s v="BON"/>
    <n v="7"/>
    <n v="1"/>
    <n v="0"/>
    <n v="0"/>
    <n v="2"/>
    <n v="2"/>
    <n v="84.912499999999952"/>
    <n v="-21.637499999999996"/>
    <n v="-44.85"/>
    <n v="5.6000000000000059"/>
    <n v="-54.199999999999989"/>
    <n v="0"/>
    <n v="0"/>
    <n v="-115.08750000000002"/>
  </r>
  <r>
    <x v="1"/>
    <d v="2012-12-14T18:45:00"/>
    <m/>
    <s v="Châteauroux - Clermont Foot"/>
    <s v="Les deux équipes marqueront-elles lors de la rencontre"/>
    <s v="oui"/>
    <m/>
    <s v="1,87"/>
    <d v="2012-12-14T17:49:00"/>
    <x v="1"/>
    <n v="5"/>
    <s v="PERDU"/>
    <n v="0"/>
    <n v="0"/>
    <n v="1"/>
    <n v="0"/>
    <n v="-5"/>
    <n v="-5"/>
    <n v="79.912499999999952"/>
    <n v="-26.637499999999996"/>
    <n v="-44.85"/>
    <n v="5.6000000000000059"/>
    <n v="-54.199999999999989"/>
    <n v="0"/>
    <n v="0"/>
    <n v="-120.08750000000002"/>
  </r>
  <r>
    <x v="1"/>
    <d v="2012-12-14T20:45:00"/>
    <m/>
    <s v="Livourne - Ternana"/>
    <s v="L'équipe 1 gagnera-t-elle sans encaisser de but ?"/>
    <s v="oui"/>
    <m/>
    <s v="2,3"/>
    <d v="2012-12-14T17:52:00"/>
    <x v="1"/>
    <n v="5"/>
    <s v="PERDU"/>
    <n v="0"/>
    <n v="0"/>
    <n v="1"/>
    <n v="0"/>
    <n v="-5"/>
    <n v="-5"/>
    <n v="74.912499999999952"/>
    <n v="-31.637499999999996"/>
    <n v="-44.85"/>
    <n v="5.6000000000000059"/>
    <n v="-54.199999999999989"/>
    <n v="0"/>
    <n v="0"/>
    <n v="-125.08750000000002"/>
  </r>
  <r>
    <x v="1"/>
    <d v="2012-12-14T21:15:00"/>
    <m/>
    <s v="Vitoria Setubal - FC Porto"/>
    <s v="1X2 et nombre de buts marqués"/>
    <s v="L'équipe 2 gagne et il y a un total de plus de 2,5 buts dans le match"/>
    <m/>
    <n v="1"/>
    <d v="2012-12-14T17:56:00"/>
    <x v="1"/>
    <n v="5"/>
    <s v="BON"/>
    <n v="5"/>
    <n v="1"/>
    <n v="0"/>
    <n v="0"/>
    <n v="0"/>
    <n v="0"/>
    <n v="74.912499999999952"/>
    <n v="-31.637499999999996"/>
    <n v="-44.85"/>
    <n v="5.6000000000000059"/>
    <n v="-54.199999999999989"/>
    <n v="0"/>
    <n v="0"/>
    <n v="-125.08750000000002"/>
  </r>
  <r>
    <x v="1"/>
    <d v="2012-12-14T19:00:00"/>
    <m/>
    <s v="Roanne - ASVEL"/>
    <s v="Total - 1er quart-temps"/>
    <s v="Moins de 36.5"/>
    <m/>
    <s v="1,75"/>
    <d v="2012-12-14T18:00:00"/>
    <x v="2"/>
    <n v="5"/>
    <s v="BON"/>
    <n v="8.75"/>
    <n v="1"/>
    <n v="0"/>
    <n v="0"/>
    <n v="3.75"/>
    <n v="3.75"/>
    <n v="78.662499999999952"/>
    <n v="-27.887499999999996"/>
    <n v="-44.85"/>
    <n v="5.6000000000000059"/>
    <n v="-54.199999999999989"/>
    <n v="0"/>
    <n v="0"/>
    <n v="-121.33750000000002"/>
  </r>
  <r>
    <x v="1"/>
    <d v="2012-12-15T16:00:00"/>
    <m/>
    <s v="Norwich City - Wigan Athletic"/>
    <s v="1 X 2"/>
    <s v="Norwich City"/>
    <m/>
    <s v="2,15"/>
    <d v="2012-12-15T11:28:00"/>
    <x v="1"/>
    <n v="5"/>
    <s v="BON"/>
    <n v="10.75"/>
    <n v="1"/>
    <n v="0"/>
    <n v="0"/>
    <n v="5.75"/>
    <n v="5.75"/>
    <n v="84.412499999999952"/>
    <n v="-22.137499999999996"/>
    <n v="-44.85"/>
    <n v="5.6000000000000059"/>
    <n v="-54.199999999999989"/>
    <n v="0"/>
    <n v="0"/>
    <n v="-115.58750000000002"/>
  </r>
  <r>
    <x v="1"/>
    <d v="2012-12-15T20:00:00"/>
    <m/>
    <s v="CAI Zaragoza - Unicaja Malaga"/>
    <s v="Pari sur le vainqueur"/>
    <s v="CAI Zaragoza"/>
    <m/>
    <s v="1,8"/>
    <d v="2012-12-15T11:31:00"/>
    <x v="2"/>
    <n v="5"/>
    <s v="BON"/>
    <n v="9"/>
    <n v="1"/>
    <n v="0"/>
    <n v="0"/>
    <n v="4"/>
    <n v="4"/>
    <n v="88.412499999999952"/>
    <n v="-18.137499999999996"/>
    <n v="-44.85"/>
    <n v="5.6000000000000059"/>
    <n v="-54.199999999999989"/>
    <n v="0"/>
    <n v="0"/>
    <n v="-111.58750000000002"/>
  </r>
  <r>
    <x v="1"/>
    <d v="2012-12-15T14:30:00"/>
    <m/>
    <s v="London Welsh - Grenoble"/>
    <s v="1 X 2"/>
    <s v="Grenoble"/>
    <m/>
    <s v="1,9"/>
    <d v="2012-12-15T11:52:00"/>
    <x v="4"/>
    <n v="5"/>
    <s v="BON"/>
    <n v="9.5"/>
    <n v="1"/>
    <n v="0"/>
    <n v="0"/>
    <n v="4.5"/>
    <n v="4.5"/>
    <n v="92.912499999999952"/>
    <n v="-13.637499999999996"/>
    <n v="-44.85"/>
    <n v="5.6000000000000059"/>
    <n v="-54.199999999999989"/>
    <n v="0"/>
    <n v="0"/>
    <n v="-107.08750000000002"/>
  </r>
  <r>
    <x v="2"/>
    <d v="2012-12-16T20:45:00"/>
    <m/>
    <s v="SSC Naples - Bologne"/>
    <s v="1 X 2"/>
    <s v="SSC Naples"/>
    <m/>
    <s v="1,33"/>
    <d v="2012-12-15T17:30:00"/>
    <x v="1"/>
    <n v="5"/>
    <s v="PERDU"/>
    <n v="0"/>
    <n v="0"/>
    <n v="1"/>
    <n v="0"/>
    <n v="-5"/>
    <n v="-5"/>
    <n v="87.912499999999952"/>
    <n v="-13.637499999999996"/>
    <n v="-49.85"/>
    <n v="5.6000000000000059"/>
    <n v="-54.199999999999989"/>
    <n v="0"/>
    <n v="0"/>
    <n v="-112.08750000000002"/>
  </r>
  <r>
    <x v="1"/>
    <d v="2012-12-15T18:30:00"/>
    <m/>
    <s v="Massy - Colomiers"/>
    <s v="1 X 2"/>
    <s v="Massy"/>
    <m/>
    <s v="1,78"/>
    <d v="2012-12-15T17:56:00"/>
    <x v="4"/>
    <n v="5"/>
    <s v="BON"/>
    <n v="8.9"/>
    <n v="1"/>
    <n v="0"/>
    <n v="0"/>
    <n v="3.9000000000000004"/>
    <n v="3.9000000000000004"/>
    <n v="91.812499999999957"/>
    <n v="-9.7374999999999954"/>
    <n v="-49.85"/>
    <n v="5.6000000000000059"/>
    <n v="-54.199999999999989"/>
    <n v="0"/>
    <n v="0"/>
    <n v="-108.18750000000001"/>
  </r>
  <r>
    <x v="1"/>
    <d v="2012-12-15T20:00:00"/>
    <m/>
    <s v="Poitiers - Orléans"/>
    <s v="Pari sur le vainqueur"/>
    <s v="Orléans"/>
    <m/>
    <s v="1,95"/>
    <d v="2012-12-15T19:00:00"/>
    <x v="2"/>
    <n v="5"/>
    <s v="BON"/>
    <n v="9.75"/>
    <n v="1"/>
    <n v="0"/>
    <n v="0"/>
    <n v="4.75"/>
    <n v="4.75"/>
    <n v="96.562499999999957"/>
    <n v="-4.9874999999999954"/>
    <n v="-49.85"/>
    <n v="5.6000000000000059"/>
    <n v="-54.199999999999989"/>
    <n v="0"/>
    <n v="0"/>
    <n v="-103.43750000000001"/>
  </r>
  <r>
    <x v="1"/>
    <d v="2012-12-15T20:00:00"/>
    <m/>
    <s v="FC Sochaux Montbéliard - Stade Brestois 29"/>
    <s v="1 X 2"/>
    <s v="FC Sochaux Montbéliard"/>
    <m/>
    <s v="2,1"/>
    <d v="2012-12-15T19:02:00"/>
    <x v="1"/>
    <n v="5"/>
    <s v="PERDU"/>
    <n v="0"/>
    <n v="0"/>
    <n v="1"/>
    <n v="0"/>
    <n v="-5"/>
    <n v="-5"/>
    <n v="91.562499999999957"/>
    <n v="-9.9874999999999954"/>
    <n v="-49.85"/>
    <n v="5.6000000000000059"/>
    <n v="-54.199999999999989"/>
    <n v="0"/>
    <n v="0"/>
    <n v="-108.43750000000001"/>
  </r>
  <r>
    <x v="2"/>
    <d v="2012-12-15T20:00:00"/>
    <m/>
    <s v="OGC Nice - Evian-TG FC"/>
    <s v="1 X 2"/>
    <s v="OGC Nice"/>
    <m/>
    <s v="1,8"/>
    <d v="2012-12-15T19:58:00"/>
    <x v="1"/>
    <n v="5"/>
    <s v="BON"/>
    <n v="9"/>
    <n v="1"/>
    <n v="0"/>
    <n v="0"/>
    <n v="4"/>
    <n v="4"/>
    <n v="95.562499999999957"/>
    <n v="-9.9874999999999954"/>
    <n v="-45.85"/>
    <n v="5.6000000000000059"/>
    <n v="-54.199999999999989"/>
    <n v="0"/>
    <n v="0"/>
    <n v="-104.43750000000001"/>
  </r>
  <r>
    <x v="1"/>
    <d v="2012-12-16T02:05:00"/>
    <m/>
    <s v="Brooklyn Nets chez Chicago Bulls"/>
    <s v="Pari sur le vainqueur (US)"/>
    <s v="Chicago Bulls"/>
    <m/>
    <s v="1,42"/>
    <d v="2012-12-15T22:20:00"/>
    <x v="2"/>
    <n v="5"/>
    <s v="BON"/>
    <n v="7.1"/>
    <n v="1"/>
    <n v="0"/>
    <n v="0"/>
    <n v="2.0999999999999996"/>
    <n v="2.0999999999999996"/>
    <n v="97.662499999999952"/>
    <n v="-7.8874999999999957"/>
    <n v="-45.85"/>
    <n v="5.6000000000000059"/>
    <n v="-54.199999999999989"/>
    <n v="0"/>
    <n v="0"/>
    <n v="-102.33750000000002"/>
  </r>
  <r>
    <x v="1"/>
    <d v="2012-12-16T03:05:00"/>
    <m/>
    <s v="Memphis Grizzlies chez Utah Jazz"/>
    <s v="Pari sur le vainqueur (US)"/>
    <s v="Memphis Grizzlies"/>
    <m/>
    <n v="2"/>
    <d v="2012-12-15T22:22:00"/>
    <x v="2"/>
    <n v="5"/>
    <s v="BON"/>
    <n v="10"/>
    <n v="1"/>
    <n v="0"/>
    <n v="0"/>
    <n v="5"/>
    <n v="5"/>
    <n v="102.66249999999995"/>
    <n v="-2.8874999999999957"/>
    <n v="-45.85"/>
    <n v="5.6000000000000059"/>
    <n v="-54.199999999999989"/>
    <n v="0"/>
    <n v="0"/>
    <n v="-97.33750000000002"/>
  </r>
  <r>
    <x v="3"/>
    <d v="2012-12-16T17:00:00"/>
    <m/>
    <s v="AS Saint-Etienne - FC Lorient"/>
    <s v="1 X 2"/>
    <s v="AS Saint-Etienne"/>
    <m/>
    <s v="1,72"/>
    <d v="2012-12-16T01:07:00"/>
    <x v="1"/>
    <n v="5"/>
    <s v="PERDU"/>
    <n v="0"/>
    <n v="0"/>
    <n v="1"/>
    <n v="0"/>
    <n v="-5"/>
    <n v="-5"/>
    <n v="97.662499999999952"/>
    <n v="-2.8874999999999957"/>
    <n v="-45.85"/>
    <n v="0.60000000000000586"/>
    <n v="-54.199999999999989"/>
    <n v="0"/>
    <n v="0"/>
    <n v="-102.33750000000002"/>
  </r>
  <r>
    <x v="3"/>
    <d v="2012-12-16T15:00:00"/>
    <m/>
    <s v="Juventus - Atalanta Bergame"/>
    <s v="1 X 2"/>
    <s v="Juventus"/>
    <m/>
    <s v="1,22"/>
    <d v="2012-12-16T01:12:00"/>
    <x v="1"/>
    <n v="5"/>
    <s v="BON"/>
    <n v="6.1"/>
    <n v="1"/>
    <n v="0"/>
    <n v="0"/>
    <n v="1.0999999999999996"/>
    <n v="1.0999999999999996"/>
    <n v="98.762499999999946"/>
    <n v="-2.8874999999999957"/>
    <n v="-45.85"/>
    <n v="1.7000000000000055"/>
    <n v="-54.199999999999989"/>
    <n v="0"/>
    <n v="0"/>
    <n v="-101.23750000000003"/>
  </r>
  <r>
    <x v="3"/>
    <d v="2012-12-16T19:00:00"/>
    <m/>
    <s v="Real Madrid - Espanyol"/>
    <s v="Ecart entre les équipes"/>
    <s v="Real Madrid gagne avec 2 buts d'avance ou plus"/>
    <m/>
    <s v="1,25"/>
    <d v="2012-12-16T01:15:00"/>
    <x v="1"/>
    <n v="5"/>
    <s v="PERDU"/>
    <n v="0"/>
    <n v="0"/>
    <n v="1"/>
    <n v="0"/>
    <n v="-5"/>
    <n v="-5"/>
    <n v="93.762499999999946"/>
    <n v="-2.8874999999999957"/>
    <n v="-45.85"/>
    <n v="-3.2999999999999945"/>
    <n v="-54.199999999999989"/>
    <n v="0"/>
    <n v="0"/>
    <n v="-106.23750000000003"/>
  </r>
  <r>
    <x v="3"/>
    <d v="2012-12-16T02:35:00"/>
    <m/>
    <s v="Boston Celtics chez San Antonio Spurs"/>
    <s v="Pari sur le vainqueur (US)"/>
    <s v="San Antonio Spurs"/>
    <m/>
    <s v="1,15"/>
    <d v="2012-12-16T01:27:00"/>
    <x v="2"/>
    <n v="5"/>
    <s v="BON"/>
    <n v="5.75"/>
    <n v="1"/>
    <n v="0"/>
    <n v="0"/>
    <n v="0.75"/>
    <n v="0.75"/>
    <n v="94.512499999999946"/>
    <n v="-2.8874999999999957"/>
    <n v="-45.85"/>
    <n v="-2.5499999999999945"/>
    <n v="-54.199999999999989"/>
    <n v="0"/>
    <n v="0"/>
    <n v="-105.48750000000003"/>
  </r>
  <r>
    <x v="1"/>
    <d v="2012-12-16T16:00:00"/>
    <m/>
    <s v="Saracens - Munster"/>
    <s v="Avance du vainqueur (en pts, buts ou temps)"/>
    <s v="Saracens by 1-12"/>
    <m/>
    <s v="2,3"/>
    <d v="2012-12-16T11:26:00"/>
    <x v="4"/>
    <n v="5"/>
    <s v="BON"/>
    <n v="11.5"/>
    <n v="1"/>
    <n v="0"/>
    <n v="0"/>
    <n v="6.5"/>
    <n v="6.5"/>
    <n v="101.01249999999995"/>
    <n v="3.6125000000000043"/>
    <n v="-45.85"/>
    <n v="-2.5499999999999945"/>
    <n v="-54.199999999999989"/>
    <n v="0"/>
    <n v="0"/>
    <n v="-98.987500000000026"/>
  </r>
  <r>
    <x v="1"/>
    <d v="2012-12-16T17:00:00"/>
    <m/>
    <s v="Tourcoing - Rennes"/>
    <s v="Combien de points seront marqués au total ?"/>
    <s v="Moins de 183,5"/>
    <m/>
    <s v="1,75"/>
    <d v="2012-12-16T11:41:00"/>
    <x v="5"/>
    <n v="5"/>
    <s v="PERDU"/>
    <n v="0"/>
    <n v="0"/>
    <n v="1"/>
    <n v="0"/>
    <n v="-5"/>
    <n v="-5"/>
    <n v="96.012499999999946"/>
    <n v="-1.3874999999999957"/>
    <n v="-45.85"/>
    <n v="-2.5499999999999945"/>
    <n v="-54.199999999999989"/>
    <n v="0"/>
    <n v="0"/>
    <n v="-103.98750000000003"/>
  </r>
  <r>
    <x v="1"/>
    <d v="2012-12-16T17:00:00"/>
    <m/>
    <s v="TBB Trier - BBC Bayreuth"/>
    <s v="Total 1ère mi-temps"/>
    <s v="Moins de 71,5"/>
    <m/>
    <s v="1,7"/>
    <d v="2012-12-16T11:45:00"/>
    <x v="2"/>
    <n v="5"/>
    <s v="BON"/>
    <n v="8.5"/>
    <n v="1"/>
    <n v="0"/>
    <n v="0"/>
    <n v="3.5"/>
    <n v="3.5"/>
    <n v="99.512499999999946"/>
    <n v="2.1125000000000043"/>
    <n v="-45.85"/>
    <n v="-2.5499999999999945"/>
    <n v="-54.199999999999989"/>
    <n v="0"/>
    <n v="0"/>
    <n v="-100.48750000000003"/>
  </r>
  <r>
    <x v="1"/>
    <d v="2012-12-16T17:00:00"/>
    <m/>
    <s v="Neckar RIESEN Ludwigsburg - Giessen 46ers"/>
    <s v="Avance du vainqueur (en pts, buts ou temps)"/>
    <s v="Neckar RIESEN Ludwigsburg par 6-10"/>
    <m/>
    <s v="4,6"/>
    <d v="2012-12-16T11:47:00"/>
    <x v="2"/>
    <n v="5"/>
    <s v="PERDU"/>
    <n v="0"/>
    <n v="0"/>
    <n v="1"/>
    <n v="0"/>
    <n v="-5"/>
    <n v="-5"/>
    <n v="94.512499999999946"/>
    <n v="-2.8874999999999957"/>
    <n v="-45.85"/>
    <n v="-2.5499999999999945"/>
    <n v="-54.199999999999989"/>
    <n v="0"/>
    <n v="0"/>
    <n v="-105.48750000000003"/>
  </r>
  <r>
    <x v="2"/>
    <d v="2012-12-16T19:00:00"/>
    <m/>
    <s v="Real Madrid - Espanyol"/>
    <s v="Quelle équipe va remporter les deux mi-temps ?"/>
    <s v="Real Madrid"/>
    <m/>
    <s v="1,67"/>
    <d v="2012-12-16T12:20:00"/>
    <x v="1"/>
    <n v="5"/>
    <s v="PERDU"/>
    <n v="0"/>
    <n v="0"/>
    <n v="1"/>
    <n v="0"/>
    <n v="-5"/>
    <n v="-5"/>
    <n v="89.512499999999946"/>
    <n v="-2.8874999999999957"/>
    <n v="-50.85"/>
    <n v="-2.5499999999999945"/>
    <n v="-54.199999999999989"/>
    <n v="0"/>
    <n v="0"/>
    <n v="-110.48750000000003"/>
  </r>
  <r>
    <x v="1"/>
    <d v="2012-12-16T15:00:00"/>
    <m/>
    <s v="Juventus - Atalanta Bergame"/>
    <s v="Nombre de buts marqués entre la minute 75:01 et la fin du match"/>
    <s v="Plus de 1,5"/>
    <m/>
    <s v="4,5"/>
    <d v="2012-12-16T15:47:00"/>
    <x v="1"/>
    <n v="5"/>
    <s v="PERDU"/>
    <n v="0"/>
    <n v="0"/>
    <n v="1"/>
    <n v="0"/>
    <n v="-5"/>
    <n v="-5"/>
    <n v="84.512499999999946"/>
    <n v="-7.8874999999999957"/>
    <n v="-50.85"/>
    <n v="-2.5499999999999945"/>
    <n v="-54.199999999999989"/>
    <n v="0"/>
    <n v="0"/>
    <n v="-115.48750000000003"/>
  </r>
  <r>
    <x v="1"/>
    <d v="2012-12-16T22:05:00"/>
    <m/>
    <s v="Seattle Seahawks - Buffalo Bills (Played in Toronto, CA)"/>
    <s v="Ecart entre les équipes"/>
    <s v="Seattle Seahawks gagne de 5 points ou plus"/>
    <m/>
    <s v="1,62"/>
    <d v="2012-12-16T19:14:00"/>
    <x v="7"/>
    <n v="5"/>
    <s v="BON"/>
    <n v="8.1000000000000014"/>
    <n v="1"/>
    <n v="0"/>
    <n v="0"/>
    <n v="3.1000000000000014"/>
    <n v="3.1000000000000014"/>
    <n v="87.612499999999955"/>
    <n v="-4.7874999999999943"/>
    <n v="-50.85"/>
    <n v="-2.5499999999999945"/>
    <n v="-54.199999999999989"/>
    <n v="0"/>
    <n v="0"/>
    <n v="-112.38750000000002"/>
  </r>
  <r>
    <x v="1"/>
    <d v="2012-12-16T19:00:00"/>
    <m/>
    <s v="Real Madrid - Espanyol"/>
    <s v="Résultat à la mi-temps"/>
    <s v="Real Madrid"/>
    <m/>
    <s v="1,6"/>
    <d v="2012-12-16T19:24:00"/>
    <x v="1"/>
    <n v="5"/>
    <s v="PERDU"/>
    <n v="0"/>
    <n v="0"/>
    <n v="1"/>
    <n v="0"/>
    <n v="-5"/>
    <n v="-5"/>
    <n v="82.612499999999955"/>
    <n v="-9.7874999999999943"/>
    <n v="-50.85"/>
    <n v="-2.5499999999999945"/>
    <n v="-54.199999999999989"/>
    <n v="0"/>
    <n v="0"/>
    <n v="-117.38750000000002"/>
  </r>
  <r>
    <x v="1"/>
    <d v="2012-12-16T19:00:00"/>
    <m/>
    <s v="Real Madrid - Espanyol"/>
    <s v="Une équipe gagnera-t-elle avec exactement deux buts de différence ?"/>
    <s v="Oui"/>
    <m/>
    <n v="3"/>
    <d v="2012-12-16T19:52:00"/>
    <x v="1"/>
    <n v="5"/>
    <s v="PERDU"/>
    <n v="0"/>
    <n v="0"/>
    <n v="1"/>
    <n v="0"/>
    <n v="-5"/>
    <n v="-5"/>
    <n v="77.612499999999955"/>
    <n v="-14.787499999999994"/>
    <n v="-50.85"/>
    <n v="-2.5499999999999945"/>
    <n v="-54.199999999999989"/>
    <n v="0"/>
    <n v="0"/>
    <n v="-122.38750000000002"/>
  </r>
  <r>
    <x v="2"/>
    <d v="2012-12-17T21:00:00"/>
    <m/>
    <s v="Reading - Arsenal"/>
    <s v="1X2 et nombre de buts marqués"/>
    <s v="L'équipe 2 gagne et il y a un total de plus de 2,5 buts dans le match"/>
    <m/>
    <s v="2,2"/>
    <d v="2012-12-17T18:06:00"/>
    <x v="1"/>
    <n v="5"/>
    <s v="BON"/>
    <n v="11"/>
    <n v="1"/>
    <n v="0"/>
    <n v="0"/>
    <n v="6"/>
    <n v="6"/>
    <n v="83.612499999999955"/>
    <n v="-14.787499999999994"/>
    <n v="-44.85"/>
    <n v="-2.5499999999999945"/>
    <n v="-54.199999999999989"/>
    <n v="0"/>
    <n v="0"/>
    <n v="-116.38750000000002"/>
  </r>
  <r>
    <x v="1"/>
    <d v="2012-12-17T20:30:00"/>
    <m/>
    <s v="RC Lens - EA Guingamp"/>
    <s v="1 X 2"/>
    <s v="X"/>
    <m/>
    <s v="2,9"/>
    <d v="2012-12-17T18:41:00"/>
    <x v="1"/>
    <n v="5"/>
    <s v="BON"/>
    <n v="14.5"/>
    <n v="1"/>
    <n v="0"/>
    <n v="0"/>
    <n v="9.5"/>
    <n v="9.5"/>
    <n v="93.112499999999955"/>
    <n v="-5.2874999999999943"/>
    <n v="-44.85"/>
    <n v="-2.5499999999999945"/>
    <n v="-54.199999999999989"/>
    <n v="0"/>
    <n v="0"/>
    <n v="-106.88750000000002"/>
  </r>
  <r>
    <x v="1"/>
    <d v="2012-12-17T20:15:00"/>
    <m/>
    <s v="Eintracht Braunschweig - Union Berlin"/>
    <s v="1X2 et nombre de buts marqués"/>
    <s v="L'équipe 1 gagne et il y a un total de plus de 2,5 buts dans le match"/>
    <m/>
    <s v="2,6"/>
    <d v="2012-12-17T18:49:00"/>
    <x v="1"/>
    <n v="5"/>
    <s v="BON"/>
    <n v="13"/>
    <n v="1"/>
    <n v="0"/>
    <n v="0"/>
    <n v="8"/>
    <n v="8"/>
    <n v="101.11249999999995"/>
    <n v="2.7125000000000057"/>
    <n v="-44.85"/>
    <n v="-2.5499999999999945"/>
    <n v="-54.199999999999989"/>
    <n v="0"/>
    <n v="0"/>
    <n v="-98.887500000000017"/>
  </r>
  <r>
    <x v="1"/>
    <d v="2012-12-17T20:00:00"/>
    <m/>
    <s v="Strasbourg - Le Mans"/>
    <s v="Pari sur le vainqueur"/>
    <s v="Strasbourg"/>
    <m/>
    <s v="1,95"/>
    <d v="2012-12-17T18:51:00"/>
    <x v="2"/>
    <n v="5"/>
    <s v="BON"/>
    <n v="9.75"/>
    <n v="1"/>
    <n v="0"/>
    <n v="0"/>
    <n v="4.75"/>
    <n v="4.75"/>
    <n v="105.86249999999995"/>
    <n v="7.4625000000000057"/>
    <n v="-44.85"/>
    <n v="-2.5499999999999945"/>
    <n v="-54.199999999999989"/>
    <n v="0"/>
    <n v="0"/>
    <n v="-94.137500000000017"/>
  </r>
  <r>
    <x v="1"/>
    <d v="2012-12-18T02:40:00"/>
    <m/>
    <s v="New York Jets chez Tennessee Titans"/>
    <s v="Pari sur le vainqueur"/>
    <s v="Tennessee Titans"/>
    <m/>
    <s v="1,7"/>
    <d v="2012-12-17T22:31:00"/>
    <x v="7"/>
    <n v="5"/>
    <s v="BON"/>
    <n v="8.5"/>
    <n v="1"/>
    <n v="0"/>
    <n v="0"/>
    <n v="3.5"/>
    <n v="3.5"/>
    <n v="109.36249999999995"/>
    <n v="10.962500000000006"/>
    <n v="-44.85"/>
    <n v="-2.5499999999999945"/>
    <n v="-54.199999999999989"/>
    <n v="0"/>
    <n v="0"/>
    <n v="-90.637500000000017"/>
  </r>
  <r>
    <x v="1"/>
    <d v="2012-12-18T01:35:00"/>
    <m/>
    <s v="Los Angeles Clippers chez Detroit Pistons"/>
    <s v="Ecart entre les équipes"/>
    <s v="Los Angeles Clippers gagne de 7 points ou plus"/>
    <m/>
    <s v="1,7"/>
    <d v="2012-12-17T22:34:00"/>
    <x v="2"/>
    <n v="5"/>
    <s v="BON"/>
    <n v="8.5"/>
    <n v="1"/>
    <n v="0"/>
    <n v="0"/>
    <n v="3.5"/>
    <n v="3.5"/>
    <n v="112.86249999999995"/>
    <n v="14.462500000000006"/>
    <n v="-44.85"/>
    <n v="-2.5499999999999945"/>
    <n v="-54.199999999999989"/>
    <n v="0"/>
    <n v="0"/>
    <n v="-87.137500000000017"/>
  </r>
  <r>
    <x v="1"/>
    <d v="2012-12-18T20:00:00"/>
    <m/>
    <s v="Hyères-Toulon - Rouen"/>
    <s v="Ecart entre les équipes"/>
    <s v="Rouen gagne de 3 points ou plus"/>
    <m/>
    <s v="1,7"/>
    <d v="2012-12-18T18:28:00"/>
    <x v="2"/>
    <n v="5"/>
    <s v="PERDU"/>
    <n v="0"/>
    <n v="0"/>
    <n v="1"/>
    <n v="0"/>
    <n v="-5"/>
    <n v="-5"/>
    <n v="107.86249999999995"/>
    <n v="9.4625000000000057"/>
    <n v="-44.85"/>
    <n v="-2.5499999999999945"/>
    <n v="-54.199999999999989"/>
    <n v="0"/>
    <n v="0"/>
    <n v="-92.137500000000017"/>
  </r>
  <r>
    <x v="1"/>
    <d v="2012-12-18T20:00:00"/>
    <m/>
    <s v="Hyères-Toulon - Rouen"/>
    <s v="Avance du vainqueur (en pts, buts ou temps)"/>
    <s v="Rouen par 6-10"/>
    <m/>
    <n v="5"/>
    <d v="2012-12-18T18:29:00"/>
    <x v="2"/>
    <n v="5"/>
    <s v="PERDU"/>
    <n v="0"/>
    <n v="0"/>
    <n v="1"/>
    <n v="0"/>
    <n v="-5"/>
    <n v="-5"/>
    <n v="102.86249999999995"/>
    <n v="4.4625000000000057"/>
    <n v="-44.85"/>
    <n v="-2.5499999999999945"/>
    <n v="-54.199999999999989"/>
    <n v="0"/>
    <n v="0"/>
    <n v="-97.137500000000017"/>
  </r>
  <r>
    <x v="1"/>
    <d v="2012-12-18T20:00:00"/>
    <m/>
    <s v="AS Cannes - Tours"/>
    <s v="Pari sur le vainqueur"/>
    <s v="AS Cannes"/>
    <m/>
    <s v="2,8"/>
    <d v="2012-12-18T18:29:00"/>
    <x v="5"/>
    <n v="5"/>
    <s v="BON"/>
    <n v="14"/>
    <n v="1"/>
    <n v="0"/>
    <n v="0"/>
    <n v="9"/>
    <n v="9"/>
    <n v="111.86249999999995"/>
    <n v="13.462500000000006"/>
    <n v="-44.85"/>
    <n v="-2.5499999999999945"/>
    <n v="-54.199999999999989"/>
    <n v="0"/>
    <n v="0"/>
    <n v="-88.137500000000017"/>
  </r>
  <r>
    <x v="1"/>
    <d v="2012-12-18T20:00:00"/>
    <m/>
    <s v="SD Eibar - Malaga"/>
    <s v="1 X 2"/>
    <s v="SD Eibar"/>
    <m/>
    <s v="4,1"/>
    <d v="2012-12-18T18:33:00"/>
    <x v="1"/>
    <n v="5"/>
    <s v="PERDU"/>
    <n v="0"/>
    <n v="0"/>
    <n v="1"/>
    <n v="0"/>
    <n v="-5"/>
    <n v="-5"/>
    <n v="106.86249999999995"/>
    <n v="8.4625000000000057"/>
    <n v="-44.85"/>
    <n v="-2.5499999999999945"/>
    <n v="-54.199999999999989"/>
    <n v="0"/>
    <n v="0"/>
    <n v="-93.137500000000017"/>
  </r>
  <r>
    <x v="2"/>
    <d v="2012-12-18T20:30:00"/>
    <m/>
    <s v="FC Augsburg - FC Bayern Munich"/>
    <s v="Ecart entre les équipes"/>
    <s v="FC Bayern Munich gagne avec 3 buts d'avance ou plus"/>
    <m/>
    <s v="2,45"/>
    <d v="2012-12-18T19:24:00"/>
    <x v="1"/>
    <n v="5"/>
    <s v="PERDU"/>
    <n v="0"/>
    <n v="0"/>
    <n v="1"/>
    <n v="0"/>
    <n v="-5"/>
    <n v="-5"/>
    <n v="101.86249999999995"/>
    <n v="8.4625000000000057"/>
    <n v="-49.85"/>
    <n v="-2.5499999999999945"/>
    <n v="-54.199999999999989"/>
    <n v="0"/>
    <n v="0"/>
    <n v="-98.137500000000017"/>
  </r>
  <r>
    <x v="2"/>
    <d v="2012-12-18T20:00:00"/>
    <m/>
    <s v="Chamois Niortais FC - CS Sedan Ardennes"/>
    <s v="L'équipe 1 gagnera-t-elle sans encaisser de but ?"/>
    <s v="Oui"/>
    <m/>
    <s v="2,75"/>
    <d v="2012-12-18T19:29:00"/>
    <x v="1"/>
    <n v="5"/>
    <s v="PERDU"/>
    <n v="0"/>
    <n v="0"/>
    <n v="1"/>
    <n v="0"/>
    <n v="-5"/>
    <n v="-5"/>
    <n v="96.862499999999955"/>
    <n v="8.4625000000000057"/>
    <n v="-54.85"/>
    <n v="-2.5499999999999945"/>
    <n v="-54.199999999999989"/>
    <n v="0"/>
    <n v="0"/>
    <n v="-103.13750000000002"/>
  </r>
  <r>
    <x v="1"/>
    <d v="2012-12-19T01:05:00"/>
    <m/>
    <s v="Toronto Raptors chez Cleveland Cavaliers"/>
    <s v="Ecart entre les équipes"/>
    <s v="Cleveland Cavaliers gagne de 5 points ou plus"/>
    <m/>
    <s v="1,7"/>
    <d v="2012-12-18T21:52:00"/>
    <x v="2"/>
    <n v="5"/>
    <s v="PERDU"/>
    <n v="0"/>
    <n v="0"/>
    <n v="1"/>
    <n v="0"/>
    <n v="-5"/>
    <n v="-5"/>
    <n v="91.862499999999955"/>
    <n v="3.4625000000000057"/>
    <n v="-54.85"/>
    <n v="-2.5499999999999945"/>
    <n v="-54.199999999999989"/>
    <n v="0"/>
    <n v="0"/>
    <n v="-108.13750000000002"/>
  </r>
  <r>
    <x v="1"/>
    <d v="2012-12-19T02:05:00"/>
    <m/>
    <s v="Indiana Pacers chez Milwaukee Bucks"/>
    <s v="Pari sur le vainqueur (US)"/>
    <s v="Indiana Pacers"/>
    <m/>
    <s v="2,1"/>
    <d v="2012-12-18T21:53:00"/>
    <x v="2"/>
    <n v="5"/>
    <s v="PERDU"/>
    <n v="0"/>
    <n v="0"/>
    <n v="1"/>
    <n v="0"/>
    <n v="-5"/>
    <n v="-5"/>
    <n v="86.862499999999955"/>
    <n v="-1.5374999999999943"/>
    <n v="-54.85"/>
    <n v="-2.5499999999999945"/>
    <n v="-54.199999999999989"/>
    <n v="0"/>
    <n v="0"/>
    <n v="-113.13750000000002"/>
  </r>
  <r>
    <x v="1"/>
    <d v="2012-12-19T18:00:00"/>
    <m/>
    <s v="Szolnoki Olaj - Krka"/>
    <s v="Pari sur le vainqueur"/>
    <s v="Szolnoki Olaj"/>
    <m/>
    <s v="1,83"/>
    <d v="2012-12-19T11:09:00"/>
    <x v="2"/>
    <n v="5"/>
    <s v="BON"/>
    <n v="9.15"/>
    <n v="1"/>
    <n v="0"/>
    <n v="0"/>
    <n v="4.1500000000000004"/>
    <n v="4.1500000000000004"/>
    <n v="91.01249999999996"/>
    <n v="2.612500000000006"/>
    <n v="-54.85"/>
    <n v="-2.5499999999999945"/>
    <n v="-54.199999999999989"/>
    <n v="0"/>
    <n v="0"/>
    <n v="-108.98750000000001"/>
  </r>
  <r>
    <x v="1"/>
    <d v="2012-12-19T20:30:00"/>
    <m/>
    <s v="Borussia Dortmund - Hanovre 96"/>
    <s v="Nombre de buts marqués"/>
    <s v="Plus de 3,5"/>
    <m/>
    <s v="1,91"/>
    <d v="2012-12-19T18:37:00"/>
    <x v="1"/>
    <n v="5"/>
    <s v="BON"/>
    <n v="9.5499999999999989"/>
    <n v="1"/>
    <n v="0"/>
    <n v="0"/>
    <n v="4.5499999999999989"/>
    <n v="4.5499999999999989"/>
    <n v="95.562499999999957"/>
    <n v="7.162500000000005"/>
    <n v="-54.85"/>
    <n v="-2.5499999999999945"/>
    <n v="-54.199999999999989"/>
    <n v="0"/>
    <n v="0"/>
    <n v="-104.43750000000001"/>
  </r>
  <r>
    <x v="1"/>
    <d v="2012-12-19T21:00:00"/>
    <m/>
    <s v="SSC Naples - Bologne"/>
    <s v="Nombre de buts marqués en 1ère mi-temps"/>
    <s v="Plus de 1,5"/>
    <m/>
    <s v="2,1"/>
    <d v="2012-12-19T18:46:00"/>
    <x v="1"/>
    <n v="10"/>
    <s v="BON"/>
    <n v="21"/>
    <n v="1"/>
    <n v="0"/>
    <n v="0"/>
    <n v="11"/>
    <n v="11"/>
    <n v="106.56249999999996"/>
    <n v="18.162500000000005"/>
    <n v="-54.85"/>
    <n v="-2.5499999999999945"/>
    <n v="-54.199999999999989"/>
    <n v="0"/>
    <n v="0"/>
    <n v="-93.437500000000014"/>
  </r>
  <r>
    <x v="1"/>
    <d v="2012-12-19T21:00:00"/>
    <m/>
    <s v="SSC Naples - Bologne"/>
    <s v="Ecart entre les équipes"/>
    <s v="SSC Naples gagne avec 2 buts d'avance ou plus"/>
    <m/>
    <s v="1,87"/>
    <d v="2012-12-19T18:46:00"/>
    <x v="1"/>
    <n v="5"/>
    <s v="PERDU"/>
    <n v="0"/>
    <n v="0"/>
    <n v="1"/>
    <n v="0"/>
    <n v="-5"/>
    <n v="-5"/>
    <n v="101.56249999999996"/>
    <n v="13.162500000000005"/>
    <n v="-54.85"/>
    <n v="-2.5499999999999945"/>
    <n v="-54.199999999999989"/>
    <n v="0"/>
    <n v="0"/>
    <n v="-98.437500000000014"/>
  </r>
  <r>
    <x v="3"/>
    <d v="2012-12-19T20:30:00"/>
    <m/>
    <s v="Borussia Dortmund - Hanovre 96"/>
    <s v="1 X 2"/>
    <s v="Borussia Dortmund"/>
    <m/>
    <s v="1,22"/>
    <d v="2012-12-19T19:39:00"/>
    <x v="1"/>
    <n v="5"/>
    <s v="BON"/>
    <n v="6.1"/>
    <n v="1"/>
    <n v="0"/>
    <n v="0"/>
    <n v="1.0999999999999996"/>
    <n v="1.0999999999999996"/>
    <n v="102.66249999999995"/>
    <n v="13.162500000000005"/>
    <n v="-54.85"/>
    <n v="-1.4499999999999948"/>
    <n v="-54.199999999999989"/>
    <n v="0"/>
    <n v="0"/>
    <n v="-97.33750000000002"/>
  </r>
  <r>
    <x v="3"/>
    <d v="2012-12-21T20:45:00"/>
    <m/>
    <s v="Stade Brestois 29 - Paris Saint-Germain"/>
    <s v="1 X 2"/>
    <s v="Paris Saint-Germain"/>
    <m/>
    <s v="1,57"/>
    <d v="2012-12-19T19:40:00"/>
    <x v="1"/>
    <n v="5"/>
    <s v="BON"/>
    <n v="7.8500000000000005"/>
    <n v="1"/>
    <n v="0"/>
    <n v="0"/>
    <n v="2.8500000000000005"/>
    <n v="2.8500000000000005"/>
    <n v="105.51249999999995"/>
    <n v="13.162500000000005"/>
    <n v="-54.85"/>
    <n v="1.4000000000000057"/>
    <n v="-54.199999999999989"/>
    <n v="0"/>
    <n v="0"/>
    <n v="-94.487500000000026"/>
  </r>
  <r>
    <x v="3"/>
    <d v="2012-12-21T22:00:00"/>
    <m/>
    <s v="Atletico Madrid - Celta Vigo"/>
    <s v="1 X 2"/>
    <s v="Atletico Madrid"/>
    <m/>
    <s v="1,22"/>
    <d v="2012-12-19T19:47:00"/>
    <x v="1"/>
    <n v="5"/>
    <s v="BON"/>
    <n v="6.1"/>
    <n v="1"/>
    <n v="0"/>
    <n v="0"/>
    <n v="1.0999999999999996"/>
    <n v="1.0999999999999996"/>
    <n v="106.61249999999994"/>
    <n v="13.162500000000005"/>
    <n v="-54.85"/>
    <n v="2.5000000000000053"/>
    <n v="-54.199999999999989"/>
    <n v="0"/>
    <n v="0"/>
    <n v="-93.387500000000031"/>
  </r>
  <r>
    <x v="3"/>
    <d v="2012-12-22T20:45:00"/>
    <m/>
    <s v="AS Rome - Milan AC"/>
    <s v="1 X 2"/>
    <s v="X"/>
    <m/>
    <s v="3,7"/>
    <d v="2012-12-19T19:48:00"/>
    <x v="1"/>
    <n v="5"/>
    <s v="PERDU"/>
    <n v="0"/>
    <n v="0"/>
    <n v="1"/>
    <n v="0"/>
    <n v="-5"/>
    <n v="-5"/>
    <n v="101.61249999999994"/>
    <n v="13.162500000000005"/>
    <n v="-54.85"/>
    <n v="-2.4999999999999947"/>
    <n v="-54.199999999999989"/>
    <n v="0"/>
    <n v="0"/>
    <n v="-98.387500000000031"/>
  </r>
  <r>
    <x v="3"/>
    <d v="2012-12-22T16:00:00"/>
    <m/>
    <s v="COMBI Manchester City - Reading &amp; Newcastle - Queens Park Rangers"/>
    <s v="1 X 2"/>
    <s v="Manchester City &amp; Newcastle"/>
    <m/>
    <s v="2,26"/>
    <d v="2012-12-19T19:53:00"/>
    <x v="1"/>
    <n v="5"/>
    <s v="BON"/>
    <n v="11.299999999999999"/>
    <n v="1"/>
    <n v="0"/>
    <n v="0"/>
    <n v="6.2999999999999989"/>
    <n v="6.2999999999999989"/>
    <n v="107.91249999999994"/>
    <n v="13.162500000000005"/>
    <n v="-54.85"/>
    <n v="3.8000000000000043"/>
    <n v="-54.199999999999989"/>
    <n v="0"/>
    <n v="0"/>
    <n v="-92.087500000000034"/>
  </r>
  <r>
    <x v="4"/>
    <d v="2012-12-22T17:00:00"/>
    <m/>
    <s v="LOSC Lille Métropole - Montpellier HSC (1 X 2)"/>
    <s v="1 X 2"/>
    <s v="LOSC Lille Métropole"/>
    <m/>
    <n v="2"/>
    <d v="2012-12-19T20:34:00"/>
    <x v="1"/>
    <n v="5"/>
    <s v="BON"/>
    <n v="10"/>
    <n v="1"/>
    <n v="0"/>
    <n v="0"/>
    <n v="5"/>
    <n v="5"/>
    <n v="112.91249999999994"/>
    <n v="13.162500000000005"/>
    <n v="-54.85"/>
    <n v="3.8000000000000043"/>
    <n v="-49.199999999999989"/>
    <n v="0"/>
    <n v="0"/>
    <n v="-87.087500000000034"/>
  </r>
  <r>
    <x v="1"/>
    <d v="2012-12-20T01:05:00"/>
    <m/>
    <s v="Detroit Pistons chez Toronto Raptors"/>
    <s v="Avance du vainqueur (en pts, buts ou temps)"/>
    <s v="Toronto Raptors par 1-5"/>
    <m/>
    <s v="4,25"/>
    <d v="2012-12-19T23:05:00"/>
    <x v="2"/>
    <n v="5"/>
    <s v="PERDU"/>
    <n v="0"/>
    <n v="0"/>
    <n v="1"/>
    <n v="0"/>
    <n v="-5"/>
    <n v="-5"/>
    <n v="107.91249999999994"/>
    <n v="8.162500000000005"/>
    <n v="-54.85"/>
    <n v="3.8000000000000043"/>
    <n v="-49.199999999999989"/>
    <n v="0"/>
    <n v="0"/>
    <n v="-92.087500000000034"/>
  </r>
  <r>
    <x v="2"/>
    <d v="2012-12-20T22:00:00"/>
    <m/>
    <s v="Espanyol - Deportivo La Corogne"/>
    <s v="Les deux équipes marqueront-elles lors de la rencontre ?"/>
    <s v="oui"/>
    <m/>
    <s v="1,78"/>
    <d v="2012-12-20T18:08:00"/>
    <x v="1"/>
    <n v="5"/>
    <s v="PERDU"/>
    <n v="0"/>
    <n v="0"/>
    <n v="1"/>
    <n v="0"/>
    <n v="-5"/>
    <n v="-5"/>
    <n v="102.91249999999994"/>
    <n v="8.162500000000005"/>
    <n v="-59.85"/>
    <n v="3.8000000000000043"/>
    <n v="-49.199999999999989"/>
    <n v="0"/>
    <n v="0"/>
    <n v="-97.087500000000034"/>
  </r>
  <r>
    <x v="1"/>
    <d v="2012-12-20T20:00:00"/>
    <m/>
    <s v="Xerez - Villarreal"/>
    <s v="Nombre de buts marqués en 1ère mi-temps"/>
    <s v="Plus de 1,5"/>
    <m/>
    <s v="2,8"/>
    <d v="2012-12-20T19:11:00"/>
    <x v="1"/>
    <n v="5"/>
    <s v="PERDU"/>
    <n v="0"/>
    <n v="0"/>
    <n v="1"/>
    <n v="0"/>
    <n v="-5"/>
    <n v="-5"/>
    <n v="97.912499999999937"/>
    <n v="3.162500000000005"/>
    <n v="-59.85"/>
    <n v="3.8000000000000043"/>
    <n v="-49.199999999999989"/>
    <n v="0"/>
    <n v="0"/>
    <n v="-102.08750000000003"/>
  </r>
  <r>
    <x v="1"/>
    <d v="2012-12-20T20:00:00"/>
    <m/>
    <s v="Xerez - Villarreal"/>
    <s v="Mi-temps/Résultat final"/>
    <s v="X / Villarreal"/>
    <m/>
    <s v="4,6"/>
    <d v="2012-12-20T19:12:00"/>
    <x v="1"/>
    <n v="5"/>
    <s v="PERDU"/>
    <n v="0"/>
    <n v="0"/>
    <n v="1"/>
    <n v="0"/>
    <n v="-5"/>
    <n v="-5"/>
    <n v="92.912499999999937"/>
    <n v="-1.837499999999995"/>
    <n v="-59.85"/>
    <n v="3.8000000000000043"/>
    <n v="-49.199999999999989"/>
    <n v="0"/>
    <n v="0"/>
    <n v="-107.08750000000003"/>
  </r>
  <r>
    <x v="1"/>
    <d v="2012-12-22T20:00:00"/>
    <m/>
    <s v="Malaga - Real Madrid"/>
    <s v="Nombre de buts marqués en 1ère mi-temps"/>
    <s v="Plus de 1,5"/>
    <m/>
    <n v="2"/>
    <d v="2012-12-20T19:17:00"/>
    <x v="1"/>
    <n v="5"/>
    <s v="PERDU"/>
    <n v="0"/>
    <n v="0"/>
    <n v="1"/>
    <n v="0"/>
    <n v="-5"/>
    <n v="-5"/>
    <n v="87.912499999999937"/>
    <n v="-6.837499999999995"/>
    <n v="-59.85"/>
    <n v="3.8000000000000043"/>
    <n v="-49.199999999999989"/>
    <n v="0"/>
    <n v="0"/>
    <n v="-112.08750000000003"/>
  </r>
  <r>
    <x v="1"/>
    <d v="2012-12-20T22:00:00"/>
    <m/>
    <s v="Real Sociedad - FC Séville"/>
    <s v="Les deux équipes marqueront-elles lors de la rencontre ?"/>
    <s v="Oui"/>
    <m/>
    <s v="1,67"/>
    <d v="2012-12-20T20:26:00"/>
    <x v="1"/>
    <n v="5"/>
    <s v="BON"/>
    <n v="8.35"/>
    <n v="1"/>
    <n v="0"/>
    <n v="0"/>
    <n v="3.3499999999999996"/>
    <n v="3.3499999999999996"/>
    <n v="91.262499999999932"/>
    <n v="-3.4874999999999954"/>
    <n v="-59.85"/>
    <n v="3.8000000000000043"/>
    <n v="-49.199999999999989"/>
    <n v="0"/>
    <n v="0"/>
    <n v="-108.73750000000004"/>
  </r>
  <r>
    <x v="1"/>
    <d v="2012-12-20T22:00:00"/>
    <m/>
    <s v="Espanyol - Deportivo La Corogne"/>
    <s v="1 X 2"/>
    <s v="Espanyol"/>
    <m/>
    <s v="1,75"/>
    <d v="2012-12-20T20:35:00"/>
    <x v="1"/>
    <n v="5"/>
    <s v="BON"/>
    <n v="8.75"/>
    <n v="1"/>
    <n v="0"/>
    <n v="0"/>
    <n v="3.75"/>
    <n v="3.75"/>
    <n v="95.012499999999932"/>
    <n v="0.26250000000000462"/>
    <n v="-59.85"/>
    <n v="3.8000000000000043"/>
    <n v="-49.199999999999989"/>
    <n v="0"/>
    <n v="0"/>
    <n v="-104.98750000000004"/>
  </r>
  <r>
    <x v="1"/>
    <d v="2012-12-21T01:05:00"/>
    <m/>
    <s v="Oklahoma City Thunder chez Minnesota Timberwolves"/>
    <s v="Ecart entre les équipes"/>
    <s v="Oklahoma City Thunder gagne de 3 points ou plus"/>
    <m/>
    <s v="1,67"/>
    <d v="2012-12-20T20:37:00"/>
    <x v="2"/>
    <n v="5"/>
    <s v="PERDU"/>
    <n v="0"/>
    <n v="0"/>
    <n v="1"/>
    <n v="0"/>
    <n v="-5"/>
    <n v="-5"/>
    <n v="90.012499999999932"/>
    <n v="-4.7374999999999954"/>
    <n v="-59.85"/>
    <n v="3.8000000000000043"/>
    <n v="-49.199999999999989"/>
    <n v="0"/>
    <n v="0"/>
    <n v="-109.98750000000004"/>
  </r>
  <r>
    <x v="1"/>
    <d v="2012-12-21T18:45:00"/>
    <m/>
    <s v="Stade Malherbe Caen - Châteauroux"/>
    <s v="1 X 2"/>
    <s v="Stade Malherbe Caen"/>
    <m/>
    <s v="1,6"/>
    <d v="2012-12-21T17:35:00"/>
    <x v="1"/>
    <n v="5"/>
    <s v="BON"/>
    <n v="8"/>
    <n v="1"/>
    <n v="0"/>
    <n v="0"/>
    <n v="3"/>
    <n v="3"/>
    <n v="93.012499999999932"/>
    <n v="-1.7374999999999954"/>
    <n v="-59.85"/>
    <n v="3.8000000000000043"/>
    <n v="-49.199999999999989"/>
    <n v="0"/>
    <n v="0"/>
    <n v="-106.98750000000004"/>
  </r>
  <r>
    <x v="1"/>
    <d v="2012-12-21T18:45:00"/>
    <m/>
    <s v="EA Guingamp - GFC Ajaccio"/>
    <s v="Mi-temps/Résultat final"/>
    <s v="EA Guingamp / EA Guingamp"/>
    <m/>
    <s v="2,2"/>
    <d v="2012-12-21T17:36:00"/>
    <x v="1"/>
    <n v="5"/>
    <s v="PERDU"/>
    <n v="0"/>
    <n v="0"/>
    <n v="1"/>
    <n v="0"/>
    <n v="-5"/>
    <n v="-5"/>
    <n v="88.012499999999932"/>
    <n v="-6.7374999999999954"/>
    <n v="-59.85"/>
    <n v="3.8000000000000043"/>
    <n v="-49.199999999999989"/>
    <n v="0"/>
    <n v="0"/>
    <n v="-111.98750000000004"/>
  </r>
  <r>
    <x v="1"/>
    <d v="2012-12-21T20:45:00"/>
    <m/>
    <s v="Stade Brestois 29 - Paris Saint-Germain"/>
    <s v="Quelle équipe va remporter les deux mi-temps ?"/>
    <s v="Paris Saint-Germain"/>
    <m/>
    <s v="3,1"/>
    <d v="2012-12-21T17:38:00"/>
    <x v="1"/>
    <n v="5"/>
    <s v="PERDU"/>
    <n v="0"/>
    <n v="0"/>
    <n v="1"/>
    <n v="0"/>
    <n v="-5"/>
    <n v="-5"/>
    <n v="83.012499999999932"/>
    <n v="-11.737499999999995"/>
    <n v="-59.85"/>
    <n v="3.8000000000000043"/>
    <n v="-49.199999999999989"/>
    <n v="0"/>
    <n v="0"/>
    <n v="-116.98750000000004"/>
  </r>
  <r>
    <x v="1"/>
    <d v="2012-12-21T18:45:00"/>
    <m/>
    <s v="Nîmes Olympique - Chamois Niortais FC (1 X 2)"/>
    <s v="Nîmes Olympique"/>
    <s v="Nîmes"/>
    <m/>
    <s v="1,9"/>
    <d v="2012-12-21T17:39:00"/>
    <x v="1"/>
    <n v="5"/>
    <s v="BON"/>
    <n v="9.5"/>
    <n v="1"/>
    <n v="0"/>
    <n v="0"/>
    <n v="4.5"/>
    <n v="4.5"/>
    <n v="87.512499999999932"/>
    <n v="-7.2374999999999954"/>
    <n v="-59.85"/>
    <n v="3.8000000000000043"/>
    <n v="-49.199999999999989"/>
    <n v="0"/>
    <n v="0"/>
    <n v="-112.48750000000004"/>
  </r>
  <r>
    <x v="1"/>
    <d v="2012-12-21T20:05:00"/>
    <m/>
    <s v="Ulster - Leinster"/>
    <s v="Avance du vainqueur (en pts, buts ou temps)"/>
    <s v="Ulster de 1 à 12"/>
    <m/>
    <s v="2,05"/>
    <d v="2012-12-21T17:40:00"/>
    <x v="4"/>
    <n v="5"/>
    <s v="BON"/>
    <n v="10.25"/>
    <n v="1"/>
    <n v="0"/>
    <n v="0"/>
    <n v="5.25"/>
    <n v="5.25"/>
    <n v="92.762499999999932"/>
    <n v="-1.9874999999999954"/>
    <n v="-59.85"/>
    <n v="3.8000000000000043"/>
    <n v="-49.199999999999989"/>
    <n v="0"/>
    <n v="0"/>
    <n v="-107.23750000000004"/>
  </r>
  <r>
    <x v="1"/>
    <d v="2012-12-21T20:05:00"/>
    <m/>
    <s v="Cardiff Blues - Llanelli Scarlets"/>
    <s v="Cardiff Blues - Llanelli Scarlets (Total 1ère mi-temps)"/>
    <s v="Plus de 18,5"/>
    <m/>
    <s v="1,78"/>
    <d v="2012-12-21T17:42:00"/>
    <x v="4"/>
    <n v="5"/>
    <s v="PERDU"/>
    <n v="0"/>
    <n v="0"/>
    <n v="1"/>
    <n v="0"/>
    <n v="-5"/>
    <n v="-5"/>
    <n v="87.762499999999932"/>
    <n v="-6.9874999999999954"/>
    <n v="-59.85"/>
    <n v="3.8000000000000043"/>
    <n v="-49.199999999999989"/>
    <n v="0"/>
    <n v="0"/>
    <n v="-112.23750000000004"/>
  </r>
  <r>
    <x v="1"/>
    <d v="2012-12-22T01:05:00"/>
    <m/>
    <s v="Orlando Magic chez Toronto Raptors"/>
    <s v="Ecart entre les équipes"/>
    <s v="Toronto Raptors gagne de 5 points ou plus"/>
    <m/>
    <s v="1,8"/>
    <d v="2012-12-21T21:41:00"/>
    <x v="2"/>
    <n v="5"/>
    <s v="PERDU"/>
    <n v="0"/>
    <n v="0"/>
    <n v="1"/>
    <n v="0"/>
    <n v="-5"/>
    <n v="-5"/>
    <n v="82.762499999999932"/>
    <n v="-11.987499999999995"/>
    <n v="-59.85"/>
    <n v="3.8000000000000043"/>
    <n v="-49.199999999999989"/>
    <n v="0"/>
    <n v="0"/>
    <n v="-117.23750000000004"/>
  </r>
  <r>
    <x v="3"/>
    <d v="2012-12-22T14:00:00"/>
    <m/>
    <s v="Le Mans FC - AS Monaco FC"/>
    <s v="1 X 2"/>
    <s v="AS Monaco FC"/>
    <m/>
    <s v="2,25"/>
    <d v="2012-12-21T22:46:00"/>
    <x v="1"/>
    <n v="5"/>
    <s v="BON"/>
    <n v="11.25"/>
    <n v="1"/>
    <n v="0"/>
    <n v="0"/>
    <n v="6.25"/>
    <n v="6.25"/>
    <n v="89.012499999999932"/>
    <n v="-11.987499999999995"/>
    <n v="-59.85"/>
    <n v="10.050000000000004"/>
    <n v="-49.199999999999989"/>
    <n v="0"/>
    <n v="0"/>
    <n v="-110.98750000000004"/>
  </r>
  <r>
    <x v="3"/>
    <d v="2012-12-22T13:45:00"/>
    <m/>
    <s v="Wigan Athletic - Arsenal"/>
    <s v="1 X 2"/>
    <s v="Arsenal"/>
    <m/>
    <s v="1,65"/>
    <d v="2012-12-21T22:49:00"/>
    <x v="1"/>
    <n v="5"/>
    <s v="BON"/>
    <n v="8.25"/>
    <n v="1"/>
    <n v="0"/>
    <n v="0"/>
    <n v="3.25"/>
    <n v="3.25"/>
    <n v="92.262499999999932"/>
    <n v="-11.987499999999995"/>
    <n v="-59.85"/>
    <n v="13.300000000000004"/>
    <n v="-49.199999999999989"/>
    <n v="0"/>
    <n v="0"/>
    <n v="-107.73750000000004"/>
  </r>
  <r>
    <x v="3"/>
    <d v="2012-12-22T12:30:00"/>
    <m/>
    <s v="Inter Milan - Genoa CFC"/>
    <s v="1 X 2"/>
    <s v="Inter Milan"/>
    <m/>
    <s v="1,34"/>
    <d v="2012-12-21T22:52:00"/>
    <x v="1"/>
    <n v="5"/>
    <s v="PERDU"/>
    <n v="0"/>
    <n v="0"/>
    <n v="1"/>
    <n v="0"/>
    <n v="-5"/>
    <n v="-5"/>
    <n v="87.262499999999932"/>
    <n v="-11.987499999999995"/>
    <n v="-59.85"/>
    <n v="8.3000000000000043"/>
    <n v="-49.199999999999989"/>
    <n v="0"/>
    <n v="0"/>
    <n v="-112.73750000000004"/>
  </r>
  <r>
    <x v="3"/>
    <d v="2012-12-22T18:30:00"/>
    <m/>
    <s v="Liverpool - Fulham"/>
    <s v="1 X 2"/>
    <s v="Liverpool"/>
    <m/>
    <s v="1,53"/>
    <d v="2012-12-21T22:53:00"/>
    <x v="1"/>
    <n v="5"/>
    <s v="BON"/>
    <n v="7.65"/>
    <n v="1"/>
    <n v="0"/>
    <n v="0"/>
    <n v="2.6500000000000004"/>
    <n v="2.6500000000000004"/>
    <n v="89.912499999999937"/>
    <n v="-11.987499999999995"/>
    <n v="-59.85"/>
    <n v="10.950000000000005"/>
    <n v="-49.199999999999989"/>
    <n v="0"/>
    <n v="0"/>
    <n v="-110.08750000000003"/>
  </r>
  <r>
    <x v="3"/>
    <d v="2012-12-23T14:15:00"/>
    <m/>
    <s v="CS Sedan Ardennes - FC Nantes"/>
    <s v="2 X 2"/>
    <s v="FC Nantes"/>
    <m/>
    <s v="2,45"/>
    <d v="2012-12-21T23:52:00"/>
    <x v="1"/>
    <n v="5"/>
    <s v="PERDU"/>
    <n v="0"/>
    <n v="0"/>
    <n v="1"/>
    <n v="0"/>
    <n v="-5"/>
    <n v="-5"/>
    <n v="84.912499999999937"/>
    <n v="-11.987499999999995"/>
    <n v="-59.85"/>
    <n v="5.9500000000000046"/>
    <n v="-49.199999999999989"/>
    <n v="0"/>
    <n v="0"/>
    <n v="-115.08750000000003"/>
  </r>
  <r>
    <x v="1"/>
    <d v="2012-12-22T01:05:00"/>
    <m/>
    <s v="Atlanta Hawks chez Philadelphia 76ers"/>
    <s v="Pari sur le vainqueur (US)"/>
    <s v="Atlanta Hawks"/>
    <m/>
    <s v="1,67"/>
    <d v="2012-12-22T00:27:00"/>
    <x v="2"/>
    <n v="5"/>
    <s v="PERDU"/>
    <n v="0"/>
    <n v="0"/>
    <n v="1"/>
    <n v="0"/>
    <n v="-5"/>
    <n v="-5"/>
    <n v="79.912499999999937"/>
    <n v="-16.987499999999997"/>
    <n v="-59.85"/>
    <n v="5.9500000000000046"/>
    <n v="-49.199999999999989"/>
    <n v="0"/>
    <n v="0"/>
    <n v="-120.08750000000003"/>
  </r>
  <r>
    <x v="1"/>
    <d v="2012-12-22T15:00:00"/>
    <m/>
    <s v="Grenoble - Toulouse"/>
    <s v="1 X 2"/>
    <s v="Grenoble"/>
    <m/>
    <s v="2,15"/>
    <d v="2012-12-22T00:32:00"/>
    <x v="4"/>
    <n v="5"/>
    <s v="BON"/>
    <n v="10.75"/>
    <n v="1"/>
    <n v="0"/>
    <n v="0"/>
    <n v="5.75"/>
    <n v="5.75"/>
    <n v="85.662499999999937"/>
    <n v="-11.237499999999997"/>
    <n v="-59.85"/>
    <n v="5.9500000000000046"/>
    <n v="-49.199999999999989"/>
    <n v="0"/>
    <n v="0"/>
    <n v="-114.33750000000003"/>
  </r>
  <r>
    <x v="1"/>
    <d v="2012-12-22T13:45:00"/>
    <m/>
    <s v="Wigan Athletic - Arsenal"/>
    <s v="1X2 et nombre de buts marqués"/>
    <s v="L'équipe 2 gagne et il y a un total de plus de 2,5 buts dans le match"/>
    <m/>
    <s v="2,3"/>
    <d v="2012-12-22T12:20:00"/>
    <x v="1"/>
    <n v="5"/>
    <s v="PERDU"/>
    <n v="0"/>
    <n v="0"/>
    <n v="1"/>
    <n v="0"/>
    <n v="-5"/>
    <n v="-5"/>
    <n v="80.662499999999937"/>
    <n v="-16.237499999999997"/>
    <n v="-59.85"/>
    <n v="5.9500000000000046"/>
    <n v="-49.199999999999989"/>
    <n v="0"/>
    <n v="0"/>
    <n v="-119.33750000000003"/>
  </r>
  <r>
    <x v="1"/>
    <d v="2012-12-22T20:00:00"/>
    <m/>
    <s v="Boulazac - Strasbourg"/>
    <s v="Ecart entre les équipes"/>
    <s v="Strasbourg gagne de 3 points ou plus"/>
    <m/>
    <s v="1,7"/>
    <d v="2012-12-22T18:08:00"/>
    <x v="2"/>
    <n v="5"/>
    <s v="BON"/>
    <n v="8.5"/>
    <n v="1"/>
    <n v="0"/>
    <n v="0"/>
    <n v="3.5"/>
    <n v="3.5"/>
    <n v="84.162499999999937"/>
    <n v="-12.737499999999997"/>
    <n v="-59.85"/>
    <n v="5.9500000000000046"/>
    <n v="-49.199999999999989"/>
    <n v="0"/>
    <n v="0"/>
    <n v="-115.83750000000003"/>
  </r>
  <r>
    <x v="1"/>
    <d v="2012-12-22T20:00:00"/>
    <m/>
    <s v="Pau - Narbonne"/>
    <s v="1 X 2"/>
    <s v="Narbonne"/>
    <m/>
    <s v="7,75"/>
    <d v="2012-12-22T18:14:00"/>
    <x v="4"/>
    <n v="5"/>
    <s v="PERDU"/>
    <n v="0"/>
    <n v="0"/>
    <n v="1"/>
    <n v="0"/>
    <n v="-5"/>
    <n v="-5"/>
    <n v="79.162499999999937"/>
    <n v="-17.737499999999997"/>
    <n v="-59.85"/>
    <n v="5.9500000000000046"/>
    <n v="-49.199999999999989"/>
    <n v="0"/>
    <n v="0"/>
    <n v="-120.83750000000003"/>
  </r>
  <r>
    <x v="1"/>
    <d v="2012-12-23T02:30:00"/>
    <m/>
    <s v="Atlanta Falcons chez Detroit Lions"/>
    <s v="Ecart entre les équipes"/>
    <s v="Atlanta Falcons gagnè de 3 points ou plus"/>
    <m/>
    <s v="1,65"/>
    <d v="2012-12-22T21:44:00"/>
    <x v="7"/>
    <n v="5"/>
    <s v="BON"/>
    <n v="8.25"/>
    <n v="1"/>
    <n v="0"/>
    <n v="0"/>
    <n v="3.25"/>
    <n v="3.25"/>
    <n v="82.412499999999937"/>
    <n v="-14.487499999999997"/>
    <n v="-59.85"/>
    <n v="5.9500000000000046"/>
    <n v="-49.199999999999989"/>
    <n v="0"/>
    <n v="0"/>
    <n v="-117.58750000000003"/>
  </r>
  <r>
    <x v="1"/>
    <d v="2012-12-23T12:15:00"/>
    <m/>
    <s v="FIATC Mutua Joventut - Asefa Estudiantes"/>
    <s v="Pari sur le vainqueur"/>
    <s v="Asefa Estudiantes"/>
    <m/>
    <n v="2"/>
    <d v="2012-12-23T12:12:00"/>
    <x v="2"/>
    <n v="5"/>
    <s v="PERDU"/>
    <n v="0"/>
    <n v="0"/>
    <n v="1"/>
    <n v="0"/>
    <n v="-5"/>
    <n v="-5"/>
    <n v="77.412499999999937"/>
    <n v="-19.487499999999997"/>
    <n v="-59.85"/>
    <n v="5.9500000000000046"/>
    <n v="-49.199999999999989"/>
    <n v="0"/>
    <n v="0"/>
    <n v="-122.58750000000003"/>
  </r>
  <r>
    <x v="1"/>
    <d v="2012-12-23T12:30:00"/>
    <m/>
    <s v="Blancos de Rueda Valladolid - Gran Canaria 2014"/>
    <s v="Avance du vainqueur (en pts, buts ou temps)"/>
    <s v="Gran Canaria 2014 par 1-5"/>
    <m/>
    <s v="4,4"/>
    <d v="2012-12-23T12:13:00"/>
    <x v="2"/>
    <n v="5"/>
    <s v="PERDU"/>
    <n v="0"/>
    <n v="0"/>
    <n v="1"/>
    <n v="0"/>
    <n v="-5"/>
    <n v="-5"/>
    <n v="72.412499999999937"/>
    <n v="-24.487499999999997"/>
    <n v="-59.85"/>
    <n v="5.9500000000000046"/>
    <n v="-49.199999999999989"/>
    <n v="0"/>
    <n v="0"/>
    <n v="-127.58750000000003"/>
  </r>
  <r>
    <x v="1"/>
    <d v="2012-12-23T14:15:00"/>
    <m/>
    <s v="CS Sedan Ardennes - FC Nantes"/>
    <s v="Ecart entre les équipes"/>
    <s v="FC Nantes gagne avec exactement 1 but d'avance"/>
    <m/>
    <s v="3,6"/>
    <d v="2012-12-23T12:15:00"/>
    <x v="1"/>
    <n v="5"/>
    <s v="PERDU"/>
    <n v="0"/>
    <n v="0"/>
    <n v="1"/>
    <n v="0"/>
    <n v="-5"/>
    <n v="-5"/>
    <n v="67.412499999999937"/>
    <n v="-29.487499999999997"/>
    <n v="-59.85"/>
    <n v="5.9500000000000046"/>
    <n v="-49.199999999999989"/>
    <n v="0"/>
    <n v="0"/>
    <n v="-132.58750000000003"/>
  </r>
  <r>
    <x v="1"/>
    <d v="2012-12-23T14:30:00"/>
    <m/>
    <s v="Swansea City - Manchester Utd"/>
    <s v="Ecart entre les équipes"/>
    <s v="Manchester Utd gagne avec 2 buts d'avance ou plus"/>
    <m/>
    <s v="2,45"/>
    <d v="2012-12-23T12:16:00"/>
    <x v="1"/>
    <n v="5"/>
    <s v="PERDU"/>
    <n v="0"/>
    <n v="0"/>
    <n v="1"/>
    <n v="0"/>
    <n v="-5"/>
    <n v="-5"/>
    <n v="62.412499999999937"/>
    <n v="-34.487499999999997"/>
    <n v="-59.85"/>
    <n v="5.9500000000000046"/>
    <n v="-49.199999999999989"/>
    <n v="0"/>
    <n v="0"/>
    <n v="-137.58750000000003"/>
  </r>
  <r>
    <x v="1"/>
    <d v="2012-12-22T20:45:00"/>
    <m/>
    <s v="AS Rome - Milan AC"/>
    <s v="Nombre de buts marqués"/>
    <s v="Plus de 3,5"/>
    <m/>
    <s v="1,95"/>
    <d v="2012-12-23T12:20:00"/>
    <x v="1"/>
    <n v="5"/>
    <s v="BON"/>
    <n v="9.75"/>
    <n v="1"/>
    <n v="0"/>
    <n v="0"/>
    <n v="4.75"/>
    <n v="4.75"/>
    <n v="67.162499999999937"/>
    <n v="-29.737499999999997"/>
    <n v="-59.85"/>
    <n v="5.9500000000000046"/>
    <n v="-49.199999999999989"/>
    <n v="0"/>
    <n v="0"/>
    <n v="-132.83750000000003"/>
  </r>
  <r>
    <x v="3"/>
    <d v="2012-12-23T17:00:00"/>
    <m/>
    <s v="Chelsea - Aston Villa"/>
    <s v="Ecart entre les équipes"/>
    <s v="Chelsea gagne avec 2 buts d'avance ou plus"/>
    <m/>
    <s v="1,85"/>
    <d v="2012-12-23T16:57:00"/>
    <x v="1"/>
    <n v="10"/>
    <s v="BON"/>
    <n v="18.5"/>
    <n v="1"/>
    <n v="0"/>
    <n v="0"/>
    <n v="8.5"/>
    <n v="8.5"/>
    <n v="75.662499999999937"/>
    <n v="-29.737499999999997"/>
    <n v="-59.85"/>
    <n v="14.450000000000005"/>
    <n v="-49.199999999999989"/>
    <n v="0"/>
    <n v="0"/>
    <n v="-124.33750000000003"/>
  </r>
  <r>
    <x v="4"/>
    <d v="2012-12-23T21:00:00"/>
    <m/>
    <s v="Olympique de Marseille - AS Saint-Etienne (1 X 2)"/>
    <s v="1 X 2"/>
    <s v="St Etienne"/>
    <m/>
    <s v="4,4"/>
    <d v="2012-12-23T17:19:00"/>
    <x v="1"/>
    <n v="5"/>
    <s v="PERDU"/>
    <n v="0"/>
    <n v="0"/>
    <n v="1"/>
    <n v="0"/>
    <n v="-5"/>
    <n v="-5"/>
    <n v="70.662499999999937"/>
    <n v="-29.737499999999997"/>
    <n v="-59.85"/>
    <n v="14.450000000000005"/>
    <n v="-54.199999999999989"/>
    <n v="0"/>
    <n v="0"/>
    <n v="-129.33750000000003"/>
  </r>
  <r>
    <x v="4"/>
    <d v="2012-12-23T17:30:00"/>
    <m/>
    <s v="GWD Minden - Füchse Berlin (1 X 2)"/>
    <s v="1 X 2"/>
    <s v="Berlin"/>
    <m/>
    <s v="1,4"/>
    <d v="2012-12-23T17:21:00"/>
    <x v="6"/>
    <n v="5"/>
    <s v="BON"/>
    <n v="7"/>
    <n v="1"/>
    <n v="0"/>
    <n v="0"/>
    <n v="2"/>
    <n v="2"/>
    <n v="72.662499999999937"/>
    <n v="-29.737499999999997"/>
    <n v="-59.85"/>
    <n v="14.450000000000005"/>
    <n v="-52.199999999999989"/>
    <n v="0"/>
    <n v="0"/>
    <n v="-127.33750000000003"/>
  </r>
  <r>
    <x v="3"/>
    <d v="2012-12-23T17:00:00"/>
    <m/>
    <s v="Toulouse FC - FC Sochaux Montbéliard"/>
    <s v="Quelle équipe va marquer le 2ème but ?"/>
    <s v="Aucun but"/>
    <m/>
    <s v="3,1"/>
    <d v="2012-12-23T18:06:00"/>
    <x v="1"/>
    <n v="5"/>
    <s v="PERDU"/>
    <n v="0"/>
    <n v="0"/>
    <n v="1"/>
    <n v="0"/>
    <n v="-5"/>
    <n v="-5"/>
    <n v="67.662499999999937"/>
    <n v="-29.737499999999997"/>
    <n v="-59.85"/>
    <n v="9.4500000000000046"/>
    <n v="-52.199999999999989"/>
    <n v="0"/>
    <n v="0"/>
    <n v="-132.33750000000003"/>
  </r>
  <r>
    <x v="1"/>
    <d v="2012-12-23T19:00:00"/>
    <m/>
    <s v="New Orleans Saints chez Dallas Cowboys"/>
    <s v="1 X 2 (temps réglementaire)"/>
    <s v="Dallas Cowboys"/>
    <m/>
    <s v="1,7"/>
    <d v="2012-12-23T18:17:00"/>
    <x v="7"/>
    <n v="10"/>
    <s v="PERDU"/>
    <n v="0"/>
    <n v="0"/>
    <n v="1"/>
    <n v="0"/>
    <n v="-10"/>
    <n v="-10"/>
    <n v="57.662499999999937"/>
    <n v="-39.737499999999997"/>
    <n v="-59.85"/>
    <n v="9.4500000000000046"/>
    <n v="-52.199999999999989"/>
    <n v="0"/>
    <n v="0"/>
    <n v="-142.33750000000003"/>
  </r>
  <r>
    <x v="3"/>
    <d v="2012-12-26T16:00:00"/>
    <m/>
    <s v="Everton - Wigan Athletic"/>
    <s v="Quelle équipe va remporter les deux mi-temps ?"/>
    <s v="Everton"/>
    <m/>
    <s v="3,2"/>
    <d v="2012-12-23T19:11:00"/>
    <x v="1"/>
    <n v="5"/>
    <s v="PERDU"/>
    <n v="0"/>
    <n v="0"/>
    <n v="1"/>
    <n v="0"/>
    <n v="-5"/>
    <n v="-5"/>
    <n v="52.662499999999937"/>
    <n v="-39.737499999999997"/>
    <n v="-59.85"/>
    <n v="4.4500000000000046"/>
    <n v="-52.199999999999989"/>
    <n v="0"/>
    <n v="0"/>
    <n v="-147.33750000000003"/>
  </r>
  <r>
    <x v="1"/>
    <d v="2012-12-26T16:00:00"/>
    <m/>
    <s v="Manchester Utd - Newcastle"/>
    <s v="1X2 et nombre de buts marqués"/>
    <s v="L'équipe 1 gagne et il y a un total de plus de 2,5 buts dans le match"/>
    <m/>
    <s v="1,57"/>
    <d v="2012-12-25T17:53:00"/>
    <x v="1"/>
    <n v="5"/>
    <s v="BON"/>
    <n v="7.8500000000000005"/>
    <n v="1"/>
    <n v="0"/>
    <n v="0"/>
    <n v="2.8500000000000005"/>
    <n v="2.8500000000000005"/>
    <n v="55.512499999999939"/>
    <n v="-36.887499999999996"/>
    <n v="-59.85"/>
    <n v="4.4500000000000046"/>
    <n v="-52.199999999999989"/>
    <n v="0"/>
    <n v="0"/>
    <n v="-144.48750000000004"/>
  </r>
  <r>
    <x v="1"/>
    <d v="2012-12-26T18:00:00"/>
    <m/>
    <s v="FC Bruges - Courtrai"/>
    <s v="Nombre de buts marqués"/>
    <s v="Plus de 2,5"/>
    <m/>
    <s v="1,6"/>
    <d v="2012-12-25T17:55:00"/>
    <x v="1"/>
    <n v="5"/>
    <s v="PERDU"/>
    <n v="0"/>
    <n v="0"/>
    <n v="1"/>
    <n v="0"/>
    <n v="-5"/>
    <n v="-5"/>
    <n v="50.512499999999939"/>
    <n v="-41.887499999999996"/>
    <n v="-59.85"/>
    <n v="4.4500000000000046"/>
    <n v="-52.199999999999989"/>
    <n v="0"/>
    <n v="0"/>
    <n v="-149.48750000000004"/>
  </r>
  <r>
    <x v="3"/>
    <d v="2012-12-26T16:00:00"/>
    <m/>
    <s v="Norwich City - Chelsea"/>
    <s v="1 X 2"/>
    <s v="Chelsea"/>
    <m/>
    <s v="1,55"/>
    <d v="2012-12-26T12:50:00"/>
    <x v="1"/>
    <n v="5"/>
    <s v="BON"/>
    <n v="7.75"/>
    <n v="1"/>
    <n v="0"/>
    <n v="0"/>
    <n v="2.75"/>
    <n v="2.75"/>
    <n v="53.262499999999939"/>
    <n v="-41.887499999999996"/>
    <n v="-59.85"/>
    <n v="7.2000000000000046"/>
    <n v="-52.199999999999989"/>
    <n v="0"/>
    <n v="0"/>
    <n v="-146.73750000000004"/>
  </r>
  <r>
    <x v="3"/>
    <d v="2012-12-26T20:45:00"/>
    <m/>
    <s v="Stoke City - Liverpool"/>
    <s v="1 X 2"/>
    <s v="Liverpool"/>
    <m/>
    <n v="2"/>
    <d v="2012-12-26T12:54:00"/>
    <x v="1"/>
    <n v="5"/>
    <s v="PERDU"/>
    <n v="0"/>
    <n v="0"/>
    <n v="1"/>
    <n v="0"/>
    <n v="-5"/>
    <n v="-5"/>
    <n v="48.262499999999939"/>
    <n v="-41.887499999999996"/>
    <n v="-59.85"/>
    <n v="2.2000000000000046"/>
    <n v="-52.199999999999989"/>
    <n v="0"/>
    <n v="0"/>
    <n v="-151.73750000000004"/>
  </r>
  <r>
    <x v="1"/>
    <d v="2012-12-26T20:00:00"/>
    <m/>
    <s v="Lille - Boulogne Sur Mer"/>
    <s v="Pari sur le vainqueur"/>
    <s v="Lille"/>
    <m/>
    <s v="1,4"/>
    <d v="2012-12-26T18:19:00"/>
    <x v="2"/>
    <n v="5"/>
    <s v="PERDU"/>
    <n v="0"/>
    <n v="0"/>
    <n v="1"/>
    <n v="0"/>
    <n v="-5"/>
    <n v="-5"/>
    <n v="43.262499999999939"/>
    <n v="-46.887499999999996"/>
    <n v="-59.85"/>
    <n v="2.2000000000000046"/>
    <n v="-52.199999999999989"/>
    <n v="0"/>
    <n v="0"/>
    <n v="-156.73750000000004"/>
  </r>
  <r>
    <x v="1"/>
    <d v="2012-12-26T20:00:00"/>
    <m/>
    <s v="Nantes - Chalons-Reims"/>
    <s v="Pari sur le vainqueur"/>
    <s v="Chalons-Reims"/>
    <m/>
    <s v="1,5"/>
    <d v="2012-12-26T19:47:00"/>
    <x v="2"/>
    <n v="3.11"/>
    <s v="BON"/>
    <n v="4.665"/>
    <n v="1"/>
    <n v="0"/>
    <n v="0"/>
    <n v="1.5550000000000002"/>
    <n v="1.5550000000000002"/>
    <n v="44.817499999999939"/>
    <n v="-45.332499999999996"/>
    <n v="-59.85"/>
    <n v="2.2000000000000046"/>
    <n v="-52.199999999999989"/>
    <n v="0"/>
    <n v="0"/>
    <n v="-155.18250000000003"/>
  </r>
  <r>
    <x v="1"/>
    <d v="2012-12-26T20:45:00"/>
    <m/>
    <s v="Stoke City - Liverpool"/>
    <s v="Nombre de buts marqués en 1ère mi-temps"/>
    <s v="Plus de 3,5"/>
    <m/>
    <s v="2,05"/>
    <d v="2012-12-26T21:15:00"/>
    <x v="1"/>
    <n v="5"/>
    <s v="PERDU"/>
    <n v="0"/>
    <n v="0"/>
    <n v="1"/>
    <n v="0"/>
    <n v="-5"/>
    <n v="-5"/>
    <n v="39.817499999999939"/>
    <n v="-50.332499999999996"/>
    <n v="-59.85"/>
    <n v="2.2000000000000046"/>
    <n v="-52.199999999999989"/>
    <n v="0"/>
    <n v="0"/>
    <n v="-160.18250000000003"/>
  </r>
  <r>
    <x v="0"/>
    <m/>
    <m/>
    <s v="Dépôt via Mastercard / Dépôt via Mastercard YANN"/>
    <m/>
    <m/>
    <m/>
    <m/>
    <d v="2012-12-27T18:30:00"/>
    <x v="0"/>
    <m/>
    <m/>
    <n v="0"/>
    <n v="0"/>
    <n v="0"/>
    <n v="0"/>
    <n v="0"/>
    <n v="0"/>
    <n v="69.817499999999939"/>
    <n v="-50.332499999999996"/>
    <n v="-59.85"/>
    <n v="2.2000000000000046"/>
    <n v="-52.199999999999989"/>
    <n v="0"/>
    <n v="0"/>
    <n v="-160.18250000000003"/>
  </r>
  <r>
    <x v="1"/>
    <d v="2012-12-27T20:00:00"/>
    <m/>
    <s v="Neckar RIESEN Ludwigsburg - Phoenix Hagen"/>
    <s v="Pari sur le vainqueur"/>
    <s v="Neckar RIESEN Ludwigsburg"/>
    <m/>
    <s v="1,48"/>
    <d v="2012-12-27T18:07:00"/>
    <x v="2"/>
    <n v="3.37"/>
    <s v="PERDU"/>
    <n v="0"/>
    <n v="0"/>
    <n v="1"/>
    <n v="0"/>
    <n v="-3.37"/>
    <n v="-3.37"/>
    <n v="66.447499999999934"/>
    <n v="-53.702499999999993"/>
    <n v="-59.85"/>
    <n v="2.2000000000000046"/>
    <n v="-52.199999999999989"/>
    <n v="0"/>
    <n v="0"/>
    <n v="-163.55250000000004"/>
  </r>
  <r>
    <x v="1"/>
    <d v="2012-12-27T20:45:00"/>
    <m/>
    <s v="Montepaschi Siena (ITA) - Maccabi Tel Aviv (ISR)"/>
    <s v="Pari sur le vainqueur"/>
    <s v="Montepaschi Siena (ITA)"/>
    <s v="Siena"/>
    <s v="1,75"/>
    <d v="2012-12-27T18:09:00"/>
    <x v="2"/>
    <n v="2.62"/>
    <s v="BON"/>
    <n v="4.585"/>
    <n v="1"/>
    <n v="0"/>
    <n v="0"/>
    <n v="1.9649999999999999"/>
    <n v="1.9649999999999999"/>
    <n v="68.412499999999923"/>
    <n v="-51.737499999999997"/>
    <n v="-59.85"/>
    <n v="2.2000000000000046"/>
    <n v="-52.199999999999989"/>
    <n v="0"/>
    <n v="0"/>
    <n v="-161.58750000000003"/>
  </r>
  <r>
    <x v="1"/>
    <d v="2012-12-27T20:00:00"/>
    <m/>
    <s v="RSC Anderlecht - Lierse SK"/>
    <s v="Nombre de buts marqués en 1ère mi-temps"/>
    <s v="Plus de 1,5"/>
    <m/>
    <s v="1,8"/>
    <d v="2012-12-27T18:21:00"/>
    <x v="1"/>
    <n v="2"/>
    <s v="BON"/>
    <n v="3.6"/>
    <n v="1"/>
    <n v="0"/>
    <n v="0"/>
    <n v="1.6"/>
    <n v="1.6"/>
    <n v="70.012499999999918"/>
    <n v="-50.137499999999996"/>
    <n v="-59.85"/>
    <n v="2.2000000000000046"/>
    <n v="-52.199999999999989"/>
    <n v="0"/>
    <n v="0"/>
    <n v="-159.98750000000004"/>
  </r>
  <r>
    <x v="1"/>
    <d v="2012-12-27T20:00:00"/>
    <m/>
    <s v="RSC Anderlecht - Lierse SK"/>
    <s v="Ecart entre les équipes"/>
    <s v="RSC Anderlecht gagne avec 2 buts d'avance ou plus"/>
    <m/>
    <s v="1,48"/>
    <d v="2012-12-27T18:21:00"/>
    <x v="1"/>
    <n v="3"/>
    <s v="BON"/>
    <n v="4.4399999999999995"/>
    <n v="1"/>
    <n v="0"/>
    <n v="0"/>
    <n v="1.4399999999999995"/>
    <n v="1.4399999999999995"/>
    <n v="71.452499999999915"/>
    <n v="-48.697499999999998"/>
    <n v="-59.85"/>
    <n v="2.2000000000000046"/>
    <n v="-52.199999999999989"/>
    <n v="0"/>
    <n v="0"/>
    <n v="-158.54750000000004"/>
  </r>
  <r>
    <x v="5"/>
    <d v="2012-12-29T16:00:00"/>
    <m/>
    <s v="Manchester Utd - West Bromwich"/>
    <s v="Nombre de buts marqués"/>
    <s v="4 buts"/>
    <m/>
    <s v="4,1"/>
    <d v="2012-12-27T18:26:00"/>
    <x v="1"/>
    <n v="1"/>
    <s v="PERDU"/>
    <n v="0"/>
    <n v="0"/>
    <n v="1"/>
    <n v="0"/>
    <n v="-1"/>
    <n v="-1"/>
    <n v="70.452499999999915"/>
    <n v="-48.697499999999998"/>
    <n v="-59.85"/>
    <n v="2.2000000000000046"/>
    <n v="-52.199999999999989"/>
    <n v="-1"/>
    <n v="0"/>
    <n v="-159.54750000000004"/>
  </r>
  <r>
    <x v="5"/>
    <d v="2012-12-29T18:30:00"/>
    <m/>
    <s v="Arsenal - Newcastle"/>
    <s v="1 X 2"/>
    <s v="Newcastle"/>
    <m/>
    <n v="6"/>
    <d v="2012-12-27T18:28:00"/>
    <x v="1"/>
    <n v="1"/>
    <s v="PERDU"/>
    <n v="0"/>
    <n v="0"/>
    <n v="1"/>
    <n v="0"/>
    <n v="-1"/>
    <n v="-1"/>
    <n v="69.452499999999915"/>
    <n v="-48.697499999999998"/>
    <n v="-59.85"/>
    <n v="2.2000000000000046"/>
    <n v="-52.199999999999989"/>
    <n v="-2"/>
    <n v="0"/>
    <n v="-160.54750000000004"/>
  </r>
  <r>
    <x v="1"/>
    <d v="2012-12-29T16:00:00"/>
    <m/>
    <s v="Manchester Utd - West Bromwich"/>
    <s v="Nombre de buts marqués"/>
    <s v="Plus de 3,5"/>
    <m/>
    <s v="2,10"/>
    <d v="2012-12-28T13:11:00"/>
    <x v="1"/>
    <s v="5,00"/>
    <s v="PERDU"/>
    <n v="0"/>
    <n v="0"/>
    <n v="1"/>
    <n v="0"/>
    <n v="-5"/>
    <n v="-5"/>
    <n v="64.452499999999915"/>
    <n v="-53.697499999999998"/>
    <n v="-59.85"/>
    <n v="2.2000000000000046"/>
    <n v="-52.199999999999989"/>
    <n v="-2"/>
    <n v="0"/>
    <n v="-165.54750000000004"/>
  </r>
  <r>
    <x v="0"/>
    <m/>
    <m/>
    <s v="Dépôt via VISA / Dépôt via VISA JEAN"/>
    <m/>
    <m/>
    <m/>
    <m/>
    <m/>
    <x v="0"/>
    <m/>
    <m/>
    <n v="0"/>
    <n v="0"/>
    <n v="0"/>
    <n v="0"/>
    <n v="0"/>
    <n v="0"/>
    <n v="89.452499999999915"/>
    <n v="-53.697499999999998"/>
    <n v="-59.85"/>
    <n v="2.2000000000000046"/>
    <n v="-52.199999999999989"/>
    <n v="-2"/>
    <n v="0"/>
    <n v="-165.54750000000004"/>
  </r>
  <r>
    <x v="6"/>
    <d v="2013-01-01T16:00:00"/>
    <m/>
    <s v="Wigan Athletic - Manchester Utd"/>
    <s v="1 X 2"/>
    <s v="Manchester Utd"/>
    <m/>
    <s v="1,44"/>
    <d v="2012-12-28T16:53:00"/>
    <x v="1"/>
    <n v="5"/>
    <s v="BON"/>
    <n v="7.1999999999999993"/>
    <n v="1"/>
    <n v="0"/>
    <n v="0"/>
    <n v="2.1999999999999993"/>
    <n v="2.1999999999999993"/>
    <n v="91.652499999999918"/>
    <n v="-53.697499999999998"/>
    <n v="-59.85"/>
    <n v="2.2000000000000046"/>
    <n v="-52.199999999999989"/>
    <n v="-2"/>
    <n v="2.1999999999999993"/>
    <n v="-163.34750000000005"/>
  </r>
  <r>
    <x v="6"/>
    <d v="2012-12-30T17:00:00"/>
    <m/>
    <s v="Queens Park Rangers - Liverpool"/>
    <s v="1 X 2"/>
    <s v="Liverpool"/>
    <m/>
    <s v="1,83"/>
    <d v="2012-12-28T17:32:00"/>
    <x v="1"/>
    <s v="5,00"/>
    <s v="BON"/>
    <n v="9.15"/>
    <n v="1"/>
    <n v="0"/>
    <n v="0"/>
    <n v="4.1500000000000004"/>
    <n v="4.1500000000000004"/>
    <n v="95.802499999999924"/>
    <n v="-53.697499999999998"/>
    <n v="-59.85"/>
    <n v="2.2000000000000046"/>
    <n v="-52.199999999999989"/>
    <n v="-2"/>
    <n v="6.35"/>
    <n v="-159.19750000000005"/>
  </r>
  <r>
    <x v="1"/>
    <d v="2012-12-28T19:00:00"/>
    <m/>
    <s v="ASVEL - Limoges"/>
    <s v="Pari sur le vainqueur"/>
    <s v="Limoges"/>
    <m/>
    <s v="2,85"/>
    <d v="2012-12-28T18:04:00"/>
    <x v="2"/>
    <n v="2"/>
    <s v="PERDU"/>
    <n v="0"/>
    <n v="0"/>
    <n v="1"/>
    <n v="0"/>
    <n v="-2"/>
    <n v="-2"/>
    <n v="93.802499999999924"/>
    <n v="-55.697499999999998"/>
    <n v="-59.85"/>
    <n v="2.2000000000000046"/>
    <n v="-52.199999999999989"/>
    <n v="-2"/>
    <n v="6.35"/>
    <n v="-161.19750000000005"/>
  </r>
  <r>
    <x v="1"/>
    <d v="2012-12-28T20:00:00"/>
    <m/>
    <s v="Bordeaux - Aix-Maurienne"/>
    <s v="Pari sur le vainqueur"/>
    <s v="Aix-Maurienne"/>
    <m/>
    <s v="1,65"/>
    <d v="2012-12-28T18:06:00"/>
    <x v="2"/>
    <s v="3,00"/>
    <s v="BON"/>
    <n v="4.9499999999999993"/>
    <n v="1"/>
    <n v="0"/>
    <n v="0"/>
    <n v="1.9499999999999993"/>
    <n v="1.9499999999999993"/>
    <n v="95.752499999999927"/>
    <n v="-53.747500000000002"/>
    <n v="-59.85"/>
    <n v="2.2000000000000046"/>
    <n v="-52.199999999999989"/>
    <n v="-2"/>
    <n v="6.35"/>
    <n v="-159.24750000000006"/>
  </r>
  <r>
    <x v="1"/>
    <d v="2012-12-28T20:00:00"/>
    <m/>
    <s v="Boulazac - Dijon"/>
    <s v="Pari sur le vainqueur"/>
    <s v="Dijon"/>
    <m/>
    <s v="1,85"/>
    <d v="2012-12-28T18:08:00"/>
    <x v="2"/>
    <s v="2,50"/>
    <s v="BON"/>
    <n v="4.625"/>
    <n v="1"/>
    <n v="0"/>
    <n v="0"/>
    <n v="2.125"/>
    <n v="2.125"/>
    <n v="97.877499999999927"/>
    <n v="-51.622500000000002"/>
    <n v="-59.85"/>
    <n v="2.2000000000000046"/>
    <n v="-52.199999999999989"/>
    <n v="-2"/>
    <n v="6.35"/>
    <n v="-157.12250000000006"/>
  </r>
  <r>
    <x v="1"/>
    <d v="2012-12-28T20:00:00"/>
    <m/>
    <s v="Chalon-sur-Saône - Strasbourg"/>
    <s v="Ecart entre les équipes"/>
    <s v="Chalon-sur-Saône gagne de 7 points ou plus"/>
    <m/>
    <s v="1,65"/>
    <d v="2012-12-28T18:10:00"/>
    <x v="2"/>
    <s v="2,50"/>
    <s v="PERDU"/>
    <n v="0"/>
    <n v="0"/>
    <n v="1"/>
    <n v="0"/>
    <n v="-2.5"/>
    <n v="-2.5"/>
    <n v="95.377499999999927"/>
    <n v="-54.122500000000002"/>
    <n v="-59.85"/>
    <n v="2.2000000000000046"/>
    <n v="-52.199999999999989"/>
    <n v="-2"/>
    <n v="6.35"/>
    <n v="-159.62250000000006"/>
  </r>
  <r>
    <x v="1"/>
    <d v="2012-12-28T20:30:00"/>
    <m/>
    <s v="Bangor City - Prestatyn Town"/>
    <s v="1 X 2"/>
    <s v="Bangor City"/>
    <m/>
    <s v="1,53"/>
    <d v="2012-12-28T19:22:00"/>
    <x v="1"/>
    <s v="3,00"/>
    <s v="PERDU"/>
    <n v="0"/>
    <n v="0"/>
    <n v="1"/>
    <n v="0"/>
    <n v="-3"/>
    <n v="-3"/>
    <n v="92.377499999999927"/>
    <n v="-57.122500000000002"/>
    <n v="-59.85"/>
    <n v="2.2000000000000046"/>
    <n v="-52.199999999999989"/>
    <n v="-2"/>
    <n v="6.35"/>
    <n v="-162.62250000000006"/>
  </r>
  <r>
    <x v="1"/>
    <d v="2012-12-28T20:30:00"/>
    <m/>
    <s v="Bangor City - Prestatyn Town"/>
    <s v="Mi-temps/Résultat final"/>
    <s v="Bangor City / Bangor City"/>
    <m/>
    <s v="2,20"/>
    <d v="2012-12-28T19:23:00"/>
    <x v="1"/>
    <s v="2,00"/>
    <s v="PERDU"/>
    <n v="0"/>
    <n v="0"/>
    <n v="1"/>
    <n v="0"/>
    <n v="-2"/>
    <n v="-2"/>
    <n v="90.377499999999927"/>
    <n v="-59.122500000000002"/>
    <n v="-59.85"/>
    <n v="2.2000000000000046"/>
    <n v="-52.199999999999989"/>
    <n v="-2"/>
    <n v="6.35"/>
    <n v="-164.62250000000006"/>
  </r>
  <r>
    <x v="3"/>
    <d v="2012-12-29T18:30:00"/>
    <m/>
    <s v="Arsenal - Newcastle"/>
    <s v="Nombre de buts marqués par l'équipe 2"/>
    <s v="Plus de 1,5"/>
    <m/>
    <s v="3,5"/>
    <d v="2012-12-28T19:41:00"/>
    <x v="1"/>
    <n v="5"/>
    <s v="BON"/>
    <n v="17.5"/>
    <n v="1"/>
    <n v="0"/>
    <n v="0"/>
    <n v="12.5"/>
    <n v="12.5"/>
    <n v="102.87749999999993"/>
    <n v="-59.122500000000002"/>
    <n v="-59.85"/>
    <n v="14.700000000000005"/>
    <n v="-52.199999999999989"/>
    <n v="-2"/>
    <n v="6.35"/>
    <n v="-152.12250000000006"/>
  </r>
  <r>
    <x v="3"/>
    <d v="2012-12-30T14:30:00"/>
    <m/>
    <s v="Everton - Chelsea"/>
    <s v="1 X 2"/>
    <s v="Chelsea"/>
    <m/>
    <s v="2,35"/>
    <d v="2012-12-28T19:42:00"/>
    <x v="1"/>
    <s v="5,00"/>
    <s v="BON"/>
    <n v="11.75"/>
    <n v="1"/>
    <n v="0"/>
    <n v="0"/>
    <n v="6.75"/>
    <n v="6.75"/>
    <n v="109.62749999999993"/>
    <n v="-59.122500000000002"/>
    <n v="-59.85"/>
    <n v="21.450000000000003"/>
    <n v="-52.199999999999989"/>
    <n v="-2"/>
    <n v="6.35"/>
    <n v="-145.37250000000006"/>
  </r>
  <r>
    <x v="3"/>
    <d v="2012-12-29T16:00:00"/>
    <m/>
    <s v="Manchester Utd - West Bromwich"/>
    <s v="1 X 2"/>
    <s v="Manchester Utd"/>
    <m/>
    <s v="1,28"/>
    <d v="2012-12-28T19:44:00"/>
    <x v="1"/>
    <n v="5"/>
    <s v="BON"/>
    <n v="6.4"/>
    <n v="1"/>
    <n v="0"/>
    <n v="0"/>
    <n v="1.4000000000000004"/>
    <n v="1.4000000000000004"/>
    <n v="111.02749999999993"/>
    <n v="-59.122500000000002"/>
    <n v="-59.85"/>
    <n v="22.85"/>
    <n v="-52.199999999999989"/>
    <n v="-2"/>
    <n v="6.35"/>
    <n v="-143.97250000000005"/>
  </r>
  <r>
    <x v="3"/>
    <d v="2012-12-29T16:00:00"/>
    <m/>
    <s v="Stoke City - Southampton"/>
    <s v="Ecart entre les équipes"/>
    <s v="Stoke City gagne avec 2 buts d'avance ou plus"/>
    <m/>
    <s v="2,90"/>
    <d v="2012-12-28T19:47:00"/>
    <x v="1"/>
    <s v="5,00"/>
    <s v="PERDU"/>
    <n v="0"/>
    <n v="0"/>
    <n v="1"/>
    <n v="0"/>
    <n v="-5"/>
    <n v="-5"/>
    <n v="106.02749999999993"/>
    <n v="-59.122500000000002"/>
    <n v="-59.85"/>
    <n v="17.850000000000001"/>
    <n v="-52.199999999999989"/>
    <n v="-2"/>
    <n v="6.35"/>
    <n v="-148.97250000000005"/>
  </r>
  <r>
    <x v="1"/>
    <d v="2012-12-28T21:00:00"/>
    <m/>
    <s v="Sale Sharks - Worcester Warriors"/>
    <s v="Avance du vainqueur (en pts, buts ou temps)"/>
    <s v="Sale Sharks by 1-12"/>
    <m/>
    <s v="2,25"/>
    <d v="2012-12-28T20:28:00"/>
    <x v="4"/>
    <s v="2,50"/>
    <s v="BON"/>
    <n v="5.625"/>
    <n v="1"/>
    <n v="0"/>
    <n v="0"/>
    <n v="3.125"/>
    <n v="3.125"/>
    <n v="109.16249999999994"/>
    <n v="-55.997500000000002"/>
    <n v="-59.85"/>
    <n v="17.850000000000001"/>
    <n v="-52.199999999999989"/>
    <n v="-2"/>
    <n v="6.35"/>
    <n v="-145.84750000000005"/>
  </r>
  <r>
    <x v="1"/>
    <d v="2012-12-29T02:35:00"/>
    <m/>
    <s v="Houston Rockets chez San Antonio Spurs"/>
    <s v="Total (en pts, buts ou temps)"/>
    <s v="Plus de 213,5"/>
    <m/>
    <s v="1,80"/>
    <d v="2012-12-28T22:49:00"/>
    <x v="2"/>
    <s v="3,00"/>
    <s v="BON"/>
    <n v="5.4"/>
    <n v="1"/>
    <n v="0"/>
    <n v="0"/>
    <n v="2.4000000000000004"/>
    <n v="2.4000000000000004"/>
    <n v="111.56249999999994"/>
    <n v="-53.597500000000004"/>
    <n v="-59.85"/>
    <n v="17.850000000000001"/>
    <n v="-52.199999999999989"/>
    <n v="-2"/>
    <n v="6.35"/>
    <n v="-143.44750000000005"/>
  </r>
  <r>
    <x v="1"/>
    <d v="2012-12-29T01:35:00"/>
    <m/>
    <s v="Atlanta Hawks chez Cleveland Cavaliers"/>
    <s v="Ecart entre les équipes"/>
    <s v="Atlanta Hawks gagne de 3 points ou plus"/>
    <m/>
    <s v="1,70"/>
    <d v="2012-12-28T22:57:00"/>
    <x v="2"/>
    <s v="2,00"/>
    <s v="BON"/>
    <n v="3.4"/>
    <n v="1"/>
    <n v="0"/>
    <n v="0"/>
    <n v="1.4"/>
    <n v="1.4"/>
    <n v="112.96249999999995"/>
    <n v="-52.197500000000005"/>
    <n v="-59.85"/>
    <n v="17.850000000000001"/>
    <n v="-52.199999999999989"/>
    <n v="-2"/>
    <n v="6.35"/>
    <n v="-142.04750000000004"/>
  </r>
  <r>
    <x v="1"/>
    <d v="2012-12-29T15:15:00"/>
    <m/>
    <s v="Harlequins - London Irish"/>
    <s v="Avance du vainqueur (en pts, buts ou temps)"/>
    <s v="Harlequins par 11-15"/>
    <m/>
    <s v="5,25"/>
    <d v="2012-12-29T11:48:00"/>
    <x v="4"/>
    <s v="2,00"/>
    <s v="BON"/>
    <n v="10.5"/>
    <n v="1"/>
    <n v="0"/>
    <n v="0"/>
    <n v="8.5"/>
    <n v="8.5"/>
    <n v="121.46249999999995"/>
    <n v="-43.697500000000005"/>
    <n v="-59.85"/>
    <n v="17.850000000000001"/>
    <n v="-52.199999999999989"/>
    <n v="-2"/>
    <n v="6.35"/>
    <n v="-133.54750000000004"/>
  </r>
  <r>
    <x v="1"/>
    <d v="2012-12-29T15:15:00"/>
    <m/>
    <s v="Harlequins - London Irish"/>
    <s v="Avance du vainqueur (en pts, buts ou temps)"/>
    <s v="Harlequins par 6-10"/>
    <m/>
    <s v="4,75"/>
    <d v="2012-12-29T11:49:00"/>
    <x v="4"/>
    <s v="2,00"/>
    <s v="PERDU"/>
    <n v="0"/>
    <n v="0"/>
    <n v="1"/>
    <n v="0"/>
    <n v="-2"/>
    <n v="-2"/>
    <n v="119.46249999999995"/>
    <n v="-45.697500000000005"/>
    <n v="-59.85"/>
    <n v="17.850000000000001"/>
    <n v="-52.199999999999989"/>
    <n v="-2"/>
    <n v="6.35"/>
    <n v="-135.54750000000004"/>
  </r>
  <r>
    <x v="1"/>
    <d v="2012-12-29T16:00:00"/>
    <m/>
    <s v="Tondela - CS Maritimo (B)"/>
    <s v="1 X 2"/>
    <s v="Tondela"/>
    <m/>
    <s v="1,83"/>
    <d v="2012-12-29T11:50:00"/>
    <x v="1"/>
    <s v="5,00"/>
    <s v="BON"/>
    <n v="9.15"/>
    <n v="1"/>
    <n v="0"/>
    <n v="0"/>
    <n v="4.1500000000000004"/>
    <n v="4.1500000000000004"/>
    <n v="123.61249999999995"/>
    <n v="-41.547500000000007"/>
    <n v="-59.85"/>
    <n v="17.850000000000001"/>
    <n v="-52.199999999999989"/>
    <n v="-2"/>
    <n v="6.35"/>
    <n v="-131.39750000000004"/>
  </r>
  <r>
    <x v="1"/>
    <d v="2012-12-29T20:00:00"/>
    <m/>
    <s v="Benfica (B) - Freamunde"/>
    <s v="Ecart entre les équipes"/>
    <s v="Benfica (B) gagne avec 2 buts d'avance ou plus"/>
    <m/>
    <s v="2,15"/>
    <d v="2012-12-29T11:52:00"/>
    <x v="1"/>
    <s v="2,50"/>
    <s v="PERDU"/>
    <n v="0"/>
    <n v="0"/>
    <n v="1"/>
    <n v="0"/>
    <n v="-2.5"/>
    <n v="-2.5"/>
    <n v="121.11249999999995"/>
    <n v="-44.047500000000007"/>
    <n v="-59.85"/>
    <n v="17.850000000000001"/>
    <n v="-52.199999999999989"/>
    <n v="-2"/>
    <n v="6.35"/>
    <n v="-133.89750000000004"/>
  </r>
  <r>
    <x v="1"/>
    <d v="2012-12-29T16:00:00"/>
    <m/>
    <s v="London Welsh - London Wasps"/>
    <s v="Avance du vainqueur (en pts, buts ou temps)"/>
    <s v="London Welsh par 1-12"/>
    <m/>
    <s v="2,85"/>
    <d v="2012-12-29T13:36:00"/>
    <x v="4"/>
    <s v="2,00"/>
    <s v="PERDU"/>
    <n v="0"/>
    <n v="0"/>
    <n v="1"/>
    <n v="0"/>
    <n v="-2"/>
    <n v="-2"/>
    <n v="119.11249999999995"/>
    <n v="-46.047500000000007"/>
    <n v="-59.85"/>
    <n v="17.850000000000001"/>
    <n v="-52.199999999999989"/>
    <n v="-2"/>
    <n v="6.35"/>
    <n v="-135.89750000000004"/>
  </r>
  <r>
    <x v="1"/>
    <d v="2012-12-29T18:00:00"/>
    <m/>
    <s v="Leicester Tigers - Gloucester"/>
    <s v="Avance du vainqueur (en pts, buts ou temps)"/>
    <s v="Leicester Tigers par 1-12"/>
    <m/>
    <s v="2,10"/>
    <d v="2012-12-29T14:00:00"/>
    <x v="4"/>
    <s v="2,50"/>
    <s v="BON"/>
    <n v="5.25"/>
    <n v="1"/>
    <n v="0"/>
    <n v="0"/>
    <n v="2.75"/>
    <n v="2.75"/>
    <n v="121.86249999999995"/>
    <n v="-43.297500000000007"/>
    <n v="-59.85"/>
    <n v="17.850000000000001"/>
    <n v="-52.199999999999989"/>
    <n v="-2"/>
    <n v="6.35"/>
    <n v="-133.14750000000004"/>
  </r>
  <r>
    <x v="1"/>
    <d v="2012-12-29T16:00:00"/>
    <m/>
    <s v="Stoke City - Southampton"/>
    <s v="1 X 2"/>
    <s v="Stoke City"/>
    <m/>
    <s v="1,85"/>
    <d v="2012-12-29T15:08:00"/>
    <x v="1"/>
    <s v="2,50"/>
    <s v="PERDU"/>
    <n v="0"/>
    <n v="0"/>
    <n v="1"/>
    <n v="0"/>
    <n v="-2.5"/>
    <n v="-2.5"/>
    <n v="119.36249999999995"/>
    <n v="-45.797500000000007"/>
    <n v="-59.85"/>
    <n v="17.850000000000001"/>
    <n v="-52.199999999999989"/>
    <n v="-2"/>
    <n v="6.35"/>
    <n v="-135.64750000000004"/>
  </r>
  <r>
    <x v="6"/>
    <d v="2013-01-02T20:45:00"/>
    <m/>
    <s v="Chelsea - Queens Park Rangers"/>
    <s v="Ecart entre les équipes"/>
    <s v="Chelsea gagne avec 2 buts d'avance ou plus"/>
    <m/>
    <s v="1,60"/>
    <d v="2012-12-29T18:14:00"/>
    <x v="1"/>
    <s v="5,00"/>
    <s v="PERDU"/>
    <n v="0"/>
    <n v="0"/>
    <n v="1"/>
    <n v="0"/>
    <n v="-5"/>
    <n v="-5"/>
    <n v="114.36249999999995"/>
    <n v="-45.797500000000007"/>
    <n v="-59.85"/>
    <n v="17.850000000000001"/>
    <n v="-52.199999999999989"/>
    <n v="-2"/>
    <n v="1.3499999999999996"/>
    <n v="-140.64750000000004"/>
  </r>
  <r>
    <x v="1"/>
    <d v="2012-12-30T02:05:00"/>
    <m/>
    <s v="Denver Nuggets chez Memphis Grizzlies"/>
    <s v="Pari sur le vainqueur (US)"/>
    <s v="Denver Nuggets"/>
    <m/>
    <s v="2,85"/>
    <d v="2012-12-29T22:27:00"/>
    <x v="2"/>
    <s v="2,00"/>
    <s v="PERDU"/>
    <n v="0"/>
    <n v="0"/>
    <n v="1"/>
    <n v="0"/>
    <n v="-2"/>
    <n v="-2"/>
    <n v="112.36249999999995"/>
    <n v="-47.797500000000007"/>
    <n v="-59.85"/>
    <n v="17.850000000000001"/>
    <n v="-52.199999999999989"/>
    <n v="-2"/>
    <n v="1.3499999999999996"/>
    <n v="-142.64750000000004"/>
  </r>
  <r>
    <x v="1"/>
    <d v="2012-12-30T03:30:00"/>
    <m/>
    <s v="Petra Kvitova (CZE) - Carla Suarez Navarro (ESP)"/>
    <s v="Combien de jeux vont être joués durant le match ?"/>
    <s v="Moins de 19,5"/>
    <m/>
    <s v="1,95"/>
    <d v="2012-12-29T22:31:00"/>
    <x v="8"/>
    <s v="2,58"/>
    <s v="BON"/>
    <n v="5.0309999999999997"/>
    <n v="1"/>
    <n v="0"/>
    <n v="0"/>
    <n v="2.4509999999999996"/>
    <n v="2.4509999999999996"/>
    <n v="114.81349999999996"/>
    <n v="-45.346500000000006"/>
    <n v="-59.85"/>
    <n v="17.850000000000001"/>
    <n v="-52.199999999999989"/>
    <n v="-2"/>
    <n v="1.3499999999999996"/>
    <n v="-140.19650000000004"/>
  </r>
  <r>
    <x v="1"/>
    <d v="2013-01-02T20:45:00"/>
    <m/>
    <s v="Chelsea - Queens Park Rangers"/>
    <s v="Nombre de buts marqués"/>
    <s v="Plus de 4,5"/>
    <m/>
    <s v="4,10"/>
    <d v="2012-12-30T10:24:00"/>
    <x v="1"/>
    <s v="2,00"/>
    <s v="PERDU"/>
    <n v="0"/>
    <n v="0"/>
    <n v="1"/>
    <n v="0"/>
    <n v="-2"/>
    <n v="-2"/>
    <n v="112.81349999999996"/>
    <n v="-47.346500000000006"/>
    <n v="-59.85"/>
    <n v="17.850000000000001"/>
    <n v="-52.199999999999989"/>
    <n v="-2"/>
    <n v="1.3499999999999996"/>
    <n v="-142.19650000000004"/>
  </r>
  <r>
    <x v="1"/>
    <d v="2012-12-30T18:05:00"/>
    <m/>
    <s v="Montpellier - Stade Français"/>
    <s v="Avance du vainqueur (en pts, buts ou temps)"/>
    <s v="Montpellier par 16-20"/>
    <m/>
    <s v="7,50"/>
    <d v="2012-12-30T10:27:00"/>
    <x v="4"/>
    <s v="2,00"/>
    <s v="PERDU"/>
    <n v="0"/>
    <n v="0"/>
    <n v="1"/>
    <n v="0"/>
    <n v="-2"/>
    <n v="-2"/>
    <n v="110.81349999999996"/>
    <n v="-49.346500000000006"/>
    <n v="-59.85"/>
    <n v="17.850000000000001"/>
    <n v="-52.199999999999989"/>
    <n v="-2"/>
    <n v="1.3499999999999996"/>
    <n v="-144.19650000000004"/>
  </r>
  <r>
    <x v="1"/>
    <d v="2012-12-30T18:05:00"/>
    <m/>
    <s v="Montpellier - Stade Français"/>
    <s v="Avance du vainqueur (en pts, buts ou temps)"/>
    <s v="Montpellier par 11-15"/>
    <m/>
    <s v="6,25"/>
    <d v="2012-12-30T10:28:00"/>
    <x v="4"/>
    <s v="2,00"/>
    <s v="PERDU"/>
    <n v="0"/>
    <n v="0"/>
    <n v="1"/>
    <n v="0"/>
    <n v="-2"/>
    <n v="-2"/>
    <n v="108.81349999999996"/>
    <n v="-51.346500000000006"/>
    <n v="-59.85"/>
    <n v="17.850000000000001"/>
    <n v="-52.199999999999989"/>
    <n v="-2"/>
    <n v="1.3499999999999996"/>
    <n v="-146.19650000000004"/>
  </r>
  <r>
    <x v="1"/>
    <d v="2012-12-30T18:05:00"/>
    <m/>
    <s v="Montpellier - Stade Français"/>
    <s v="Avance du vainqueur (en pts, buts ou temps)"/>
    <s v="Montpellier par 6-10"/>
    <m/>
    <s v="4,75"/>
    <d v="2012-12-30T10:29:00"/>
    <x v="4"/>
    <s v="2,00"/>
    <s v="PERDU"/>
    <n v="0"/>
    <n v="0"/>
    <n v="1"/>
    <n v="0"/>
    <n v="-2"/>
    <n v="-2"/>
    <n v="106.81349999999996"/>
    <n v="-53.346500000000006"/>
    <n v="-59.85"/>
    <n v="17.850000000000001"/>
    <n v="-52.199999999999989"/>
    <n v="-2"/>
    <n v="1.3499999999999996"/>
    <n v="-148.19650000000004"/>
  </r>
  <r>
    <x v="6"/>
    <d v="2012-12-31T01:35:00"/>
    <m/>
    <s v="San Antonio Spurs chez Dallas Mavericks"/>
    <s v="Pari sur le vainqueur (US)"/>
    <s v="San Antonio Spurs"/>
    <m/>
    <s v="1,35"/>
    <d v="2012-12-30T15:40:00"/>
    <x v="2"/>
    <s v="5,00"/>
    <s v="BON"/>
    <n v="6.75"/>
    <n v="1"/>
    <n v="0"/>
    <n v="0"/>
    <n v="1.75"/>
    <n v="1.75"/>
    <n v="108.56349999999996"/>
    <n v="-53.346500000000006"/>
    <n v="-59.85"/>
    <n v="17.850000000000001"/>
    <n v="-52.199999999999989"/>
    <n v="-2"/>
    <n v="3.0999999999999996"/>
    <n v="-146.44650000000004"/>
  </r>
  <r>
    <x v="6"/>
    <d v="2012-12-31T04:00:00"/>
    <m/>
    <s v="Julien Benneteau (FRA) - Jarkko Nieminen (FIN)"/>
    <s v="1 2 - Qui va gagner ?"/>
    <s v="Julien Benneteau (FRA)"/>
    <m/>
    <s v="1,83"/>
    <d v="2012-12-30T20:13:00"/>
    <x v="8"/>
    <s v="5,00"/>
    <s v="PERDU"/>
    <n v="0"/>
    <n v="0"/>
    <n v="1"/>
    <n v="0"/>
    <n v="-5"/>
    <n v="-5"/>
    <n v="103.56349999999996"/>
    <n v="-53.346500000000006"/>
    <n v="-59.85"/>
    <n v="17.850000000000001"/>
    <n v="-52.199999999999989"/>
    <n v="-2"/>
    <n v="-1.9000000000000004"/>
    <n v="-151.44650000000004"/>
  </r>
  <r>
    <x v="3"/>
    <d v="2012-12-31T04:00:00"/>
    <m/>
    <s v="Julien Benneteau (FRA) - Jarkko Nieminen (FIN)"/>
    <s v="Combien de jeux vont être joués dans le premier set?"/>
    <s v="11 jeux ou plus"/>
    <m/>
    <s v="2,55"/>
    <d v="2012-12-30T20:42:00"/>
    <x v="8"/>
    <s v="5,00"/>
    <s v="PERDU"/>
    <n v="0"/>
    <n v="0"/>
    <n v="1"/>
    <n v="0"/>
    <n v="-5"/>
    <n v="-5"/>
    <n v="98.563499999999962"/>
    <n v="-53.346500000000006"/>
    <n v="-59.85"/>
    <n v="12.850000000000001"/>
    <n v="-52.199999999999989"/>
    <n v="-2"/>
    <n v="-1.9000000000000004"/>
    <n v="-156.44650000000004"/>
  </r>
  <r>
    <x v="3"/>
    <d v="2012-12-31T04:00:00"/>
    <m/>
    <s v="Julien Benneteau (FRA) - Jarkko Nieminen (FIN)"/>
    <s v="1 2 - Qui va gagner ?"/>
    <s v="Julien Benneteau (FRA)"/>
    <m/>
    <s v="1,83"/>
    <d v="2012-12-30T20:57:00"/>
    <x v="8"/>
    <s v="5,00"/>
    <s v="PERDU"/>
    <n v="0"/>
    <n v="0"/>
    <n v="1"/>
    <n v="0"/>
    <n v="-5"/>
    <n v="-5"/>
    <n v="93.563499999999962"/>
    <n v="-53.346500000000006"/>
    <n v="-59.85"/>
    <n v="7.8500000000000014"/>
    <n v="-52.199999999999989"/>
    <n v="-2"/>
    <n v="-1.9000000000000004"/>
    <n v="-161.44650000000004"/>
  </r>
  <r>
    <x v="1"/>
    <d v="2012-12-31T03:30:00"/>
    <m/>
    <s v="Ksenia Pervak (KAZ) - Caroline Wozniacki (DEN)"/>
    <s v="Combien de jeux vont être joués durant le match ?"/>
    <s v="Moins de 18,5"/>
    <m/>
    <s v="1,78"/>
    <d v="2012-12-30T21:14:00"/>
    <x v="8"/>
    <s v="5,00"/>
    <s v="PERDU"/>
    <n v="0"/>
    <n v="0"/>
    <n v="1"/>
    <n v="0"/>
    <n v="-5"/>
    <n v="-5"/>
    <n v="88.563499999999962"/>
    <n v="-58.346500000000006"/>
    <n v="-59.85"/>
    <n v="7.8500000000000014"/>
    <n v="-52.199999999999989"/>
    <n v="-2"/>
    <n v="-1.9000000000000004"/>
    <n v="-166.44650000000004"/>
  </r>
  <r>
    <x v="1"/>
    <d v="2012-12-31T04:30:00"/>
    <m/>
    <s v="Marinko Matosevic (AUS) - Kei Nishikori (JPN)"/>
    <s v="Combien de jeux vont être joués durant le match ?"/>
    <s v="Moins de 21,5"/>
    <m/>
    <s v="1,75"/>
    <d v="2012-12-30T21:15:00"/>
    <x v="8"/>
    <s v="5,00"/>
    <s v="BON"/>
    <n v="8.75"/>
    <n v="1"/>
    <n v="0"/>
    <n v="0"/>
    <n v="3.75"/>
    <n v="3.75"/>
    <n v="92.313499999999962"/>
    <n v="-54.596500000000006"/>
    <n v="-59.85"/>
    <n v="7.8500000000000014"/>
    <n v="-52.199999999999989"/>
    <n v="-2"/>
    <n v="-1.9000000000000004"/>
    <n v="-162.69650000000004"/>
  </r>
  <r>
    <x v="1"/>
    <d v="2012-12-31T04:00:00"/>
    <m/>
    <s v="Julien Benneteau (FRA) - Jarkko Nieminen (FIN)"/>
    <s v="1 2 - Qui va gagner ?"/>
    <s v="Julien Benneteau (FRA)"/>
    <m/>
    <s v="1,83"/>
    <d v="2012-12-30T21:16:00"/>
    <x v="8"/>
    <s v="5,00"/>
    <s v="PERDU"/>
    <n v="0"/>
    <n v="0"/>
    <n v="1"/>
    <n v="0"/>
    <n v="-5"/>
    <n v="-5"/>
    <n v="87.313499999999962"/>
    <n v="-59.596500000000006"/>
    <n v="-59.85"/>
    <n v="7.8500000000000014"/>
    <n v="-52.199999999999989"/>
    <n v="-2"/>
    <n v="-1.9000000000000004"/>
    <n v="-167.69650000000004"/>
  </r>
  <r>
    <x v="1"/>
    <d v="2013-01-01T18:30:00"/>
    <m/>
    <s v="Southampton - Arsenal"/>
    <s v="Nombre de buts marqués"/>
    <s v="Plus de 4,5"/>
    <m/>
    <s v="4,00"/>
    <d v="2012-12-31T13:16:00"/>
    <x v="1"/>
    <s v="5,00"/>
    <s v="PERDU"/>
    <n v="0"/>
    <n v="0"/>
    <n v="1"/>
    <n v="0"/>
    <n v="-5"/>
    <n v="-5"/>
    <n v="82.313499999999962"/>
    <n v="-64.596500000000006"/>
    <n v="-59.85"/>
    <n v="7.8500000000000014"/>
    <n v="-52.199999999999989"/>
    <n v="-2"/>
    <n v="-1.9000000000000004"/>
    <n v="-172.69650000000004"/>
  </r>
  <r>
    <x v="6"/>
    <d v="2013-01-01T01:05:00"/>
    <m/>
    <s v="Brooklyn Nets chez San Antonio Spurs"/>
    <s v="Pari sur le vainqueur (US)"/>
    <s v="San Antonio Spurs"/>
    <m/>
    <s v="1,15"/>
    <d v="2012-12-31T15:44:00"/>
    <x v="2"/>
    <s v="5,00"/>
    <s v="BON"/>
    <n v="5.75"/>
    <n v="1"/>
    <n v="0"/>
    <n v="0"/>
    <n v="0.75"/>
    <n v="0.75"/>
    <n v="83.063499999999962"/>
    <n v="-64.596500000000006"/>
    <n v="-59.85"/>
    <n v="7.8500000000000014"/>
    <n v="-52.199999999999989"/>
    <n v="-2"/>
    <n v="-1.1500000000000004"/>
    <n v="-171.94650000000004"/>
  </r>
  <r>
    <x v="6"/>
    <d v="2013-01-01T18:30:00"/>
    <m/>
    <s v="Southampton - Arsenal"/>
    <s v="1 X 2"/>
    <s v="Arsenal"/>
    <m/>
    <s v="1,65"/>
    <d v="2013-01-01T16:38:00"/>
    <x v="1"/>
    <s v="5,00"/>
    <s v="PERDU"/>
    <n v="0"/>
    <n v="0"/>
    <n v="1"/>
    <n v="0"/>
    <n v="-5"/>
    <n v="-5"/>
    <n v="78.063499999999962"/>
    <n v="-64.596500000000006"/>
    <n v="-59.85"/>
    <n v="7.8500000000000014"/>
    <n v="-52.199999999999989"/>
    <n v="-2"/>
    <n v="-6.15"/>
    <n v="-176.94650000000004"/>
  </r>
  <r>
    <x v="6"/>
    <d v="2013-01-01T19:00:00"/>
    <m/>
    <s v="Lukasz Kubot (POL) - Feliciano Lopez (ESP)"/>
    <s v="1 2 - Qui va gagner ?"/>
    <s v="Feliciano Lopez (ESP)"/>
    <m/>
    <s v="1,45"/>
    <d v="2013-01-01T16:58:00"/>
    <x v="8"/>
    <s v="5,00"/>
    <s v="PERDU"/>
    <n v="0"/>
    <n v="0"/>
    <n v="1"/>
    <n v="0"/>
    <n v="-5"/>
    <n v="-5"/>
    <n v="73.063499999999962"/>
    <n v="-64.596500000000006"/>
    <n v="-59.85"/>
    <n v="7.8500000000000014"/>
    <n v="-52.199999999999989"/>
    <n v="-2"/>
    <n v="-11.15"/>
    <n v="-181.94650000000004"/>
  </r>
  <r>
    <x v="0"/>
    <m/>
    <m/>
    <s v="Dépôt via VISA / Dépôt via VISA JEAN"/>
    <m/>
    <m/>
    <m/>
    <m/>
    <m/>
    <x v="0"/>
    <m/>
    <m/>
    <n v="0"/>
    <n v="0"/>
    <n v="0"/>
    <n v="0"/>
    <n v="0"/>
    <n v="0"/>
    <n v="98.063499999999962"/>
    <n v="-64.596500000000006"/>
    <n v="-59.85"/>
    <n v="7.8500000000000014"/>
    <n v="-52.199999999999989"/>
    <n v="-2"/>
    <n v="-11.15"/>
    <n v="-181.94650000000004"/>
  </r>
  <r>
    <x v="0"/>
    <m/>
    <m/>
    <s v="Dépôt via VISA / Dépôt via VISA JOSE"/>
    <m/>
    <m/>
    <m/>
    <m/>
    <m/>
    <x v="0"/>
    <m/>
    <m/>
    <n v="0"/>
    <n v="0"/>
    <n v="0"/>
    <n v="0"/>
    <n v="0"/>
    <n v="0"/>
    <n v="163.06349999999998"/>
    <n v="-64.596500000000006"/>
    <n v="-59.85"/>
    <n v="7.8500000000000014"/>
    <n v="-52.199999999999989"/>
    <n v="-2"/>
    <n v="-11.15"/>
    <n v="-181.94650000000004"/>
  </r>
  <r>
    <x v="6"/>
    <d v="2013-01-02T20:45:00"/>
    <m/>
    <s v="Chelsea - Queens Park Rangers"/>
    <s v="1 X 2"/>
    <s v="Chelsea"/>
    <m/>
    <n v="1.18"/>
    <d v="2013-01-01T20:35:00"/>
    <x v="1"/>
    <s v="5,00"/>
    <s v="PERDU"/>
    <n v="0"/>
    <n v="0"/>
    <n v="1"/>
    <n v="0"/>
    <n v="-5"/>
    <n v="-5"/>
    <n v="158.06349999999998"/>
    <n v="-64.596500000000006"/>
    <n v="-59.85"/>
    <n v="7.8500000000000014"/>
    <n v="-52.199999999999989"/>
    <n v="-2"/>
    <n v="-16.149999999999999"/>
    <n v="-186.94650000000004"/>
  </r>
  <r>
    <x v="6"/>
    <d v="2013-01-02T20:45:00"/>
    <m/>
    <s v="Liverpool - Sunderland"/>
    <s v="1 X 2"/>
    <s v="Liverpool"/>
    <m/>
    <n v="1.36"/>
    <d v="2013-01-01T20:35:00"/>
    <x v="1"/>
    <s v="5,00"/>
    <s v="BON"/>
    <n v="6.8000000000000007"/>
    <n v="1"/>
    <n v="0"/>
    <n v="0"/>
    <n v="1.8000000000000007"/>
    <n v="1.8000000000000007"/>
    <n v="159.86349999999999"/>
    <n v="-64.596500000000006"/>
    <n v="-59.85"/>
    <n v="7.8500000000000014"/>
    <n v="-52.199999999999989"/>
    <n v="-2"/>
    <n v="-14.349999999999998"/>
    <n v="-185.14650000000003"/>
  </r>
  <r>
    <x v="6"/>
    <d v="2013-01-06T17:00:00"/>
    <m/>
    <s v="Real Madrid - Real Sociedad"/>
    <s v="1 X 2"/>
    <s v="Real Madrid gagne avec 2 buts d'avance ou plus"/>
    <m/>
    <n v="1.42"/>
    <d v="2013-01-01T20:45:00"/>
    <x v="1"/>
    <s v="5,00"/>
    <s v="PERDU"/>
    <n v="0"/>
    <n v="0"/>
    <n v="1"/>
    <n v="0"/>
    <n v="-5"/>
    <n v="-5"/>
    <n v="154.86349999999999"/>
    <n v="-64.596500000000006"/>
    <n v="-59.85"/>
    <n v="7.8500000000000014"/>
    <n v="-52.199999999999989"/>
    <n v="-2"/>
    <n v="-19.349999999999998"/>
    <n v="-190.14650000000003"/>
  </r>
  <r>
    <x v="6"/>
    <d v="2013-01-03T02:05:00"/>
    <m/>
    <s v="San Antonio Spurs chez Milwaukee Bucks"/>
    <s v="Pari sur le vainqueur (US)"/>
    <s v="San Antonio Spurs"/>
    <m/>
    <n v="1.44"/>
    <d v="2013-01-01T20:56:00"/>
    <x v="2"/>
    <s v="5,00"/>
    <s v="BON"/>
    <n v="7.1999999999999993"/>
    <n v="1"/>
    <n v="0"/>
    <n v="0"/>
    <n v="2.1999999999999993"/>
    <n v="2.1999999999999993"/>
    <n v="157.06349999999998"/>
    <n v="-64.596500000000006"/>
    <n v="-59.85"/>
    <n v="7.8500000000000014"/>
    <n v="-52.199999999999989"/>
    <n v="-2"/>
    <n v="-17.149999999999999"/>
    <n v="-187.94650000000004"/>
  </r>
  <r>
    <x v="6"/>
    <d v="2013-01-02T00:05:00"/>
    <m/>
    <s v="Dallas Mavericks chez Washington Wizards"/>
    <s v="Pari sur le vainqueur (US)"/>
    <s v="Dallas Mavericks"/>
    <m/>
    <n v="1.48"/>
    <d v="2013-01-01T22:37:00"/>
    <x v="2"/>
    <n v="5"/>
    <s v="BON"/>
    <n v="7.4"/>
    <n v="1"/>
    <n v="0"/>
    <n v="0"/>
    <n v="2.4000000000000004"/>
    <n v="2.4000000000000004"/>
    <n v="159.46349999999998"/>
    <n v="-64.596500000000006"/>
    <n v="-59.85"/>
    <n v="7.8500000000000014"/>
    <n v="-52.199999999999989"/>
    <n v="-2"/>
    <n v="-14.749999999999998"/>
    <n v="-185.54650000000004"/>
  </r>
  <r>
    <x v="6"/>
    <d v="2013-01-03T05:00:00"/>
    <m/>
    <s v="Lleyton Hewitt (AUS) - Denis Istomin (UZB)"/>
    <s v="1 2 - Qui va gagner ?"/>
    <s v="Lleyton Hewitt (AUS)"/>
    <m/>
    <s v="1,67"/>
    <d v="2013-01-02T23:26:00"/>
    <x v="8"/>
    <s v="5,00"/>
    <s v="PERDU"/>
    <n v="0"/>
    <n v="0"/>
    <n v="1"/>
    <n v="0"/>
    <n v="-5"/>
    <n v="-5"/>
    <n v="154.46349999999998"/>
    <n v="-64.596500000000006"/>
    <n v="-59.85"/>
    <n v="7.8500000000000014"/>
    <n v="-52.199999999999989"/>
    <n v="-2"/>
    <n v="-19.75"/>
    <n v="-190.54650000000004"/>
  </r>
  <r>
    <x v="3"/>
    <d v="2013-01-06T14:30:00"/>
    <m/>
    <s v="Swansea City - Arsenal"/>
    <s v="1 X 2"/>
    <s v="Arsenal"/>
    <m/>
    <n v="2"/>
    <d v="2013-01-03T01:04:00"/>
    <x v="1"/>
    <n v="5"/>
    <s v="PERDU"/>
    <n v="0"/>
    <n v="0"/>
    <n v="1"/>
    <n v="0"/>
    <n v="-5"/>
    <n v="-5"/>
    <n v="149.46349999999998"/>
    <n v="-64.596500000000006"/>
    <n v="-59.85"/>
    <n v="2.8500000000000014"/>
    <n v="-52.199999999999989"/>
    <n v="-2"/>
    <n v="-19.75"/>
    <n v="-195.54650000000004"/>
  </r>
  <r>
    <x v="3"/>
    <d v="2013-01-06T15:00:00"/>
    <m/>
    <s v="Milan AC - AC Siena"/>
    <s v="Ecart entre les équipes"/>
    <s v="Milan AC gagne avec 2 buts d'avance ou plus"/>
    <m/>
    <n v="1.72"/>
    <d v="2013-01-03T01:08:00"/>
    <x v="1"/>
    <n v="5"/>
    <s v="PERDU"/>
    <n v="0"/>
    <n v="0"/>
    <n v="1"/>
    <n v="0"/>
    <n v="-5"/>
    <n v="-5"/>
    <n v="144.46349999999998"/>
    <n v="-64.596500000000006"/>
    <n v="-59.85"/>
    <n v="-2.1499999999999986"/>
    <n v="-52.199999999999989"/>
    <n v="-2"/>
    <n v="-19.75"/>
    <n v="-200.54650000000004"/>
  </r>
  <r>
    <x v="3"/>
    <d v="2013-01-19T15:30:00"/>
    <m/>
    <s v="FC Bayern Munich - Greuther Fürth"/>
    <s v="Ecart entre les équipes"/>
    <s v="FC Bayern Munich gagne avec 2 buts d'avance ou plus"/>
    <m/>
    <n v="1.3"/>
    <d v="2013-01-03T01:12:00"/>
    <x v="1"/>
    <n v="5"/>
    <m/>
    <n v="6.5"/>
    <n v="0"/>
    <n v="0"/>
    <n v="1"/>
    <n v="0"/>
    <n v="-5"/>
    <n v="139.46349999999998"/>
    <n v="-64.596500000000006"/>
    <n v="-59.85"/>
    <n v="-7.1499999999999986"/>
    <n v="-52.199999999999989"/>
    <n v="-2"/>
    <n v="-19.75"/>
    <n v="-205.54650000000004"/>
  </r>
  <r>
    <x v="3"/>
    <d v="2013-01-06T12:30:00"/>
    <m/>
    <s v="Udinese - Inter Milan"/>
    <s v="Résultat à la mi-temps"/>
    <s v="X"/>
    <m/>
    <n v="2.1"/>
    <d v="2013-01-03T01:19:00"/>
    <x v="1"/>
    <n v="5"/>
    <s v="BON"/>
    <n v="10.5"/>
    <n v="1"/>
    <n v="0"/>
    <n v="0"/>
    <n v="5.5"/>
    <n v="5.5"/>
    <n v="144.96349999999998"/>
    <n v="-64.596500000000006"/>
    <n v="-59.85"/>
    <n v="-1.6499999999999986"/>
    <n v="-52.199999999999989"/>
    <n v="-2"/>
    <n v="-19.75"/>
    <n v="-200.04650000000004"/>
  </r>
  <r>
    <x v="1"/>
    <d v="2013-01-03T11:30:00"/>
    <m/>
    <s v="Andy Murray (GBR) - John Millman (AUS)"/>
    <s v="Combien de jeux vont être joués dans le premier set?"/>
    <s v="9 - 10 jeux"/>
    <m/>
    <s v="2,00"/>
    <d v="2013-01-03T11:03:00"/>
    <x v="8"/>
    <s v="5,00"/>
    <s v="PERDU"/>
    <n v="0"/>
    <n v="0"/>
    <n v="1"/>
    <n v="0"/>
    <n v="-5"/>
    <n v="-5"/>
    <n v="139.96349999999998"/>
    <n v="-69.596500000000006"/>
    <n v="-59.85"/>
    <n v="-1.6499999999999986"/>
    <n v="-52.199999999999989"/>
    <n v="-2"/>
    <n v="-19.75"/>
    <n v="-205.04650000000004"/>
  </r>
  <r>
    <x v="1"/>
    <d v="2013-01-04T02:30:00"/>
    <m/>
    <s v="Marcos Baghdatis (CYP) - Gilles Simon (FRA)"/>
    <s v="Pari sur les sets"/>
    <s v="&quot;01-02"/>
    <m/>
    <s v="4,40"/>
    <d v="2013-01-03T12:22:00"/>
    <x v="8"/>
    <s v="5,00"/>
    <s v="PERDU"/>
    <n v="0"/>
    <n v="0"/>
    <n v="1"/>
    <n v="0"/>
    <n v="-5"/>
    <n v="-5"/>
    <n v="134.96349999999998"/>
    <n v="-74.596500000000006"/>
    <n v="-59.85"/>
    <n v="-1.6499999999999986"/>
    <n v="-52.199999999999989"/>
    <n v="-2"/>
    <n v="-19.75"/>
    <n v="-210.04650000000004"/>
  </r>
  <r>
    <x v="1"/>
    <d v="2013-01-03T17:00:00"/>
    <m/>
    <s v="BC Khimki (RUS) - FC Barcelona Regal (ESP)"/>
    <s v="Pari sur le vainqueur"/>
    <s v="BC Khimki (RUS)"/>
    <m/>
    <s v="2,20"/>
    <d v="2013-01-03T12:48:00"/>
    <x v="8"/>
    <s v="5,00"/>
    <s v="BON"/>
    <n v="11"/>
    <n v="1"/>
    <n v="0"/>
    <n v="0"/>
    <n v="6"/>
    <n v="6"/>
    <n v="140.96349999999998"/>
    <n v="-68.596500000000006"/>
    <n v="-59.85"/>
    <n v="-1.6499999999999986"/>
    <n v="-52.199999999999989"/>
    <n v="-2"/>
    <n v="-19.75"/>
    <n v="-204.04650000000004"/>
  </r>
  <r>
    <x v="6"/>
    <d v="2013-01-03T20:45:00"/>
    <m/>
    <s v="Heart of Midlothian - Hibernian"/>
    <s v="1 X 2"/>
    <s v="Heart of Midlothian"/>
    <m/>
    <s v="1,87"/>
    <d v="2013-01-03T16:52:00"/>
    <x v="1"/>
    <s v="5,00"/>
    <s v="PERDU"/>
    <n v="0"/>
    <n v="0"/>
    <n v="1"/>
    <n v="0"/>
    <n v="-5"/>
    <n v="-5"/>
    <n v="135.96349999999998"/>
    <n v="-68.596500000000006"/>
    <n v="-59.85"/>
    <n v="-1.6499999999999986"/>
    <n v="-52.199999999999989"/>
    <n v="-2"/>
    <n v="-24.75"/>
    <n v="-209.04650000000004"/>
  </r>
  <r>
    <x v="1"/>
    <d v="2013-01-03T20:45:00"/>
    <m/>
    <s v="Anadolu Efes (TUR) - Panathinaïkos (GRE)"/>
    <s v="1ère mi-temps - Vainqueur"/>
    <s v="Anadolu Efes (TUR)"/>
    <m/>
    <s v="1,40"/>
    <d v="2013-01-03T19:02:00"/>
    <x v="2"/>
    <s v="5,00"/>
    <s v="BON"/>
    <n v="7"/>
    <n v="1"/>
    <n v="0"/>
    <n v="0"/>
    <n v="2"/>
    <n v="2"/>
    <n v="137.96349999999998"/>
    <n v="-66.596500000000006"/>
    <n v="-59.85"/>
    <n v="-1.6499999999999986"/>
    <n v="-52.199999999999989"/>
    <n v="-2"/>
    <n v="-24.75"/>
    <n v="-207.04650000000004"/>
  </r>
  <r>
    <x v="1"/>
    <d v="2013-01-03T20:45:00"/>
    <m/>
    <s v="Anadolu Efes (TUR) - Panathinaïkos (GRE)"/>
    <s v="Avance du vainqueur (en pts, buts ou temps)"/>
    <s v="Anadolu Efes (TUR) de 11 à 15"/>
    <m/>
    <s v="5,00"/>
    <d v="2013-01-03T19:03:00"/>
    <x v="2"/>
    <s v="2,00"/>
    <s v="BON"/>
    <n v="10"/>
    <n v="1"/>
    <n v="0"/>
    <n v="0"/>
    <n v="8"/>
    <n v="8"/>
    <n v="145.96349999999998"/>
    <n v="-58.596500000000006"/>
    <n v="-59.85"/>
    <n v="-1.6499999999999986"/>
    <n v="-52.199999999999989"/>
    <n v="-2"/>
    <n v="-24.75"/>
    <n v="-199.04650000000004"/>
  </r>
  <r>
    <x v="1"/>
    <d v="2013-01-03T21:15:00"/>
    <m/>
    <s v="Freamunde - Belenenses"/>
    <s v="Résultat à la mi-temps"/>
    <s v="Belenenses"/>
    <m/>
    <s v="2,00"/>
    <d v="2013-01-03T19:39:00"/>
    <x v="1"/>
    <s v="2,50"/>
    <s v="PERDU"/>
    <n v="0"/>
    <n v="0"/>
    <n v="1"/>
    <n v="0"/>
    <n v="-2.5"/>
    <n v="-2.5"/>
    <n v="143.46349999999998"/>
    <n v="-61.096500000000006"/>
    <n v="-59.85"/>
    <n v="-1.6499999999999986"/>
    <n v="-52.199999999999989"/>
    <n v="-2"/>
    <n v="-24.75"/>
    <n v="-201.54650000000004"/>
  </r>
  <r>
    <x v="6"/>
    <d v="2013-01-03T23:55:00"/>
    <m/>
    <s v="Yanina Wickmayer (BEL) - Mona Barthel (GER)"/>
    <s v="1 2 - Qui va gagner ?"/>
    <s v="Yanina Wickmayer (BEL)"/>
    <m/>
    <s v="1,91"/>
    <d v="2013-01-03T22:33:00"/>
    <x v="8"/>
    <s v="5,00"/>
    <s v="BON"/>
    <n v="9.5499999999999989"/>
    <n v="1"/>
    <n v="0"/>
    <n v="0"/>
    <n v="4.5499999999999989"/>
    <n v="4.5499999999999989"/>
    <n v="148.01349999999999"/>
    <n v="-61.096500000000006"/>
    <n v="-59.85"/>
    <n v="-1.6499999999999986"/>
    <n v="-52.199999999999989"/>
    <n v="-2"/>
    <n v="-20.200000000000003"/>
    <n v="-196.99650000000003"/>
  </r>
  <r>
    <x v="6"/>
    <d v="2013-01-03T23:55:00"/>
    <m/>
    <s v="Yanina Wickmayer (BEL) - Mona Barthel (GER)"/>
    <s v="1 2 - Qui va gagner ?"/>
    <s v="Mona Barthel (GER)"/>
    <m/>
    <s v="1,67"/>
    <d v="2013-01-03T22:34:00"/>
    <x v="8"/>
    <s v="3,00"/>
    <s v="PERDU"/>
    <n v="0"/>
    <n v="0"/>
    <n v="1"/>
    <n v="0"/>
    <n v="-3"/>
    <n v="-3"/>
    <n v="145.01349999999999"/>
    <n v="-61.096500000000006"/>
    <n v="-59.85"/>
    <n v="-1.6499999999999986"/>
    <n v="-52.199999999999989"/>
    <n v="-2"/>
    <n v="-23.200000000000003"/>
    <n v="-199.99650000000003"/>
  </r>
  <r>
    <x v="1"/>
    <d v="2013-01-03T23:55:00"/>
    <m/>
    <s v="Yanina Wickmayer (BEL) - Mona Barthel (GER)"/>
    <s v="Combien de jeux vont être joués durant le match ?"/>
    <s v="Plus de 21,5"/>
    <m/>
    <s v="1,75"/>
    <d v="2013-01-03T22:56:00"/>
    <x v="8"/>
    <s v="5,00"/>
    <s v="BON"/>
    <n v="8.75"/>
    <n v="1"/>
    <n v="0"/>
    <n v="0"/>
    <n v="3.75"/>
    <n v="3.75"/>
    <n v="148.76349999999999"/>
    <n v="-57.346500000000006"/>
    <n v="-59.85"/>
    <n v="-1.6499999999999986"/>
    <n v="-52.199999999999989"/>
    <n v="-2"/>
    <n v="-23.200000000000003"/>
    <n v="-196.24650000000003"/>
  </r>
  <r>
    <x v="1"/>
    <d v="2013-01-04T05:00:00"/>
    <m/>
    <s v="Jurgen Melzer (AUT) - Grigor Dimitrov (BUL)"/>
    <s v="Pari sur les sets"/>
    <s v="0-2"/>
    <m/>
    <s v="2,00"/>
    <d v="2013-01-03T23:05:00"/>
    <x v="8"/>
    <s v="5,00"/>
    <s v="BON"/>
    <n v="10"/>
    <n v="1"/>
    <n v="0"/>
    <n v="0"/>
    <n v="5"/>
    <n v="5"/>
    <n v="153.76349999999999"/>
    <n v="-52.346500000000006"/>
    <n v="-59.85"/>
    <n v="-1.6499999999999986"/>
    <n v="-52.199999999999989"/>
    <n v="-2"/>
    <n v="-23.200000000000003"/>
    <n v="-191.24650000000003"/>
  </r>
  <r>
    <x v="1"/>
    <d v="2013-01-04T03:05:00"/>
    <m/>
    <s v="Minnesota Timberwolves chez Denver Nuggets"/>
    <s v="Ecart entre les équipes"/>
    <s v="Denver Nuggets gagne de 7 points ou plus"/>
    <m/>
    <s v="1,70"/>
    <d v="2013-01-03T23:08:00"/>
    <x v="2"/>
    <s v="5,00"/>
    <s v="PERDU"/>
    <n v="0"/>
    <n v="0"/>
    <n v="1"/>
    <n v="0"/>
    <n v="-5"/>
    <n v="-5"/>
    <n v="148.76349999999999"/>
    <n v="-57.346500000000006"/>
    <n v="-59.85"/>
    <n v="-1.6499999999999986"/>
    <n v="-52.199999999999989"/>
    <n v="-2"/>
    <n v="-23.200000000000003"/>
    <n v="-196.24650000000003"/>
  </r>
  <r>
    <x v="6"/>
    <d v="2013-01-04T03:05:00"/>
    <m/>
    <s v="Minnesota Timberwolves chez Denver Nuggets"/>
    <s v="Pari sur le vainqueur (US)"/>
    <s v="Denver Nuggets"/>
    <m/>
    <s v="1,22"/>
    <d v="2013-01-03T23:20:00"/>
    <x v="2"/>
    <s v="5,00"/>
    <s v="PERDU"/>
    <n v="0"/>
    <n v="0"/>
    <n v="1"/>
    <n v="0"/>
    <n v="-5"/>
    <n v="-5"/>
    <n v="143.76349999999999"/>
    <n v="-57.346500000000006"/>
    <n v="-59.85"/>
    <n v="-1.6499999999999986"/>
    <n v="-52.199999999999989"/>
    <n v="-2"/>
    <n v="-28.200000000000003"/>
    <n v="-201.24650000000003"/>
  </r>
  <r>
    <x v="6"/>
    <d v="2013-01-04T05:00:00"/>
    <m/>
    <s v="Jurgen Melzer (AUT) - Grigor Dimitrov (BUL)"/>
    <s v="Qui va gagner le 1er set ?"/>
    <s v="Grigor Dimitrov (BUL)"/>
    <m/>
    <s v="1,53"/>
    <d v="2013-01-03T23:30:00"/>
    <x v="8"/>
    <s v="5,00"/>
    <s v="BON"/>
    <n v="7.65"/>
    <n v="1"/>
    <n v="0"/>
    <n v="0"/>
    <n v="2.6500000000000004"/>
    <n v="2.6500000000000004"/>
    <n v="146.4135"/>
    <n v="-57.346500000000006"/>
    <n v="-59.85"/>
    <n v="-1.6499999999999986"/>
    <n v="-52.199999999999989"/>
    <n v="-2"/>
    <n v="-25.550000000000004"/>
    <n v="-198.59650000000002"/>
  </r>
  <r>
    <x v="1"/>
    <d v="2013-01-04T14:00:00"/>
    <m/>
    <s v="Go Soeda (JPN) - Janko Tipsarevic (SRB)"/>
    <s v="Combien de jeux vont être joués dans le premier set?"/>
    <s v="6 - 8 jeux"/>
    <m/>
    <s v="2,80"/>
    <d v="2013-01-04T10:37:00"/>
    <x v="8"/>
    <s v="5,00"/>
    <s v="BON"/>
    <n v="14"/>
    <n v="1"/>
    <n v="0"/>
    <n v="0"/>
    <n v="9"/>
    <n v="9"/>
    <n v="155.4135"/>
    <n v="-48.346500000000006"/>
    <n v="-59.85"/>
    <n v="-1.6499999999999986"/>
    <n v="-52.199999999999989"/>
    <n v="-2"/>
    <n v="-25.550000000000004"/>
    <n v="-189.59650000000002"/>
  </r>
  <r>
    <x v="1"/>
    <d v="2013-01-04T15:45:00"/>
    <m/>
    <s v="David Ferrer (ESP) - Nikolaï Davydenko (RUS)"/>
    <s v="Combien de jeux vont être joués durant le match ?"/>
    <s v="Moins de 21,5"/>
    <m/>
    <s v="1,78"/>
    <d v="2013-01-04T14:24:00"/>
    <x v="8"/>
    <s v="5,00"/>
    <s v="BON"/>
    <n v="8.9"/>
    <n v="1"/>
    <n v="0"/>
    <n v="0"/>
    <n v="3.9000000000000004"/>
    <n v="3.9000000000000004"/>
    <n v="159.3135"/>
    <n v="-44.446500000000007"/>
    <n v="-59.85"/>
    <n v="-1.6499999999999986"/>
    <n v="-52.199999999999989"/>
    <n v="-2"/>
    <n v="-25.550000000000004"/>
    <n v="-185.69650000000001"/>
  </r>
  <r>
    <x v="1"/>
    <d v="2013-01-04T15:45:00"/>
    <m/>
    <s v="David Ferrer (ESP) - Nikolaï Davydenko (RUS)"/>
    <s v="Pari sur les sets"/>
    <s v="2-0"/>
    <m/>
    <s v="1,72"/>
    <d v="2013-01-04T14:25:00"/>
    <x v="8"/>
    <s v="5,00"/>
    <s v="PERDU"/>
    <n v="0"/>
    <n v="0"/>
    <n v="1"/>
    <n v="0"/>
    <n v="-5"/>
    <n v="-5"/>
    <n v="154.3135"/>
    <n v="-49.446500000000007"/>
    <n v="-59.85"/>
    <n v="-1.6499999999999986"/>
    <n v="-52.199999999999989"/>
    <n v="-2"/>
    <n v="-25.550000000000004"/>
    <n v="-190.69650000000001"/>
  </r>
  <r>
    <x v="2"/>
    <d v="2013-01-06T19:00:00"/>
    <m/>
    <s v="FC Barcelone - Espanyol"/>
    <s v="L'équipe 1 marquera-t-elle lors de chaque mi-temps ?"/>
    <s v="Oui"/>
    <m/>
    <s v="1,35"/>
    <d v="2013-01-04T18:01:00"/>
    <x v="1"/>
    <s v="20,00"/>
    <s v="PERDU"/>
    <n v="0"/>
    <n v="0"/>
    <n v="1"/>
    <n v="0"/>
    <n v="-20"/>
    <n v="-20"/>
    <n v="134.3135"/>
    <n v="-49.446500000000007"/>
    <n v="-79.849999999999994"/>
    <n v="-1.6499999999999986"/>
    <n v="-52.199999999999989"/>
    <n v="-2"/>
    <n v="-25.550000000000004"/>
    <n v="-210.69650000000001"/>
  </r>
  <r>
    <x v="1"/>
    <d v="2013-01-04T21:30:00"/>
    <m/>
    <s v="Real Saragosse - Betis Seville"/>
    <s v="1 X 2"/>
    <s v="Real Saragosse"/>
    <m/>
    <s v="2,20"/>
    <d v="2013-01-04T18:06:00"/>
    <x v="1"/>
    <s v="5,00"/>
    <s v="PERDU"/>
    <n v="0"/>
    <n v="0"/>
    <n v="1"/>
    <n v="0"/>
    <n v="-5"/>
    <n v="-5"/>
    <n v="129.3135"/>
    <n v="-54.446500000000007"/>
    <n v="-79.849999999999994"/>
    <n v="-1.6499999999999986"/>
    <n v="-52.199999999999989"/>
    <n v="-2"/>
    <n v="-25.550000000000004"/>
    <n v="-215.69650000000001"/>
  </r>
  <r>
    <x v="1"/>
    <d v="2013-01-04T21:30:00"/>
    <m/>
    <s v="Real Saragosse - Betis Seville"/>
    <s v="1 X 2"/>
    <s v="Betis Seville"/>
    <m/>
    <s v="2,90"/>
    <d v="2013-01-04T18:06:00"/>
    <x v="1"/>
    <s v="5,00"/>
    <s v="BON"/>
    <n v="14.5"/>
    <n v="1"/>
    <n v="0"/>
    <n v="0"/>
    <n v="9.5"/>
    <n v="9.5"/>
    <n v="138.8135"/>
    <n v="-44.946500000000007"/>
    <n v="-79.849999999999994"/>
    <n v="-1.6499999999999986"/>
    <n v="-52.199999999999989"/>
    <n v="-2"/>
    <n v="-25.550000000000004"/>
    <n v="-206.19650000000001"/>
  </r>
  <r>
    <x v="6"/>
    <d v="2013-01-06T15:00:00"/>
    <m/>
    <s v="Juventus - Sampdoria de Gênes"/>
    <s v="1 X 2"/>
    <s v="Juventus"/>
    <m/>
    <s v="1,17"/>
    <d v="2013-01-04T18:24:00"/>
    <x v="1"/>
    <s v="5,00"/>
    <s v="PERDU"/>
    <n v="0"/>
    <n v="0"/>
    <n v="1"/>
    <n v="0"/>
    <n v="-5"/>
    <n v="-5"/>
    <n v="133.8135"/>
    <n v="-44.946500000000007"/>
    <n v="-79.849999999999994"/>
    <n v="-1.6499999999999986"/>
    <n v="-52.199999999999989"/>
    <n v="-2"/>
    <n v="-30.550000000000004"/>
    <n v="-211.19650000000001"/>
  </r>
  <r>
    <x v="6"/>
    <d v="2013-01-06T15:00:00"/>
    <m/>
    <s v="Milan AC - AC Siena"/>
    <s v="1 X 2"/>
    <s v="Milan AC"/>
    <m/>
    <s v="1,28"/>
    <d v="2013-01-04T18:24:00"/>
    <x v="1"/>
    <s v="5,00"/>
    <s v="BON"/>
    <n v="6.4"/>
    <n v="1"/>
    <n v="0"/>
    <n v="0"/>
    <n v="1.4000000000000004"/>
    <n v="1.4000000000000004"/>
    <n v="135.21350000000001"/>
    <n v="-44.946500000000007"/>
    <n v="-79.849999999999994"/>
    <n v="-1.6499999999999986"/>
    <n v="-52.199999999999989"/>
    <n v="-2"/>
    <n v="-29.150000000000006"/>
    <n v="-209.79650000000001"/>
  </r>
  <r>
    <x v="1"/>
    <d v="2013-01-04T21:00:00"/>
    <m/>
    <s v="Worcester Warriors - Leicester Tigers"/>
    <s v="Avance du vainqueur (en pts, buts ou temps)"/>
    <s v="Leicester Tigers par 1-5"/>
    <m/>
    <s v="5,25"/>
    <d v="2013-01-04T18:26:00"/>
    <x v="4"/>
    <s v="2,00"/>
    <s v="BON"/>
    <n v="10.5"/>
    <n v="1"/>
    <n v="0"/>
    <n v="0"/>
    <n v="8.5"/>
    <n v="8.5"/>
    <n v="143.71350000000001"/>
    <n v="-36.446500000000007"/>
    <n v="-79.849999999999994"/>
    <n v="-1.6499999999999986"/>
    <n v="-52.199999999999989"/>
    <n v="-2"/>
    <n v="-29.150000000000006"/>
    <n v="-201.29650000000001"/>
  </r>
  <r>
    <x v="1"/>
    <d v="2013-01-04T21:00:00"/>
    <m/>
    <s v="Worcester Warriors - Leicester Tigers"/>
    <s v="Avance du vainqueur (en pts, buts ou temps)"/>
    <s v="Leicester Tigers par 6-10"/>
    <m/>
    <s v="5,50"/>
    <d v="2013-01-04T18:26:00"/>
    <x v="4"/>
    <s v="2,00"/>
    <s v="PERDU"/>
    <n v="0"/>
    <n v="0"/>
    <n v="1"/>
    <n v="0"/>
    <n v="-2"/>
    <n v="-2"/>
    <n v="141.71350000000001"/>
    <n v="-38.446500000000007"/>
    <n v="-79.849999999999994"/>
    <n v="-1.6499999999999986"/>
    <n v="-52.199999999999989"/>
    <n v="-2"/>
    <n v="-29.150000000000006"/>
    <n v="-203.29650000000001"/>
  </r>
  <r>
    <x v="1"/>
    <d v="2013-01-04T21:00:00"/>
    <m/>
    <s v="Worcester Warriors - Leicester Tigers"/>
    <s v="Avance du vainqueur (en pts, buts ou temps)"/>
    <s v="Leicester Tigers par 11-15"/>
    <m/>
    <s v="7,00"/>
    <d v="2013-01-04T18:26:00"/>
    <x v="4"/>
    <s v="2,00"/>
    <s v="PERDU"/>
    <n v="0"/>
    <n v="0"/>
    <n v="1"/>
    <n v="0"/>
    <n v="-2"/>
    <n v="-2"/>
    <n v="139.71350000000001"/>
    <n v="-40.446500000000007"/>
    <n v="-79.849999999999994"/>
    <n v="-1.6499999999999986"/>
    <n v="-52.199999999999989"/>
    <n v="-2"/>
    <n v="-29.150000000000006"/>
    <n v="-205.29650000000001"/>
  </r>
  <r>
    <x v="1"/>
    <d v="2013-01-04T20:30:00"/>
    <m/>
    <s v="CAI Zaragoza - Mad-Croc Fuenlabrada"/>
    <s v="Avance du vainqueur (en pts, buts ou temps)"/>
    <s v="CAI Zaragoza par 11-15"/>
    <m/>
    <s v="4,20"/>
    <d v="2013-01-04T18:30:00"/>
    <x v="2"/>
    <s v="2,00"/>
    <s v="PERDU"/>
    <n v="0"/>
    <n v="0"/>
    <n v="1"/>
    <n v="0"/>
    <n v="-2"/>
    <n v="-2"/>
    <n v="137.71350000000001"/>
    <n v="-42.446500000000007"/>
    <n v="-79.849999999999994"/>
    <n v="-1.6499999999999986"/>
    <n v="-52.199999999999989"/>
    <n v="-2"/>
    <n v="-29.150000000000006"/>
    <n v="-207.29650000000001"/>
  </r>
  <r>
    <x v="1"/>
    <d v="2013-01-04T20:30:00"/>
    <m/>
    <s v="CAI Zaragoza - Mad-Croc Fuenlabrada"/>
    <s v="Avance du vainqueur (en pts, buts ou temps)"/>
    <s v="CAI Zaragoza par 16-20"/>
    <m/>
    <s v="5,50"/>
    <d v="2013-01-04T18:30:00"/>
    <x v="2"/>
    <s v="2,00"/>
    <s v="PERDU"/>
    <n v="0"/>
    <n v="0"/>
    <n v="1"/>
    <n v="0"/>
    <n v="-2"/>
    <n v="-2"/>
    <n v="135.71350000000001"/>
    <n v="-44.446500000000007"/>
    <n v="-79.849999999999994"/>
    <n v="-1.6499999999999986"/>
    <n v="-52.199999999999989"/>
    <n v="-2"/>
    <n v="-29.150000000000006"/>
    <n v="-209.29650000000001"/>
  </r>
  <r>
    <x v="1"/>
    <d v="2013-01-04T20:30:00"/>
    <m/>
    <s v="CAI Zaragoza - Mad-Croc Fuenlabrada"/>
    <s v="Avance du vainqueur (en pts, buts ou temps)"/>
    <s v="CAI Zaragoza par 21-25"/>
    <m/>
    <s v="8,00"/>
    <d v="2013-01-04T18:30:00"/>
    <x v="2"/>
    <s v="2,00"/>
    <s v="PERDU"/>
    <n v="0"/>
    <n v="0"/>
    <n v="1"/>
    <n v="0"/>
    <n v="-2"/>
    <n v="-2"/>
    <n v="133.71350000000001"/>
    <n v="-46.446500000000007"/>
    <n v="-79.849999999999994"/>
    <n v="-1.6499999999999986"/>
    <n v="-52.199999999999989"/>
    <n v="-2"/>
    <n v="-29.150000000000006"/>
    <n v="-211.29650000000001"/>
  </r>
  <r>
    <x v="6"/>
    <d v="2013-01-19T15:30:00"/>
    <m/>
    <s v="COMBI"/>
    <s v="1 X 2"/>
    <s v="1 X 2"/>
    <m/>
    <n v="3.07"/>
    <d v="2013-01-04T18:32:00"/>
    <x v="1"/>
    <n v="10"/>
    <m/>
    <n v="30.7"/>
    <n v="0"/>
    <n v="0"/>
    <n v="1"/>
    <n v="0"/>
    <n v="-10"/>
    <n v="123.71350000000001"/>
    <n v="-46.446500000000007"/>
    <n v="-79.849999999999994"/>
    <n v="-1.6499999999999986"/>
    <n v="-52.199999999999989"/>
    <n v="-2"/>
    <n v="-39.150000000000006"/>
    <n v="-221.29650000000001"/>
  </r>
  <r>
    <x v="6"/>
    <d v="2013-01-05T14:00:00"/>
    <m/>
    <s v="Roberto Bautista-Agut (ESP) - Benoit Paire (FRA)"/>
    <s v="1 2 - Qui va gagner ?"/>
    <s v="Roberto Bautista-Agut (ESP)"/>
    <m/>
    <s v="2,05"/>
    <d v="2013-01-05T10:39:00"/>
    <x v="8"/>
    <s v="4,00"/>
    <s v="BON"/>
    <n v="8.1999999999999993"/>
    <n v="1"/>
    <n v="0"/>
    <n v="0"/>
    <n v="4.1999999999999993"/>
    <n v="4.1999999999999993"/>
    <n v="127.9135"/>
    <n v="-46.446500000000007"/>
    <n v="-79.849999999999994"/>
    <n v="-1.6499999999999986"/>
    <n v="-52.199999999999989"/>
    <n v="-2"/>
    <n v="-34.950000000000003"/>
    <n v="-217.09650000000002"/>
  </r>
  <r>
    <x v="1"/>
    <d v="2013-01-05T15:00:00"/>
    <m/>
    <s v="Clermont - Montpellier"/>
    <s v="Avance du vainqueur (en pts, buts ou temps)"/>
    <s v="Clermont par 11-15"/>
    <m/>
    <s v="5,50"/>
    <d v="2013-01-05T11:16:00"/>
    <x v="4"/>
    <s v="2,00"/>
    <s v="PERDU"/>
    <n v="0"/>
    <n v="0"/>
    <n v="1"/>
    <n v="0"/>
    <n v="-2"/>
    <n v="-2"/>
    <n v="125.9135"/>
    <n v="-48.446500000000007"/>
    <n v="-79.849999999999994"/>
    <n v="-1.6499999999999986"/>
    <n v="-52.199999999999989"/>
    <n v="-2"/>
    <n v="-34.950000000000003"/>
    <n v="-219.09650000000002"/>
  </r>
  <r>
    <x v="1"/>
    <d v="2013-01-05T15:00:00"/>
    <m/>
    <s v="Clermont - Montpellier"/>
    <s v="Avance du vainqueur (en pts, buts ou temps)"/>
    <s v="Clermont par 16-20"/>
    <m/>
    <s v="6,50"/>
    <d v="2013-01-05T11:17:00"/>
    <x v="4"/>
    <s v="2,00"/>
    <s v="BON"/>
    <n v="13"/>
    <n v="1"/>
    <n v="0"/>
    <n v="0"/>
    <n v="11"/>
    <n v="11"/>
    <n v="136.9135"/>
    <n v="-37.446500000000007"/>
    <n v="-79.849999999999994"/>
    <n v="-1.6499999999999986"/>
    <n v="-52.199999999999989"/>
    <n v="-2"/>
    <n v="-34.950000000000003"/>
    <n v="-208.09650000000002"/>
  </r>
  <r>
    <x v="1"/>
    <d v="2013-01-05T15:00:00"/>
    <m/>
    <s v="Clermont - Montpellier"/>
    <s v="Avance du vainqueur (en pts, buts ou temps)"/>
    <s v="Clermont par 21-25"/>
    <m/>
    <s v="8,75"/>
    <d v="2013-01-05T11:17:00"/>
    <x v="4"/>
    <s v="2,00"/>
    <s v="PERDU"/>
    <n v="0"/>
    <n v="0"/>
    <n v="1"/>
    <n v="0"/>
    <n v="-2"/>
    <n v="-2"/>
    <n v="134.9135"/>
    <n v="-39.446500000000007"/>
    <n v="-79.849999999999994"/>
    <n v="-1.6499999999999986"/>
    <n v="-52.199999999999989"/>
    <n v="-2"/>
    <n v="-34.950000000000003"/>
    <n v="-210.09650000000002"/>
  </r>
  <r>
    <x v="1"/>
    <d v="2013-01-05T16:00:00"/>
    <m/>
    <s v="Leeds - Birmingham"/>
    <s v="1 X 2"/>
    <s v="Leeds"/>
    <m/>
    <s v="1,83"/>
    <d v="2013-01-05T11:19:00"/>
    <x v="1"/>
    <s v="5,00"/>
    <s v="PERDU"/>
    <n v="0"/>
    <n v="0"/>
    <n v="1"/>
    <n v="0"/>
    <n v="-5"/>
    <n v="-5"/>
    <n v="129.9135"/>
    <n v="-44.446500000000007"/>
    <n v="-79.849999999999994"/>
    <n v="-1.6499999999999986"/>
    <n v="-52.199999999999989"/>
    <n v="-2"/>
    <n v="-34.950000000000003"/>
    <n v="-215.09650000000002"/>
  </r>
  <r>
    <x v="1"/>
    <d v="2013-01-05T16:00:00"/>
    <m/>
    <s v="Macclesfield Town - Cardiff City"/>
    <s v="1 X 2"/>
    <s v="Macclesfield Town"/>
    <m/>
    <s v="4,60"/>
    <d v="2013-01-05T11:19:00"/>
    <x v="1"/>
    <s v="5,00"/>
    <s v="BON"/>
    <n v="23"/>
    <n v="1"/>
    <n v="0"/>
    <n v="0"/>
    <n v="18"/>
    <n v="18"/>
    <n v="147.9135"/>
    <n v="-26.446500000000007"/>
    <n v="-79.849999999999994"/>
    <n v="-1.6499999999999986"/>
    <n v="-52.199999999999989"/>
    <n v="-2"/>
    <n v="-34.950000000000003"/>
    <n v="-197.09650000000002"/>
  </r>
  <r>
    <x v="1"/>
    <d v="2013-01-05T17:00:00"/>
    <m/>
    <s v="Türk Telekom - Mersin Büyükşehir Belediye"/>
    <s v="Pari sur le vainqueur"/>
    <s v="Türk Telekom"/>
    <m/>
    <s v="1,57"/>
    <d v="2013-01-05T11:22:00"/>
    <x v="2"/>
    <s v="5,00"/>
    <s v="PERDU"/>
    <n v="0"/>
    <n v="0"/>
    <n v="1"/>
    <n v="0"/>
    <n v="-5"/>
    <n v="-5"/>
    <n v="142.9135"/>
    <n v="-31.446500000000007"/>
    <n v="-79.849999999999994"/>
    <n v="-1.6499999999999986"/>
    <n v="-52.199999999999989"/>
    <n v="-2"/>
    <n v="-34.950000000000003"/>
    <n v="-202.09650000000002"/>
  </r>
  <r>
    <x v="2"/>
    <d v="2013-01-05T20:45:00"/>
    <m/>
    <s v="Lazio Rome - Cagliari"/>
    <s v="1 X 2"/>
    <s v="Lazio Rome"/>
    <m/>
    <s v="1,44"/>
    <d v="2013-01-05T13:24:00"/>
    <x v="1"/>
    <s v="5,00"/>
    <s v="BON"/>
    <n v="7.1999999999999993"/>
    <n v="1"/>
    <n v="0"/>
    <n v="0"/>
    <n v="2.1999999999999993"/>
    <n v="2.1999999999999993"/>
    <n v="145.11349999999999"/>
    <n v="-31.446500000000007"/>
    <n v="-77.649999999999991"/>
    <n v="-1.6499999999999986"/>
    <n v="-52.199999999999989"/>
    <n v="-2"/>
    <n v="-34.950000000000003"/>
    <n v="-199.89650000000003"/>
  </r>
  <r>
    <x v="3"/>
    <d v="2013-01-06T19:00:00"/>
    <m/>
    <s v="FC Barcelone - Espanyol"/>
    <s v="Résultat à la mi-temps"/>
    <s v="FC Barcelone"/>
    <m/>
    <s v="1,23"/>
    <d v="2013-01-05T13:31:00"/>
    <x v="1"/>
    <s v="5,00"/>
    <s v="BON"/>
    <n v="6.15"/>
    <n v="1"/>
    <n v="0"/>
    <n v="0"/>
    <n v="1.1500000000000004"/>
    <n v="1.1500000000000004"/>
    <n v="146.26349999999999"/>
    <n v="-31.446500000000007"/>
    <n v="-77.649999999999991"/>
    <n v="-0.49999999999999822"/>
    <n v="-52.199999999999989"/>
    <n v="-2"/>
    <n v="-34.950000000000003"/>
    <n v="-198.74650000000003"/>
  </r>
  <r>
    <x v="3"/>
    <d v="2013-01-05T18:00:00"/>
    <m/>
    <s v="USBCO Boulogne - Toulouse FC"/>
    <s v="1 X 2"/>
    <s v="Toulouse FC"/>
    <m/>
    <s v="1,60"/>
    <d v="2013-01-05T13:32:00"/>
    <x v="1"/>
    <s v="5,00"/>
    <s v="BON"/>
    <n v="8"/>
    <n v="1"/>
    <n v="0"/>
    <n v="0"/>
    <n v="3"/>
    <n v="3"/>
    <n v="149.26349999999999"/>
    <n v="-31.446500000000007"/>
    <n v="-77.649999999999991"/>
    <n v="2.5000000000000018"/>
    <n v="-52.199999999999989"/>
    <n v="-2"/>
    <n v="-34.950000000000003"/>
    <n v="-195.74650000000003"/>
  </r>
  <r>
    <x v="3"/>
    <d v="2013-01-05T20:45:00"/>
    <m/>
    <s v="LOSC Lille Métropole - Nîmes Olympique"/>
    <s v="1 X 2"/>
    <s v="LOSC Lille Métropole"/>
    <m/>
    <s v="1,22"/>
    <d v="2013-01-05T13:33:00"/>
    <x v="1"/>
    <s v="5,00"/>
    <s v="BON"/>
    <n v="6.1"/>
    <n v="1"/>
    <n v="0"/>
    <n v="0"/>
    <n v="1.0999999999999996"/>
    <n v="1.0999999999999996"/>
    <n v="150.36349999999999"/>
    <n v="-31.446500000000007"/>
    <n v="-77.649999999999991"/>
    <n v="3.6000000000000014"/>
    <n v="-52.199999999999989"/>
    <n v="-2"/>
    <n v="-34.950000000000003"/>
    <n v="-194.64650000000003"/>
  </r>
  <r>
    <x v="3"/>
    <d v="2013-01-05T18:00:00"/>
    <m/>
    <s v="Amneville CS - US Raon L Etape"/>
    <s v="1 X 2"/>
    <s v="Amneville CS"/>
    <m/>
    <s v="2,05"/>
    <d v="2013-01-05T13:36:00"/>
    <x v="1"/>
    <s v="5,00"/>
    <s v="PERDU"/>
    <n v="0"/>
    <n v="0"/>
    <n v="1"/>
    <n v="0"/>
    <n v="-5"/>
    <n v="-5"/>
    <n v="145.36349999999999"/>
    <n v="-31.446500000000007"/>
    <n v="-77.649999999999991"/>
    <n v="-1.3999999999999986"/>
    <n v="-52.199999999999989"/>
    <n v="-2"/>
    <n v="-34.950000000000003"/>
    <n v="-199.64650000000003"/>
  </r>
  <r>
    <x v="1"/>
    <d v="2013-01-05T18:00:00"/>
    <m/>
    <s v="FC Rouen - AC Ajaccio"/>
    <s v="1 X 2"/>
    <s v="FC Rouen"/>
    <m/>
    <s v="3,00"/>
    <d v="2013-01-05T17:20:00"/>
    <x v="1"/>
    <s v="5,00"/>
    <s v="PERDU"/>
    <n v="0"/>
    <n v="0"/>
    <n v="1"/>
    <n v="0"/>
    <n v="-5"/>
    <n v="-5"/>
    <n v="140.36349999999999"/>
    <n v="-36.446500000000007"/>
    <n v="-77.649999999999991"/>
    <n v="-1.3999999999999986"/>
    <n v="-52.199999999999989"/>
    <n v="-2"/>
    <n v="-34.950000000000003"/>
    <n v="-204.64650000000003"/>
  </r>
  <r>
    <x v="1"/>
    <d v="2013-01-05T18:00:00"/>
    <m/>
    <s v="FC Rouen - AC Ajaccio"/>
    <s v="1 X 2"/>
    <s v="AC Ajaccio"/>
    <m/>
    <s v="2,25"/>
    <d v="2013-01-05T17:20:00"/>
    <x v="1"/>
    <s v="2,50"/>
    <s v="PERDU"/>
    <n v="0"/>
    <n v="0"/>
    <n v="1"/>
    <n v="0"/>
    <n v="-2.5"/>
    <n v="-2.5"/>
    <n v="137.86349999999999"/>
    <n v="-38.946500000000007"/>
    <n v="-77.649999999999991"/>
    <n v="-1.3999999999999986"/>
    <n v="-52.199999999999989"/>
    <n v="-2"/>
    <n v="-34.950000000000003"/>
    <n v="-207.14650000000003"/>
  </r>
  <r>
    <x v="1"/>
    <d v="2013-01-05T18:30:00"/>
    <m/>
    <s v="Perpignan - Union Bordeaux-Bègles"/>
    <s v="Avance du vainqueur (en pts, buts ou temps)"/>
    <s v="Perpignan par 16-20"/>
    <m/>
    <s v="5,25"/>
    <d v="2013-01-05T17:25:00"/>
    <x v="4"/>
    <s v="2,00"/>
    <s v="PERDU"/>
    <n v="0"/>
    <n v="0"/>
    <n v="1"/>
    <n v="0"/>
    <n v="-2"/>
    <n v="-2"/>
    <n v="135.86349999999999"/>
    <n v="-40.946500000000007"/>
    <n v="-77.649999999999991"/>
    <n v="-1.3999999999999986"/>
    <n v="-52.199999999999989"/>
    <n v="-2"/>
    <n v="-34.950000000000003"/>
    <n v="-209.14650000000003"/>
  </r>
  <r>
    <x v="1"/>
    <d v="2013-01-05T18:30:00"/>
    <m/>
    <s v="Perpignan - Union Bordeaux-Bègles"/>
    <s v="Avance du vainqueur (en pts, buts ou temps)"/>
    <s v="Perpignan par 21-25"/>
    <m/>
    <s v="8,50"/>
    <d v="2013-01-05T17:25:00"/>
    <x v="4"/>
    <s v="2,00"/>
    <s v="PERDU"/>
    <n v="0"/>
    <n v="0"/>
    <n v="1"/>
    <n v="0"/>
    <n v="-2"/>
    <n v="-2"/>
    <n v="133.86349999999999"/>
    <n v="-42.946500000000007"/>
    <n v="-77.649999999999991"/>
    <n v="-1.3999999999999986"/>
    <n v="-52.199999999999989"/>
    <n v="-2"/>
    <n v="-34.950000000000003"/>
    <n v="-211.14650000000003"/>
  </r>
  <r>
    <x v="1"/>
    <d v="2013-01-05T18:30:00"/>
    <m/>
    <s v="Perpignan - Union Bordeaux-Bègles"/>
    <s v="Avance du vainqueur (en pts, buts ou temps)"/>
    <s v="Perpignan par 26-30"/>
    <m/>
    <s v="10,50"/>
    <d v="2013-01-05T17:25:00"/>
    <x v="4"/>
    <s v="2,00"/>
    <s v="PERDU"/>
    <n v="0"/>
    <n v="0"/>
    <n v="1"/>
    <n v="0"/>
    <n v="-2"/>
    <n v="-2"/>
    <n v="131.86349999999999"/>
    <n v="-44.946500000000007"/>
    <n v="-77.649999999999991"/>
    <n v="-1.3999999999999986"/>
    <n v="-52.199999999999989"/>
    <n v="-2"/>
    <n v="-34.950000000000003"/>
    <n v="-213.14650000000003"/>
  </r>
  <r>
    <x v="1"/>
    <d v="2013-01-05T18:30:00"/>
    <m/>
    <s v="Grenoble - Castres"/>
    <s v="1 X 2"/>
    <s v="Castres"/>
    <m/>
    <s v="2,65"/>
    <d v="2013-01-05T18:17:00"/>
    <x v="4"/>
    <s v="5,00"/>
    <s v="PERDU"/>
    <n v="0"/>
    <n v="0"/>
    <n v="1"/>
    <n v="0"/>
    <n v="-5"/>
    <n v="-5"/>
    <n v="126.86349999999999"/>
    <n v="-49.946500000000007"/>
    <n v="-77.649999999999991"/>
    <n v="-1.3999999999999986"/>
    <n v="-52.199999999999989"/>
    <n v="-2"/>
    <n v="-34.950000000000003"/>
    <n v="-218.14650000000003"/>
  </r>
  <r>
    <x v="1"/>
    <d v="2013-01-05T20:45:00"/>
    <m/>
    <s v="Lazio Rome - Cagliari"/>
    <s v="Résultat à la mi-temps"/>
    <s v="Lazio Rome"/>
    <m/>
    <s v="1,85"/>
    <d v="2013-01-05T20:24:00"/>
    <x v="1"/>
    <s v="5,00"/>
    <s v="PERDU"/>
    <n v="0"/>
    <n v="0"/>
    <n v="1"/>
    <n v="0"/>
    <n v="-5"/>
    <n v="-5"/>
    <n v="121.86349999999999"/>
    <n v="-54.946500000000007"/>
    <n v="-77.649999999999991"/>
    <n v="-1.3999999999999986"/>
    <n v="-52.199999999999989"/>
    <n v="-2"/>
    <n v="-34.950000000000003"/>
    <n v="-223.14650000000003"/>
  </r>
  <r>
    <x v="1"/>
    <d v="2013-01-05T22:30:00"/>
    <m/>
    <s v="Cincinnati Bengals chez Houston Texans"/>
    <s v="Ecart entre les équipes"/>
    <s v="Houston Texans gagne de 5 points ou plus"/>
    <m/>
    <s v="1,70"/>
    <d v="2013-01-05T20:29:00"/>
    <x v="7"/>
    <s v="5,00"/>
    <s v="BON"/>
    <n v="8.5"/>
    <n v="1"/>
    <n v="0"/>
    <n v="0"/>
    <n v="3.5"/>
    <n v="3.5"/>
    <n v="125.36349999999999"/>
    <n v="-51.446500000000007"/>
    <n v="-77.649999999999991"/>
    <n v="-1.3999999999999986"/>
    <n v="-52.199999999999989"/>
    <n v="-2"/>
    <n v="-34.950000000000003"/>
    <n v="-219.64650000000003"/>
  </r>
  <r>
    <x v="1"/>
    <d v="2013-01-06T04:35:00"/>
    <m/>
    <s v="Golden State Warriors chez Los Angeles Clippers"/>
    <s v="Pari sur le vainqueur (US)"/>
    <s v="Golden State Warriors"/>
    <m/>
    <s v="2,80"/>
    <d v="2013-01-05T20:41:00"/>
    <x v="2"/>
    <s v="3,57"/>
    <s v="PERDU"/>
    <n v="0"/>
    <n v="0"/>
    <n v="1"/>
    <n v="0"/>
    <n v="-3.57"/>
    <n v="-3.57"/>
    <n v="121.79349999999999"/>
    <n v="-55.016500000000008"/>
    <n v="-77.649999999999991"/>
    <n v="-1.3999999999999986"/>
    <n v="-52.199999999999989"/>
    <n v="-2"/>
    <n v="-34.950000000000003"/>
    <n v="-223.21650000000002"/>
  </r>
  <r>
    <x v="1"/>
    <d v="2013-01-06T01:00:00"/>
    <m/>
    <s v="Caroline Wozniacki (DEN) - Urszula Radwanska (POL)"/>
    <s v="Pari sur les sets"/>
    <s v="2-0"/>
    <m/>
    <s v="1,60"/>
    <d v="2013-01-05T22:55:00"/>
    <x v="8"/>
    <s v="5,00"/>
    <s v="BON"/>
    <n v="8"/>
    <n v="1"/>
    <n v="0"/>
    <n v="0"/>
    <n v="3"/>
    <n v="3"/>
    <n v="124.79349999999999"/>
    <n v="-52.016500000000008"/>
    <n v="-77.649999999999991"/>
    <n v="-1.3999999999999986"/>
    <n v="-52.199999999999989"/>
    <n v="-2"/>
    <n v="-34.950000000000003"/>
    <n v="-220.21650000000002"/>
  </r>
  <r>
    <x v="1"/>
    <d v="2013-01-06T05:00:00"/>
    <m/>
    <s v="Andy Murray (GBR) - Grigor Dimitrov (BUL)"/>
    <s v="Combien de jeux vont être joués dans le premier set?"/>
    <s v="11 jeux ou plus"/>
    <m/>
    <s v="3,30"/>
    <d v="2013-01-05T22:57:00"/>
    <x v="8"/>
    <s v="5,00"/>
    <s v="BON"/>
    <n v="16.5"/>
    <n v="1"/>
    <n v="0"/>
    <n v="0"/>
    <n v="11.5"/>
    <n v="11.5"/>
    <n v="136.29349999999999"/>
    <n v="-40.516500000000008"/>
    <n v="-77.649999999999991"/>
    <n v="-1.3999999999999986"/>
    <n v="-52.199999999999989"/>
    <n v="-2"/>
    <n v="-34.950000000000003"/>
    <n v="-208.71650000000002"/>
  </r>
  <r>
    <x v="6"/>
    <d v="2013-01-06T12:00:00"/>
    <m/>
    <s v="FC Bourg Peronnas - Montpellier HSC"/>
    <s v="1 X 2"/>
    <s v="Montpellier HSC"/>
    <m/>
    <s v="1,55"/>
    <d v="2013-01-06T07:48:00"/>
    <x v="0"/>
    <s v="5,00"/>
    <s v="BON"/>
    <n v="7.75"/>
    <n v="1"/>
    <n v="0"/>
    <n v="0"/>
    <n v="2.75"/>
    <n v="2.75"/>
    <n v="139.04349999999999"/>
    <n v="-40.516500000000008"/>
    <n v="-77.649999999999991"/>
    <n v="-1.3999999999999986"/>
    <n v="-52.199999999999989"/>
    <n v="-2"/>
    <n v="-32.200000000000003"/>
    <n v="-205.96650000000002"/>
  </r>
  <r>
    <x v="6"/>
    <d v="2013-01-08T02:05:00"/>
    <m/>
    <s v="San Antonio Spurs chez New Orleans Hornets"/>
    <s v="Pari sur le vainqueur (US)"/>
    <s v="San Antonio Spurs"/>
    <m/>
    <s v="1,22"/>
    <d v="2013-01-06T07:53:00"/>
    <x v="2"/>
    <s v="3,50"/>
    <s v="PERDU"/>
    <n v="0"/>
    <n v="0"/>
    <n v="1"/>
    <n v="0"/>
    <n v="-3.5"/>
    <n v="-3.5"/>
    <n v="135.54349999999999"/>
    <n v="-40.516500000000008"/>
    <n v="-77.649999999999991"/>
    <n v="-1.3999999999999986"/>
    <n v="-52.199999999999989"/>
    <n v="-2"/>
    <n v="-35.700000000000003"/>
    <n v="-209.46650000000002"/>
  </r>
  <r>
    <x v="1"/>
    <d v="2013-01-06T12:00:00"/>
    <m/>
    <s v="Celta Vigo - Real Valladolid"/>
    <s v="1 X 2"/>
    <s v="Celta Vigo"/>
    <m/>
    <s v="1,72"/>
    <d v="2013-01-06T11:34:00"/>
    <x v="1"/>
    <s v="5,00"/>
    <s v="BON"/>
    <n v="8.6"/>
    <n v="1"/>
    <n v="0"/>
    <n v="0"/>
    <n v="3.5999999999999996"/>
    <n v="3.5999999999999996"/>
    <n v="139.14349999999999"/>
    <n v="-36.916500000000006"/>
    <n v="-77.649999999999991"/>
    <n v="-1.3999999999999986"/>
    <n v="-52.199999999999989"/>
    <n v="-2"/>
    <n v="-35.700000000000003"/>
    <n v="-205.86650000000003"/>
  </r>
  <r>
    <x v="1"/>
    <d v="2013-01-06T12:40:00"/>
    <m/>
    <s v="Real Madrid - FIATC Mutua Joventut"/>
    <s v="Avance du vainqueur (en pts, buts ou temps)"/>
    <s v="Real Madrid de 11 à 15"/>
    <m/>
    <s v="4,50"/>
    <d v="2013-01-06T11:37:00"/>
    <x v="2"/>
    <s v="2,00"/>
    <s v="BON"/>
    <n v="9"/>
    <n v="1"/>
    <n v="0"/>
    <n v="0"/>
    <n v="7"/>
    <n v="7"/>
    <n v="146.14349999999999"/>
    <n v="-29.916500000000006"/>
    <n v="-77.649999999999991"/>
    <n v="-1.3999999999999986"/>
    <n v="-52.199999999999989"/>
    <n v="-2"/>
    <n v="-35.700000000000003"/>
    <n v="-198.86650000000003"/>
  </r>
  <r>
    <x v="1"/>
    <d v="2013-01-06T12:40:00"/>
    <m/>
    <s v="Real Madrid - FIATC Mutua Joventut"/>
    <s v="Avance du vainqueur (en pts, buts ou temps)"/>
    <s v="Real Madrid de 16 à 20"/>
    <m/>
    <s v="4,75"/>
    <d v="2013-01-06T11:37:00"/>
    <x v="2"/>
    <s v="2,00"/>
    <s v="PERDU"/>
    <n v="0"/>
    <n v="0"/>
    <n v="1"/>
    <n v="0"/>
    <n v="-2"/>
    <n v="-2"/>
    <n v="144.14349999999999"/>
    <n v="-31.916500000000006"/>
    <n v="-77.649999999999991"/>
    <n v="-1.3999999999999986"/>
    <n v="-52.199999999999989"/>
    <n v="-2"/>
    <n v="-35.700000000000003"/>
    <n v="-200.86650000000003"/>
  </r>
  <r>
    <x v="1"/>
    <d v="2013-01-06T12:40:00"/>
    <m/>
    <s v="Real Madrid - FIATC Mutua Joventut"/>
    <s v="Avance du vainqueur (en pts, buts ou temps)"/>
    <s v="Real Madrid de 21 à 25"/>
    <m/>
    <s v="5,25"/>
    <d v="2013-01-06T11:37:00"/>
    <x v="2"/>
    <s v="2,00"/>
    <s v="PERDU"/>
    <n v="0"/>
    <n v="0"/>
    <n v="1"/>
    <n v="0"/>
    <n v="-2"/>
    <n v="-2"/>
    <n v="142.14349999999999"/>
    <n v="-33.916500000000006"/>
    <n v="-77.649999999999991"/>
    <n v="-1.3999999999999986"/>
    <n v="-52.199999999999989"/>
    <n v="-2"/>
    <n v="-35.700000000000003"/>
    <n v="-202.86650000000003"/>
  </r>
  <r>
    <x v="1"/>
    <d v="2013-01-06T16:00:00"/>
    <m/>
    <s v="Luçon - Stade Brestois"/>
    <s v="Qui va se qualifier ?"/>
    <s v="Luçon"/>
    <m/>
    <s v="4,60"/>
    <d v="2013-01-06T11:58:00"/>
    <x v="1"/>
    <s v="5,00"/>
    <s v="PERDU"/>
    <n v="0"/>
    <n v="0"/>
    <n v="1"/>
    <n v="0"/>
    <n v="-5"/>
    <n v="-5"/>
    <n v="137.14349999999999"/>
    <n v="-38.916500000000006"/>
    <n v="-77.649999999999991"/>
    <n v="-1.3999999999999986"/>
    <n v="-52.199999999999989"/>
    <n v="-2"/>
    <n v="-35.700000000000003"/>
    <n v="-207.86650000000003"/>
  </r>
  <r>
    <x v="1"/>
    <d v="2013-01-06T19:00:00"/>
    <m/>
    <s v="Blusens Monbus - Blancos de Rueda Valladolid"/>
    <s v="Avance du vainqueur (en pts, buts ou temps)"/>
    <s v="Blusens Monbus par 26 ou plus"/>
    <m/>
    <s v="10,00"/>
    <d v="2013-01-06T17:42:00"/>
    <x v="2"/>
    <s v="2,00"/>
    <s v="BON"/>
    <n v="20"/>
    <n v="1"/>
    <n v="0"/>
    <n v="0"/>
    <n v="18"/>
    <n v="18"/>
    <n v="155.14349999999999"/>
    <n v="-20.916500000000006"/>
    <n v="-77.649999999999991"/>
    <n v="-1.3999999999999986"/>
    <n v="-52.199999999999989"/>
    <n v="-2"/>
    <n v="-35.700000000000003"/>
    <n v="-189.86650000000003"/>
  </r>
  <r>
    <x v="1"/>
    <d v="2013-01-06T21:00:00"/>
    <m/>
    <s v="Toulon - Racing-Métro 92"/>
    <s v="Avance du vainqueur (en pts, buts ou temps)"/>
    <s v="Toulon par 11-15"/>
    <m/>
    <s v="5,75"/>
    <d v="2013-01-06T17:46:00"/>
    <x v="4"/>
    <s v="2,00"/>
    <s v="PERDU"/>
    <n v="0"/>
    <n v="0"/>
    <n v="1"/>
    <n v="0"/>
    <n v="-2"/>
    <n v="-2"/>
    <n v="153.14349999999999"/>
    <n v="-22.916500000000006"/>
    <n v="-77.649999999999991"/>
    <n v="-1.3999999999999986"/>
    <n v="-52.199999999999989"/>
    <n v="-2"/>
    <n v="-35.700000000000003"/>
    <n v="-191.86650000000003"/>
  </r>
  <r>
    <x v="1"/>
    <d v="2013-01-06T21:00:00"/>
    <m/>
    <s v="Toulon - Racing-Métro 92"/>
    <s v="Avance du vainqueur (en pts, buts ou temps)"/>
    <s v="Toulon par 16-20"/>
    <m/>
    <s v="6,00"/>
    <d v="2013-01-06T17:46:00"/>
    <x v="4"/>
    <s v="2,00"/>
    <s v="PERDU"/>
    <n v="0"/>
    <n v="0"/>
    <n v="1"/>
    <n v="0"/>
    <n v="-2"/>
    <n v="-2"/>
    <n v="151.14349999999999"/>
    <n v="-24.916500000000006"/>
    <n v="-77.649999999999991"/>
    <n v="-1.3999999999999986"/>
    <n v="-52.199999999999989"/>
    <n v="-2"/>
    <n v="-35.700000000000003"/>
    <n v="-193.86650000000003"/>
  </r>
  <r>
    <x v="1"/>
    <d v="2013-01-06T21:00:00"/>
    <m/>
    <s v="Toulon - Racing-Métro 92"/>
    <s v="Avance du vainqueur (en pts, buts ou temps)"/>
    <s v="Toulon par 21-25"/>
    <m/>
    <s v="7,00"/>
    <d v="2013-01-06T17:46:00"/>
    <x v="4"/>
    <s v="2,00"/>
    <s v="PERDU"/>
    <n v="0"/>
    <n v="0"/>
    <n v="1"/>
    <n v="0"/>
    <n v="-2"/>
    <n v="-2"/>
    <n v="149.14349999999999"/>
    <n v="-26.916500000000006"/>
    <n v="-77.649999999999991"/>
    <n v="-1.3999999999999986"/>
    <n v="-52.199999999999989"/>
    <n v="-2"/>
    <n v="-35.700000000000003"/>
    <n v="-195.86650000000003"/>
  </r>
  <r>
    <x v="1"/>
    <d v="2013-01-06T20:45:00"/>
    <m/>
    <s v="SSC Naples - AS Rome"/>
    <s v="1X2 et nombre de buts marqués"/>
    <s v="L'équipe 2 gagne et il y a un total de plus de 3,5 buts dans le match"/>
    <m/>
    <s v="6,00"/>
    <d v="2013-01-06T19:18:00"/>
    <x v="1"/>
    <s v="5,00"/>
    <s v="PERDU"/>
    <n v="0"/>
    <n v="0"/>
    <n v="1"/>
    <n v="0"/>
    <n v="-5"/>
    <n v="-5"/>
    <n v="144.14349999999999"/>
    <n v="-31.916500000000006"/>
    <n v="-77.649999999999991"/>
    <n v="-1.3999999999999986"/>
    <n v="-52.199999999999989"/>
    <n v="-2"/>
    <n v="-35.700000000000003"/>
    <n v="-200.86650000000003"/>
  </r>
  <r>
    <x v="1"/>
    <d v="2013-01-06T21:00:00"/>
    <m/>
    <s v="Real Majorque - Atletico Madrid"/>
    <s v="Les deux équipes marqueront-elles lors de la rencontre ?"/>
    <s v="Oui"/>
    <m/>
    <s v="1,80"/>
    <d v="2013-01-06T19:37:00"/>
    <x v="1"/>
    <s v="5,00"/>
    <s v="BON"/>
    <n v="9"/>
    <n v="1"/>
    <n v="0"/>
    <n v="0"/>
    <n v="4"/>
    <n v="4"/>
    <n v="148.14349999999999"/>
    <n v="-27.916500000000006"/>
    <n v="-77.649999999999991"/>
    <n v="-1.3999999999999986"/>
    <n v="-52.199999999999989"/>
    <n v="-2"/>
    <n v="-35.700000000000003"/>
    <n v="-196.86650000000003"/>
  </r>
  <r>
    <x v="6"/>
    <d v="2013-01-07T09:00:00"/>
    <m/>
    <s v="Kirsten Flipkens (BEL) - Francesca Schiavone (ITA)"/>
    <s v="1 2 - Qui va gagner ?"/>
    <s v="Kirsten Flipkens (BEL)"/>
    <m/>
    <s v="1,33"/>
    <d v="2013-01-07T08:26:00"/>
    <x v="8"/>
    <s v="5,00"/>
    <s v="BON"/>
    <n v="6.65"/>
    <n v="1"/>
    <n v="0"/>
    <n v="0"/>
    <n v="1.6500000000000004"/>
    <n v="1.6500000000000004"/>
    <n v="149.79349999999999"/>
    <n v="-27.916500000000006"/>
    <n v="-77.649999999999991"/>
    <n v="-1.3999999999999986"/>
    <n v="-52.199999999999989"/>
    <n v="-2"/>
    <n v="-34.050000000000004"/>
    <n v="-195.21650000000002"/>
  </r>
  <r>
    <x v="6"/>
    <d v="2013-01-07T18:30:00"/>
    <m/>
    <s v="Xanthi - OFI Crete"/>
    <s v="1 X 2"/>
    <s v="Xanthi"/>
    <m/>
    <s v="1,72"/>
    <d v="2013-01-07T14:12:00"/>
    <x v="1"/>
    <s v="5,00"/>
    <s v="BON"/>
    <n v="8.6"/>
    <n v="1"/>
    <n v="0"/>
    <n v="0"/>
    <n v="3.5999999999999996"/>
    <n v="3.5999999999999996"/>
    <n v="153.39349999999999"/>
    <n v="-27.916500000000006"/>
    <n v="-77.649999999999991"/>
    <n v="-1.3999999999999986"/>
    <n v="-52.199999999999989"/>
    <n v="-2"/>
    <n v="-30.450000000000003"/>
    <n v="-191.61650000000003"/>
  </r>
  <r>
    <x v="1"/>
    <d v="2013-01-07T18:30:00"/>
    <m/>
    <s v="Xanthi - OFI Crete"/>
    <s v="1X2 et nombre de buts marqués"/>
    <s v="L'équipe 1 gagne et il y a un total de plus de 2,5 buts dans le match"/>
    <m/>
    <s v="3,40"/>
    <d v="2013-01-07T17:13:00"/>
    <x v="1"/>
    <s v="5,00"/>
    <s v="BON"/>
    <n v="17"/>
    <n v="1"/>
    <n v="0"/>
    <n v="0"/>
    <n v="12"/>
    <n v="12"/>
    <n v="165.39349999999999"/>
    <n v="-15.916500000000006"/>
    <n v="-77.649999999999991"/>
    <n v="-1.3999999999999986"/>
    <n v="-52.199999999999989"/>
    <n v="-2"/>
    <n v="-30.450000000000003"/>
    <n v="-179.61650000000003"/>
  </r>
  <r>
    <x v="1"/>
    <d v="2013-01-07T20:45:00"/>
    <m/>
    <s v="Cliftonville - Glentoran"/>
    <s v="Résultat à la mi-temps"/>
    <s v="Cliftonville"/>
    <m/>
    <s v="2,05"/>
    <d v="2013-01-07T17:38:00"/>
    <x v="1"/>
    <s v="5,00"/>
    <s v="PERDU"/>
    <n v="0"/>
    <n v="0"/>
    <n v="1"/>
    <n v="0"/>
    <n v="-5"/>
    <n v="-5"/>
    <n v="160.39349999999999"/>
    <n v="-20.916500000000006"/>
    <n v="-77.649999999999991"/>
    <n v="-1.3999999999999986"/>
    <n v="-52.199999999999989"/>
    <n v="-2"/>
    <n v="-30.450000000000003"/>
    <n v="-184.61650000000003"/>
  </r>
  <r>
    <x v="1"/>
    <d v="2013-01-07T19:30:00"/>
    <m/>
    <s v="Anadolu Efes - Fenerbahce Ulker"/>
    <s v="Avance du vainqueur (en pts, buts ou temps)"/>
    <s v="Anadolu Efes de 1 à 5"/>
    <m/>
    <s v="4,40"/>
    <d v="2013-01-07T17:40:00"/>
    <x v="2"/>
    <s v="2,00"/>
    <s v="PERDU"/>
    <n v="0"/>
    <n v="0"/>
    <n v="1"/>
    <n v="0"/>
    <n v="-2"/>
    <n v="-2"/>
    <n v="158.39349999999999"/>
    <n v="-22.916500000000006"/>
    <n v="-77.649999999999991"/>
    <n v="-1.3999999999999986"/>
    <n v="-52.199999999999989"/>
    <n v="-2"/>
    <n v="-30.450000000000003"/>
    <n v="-186.61650000000003"/>
  </r>
  <r>
    <x v="1"/>
    <d v="2013-01-07T19:30:00"/>
    <m/>
    <s v="Anadolu Efes - Fenerbahce Ulker"/>
    <s v="Avance du vainqueur (en pts, buts ou temps)"/>
    <s v="Anadolu Efes de 6 à 10"/>
    <m/>
    <s v="5,00"/>
    <d v="2013-01-07T17:40:00"/>
    <x v="2"/>
    <s v="2,00"/>
    <s v="PERDU"/>
    <n v="0"/>
    <n v="0"/>
    <n v="1"/>
    <n v="0"/>
    <n v="-2"/>
    <n v="-2"/>
    <n v="156.39349999999999"/>
    <n v="-24.916500000000006"/>
    <n v="-77.649999999999991"/>
    <n v="-1.3999999999999986"/>
    <n v="-52.199999999999989"/>
    <n v="-2"/>
    <n v="-30.450000000000003"/>
    <n v="-188.61650000000003"/>
  </r>
  <r>
    <x v="1"/>
    <d v="2013-01-08T01:00:00"/>
    <m/>
    <s v="Feliciano Lopez (ESP) - Jeremy Chardy (FRA)"/>
    <s v="Combien de jeux vont être joués dans le premier set?"/>
    <s v="11 jeux ou plus"/>
    <m/>
    <s v="2,40"/>
    <d v="2013-01-07T22:47:00"/>
    <x v="8"/>
    <s v="5,00"/>
    <s v="BON"/>
    <n v="12"/>
    <n v="1"/>
    <n v="0"/>
    <n v="0"/>
    <n v="7"/>
    <n v="7"/>
    <n v="163.39349999999999"/>
    <n v="-17.916500000000006"/>
    <n v="-77.649999999999991"/>
    <n v="-1.3999999999999986"/>
    <n v="-52.199999999999989"/>
    <n v="-2"/>
    <n v="-30.450000000000003"/>
    <n v="-181.61650000000003"/>
  </r>
  <r>
    <x v="1"/>
    <d v="2013-01-08T01:35:00"/>
    <m/>
    <s v="Boston Celtics chez New York Knicks"/>
    <s v="Ecart entre les équipes"/>
    <s v="New York Knicks gagne de 7 points ou plus"/>
    <m/>
    <s v="1,70"/>
    <d v="2013-01-07T23:07:00"/>
    <x v="2"/>
    <s v="5,00"/>
    <s v="PERDU"/>
    <n v="0"/>
    <n v="0"/>
    <n v="1"/>
    <n v="0"/>
    <n v="-5"/>
    <n v="-5"/>
    <n v="158.39349999999999"/>
    <n v="-22.916500000000006"/>
    <n v="-77.649999999999991"/>
    <n v="-1.3999999999999986"/>
    <n v="-52.199999999999989"/>
    <n v="-2"/>
    <n v="-30.450000000000003"/>
    <n v="-186.61650000000003"/>
  </r>
  <r>
    <x v="6"/>
    <d v="2013-01-08T10:30:00"/>
    <m/>
    <s v="Sloane Stephens (USA) - Simona Halep (ROU)"/>
    <s v="1 2 - Qui va gagner ?"/>
    <s v="Sloane Stephens (USA)"/>
    <m/>
    <s v="1,33"/>
    <d v="2013-01-08T09:14:00"/>
    <x v="8"/>
    <s v="5,00"/>
    <s v="BON"/>
    <n v="6.65"/>
    <n v="1"/>
    <n v="0"/>
    <n v="0"/>
    <n v="1.6500000000000004"/>
    <n v="1.6500000000000004"/>
    <n v="160.04349999999999"/>
    <n v="-22.916500000000006"/>
    <n v="-77.649999999999991"/>
    <n v="-1.3999999999999986"/>
    <n v="-52.199999999999989"/>
    <n v="-2"/>
    <n v="-28.800000000000004"/>
    <n v="-184.96650000000002"/>
  </r>
  <r>
    <x v="1"/>
    <d v="2013-01-08T10:45:00"/>
    <m/>
    <s v="Sloane Stephens (USA) - Simona Halep (ROU)"/>
    <s v="Pari sur les sets"/>
    <s v="2-0"/>
    <m/>
    <s v="1,87"/>
    <d v="2013-01-08T10:41:00"/>
    <x v="8"/>
    <s v="5,00"/>
    <s v="BON"/>
    <n v="9.3500000000000014"/>
    <n v="1"/>
    <n v="0"/>
    <n v="0"/>
    <n v="4.3500000000000014"/>
    <n v="4.3500000000000014"/>
    <n v="164.39349999999999"/>
    <n v="-18.566500000000005"/>
    <n v="-77.649999999999991"/>
    <n v="-1.3999999999999986"/>
    <n v="-52.199999999999989"/>
    <n v="-2"/>
    <n v="-28.800000000000004"/>
    <n v="-180.61650000000003"/>
  </r>
  <r>
    <x v="6"/>
    <d v="2013-01-08T15:00:00"/>
    <m/>
    <s v="Région Spartak Moscou (RUS) - Uni Seat Gyor (HUN)"/>
    <s v="Avance du vainqueur (en pts, buts ou temps)"/>
    <s v="Spartak Moscou Région (RUS) par 26 ou more"/>
    <m/>
    <s v="3,75"/>
    <d v="2013-01-08T12:26:00"/>
    <x v="2"/>
    <s v="5,00"/>
    <s v="BON"/>
    <n v="18.75"/>
    <n v="1"/>
    <n v="0"/>
    <n v="0"/>
    <n v="13.75"/>
    <n v="13.75"/>
    <n v="178.14349999999999"/>
    <n v="-18.566500000000005"/>
    <n v="-77.649999999999991"/>
    <n v="-1.3999999999999986"/>
    <n v="-52.199999999999989"/>
    <n v="-2"/>
    <n v="-15.050000000000004"/>
    <n v="-166.86650000000003"/>
  </r>
  <r>
    <x v="1"/>
    <d v="2013-01-08T20:45:00"/>
    <m/>
    <s v="Bradford City - Aston Villa"/>
    <s v="Pari sur les buts (options supplémentaires)"/>
    <s v="L'équipe 2 gagne avec n'importe quel autre résultat"/>
    <m/>
    <s v="36,00"/>
    <d v="2013-01-08T13:58:00"/>
    <x v="1"/>
    <s v="2,00"/>
    <s v="PERDU"/>
    <n v="0"/>
    <n v="0"/>
    <n v="1"/>
    <n v="0"/>
    <n v="-2"/>
    <n v="-2"/>
    <n v="176.14349999999999"/>
    <n v="-20.566500000000005"/>
    <n v="-77.649999999999991"/>
    <n v="-1.3999999999999986"/>
    <n v="-52.199999999999989"/>
    <n v="-2"/>
    <n v="-15.050000000000004"/>
    <n v="-168.86650000000003"/>
  </r>
  <r>
    <x v="1"/>
    <d v="2013-01-09T02:05:00"/>
    <m/>
    <s v="Los Angeles Lakers chez Houston Rockets"/>
    <s v="Avance du vainqueur (en pts, buts ou temps)"/>
    <s v="Houston Rockets par 26 ou plus"/>
    <m/>
    <s v="10,50"/>
    <d v="2013-01-08T17:25:00"/>
    <x v="2"/>
    <s v="5,00"/>
    <m/>
    <n v="52.5"/>
    <n v="0"/>
    <n v="0"/>
    <n v="1"/>
    <n v="0"/>
    <n v="-5"/>
    <n v="171.14349999999999"/>
    <n v="-25.566500000000005"/>
    <n v="-77.649999999999991"/>
    <n v="-1.3999999999999986"/>
    <n v="-52.199999999999989"/>
    <n v="-2"/>
    <n v="-15.050000000000004"/>
    <n v="-173.86650000000003"/>
  </r>
  <r>
    <x v="1"/>
    <d v="2013-01-08T20:45:00"/>
    <m/>
    <s v="Bradford City - Aston Villa"/>
    <s v="1 2 spécial (mise remboursée si la rencontre se termine par un match nul dans le temps réglementaire)"/>
    <s v="Bradford City"/>
    <m/>
    <s v="2,70"/>
    <d v="2013-01-08T17:26:00"/>
    <x v="1"/>
    <s v="5,00"/>
    <s v="BON"/>
    <n v="13.5"/>
    <n v="1"/>
    <n v="0"/>
    <n v="0"/>
    <n v="8.5"/>
    <n v="8.5"/>
    <n v="179.64349999999999"/>
    <n v="-17.066500000000005"/>
    <n v="-77.649999999999991"/>
    <n v="-1.3999999999999986"/>
    <n v="-52.199999999999989"/>
    <n v="-2"/>
    <n v="-15.050000000000004"/>
    <n v="-165.36650000000003"/>
  </r>
  <r>
    <x v="1"/>
    <d v="2013-01-08T20:00:00"/>
    <m/>
    <s v="Narbonne Volley - Tourcoing VB Lille Metropole"/>
    <s v="Quelle équipe va gagner le premier set?"/>
    <s v="Tourcoing VB Lille Metropole"/>
    <m/>
    <s v="3,10"/>
    <d v="2013-01-08T18:03:00"/>
    <x v="5"/>
    <s v="5,00"/>
    <m/>
    <n v="15.5"/>
    <n v="0"/>
    <n v="0"/>
    <n v="1"/>
    <n v="0"/>
    <n v="-5"/>
    <n v="174.64349999999999"/>
    <n v="-22.066500000000005"/>
    <n v="-77.649999999999991"/>
    <n v="-1.3999999999999986"/>
    <n v="-52.199999999999989"/>
    <n v="-2"/>
    <n v="-15.050000000000004"/>
    <n v="-170.36650000000003"/>
  </r>
  <r>
    <x v="2"/>
    <d v="2013-01-08T21:00:00"/>
    <m/>
    <s v="Lazio Rome - Catane"/>
    <s v="1 X 2"/>
    <s v="Lazio Rome"/>
    <m/>
    <s v="1,67"/>
    <d v="2013-01-08T18:34:00"/>
    <x v="1"/>
    <s v="5,00"/>
    <s v="BON"/>
    <n v="8.35"/>
    <n v="1"/>
    <n v="0"/>
    <n v="0"/>
    <n v="3.3499999999999996"/>
    <n v="3.3499999999999996"/>
    <n v="177.99349999999998"/>
    <n v="-22.066500000000005"/>
    <n v="-74.3"/>
    <n v="-1.3999999999999986"/>
    <n v="-52.199999999999989"/>
    <n v="-2"/>
    <n v="-15.050000000000004"/>
    <n v="-167.01650000000004"/>
  </r>
  <r>
    <x v="2"/>
    <d v="2013-01-08T21:30:00"/>
    <m/>
    <s v="Valence CF - Osasuna"/>
    <s v="1 X 2"/>
    <s v="Valence CF"/>
    <m/>
    <s v="1,40"/>
    <d v="2013-01-08T18:37:00"/>
    <x v="1"/>
    <s v="5,00"/>
    <s v="BON"/>
    <n v="7"/>
    <n v="1"/>
    <n v="0"/>
    <n v="0"/>
    <n v="2"/>
    <n v="2"/>
    <n v="179.99349999999998"/>
    <n v="-22.066500000000005"/>
    <n v="-72.3"/>
    <n v="-1.3999999999999986"/>
    <n v="-52.199999999999989"/>
    <n v="-2"/>
    <n v="-15.050000000000004"/>
    <n v="-165.01650000000004"/>
  </r>
  <r>
    <x v="2"/>
    <d v="2013-01-08T19:30:00"/>
    <m/>
    <s v="Malaga - SD Eibar"/>
    <s v="Ecart entre les équipes"/>
    <s v="SD Eibar gagne ou fait match nul"/>
    <m/>
    <s v="2,95"/>
    <d v="2013-01-08T18:42:00"/>
    <x v="1"/>
    <s v="5,00"/>
    <s v="PERDU"/>
    <n v="0"/>
    <n v="0"/>
    <n v="1"/>
    <n v="0"/>
    <n v="-5"/>
    <n v="-5"/>
    <n v="174.99349999999998"/>
    <n v="-22.066500000000005"/>
    <n v="-77.3"/>
    <n v="-1.3999999999999986"/>
    <n v="-52.199999999999989"/>
    <n v="-2"/>
    <n v="-15.050000000000004"/>
    <n v="-170.01650000000004"/>
  </r>
  <r>
    <x v="2"/>
    <d v="2013-01-09T03:00:00"/>
    <m/>
    <s v="Jarkko Nieminen (FIN) - Gilles Simon (FRA)"/>
    <s v="Pari sur les sets"/>
    <s v="1-2"/>
    <m/>
    <s v="4,10"/>
    <d v="2013-01-08T18:46:00"/>
    <x v="8"/>
    <s v="5,00"/>
    <m/>
    <n v="20.5"/>
    <n v="0"/>
    <n v="0"/>
    <n v="1"/>
    <n v="0"/>
    <n v="-5"/>
    <n v="169.99349999999998"/>
    <n v="-22.066500000000005"/>
    <n v="-82.3"/>
    <n v="-1.3999999999999986"/>
    <n v="-52.199999999999989"/>
    <n v="-2"/>
    <n v="-15.050000000000004"/>
    <n v="-175.01650000000004"/>
  </r>
  <r>
    <x v="2"/>
    <d v="2013-01-09T01:05:00"/>
    <m/>
    <s v="Brooklyn Nets chez Philadelphia 76ers"/>
    <s v="Pari sur le vainqueur (US)"/>
    <s v="Brooklyn Nets"/>
    <m/>
    <s v="1,90"/>
    <d v="2013-01-08T18:49:00"/>
    <x v="2"/>
    <s v="5,00"/>
    <m/>
    <n v="9.5"/>
    <n v="0"/>
    <n v="0"/>
    <n v="1"/>
    <n v="0"/>
    <n v="-5"/>
    <n v="164.99349999999998"/>
    <n v="-22.066500000000005"/>
    <n v="-87.3"/>
    <n v="-1.3999999999999986"/>
    <n v="-52.199999999999989"/>
    <n v="-2"/>
    <n v="-15.050000000000004"/>
    <n v="-180.01650000000004"/>
  </r>
  <r>
    <x v="1"/>
    <d v="2013-01-08T21:00:00"/>
    <m/>
    <s v="Lazio Rome - Catane"/>
    <s v="Les deux équipes marqueront-elles lors de la rencontre ?"/>
    <s v="Oui"/>
    <m/>
    <s v="1,70"/>
    <d v="2013-01-08T20:05:00"/>
    <x v="1"/>
    <s v="5,00"/>
    <s v="PERDU"/>
    <n v="0"/>
    <n v="0"/>
    <n v="1"/>
    <n v="0"/>
    <n v="-5"/>
    <n v="-5"/>
    <n v="159.99349999999998"/>
    <n v="-27.066500000000005"/>
    <n v="-87.3"/>
    <n v="-1.3999999999999986"/>
    <n v="-52.199999999999989"/>
    <n v="-2"/>
    <n v="-15.050000000000004"/>
    <n v="-185.01650000000004"/>
  </r>
  <r>
    <x v="6"/>
    <d v="2013-01-13T21:00:00"/>
    <m/>
    <s v="COMBI"/>
    <s v="1 X 2"/>
    <s v="1 X 2"/>
    <m/>
    <n v="5.84"/>
    <d v="2013-01-08T20:19:00"/>
    <x v="1"/>
    <n v="10"/>
    <m/>
    <n v="58.4"/>
    <n v="0"/>
    <n v="0"/>
    <n v="1"/>
    <n v="0"/>
    <n v="-10"/>
    <n v="149.99349999999998"/>
    <n v="-27.066500000000005"/>
    <n v="-87.3"/>
    <n v="-1.3999999999999986"/>
    <n v="-52.199999999999989"/>
    <n v="-2"/>
    <n v="-25.050000000000004"/>
    <n v="-195.01650000000004"/>
  </r>
  <r>
    <x v="6"/>
    <d v="2013-01-09T21:30:00"/>
    <m/>
    <s v="Real Madrid - Celta Vigo"/>
    <s v="Ecart entre les équipes"/>
    <s v="Real Madrid gagne avec 2 buts d'avance ou plus"/>
    <m/>
    <s v="1,42"/>
    <d v="2013-01-08T20:27:00"/>
    <x v="1"/>
    <s v="5,00"/>
    <m/>
    <n v="7.1"/>
    <n v="0"/>
    <n v="0"/>
    <n v="1"/>
    <n v="0"/>
    <n v="-5"/>
    <n v="144.99349999999998"/>
    <n v="-27.066500000000005"/>
    <n v="-87.3"/>
    <n v="-1.3999999999999986"/>
    <n v="-52.199999999999989"/>
    <n v="-2"/>
    <n v="-30.050000000000004"/>
    <n v="-200.01650000000004"/>
  </r>
  <r>
    <x v="1"/>
    <d v="2013-01-05T22:30:00"/>
    <m/>
    <s v="Cincinnati Bengals chez Houston Texans"/>
    <s v="Ecart entre les équipes"/>
    <s v="Houston Texans gagne de 5 points ou plus"/>
    <m/>
    <s v="1,70"/>
    <d v="2013-01-05T20:29:00"/>
    <x v="7"/>
    <s v="5,00"/>
    <m/>
    <n v="8.5"/>
    <n v="0"/>
    <n v="0"/>
    <n v="1"/>
    <n v="0"/>
    <n v="-5"/>
    <n v="139.99349999999998"/>
    <n v="-32.066500000000005"/>
    <n v="-87.3"/>
    <n v="-1.3999999999999986"/>
    <n v="-52.199999999999989"/>
    <n v="-2"/>
    <n v="-30.050000000000004"/>
    <n v="-205.01650000000004"/>
  </r>
  <r>
    <x v="6"/>
    <d v="2013-01-08T20:45:00"/>
    <m/>
    <s v="Bradford City - Aston Villa"/>
    <s v="1 2 spécial (mise remboursée si la rencontre se termine par un match nul dans le temps réglementaire)"/>
    <s v="Bradford City"/>
    <m/>
    <s v="2,70"/>
    <d v="2013-01-08T17:26:00"/>
    <x v="1"/>
    <s v="5,00"/>
    <m/>
    <n v="13.5"/>
    <n v="0"/>
    <n v="0"/>
    <n v="1"/>
    <n v="0"/>
    <n v="-5"/>
    <n v="134.99349999999998"/>
    <n v="-32.066500000000005"/>
    <n v="-87.3"/>
    <n v="-1.3999999999999986"/>
    <n v="-52.199999999999989"/>
    <n v="-2"/>
    <n v="-35.050000000000004"/>
    <n v="-210.01650000000004"/>
  </r>
  <r>
    <x v="3"/>
    <d v="2013-01-08T20:45:00"/>
    <m/>
    <s v="Bradford City - Aston Villa"/>
    <s v="1 2 spécial (mise remboursée si la rencontre se termine par un match nul dans le temps réglementaire)"/>
    <s v="Bradford City"/>
    <m/>
    <s v="2,70"/>
    <d v="2013-01-08T17:26:00"/>
    <x v="1"/>
    <s v="5,00"/>
    <m/>
    <n v="13.5"/>
    <n v="0"/>
    <n v="0"/>
    <n v="1"/>
    <n v="0"/>
    <n v="-5"/>
    <n v="129.99349999999998"/>
    <n v="-32.066500000000005"/>
    <n v="-87.3"/>
    <n v="-6.3999999999999986"/>
    <n v="-52.199999999999989"/>
    <n v="-2"/>
    <n v="-35.050000000000004"/>
    <n v="-215.01650000000004"/>
  </r>
  <r>
    <x v="4"/>
    <d v="2013-01-08T20:45:00"/>
    <m/>
    <s v="Bradford City - Aston Villa"/>
    <s v="1 2 spécial (mise remboursée si la rencontre se termine par un match nul dans le temps réglementaire)"/>
    <s v="Bradford City"/>
    <m/>
    <s v="2,70"/>
    <d v="2013-01-08T17:26:00"/>
    <x v="4"/>
    <s v="5,00"/>
    <m/>
    <n v="13.5"/>
    <n v="0"/>
    <n v="0"/>
    <n v="1"/>
    <n v="0"/>
    <n v="-5"/>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m/>
    <m/>
    <n v="0"/>
    <n v="0"/>
    <n v="0"/>
    <n v="0"/>
    <n v="0"/>
    <n v="0"/>
    <n v="124.99349999999998"/>
    <n v="-32.066500000000005"/>
    <n v="-87.3"/>
    <n v="-6.3999999999999986"/>
    <n v="-57.199999999999989"/>
    <n v="-2"/>
    <n v="-35.050000000000004"/>
    <n v="-220.01650000000004"/>
  </r>
  <r>
    <x v="0"/>
    <m/>
    <m/>
    <m/>
    <m/>
    <m/>
    <m/>
    <m/>
    <m/>
    <x v="0"/>
    <s v="GAIN"/>
    <n v="-220.01650000000004"/>
    <m/>
    <m/>
    <m/>
    <n v="12"/>
    <m/>
    <m/>
    <n v="179.99349999999998"/>
    <s v="max"/>
    <m/>
    <m/>
    <m/>
    <m/>
    <m/>
    <m/>
  </r>
  <r>
    <x v="0"/>
    <m/>
    <m/>
    <m/>
    <m/>
    <m/>
    <m/>
    <m/>
    <m/>
    <x v="0"/>
    <m/>
    <m/>
    <m/>
    <m/>
    <m/>
    <m/>
    <m/>
    <m/>
    <m/>
    <m/>
    <m/>
    <m/>
    <m/>
    <m/>
    <m/>
    <m/>
  </r>
  <r>
    <x v="0"/>
    <m/>
    <m/>
    <m/>
    <m/>
    <m/>
    <m/>
    <m/>
    <m/>
    <x v="0"/>
    <s v="CTRL onglets"/>
    <n v="0"/>
    <m/>
    <m/>
    <m/>
    <m/>
    <m/>
    <m/>
    <n v="39.817499999999939"/>
    <s v="mini"/>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s v="&lt;------------ Cliquer sur la loutre qui valide les onglets"/>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s v="&lt;------------ cliquer sur le paresseux tri sur les matchs pas encore joués"/>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m/>
    <m/>
    <m/>
    <m/>
    <m/>
    <m/>
    <m/>
    <m/>
  </r>
  <r>
    <x v="0"/>
    <m/>
    <m/>
    <m/>
    <m/>
    <m/>
    <m/>
    <m/>
    <m/>
    <x v="0"/>
    <m/>
    <m/>
    <m/>
    <m/>
    <m/>
    <m/>
    <m/>
    <m/>
    <s v="&lt;------------Cliquez sur le singe qui Réaffiche TOUT"/>
    <m/>
    <m/>
    <m/>
    <m/>
    <m/>
    <m/>
    <m/>
  </r>
  <r>
    <x v="0"/>
    <m/>
    <m/>
    <m/>
    <m/>
    <m/>
    <m/>
    <m/>
    <m/>
    <x v="0"/>
    <m/>
    <m/>
    <m/>
    <m/>
    <m/>
    <m/>
    <m/>
    <m/>
    <m/>
    <m/>
    <m/>
    <m/>
    <m/>
    <m/>
    <m/>
    <m/>
  </r>
  <r>
    <x v="0"/>
    <m/>
    <m/>
    <m/>
    <m/>
    <m/>
    <m/>
    <m/>
    <m/>
    <x v="0"/>
    <m/>
    <m/>
    <m/>
    <m/>
    <m/>
    <m/>
    <m/>
    <m/>
    <m/>
    <m/>
    <m/>
    <m/>
    <m/>
    <m/>
    <m/>
    <m/>
  </r>
  <r>
    <x v="0"/>
    <m/>
    <m/>
    <m/>
    <m/>
    <m/>
    <m/>
    <m/>
    <m/>
    <x v="0"/>
    <m/>
    <m/>
    <m/>
    <m/>
    <m/>
    <m/>
    <m/>
    <m/>
    <m/>
    <m/>
    <m/>
    <m/>
    <m/>
    <m/>
    <m/>
    <m/>
  </r>
  <r>
    <x v="0"/>
    <m/>
    <m/>
    <m/>
    <m/>
    <m/>
    <m/>
    <m/>
    <m/>
    <x v="0"/>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9"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3:C38" firstHeaderRow="1" firstDataRow="2" firstDataCol="1"/>
  <pivotFields count="26">
    <pivotField axis="axisRow" showAll="0">
      <items count="8">
        <item x="2"/>
        <item x="6"/>
        <item x="3"/>
        <item x="4"/>
        <item x="1"/>
        <item x="5"/>
        <item x="0"/>
        <item t="default"/>
      </items>
    </pivotField>
    <pivotField showAll="0"/>
    <pivotField showAll="0"/>
    <pivotField showAll="0"/>
    <pivotField showAll="0"/>
    <pivotField showAll="0"/>
    <pivotField showAll="0"/>
    <pivotField showAll="0"/>
    <pivotField showAll="0"/>
    <pivotField axis="axisRow" showAll="0">
      <items count="10">
        <item x="2"/>
        <item x="3"/>
        <item x="1"/>
        <item x="6"/>
        <item x="4"/>
        <item x="8"/>
        <item x="7"/>
        <item x="5"/>
        <item x="0"/>
        <item t="default"/>
      </items>
    </pivotField>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s>
  <rowFields count="2">
    <field x="9"/>
    <field x="0"/>
  </rowFields>
  <rowItems count="34">
    <i>
      <x/>
    </i>
    <i r="1">
      <x/>
    </i>
    <i r="1">
      <x v="1"/>
    </i>
    <i r="1">
      <x v="2"/>
    </i>
    <i r="1">
      <x v="3"/>
    </i>
    <i r="1">
      <x v="4"/>
    </i>
    <i>
      <x v="1"/>
    </i>
    <i r="1">
      <x v="4"/>
    </i>
    <i>
      <x v="2"/>
    </i>
    <i r="1">
      <x/>
    </i>
    <i r="1">
      <x v="1"/>
    </i>
    <i r="1">
      <x v="2"/>
    </i>
    <i r="1">
      <x v="3"/>
    </i>
    <i r="1">
      <x v="4"/>
    </i>
    <i r="1">
      <x v="5"/>
    </i>
    <i>
      <x v="3"/>
    </i>
    <i r="1">
      <x v="2"/>
    </i>
    <i r="1">
      <x v="3"/>
    </i>
    <i>
      <x v="4"/>
    </i>
    <i r="1">
      <x v="3"/>
    </i>
    <i r="1">
      <x v="4"/>
    </i>
    <i>
      <x v="5"/>
    </i>
    <i r="1">
      <x/>
    </i>
    <i r="1">
      <x v="1"/>
    </i>
    <i r="1">
      <x v="2"/>
    </i>
    <i r="1">
      <x v="4"/>
    </i>
    <i>
      <x v="6"/>
    </i>
    <i r="1">
      <x v="4"/>
    </i>
    <i>
      <x v="7"/>
    </i>
    <i r="1">
      <x v="4"/>
    </i>
    <i>
      <x v="8"/>
    </i>
    <i r="1">
      <x v="1"/>
    </i>
    <i r="1">
      <x v="6"/>
    </i>
    <i t="grand">
      <x/>
    </i>
  </rowItems>
  <colFields count="1">
    <field x="-2"/>
  </colFields>
  <colItems count="2">
    <i>
      <x/>
    </i>
    <i i="1">
      <x v="1"/>
    </i>
  </colItems>
  <dataFields count="2">
    <dataField name="Somme de BON" fld="13" baseField="0" baseItem="0"/>
    <dataField name="Somme de PERDU" fld="14" baseField="0" baseItem="0"/>
  </dataField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Tableau croisé dynamique1" cacheId="9"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4:B12" firstHeaderRow="1" firstDataRow="1" firstDataCol="1"/>
  <pivotFields count="26">
    <pivotField axis="axisRow" compact="0" outline="0" subtotalTop="0" insertPageBreak="1" defaultSubtotal="0">
      <items count="7">
        <item x="2"/>
        <item x="3"/>
        <item x="4"/>
        <item x="1"/>
        <item x="5"/>
        <item x="0"/>
        <item x="6"/>
      </items>
    </pivotField>
    <pivotField showAll="0"/>
    <pivotField showAll="0"/>
    <pivotField showAll="0"/>
    <pivotField showAll="0"/>
    <pivotField showAll="0"/>
    <pivotField showAll="0"/>
    <pivotField showAll="0"/>
    <pivotField showAll="0"/>
    <pivotField showAll="0"/>
    <pivotField showAll="0"/>
    <pivotField compact="0" subtotalTop="0" showAll="0" defaultSubtotal="0"/>
    <pivotField showAll="0"/>
    <pivotField showAll="0" defaultSubtotal="0"/>
    <pivotField showAll="0" defaultSubtotal="0"/>
    <pivotField showAll="0" defaultSubtotal="0"/>
    <pivotField showAll="0"/>
    <pivotField dataField="1" showAll="0"/>
    <pivotField showAll="0"/>
    <pivotField showAll="0"/>
    <pivotField showAll="0"/>
    <pivotField showAll="0"/>
    <pivotField showAll="0"/>
    <pivotField showAll="0"/>
    <pivotField showAll="0" defaultSubtotal="0"/>
    <pivotField showAll="0"/>
  </pivotFields>
  <rowFields count="1">
    <field x="0"/>
  </rowFields>
  <rowItems count="8">
    <i>
      <x/>
    </i>
    <i>
      <x v="1"/>
    </i>
    <i>
      <x v="2"/>
    </i>
    <i>
      <x v="3"/>
    </i>
    <i>
      <x v="4"/>
    </i>
    <i>
      <x v="5"/>
    </i>
    <i>
      <x v="6"/>
    </i>
    <i t="grand">
      <x/>
    </i>
  </rowItems>
  <colItems count="1">
    <i/>
  </colItems>
  <dataFields count="1">
    <dataField name="Somme de GAIN REEL" fld="17" baseField="0" baseItem="0" numFmtId="164"/>
  </dataFields>
  <formats count="11">
    <format dxfId="10">
      <pivotArea outline="0" collapsedLevelsAreSubtotals="1" fieldPosition="0"/>
    </format>
    <format dxfId="9">
      <pivotArea dataOnly="0" labelOnly="1" outline="0" axis="axisValues" fieldPosition="0"/>
    </format>
    <format dxfId="8">
      <pivotArea outline="0" collapsedLevelsAreSubtotals="1" fieldPosition="0"/>
    </format>
    <format dxfId="7">
      <pivotArea dataOnly="0" labelOnly="1" outline="0" axis="axisValues" fieldPosition="0"/>
    </format>
    <format dxfId="6">
      <pivotArea type="all" dataOnly="0" outline="0" fieldPosition="0"/>
    </format>
    <format dxfId="5">
      <pivotArea field="0" type="button" dataOnly="0" labelOnly="1" outline="0" axis="axisRow" fieldPosition="0"/>
    </format>
    <format dxfId="4">
      <pivotArea dataOnly="0" labelOnly="1" outline="0" axis="axisValues" fieldPosition="0"/>
    </format>
    <format dxfId="3">
      <pivotArea grandRow="1" outline="0" collapsedLevelsAreSubtotals="1" fieldPosition="0"/>
    </format>
    <format dxfId="2">
      <pivotArea dataOnly="0" labelOnly="1" grandRow="1" outline="0" fieldPosition="0"/>
    </format>
    <format dxfId="1">
      <pivotArea type="all" dataOnly="0" outline="0" fieldPosition="0"/>
    </format>
    <format dxfId="0">
      <pivotArea type="all" dataOnly="0" outline="0" fieldPosition="0"/>
    </format>
  </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sheetPr codeName="Feuil3"/>
  <dimension ref="A1:O31"/>
  <sheetViews>
    <sheetView workbookViewId="0">
      <selection activeCell="C4" sqref="C4"/>
    </sheetView>
  </sheetViews>
  <sheetFormatPr baseColWidth="10" defaultRowHeight="12.75"/>
  <cols>
    <col min="1" max="1" width="15.25" style="47" bestFit="1" customWidth="1"/>
    <col min="2" max="2" width="17.625" style="47" bestFit="1" customWidth="1"/>
    <col min="3" max="3" width="11" style="47"/>
    <col min="4" max="4" width="13.375" style="47" customWidth="1"/>
    <col min="5" max="7" width="11" style="47"/>
    <col min="8" max="8" width="11" style="59"/>
    <col min="9" max="9" width="15.25" style="47" bestFit="1" customWidth="1"/>
    <col min="10" max="12" width="11" style="47"/>
    <col min="13" max="13" width="6.5" style="47" hidden="1" customWidth="1"/>
    <col min="14" max="14" width="11" style="47"/>
    <col min="15" max="15" width="10.5" style="47" hidden="1" customWidth="1"/>
    <col min="16" max="259" width="11" style="47"/>
    <col min="260" max="260" width="13.375" style="47" customWidth="1"/>
    <col min="261" max="515" width="11" style="47"/>
    <col min="516" max="516" width="13.375" style="47" customWidth="1"/>
    <col min="517" max="771" width="11" style="47"/>
    <col min="772" max="772" width="13.375" style="47" customWidth="1"/>
    <col min="773" max="1027" width="11" style="47"/>
    <col min="1028" max="1028" width="13.375" style="47" customWidth="1"/>
    <col min="1029" max="1283" width="11" style="47"/>
    <col min="1284" max="1284" width="13.375" style="47" customWidth="1"/>
    <col min="1285" max="1539" width="11" style="47"/>
    <col min="1540" max="1540" width="13.375" style="47" customWidth="1"/>
    <col min="1541" max="1795" width="11" style="47"/>
    <col min="1796" max="1796" width="13.375" style="47" customWidth="1"/>
    <col min="1797" max="2051" width="11" style="47"/>
    <col min="2052" max="2052" width="13.375" style="47" customWidth="1"/>
    <col min="2053" max="2307" width="11" style="47"/>
    <col min="2308" max="2308" width="13.375" style="47" customWidth="1"/>
    <col min="2309" max="2563" width="11" style="47"/>
    <col min="2564" max="2564" width="13.375" style="47" customWidth="1"/>
    <col min="2565" max="2819" width="11" style="47"/>
    <col min="2820" max="2820" width="13.375" style="47" customWidth="1"/>
    <col min="2821" max="3075" width="11" style="47"/>
    <col min="3076" max="3076" width="13.375" style="47" customWidth="1"/>
    <col min="3077" max="3331" width="11" style="47"/>
    <col min="3332" max="3332" width="13.375" style="47" customWidth="1"/>
    <col min="3333" max="3587" width="11" style="47"/>
    <col min="3588" max="3588" width="13.375" style="47" customWidth="1"/>
    <col min="3589" max="3843" width="11" style="47"/>
    <col min="3844" max="3844" width="13.375" style="47" customWidth="1"/>
    <col min="3845" max="4099" width="11" style="47"/>
    <col min="4100" max="4100" width="13.375" style="47" customWidth="1"/>
    <col min="4101" max="4355" width="11" style="47"/>
    <col min="4356" max="4356" width="13.375" style="47" customWidth="1"/>
    <col min="4357" max="4611" width="11" style="47"/>
    <col min="4612" max="4612" width="13.375" style="47" customWidth="1"/>
    <col min="4613" max="4867" width="11" style="47"/>
    <col min="4868" max="4868" width="13.375" style="47" customWidth="1"/>
    <col min="4869" max="5123" width="11" style="47"/>
    <col min="5124" max="5124" width="13.375" style="47" customWidth="1"/>
    <col min="5125" max="5379" width="11" style="47"/>
    <col min="5380" max="5380" width="13.375" style="47" customWidth="1"/>
    <col min="5381" max="5635" width="11" style="47"/>
    <col min="5636" max="5636" width="13.375" style="47" customWidth="1"/>
    <col min="5637" max="5891" width="11" style="47"/>
    <col min="5892" max="5892" width="13.375" style="47" customWidth="1"/>
    <col min="5893" max="6147" width="11" style="47"/>
    <col min="6148" max="6148" width="13.375" style="47" customWidth="1"/>
    <col min="6149" max="6403" width="11" style="47"/>
    <col min="6404" max="6404" width="13.375" style="47" customWidth="1"/>
    <col min="6405" max="6659" width="11" style="47"/>
    <col min="6660" max="6660" width="13.375" style="47" customWidth="1"/>
    <col min="6661" max="6915" width="11" style="47"/>
    <col min="6916" max="6916" width="13.375" style="47" customWidth="1"/>
    <col min="6917" max="7171" width="11" style="47"/>
    <col min="7172" max="7172" width="13.375" style="47" customWidth="1"/>
    <col min="7173" max="7427" width="11" style="47"/>
    <col min="7428" max="7428" width="13.375" style="47" customWidth="1"/>
    <col min="7429" max="7683" width="11" style="47"/>
    <col min="7684" max="7684" width="13.375" style="47" customWidth="1"/>
    <col min="7685" max="7939" width="11" style="47"/>
    <col min="7940" max="7940" width="13.375" style="47" customWidth="1"/>
    <col min="7941" max="8195" width="11" style="47"/>
    <col min="8196" max="8196" width="13.375" style="47" customWidth="1"/>
    <col min="8197" max="8451" width="11" style="47"/>
    <col min="8452" max="8452" width="13.375" style="47" customWidth="1"/>
    <col min="8453" max="8707" width="11" style="47"/>
    <col min="8708" max="8708" width="13.375" style="47" customWidth="1"/>
    <col min="8709" max="8963" width="11" style="47"/>
    <col min="8964" max="8964" width="13.375" style="47" customWidth="1"/>
    <col min="8965" max="9219" width="11" style="47"/>
    <col min="9220" max="9220" width="13.375" style="47" customWidth="1"/>
    <col min="9221" max="9475" width="11" style="47"/>
    <col min="9476" max="9476" width="13.375" style="47" customWidth="1"/>
    <col min="9477" max="9731" width="11" style="47"/>
    <col min="9732" max="9732" width="13.375" style="47" customWidth="1"/>
    <col min="9733" max="9987" width="11" style="47"/>
    <col min="9988" max="9988" width="13.375" style="47" customWidth="1"/>
    <col min="9989" max="10243" width="11" style="47"/>
    <col min="10244" max="10244" width="13.375" style="47" customWidth="1"/>
    <col min="10245" max="10499" width="11" style="47"/>
    <col min="10500" max="10500" width="13.375" style="47" customWidth="1"/>
    <col min="10501" max="10755" width="11" style="47"/>
    <col min="10756" max="10756" width="13.375" style="47" customWidth="1"/>
    <col min="10757" max="11011" width="11" style="47"/>
    <col min="11012" max="11012" width="13.375" style="47" customWidth="1"/>
    <col min="11013" max="11267" width="11" style="47"/>
    <col min="11268" max="11268" width="13.375" style="47" customWidth="1"/>
    <col min="11269" max="11523" width="11" style="47"/>
    <col min="11524" max="11524" width="13.375" style="47" customWidth="1"/>
    <col min="11525" max="11779" width="11" style="47"/>
    <col min="11780" max="11780" width="13.375" style="47" customWidth="1"/>
    <col min="11781" max="12035" width="11" style="47"/>
    <col min="12036" max="12036" width="13.375" style="47" customWidth="1"/>
    <col min="12037" max="12291" width="11" style="47"/>
    <col min="12292" max="12292" width="13.375" style="47" customWidth="1"/>
    <col min="12293" max="12547" width="11" style="47"/>
    <col min="12548" max="12548" width="13.375" style="47" customWidth="1"/>
    <col min="12549" max="12803" width="11" style="47"/>
    <col min="12804" max="12804" width="13.375" style="47" customWidth="1"/>
    <col min="12805" max="13059" width="11" style="47"/>
    <col min="13060" max="13060" width="13.375" style="47" customWidth="1"/>
    <col min="13061" max="13315" width="11" style="47"/>
    <col min="13316" max="13316" width="13.375" style="47" customWidth="1"/>
    <col min="13317" max="13571" width="11" style="47"/>
    <col min="13572" max="13572" width="13.375" style="47" customWidth="1"/>
    <col min="13573" max="13827" width="11" style="47"/>
    <col min="13828" max="13828" width="13.375" style="47" customWidth="1"/>
    <col min="13829" max="14083" width="11" style="47"/>
    <col min="14084" max="14084" width="13.375" style="47" customWidth="1"/>
    <col min="14085" max="14339" width="11" style="47"/>
    <col min="14340" max="14340" width="13.375" style="47" customWidth="1"/>
    <col min="14341" max="14595" width="11" style="47"/>
    <col min="14596" max="14596" width="13.375" style="47" customWidth="1"/>
    <col min="14597" max="14851" width="11" style="47"/>
    <col min="14852" max="14852" width="13.375" style="47" customWidth="1"/>
    <col min="14853" max="15107" width="11" style="47"/>
    <col min="15108" max="15108" width="13.375" style="47" customWidth="1"/>
    <col min="15109" max="15363" width="11" style="47"/>
    <col min="15364" max="15364" width="13.375" style="47" customWidth="1"/>
    <col min="15365" max="15619" width="11" style="47"/>
    <col min="15620" max="15620" width="13.375" style="47" customWidth="1"/>
    <col min="15621" max="15875" width="11" style="47"/>
    <col min="15876" max="15876" width="13.375" style="47" customWidth="1"/>
    <col min="15877" max="16131" width="11" style="47"/>
    <col min="16132" max="16132" width="13.375" style="47" customWidth="1"/>
    <col min="16133" max="16384" width="11" style="47"/>
  </cols>
  <sheetData>
    <row r="1" spans="1:15">
      <c r="A1" s="44"/>
      <c r="B1" s="45"/>
      <c r="C1" s="45"/>
      <c r="D1" s="45"/>
      <c r="E1" s="45"/>
      <c r="F1" s="45"/>
      <c r="G1" s="45"/>
      <c r="I1" s="45"/>
      <c r="J1" s="45"/>
      <c r="K1" s="46"/>
      <c r="M1" s="50" t="s">
        <v>2</v>
      </c>
      <c r="O1" t="s">
        <v>9</v>
      </c>
    </row>
    <row r="2" spans="1:15" ht="15.75">
      <c r="A2" s="162"/>
      <c r="B2" s="49"/>
      <c r="C2" s="163" t="s">
        <v>0</v>
      </c>
      <c r="D2" s="49"/>
      <c r="E2" s="49"/>
      <c r="F2" s="49"/>
      <c r="G2" s="163" t="s">
        <v>28</v>
      </c>
      <c r="I2" s="49"/>
      <c r="J2" s="49"/>
      <c r="K2" s="51"/>
      <c r="M2" s="50" t="s">
        <v>58</v>
      </c>
      <c r="O2" t="s">
        <v>48</v>
      </c>
    </row>
    <row r="3" spans="1:15" ht="13.5" thickBot="1">
      <c r="A3" s="162"/>
      <c r="B3" s="49"/>
      <c r="C3" s="49"/>
      <c r="D3" s="49"/>
      <c r="E3" s="49"/>
      <c r="F3" s="49"/>
      <c r="G3" s="49"/>
      <c r="I3" s="49"/>
      <c r="J3" s="49"/>
      <c r="K3" s="51"/>
      <c r="M3" s="50" t="s">
        <v>67</v>
      </c>
      <c r="O3" t="s">
        <v>3</v>
      </c>
    </row>
    <row r="4" spans="1:15" s="165" customFormat="1" ht="13.5" thickBot="1">
      <c r="A4" s="164"/>
      <c r="C4" s="166" t="s">
        <v>8</v>
      </c>
      <c r="D4" s="167"/>
      <c r="F4" s="167"/>
      <c r="G4" s="166" t="s">
        <v>53</v>
      </c>
      <c r="H4" s="168"/>
      <c r="I4" s="167"/>
      <c r="J4" s="167"/>
      <c r="K4" s="169"/>
      <c r="M4" s="170" t="s">
        <v>8</v>
      </c>
      <c r="O4" s="63" t="s">
        <v>119</v>
      </c>
    </row>
    <row r="5" spans="1:15">
      <c r="A5" s="48"/>
      <c r="B5" s="49"/>
      <c r="C5" s="49"/>
      <c r="D5" s="49"/>
      <c r="E5" s="49"/>
      <c r="F5" s="49"/>
      <c r="G5" s="49"/>
      <c r="I5" s="49"/>
      <c r="J5" s="49"/>
      <c r="K5" s="51"/>
      <c r="M5" s="50" t="s">
        <v>383</v>
      </c>
      <c r="O5" t="s">
        <v>53</v>
      </c>
    </row>
    <row r="6" spans="1:15">
      <c r="A6" s="48"/>
      <c r="B6" s="49"/>
      <c r="C6" s="49"/>
      <c r="D6" s="49"/>
      <c r="E6" s="49"/>
      <c r="G6" s="49"/>
      <c r="I6" s="49"/>
      <c r="J6" s="49"/>
      <c r="K6" s="51"/>
      <c r="M6" s="50" t="s">
        <v>468</v>
      </c>
      <c r="O6" t="s">
        <v>531</v>
      </c>
    </row>
    <row r="7" spans="1:15" ht="13.5" thickBot="1">
      <c r="A7" s="48"/>
      <c r="B7" s="49"/>
      <c r="C7" s="49"/>
      <c r="D7" s="49"/>
      <c r="E7" s="49"/>
      <c r="G7" s="49"/>
      <c r="I7" s="49"/>
      <c r="J7" s="49"/>
      <c r="K7" s="51"/>
      <c r="M7" s="171" t="s">
        <v>744</v>
      </c>
      <c r="O7" t="s">
        <v>153</v>
      </c>
    </row>
    <row r="8" spans="1:15">
      <c r="A8" s="106" t="s">
        <v>460</v>
      </c>
      <c r="B8" s="152" t="s">
        <v>461</v>
      </c>
      <c r="C8" s="153"/>
      <c r="D8" s="153"/>
      <c r="E8" s="153"/>
      <c r="F8" s="153"/>
      <c r="G8" s="153"/>
      <c r="H8" s="153"/>
      <c r="I8" s="154"/>
      <c r="J8" s="154"/>
      <c r="K8" s="155"/>
      <c r="O8" t="s">
        <v>96</v>
      </c>
    </row>
    <row r="9" spans="1:15" ht="23.25">
      <c r="A9" s="156" t="s">
        <v>462</v>
      </c>
      <c r="B9" s="121" t="s">
        <v>706</v>
      </c>
      <c r="C9" s="120"/>
      <c r="D9" s="120"/>
      <c r="E9" s="120"/>
      <c r="F9" s="120"/>
      <c r="G9" s="120"/>
      <c r="H9" s="120"/>
      <c r="I9" s="56"/>
      <c r="J9" s="56"/>
      <c r="K9" s="57"/>
    </row>
    <row r="10" spans="1:15" ht="23.25">
      <c r="A10" s="156" t="s">
        <v>463</v>
      </c>
      <c r="B10" s="121" t="s">
        <v>725</v>
      </c>
      <c r="C10" s="120"/>
      <c r="D10" s="120"/>
      <c r="E10" s="120"/>
      <c r="F10" s="120"/>
      <c r="G10" s="120"/>
      <c r="H10" s="120"/>
      <c r="I10" s="56"/>
      <c r="J10" s="56"/>
      <c r="K10" s="57"/>
    </row>
    <row r="11" spans="1:15">
      <c r="A11" s="156" t="s">
        <v>464</v>
      </c>
      <c r="B11" s="114">
        <v>41282.726388888892</v>
      </c>
      <c r="C11" s="120"/>
      <c r="D11" s="120"/>
      <c r="E11" s="120"/>
      <c r="F11" s="120"/>
      <c r="G11" s="120"/>
      <c r="H11" s="120"/>
      <c r="I11" s="56"/>
      <c r="J11" s="56"/>
      <c r="K11" s="57"/>
    </row>
    <row r="12" spans="1:15">
      <c r="A12" s="156" t="s">
        <v>24</v>
      </c>
      <c r="B12" s="121" t="s">
        <v>728</v>
      </c>
      <c r="C12" s="120"/>
      <c r="D12" s="120"/>
      <c r="E12" s="120"/>
      <c r="F12" s="120"/>
      <c r="G12" s="120"/>
      <c r="H12" s="120"/>
      <c r="I12" s="56"/>
      <c r="J12" s="56"/>
      <c r="K12" s="57"/>
    </row>
    <row r="13" spans="1:15">
      <c r="A13" s="156" t="s">
        <v>25</v>
      </c>
      <c r="B13" s="121" t="s">
        <v>467</v>
      </c>
      <c r="C13" s="120"/>
      <c r="D13" s="120"/>
      <c r="E13" s="120"/>
      <c r="F13" s="120"/>
      <c r="G13" s="120"/>
      <c r="H13" s="120"/>
      <c r="I13" s="56"/>
      <c r="J13" s="56"/>
      <c r="K13" s="57"/>
    </row>
    <row r="14" spans="1:15">
      <c r="A14" s="156" t="s">
        <v>677</v>
      </c>
      <c r="B14" s="121" t="s">
        <v>729</v>
      </c>
      <c r="C14" s="120"/>
      <c r="D14" s="120"/>
      <c r="E14" s="120"/>
      <c r="F14" s="120"/>
      <c r="G14" s="120"/>
      <c r="H14" s="120"/>
      <c r="I14" s="56"/>
      <c r="J14" s="56"/>
      <c r="K14" s="57"/>
    </row>
    <row r="15" spans="1:15">
      <c r="A15" s="157" t="s">
        <v>464</v>
      </c>
      <c r="B15" s="158"/>
      <c r="C15" s="158" t="s">
        <v>21</v>
      </c>
      <c r="D15" s="158" t="s">
        <v>22</v>
      </c>
      <c r="E15" s="158" t="s">
        <v>23</v>
      </c>
      <c r="F15" s="158" t="s">
        <v>465</v>
      </c>
      <c r="G15" s="158" t="s">
        <v>24</v>
      </c>
      <c r="H15" s="158"/>
      <c r="I15" s="56"/>
      <c r="J15" s="56"/>
      <c r="K15" s="57"/>
    </row>
    <row r="16" spans="1:15" ht="90.75">
      <c r="A16" s="159">
        <v>41282.864583333336</v>
      </c>
      <c r="B16" s="121"/>
      <c r="C16" s="121" t="s">
        <v>719</v>
      </c>
      <c r="D16" s="121" t="s">
        <v>726</v>
      </c>
      <c r="E16" s="121" t="s">
        <v>727</v>
      </c>
      <c r="F16" s="121" t="s">
        <v>680</v>
      </c>
      <c r="G16" s="121" t="s">
        <v>728</v>
      </c>
      <c r="H16" s="121"/>
      <c r="I16" s="56"/>
      <c r="J16" s="56"/>
      <c r="K16" s="57"/>
    </row>
    <row r="17" spans="1:11">
      <c r="A17" s="159"/>
      <c r="B17" s="121"/>
      <c r="C17" s="121"/>
      <c r="D17" s="121"/>
      <c r="E17" s="121"/>
      <c r="F17" s="121"/>
      <c r="G17" s="121"/>
      <c r="H17" s="55"/>
      <c r="I17" s="56"/>
      <c r="J17" s="56"/>
      <c r="K17" s="57"/>
    </row>
    <row r="18" spans="1:11">
      <c r="A18" s="58"/>
      <c r="B18" s="56"/>
      <c r="C18" s="56"/>
      <c r="D18" s="56"/>
      <c r="E18" s="56"/>
      <c r="F18" s="56"/>
      <c r="G18" s="56"/>
      <c r="H18" s="55"/>
      <c r="I18" s="56"/>
      <c r="J18" s="56"/>
      <c r="K18" s="57"/>
    </row>
    <row r="19" spans="1:11">
      <c r="A19" s="58"/>
      <c r="B19" s="56"/>
      <c r="C19" s="56"/>
      <c r="D19" s="56"/>
      <c r="E19" s="56"/>
      <c r="F19" s="56"/>
      <c r="G19" s="56"/>
      <c r="H19" s="55"/>
      <c r="I19" s="56"/>
      <c r="J19" s="56"/>
      <c r="K19" s="57"/>
    </row>
    <row r="20" spans="1:11">
      <c r="A20" s="58"/>
      <c r="B20" s="56"/>
      <c r="C20" s="56"/>
      <c r="D20" s="56"/>
      <c r="E20" s="56"/>
      <c r="F20" s="56"/>
      <c r="G20" s="56"/>
      <c r="H20" s="55"/>
      <c r="I20" s="56"/>
      <c r="J20" s="56"/>
      <c r="K20" s="57"/>
    </row>
    <row r="21" spans="1:11" s="38" customFormat="1">
      <c r="A21" s="160" t="str">
        <f>C4</f>
        <v>YANN</v>
      </c>
      <c r="B21" s="148">
        <f>A16</f>
        <v>41282.864583333336</v>
      </c>
      <c r="C21" s="149"/>
      <c r="D21" s="149" t="str">
        <f>C16</f>
        <v>Bradford City - Aston Villa</v>
      </c>
      <c r="E21" s="149" t="str">
        <f>D16</f>
        <v>1 2 spécial (mise remboursée si la rencontre se termine par un match nul dans le temps réglementaire)</v>
      </c>
      <c r="F21" s="149" t="str">
        <f>E16</f>
        <v>Bradford City</v>
      </c>
      <c r="G21" s="149"/>
      <c r="H21" s="150" t="str">
        <f>B12</f>
        <v>2,70</v>
      </c>
      <c r="I21" s="148">
        <f>B11</f>
        <v>41282.726388888892</v>
      </c>
      <c r="J21" s="151" t="str">
        <f>G4</f>
        <v>RUGBY</v>
      </c>
      <c r="K21" s="161" t="str">
        <f>B13</f>
        <v>5,00</v>
      </c>
    </row>
    <row r="22" spans="1:11" ht="13.5" thickBot="1">
      <c r="A22" s="52"/>
      <c r="B22" s="53"/>
      <c r="C22" s="53"/>
      <c r="D22" s="53"/>
      <c r="E22" s="53"/>
      <c r="F22" s="53"/>
      <c r="G22" s="53"/>
      <c r="H22" s="43"/>
      <c r="I22" s="53"/>
      <c r="J22" s="53"/>
      <c r="K22" s="54"/>
    </row>
    <row r="24" spans="1:11">
      <c r="B24" s="37"/>
      <c r="I24" s="37"/>
    </row>
    <row r="25" spans="1:11">
      <c r="A25" s="38"/>
      <c r="B25" s="11" t="s">
        <v>743</v>
      </c>
    </row>
    <row r="26" spans="1:11">
      <c r="A26" s="38"/>
    </row>
    <row r="27" spans="1:11">
      <c r="A27" s="38"/>
    </row>
    <row r="29" spans="1:11">
      <c r="C29" s="34"/>
      <c r="D29" s="3"/>
    </row>
    <row r="31" spans="1:11">
      <c r="F31" s="11"/>
    </row>
  </sheetData>
  <conditionalFormatting sqref="C29 F31">
    <cfRule type="containsText" dxfId="22" priority="5" operator="containsText" text="PERDU">
      <formula>NOT(ISERROR(SEARCH("PERDU",C29)))</formula>
    </cfRule>
    <cfRule type="containsText" dxfId="21" priority="6" operator="containsText" text="BON">
      <formula>NOT(ISERROR(SEARCH("BON",C29)))</formula>
    </cfRule>
  </conditionalFormatting>
  <conditionalFormatting sqref="B25">
    <cfRule type="containsText" dxfId="20" priority="1" operator="containsText" text="PERDU">
      <formula>NOT(ISERROR(SEARCH("PERDU",B25)))</formula>
    </cfRule>
    <cfRule type="containsText" dxfId="19" priority="2" operator="containsText" text="BON">
      <formula>NOT(ISERROR(SEARCH("BON",B25)))</formula>
    </cfRule>
  </conditionalFormatting>
  <dataValidations count="3">
    <dataValidation type="list" allowBlank="1" showInputMessage="1" showErrorMessage="1" sqref="D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IZ65539">
      <formula1>$O$3:$O$8</formula1>
    </dataValidation>
    <dataValidation type="list" allowBlank="1" showInputMessage="1" showErrorMessage="1" sqref="C4">
      <formula1>$M$1:$M$7</formula1>
    </dataValidation>
    <dataValidation type="list" allowBlank="1" showInputMessage="1" showErrorMessage="1" sqref="G4">
      <formula1>$O$1:$O$8</formula1>
    </dataValidation>
  </dataValidations>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2:J31"/>
  <sheetViews>
    <sheetView topLeftCell="A7" workbookViewId="0">
      <selection activeCell="K35" sqref="K35"/>
    </sheetView>
  </sheetViews>
  <sheetFormatPr baseColWidth="10" defaultRowHeight="11.25"/>
  <cols>
    <col min="3" max="3" width="6.25" bestFit="1" customWidth="1"/>
    <col min="4" max="4" width="5.375" style="91" bestFit="1" customWidth="1"/>
    <col min="5" max="5" width="7.125" style="91" bestFit="1" customWidth="1"/>
    <col min="6" max="6" width="6" style="91" bestFit="1" customWidth="1"/>
    <col min="7" max="7" width="11" style="2"/>
    <col min="8" max="8" width="4" hidden="1" customWidth="1"/>
    <col min="9" max="9" width="4.875" hidden="1" customWidth="1"/>
    <col min="10" max="10" width="5.375" bestFit="1" customWidth="1"/>
  </cols>
  <sheetData>
    <row r="2" spans="1:10" s="63" customFormat="1" ht="12" thickBot="1">
      <c r="C2" s="63" t="s">
        <v>749</v>
      </c>
      <c r="D2" s="182" t="s">
        <v>746</v>
      </c>
      <c r="E2" s="182" t="s">
        <v>750</v>
      </c>
      <c r="F2" s="182" t="s">
        <v>745</v>
      </c>
      <c r="G2" s="190" t="s">
        <v>747</v>
      </c>
      <c r="J2" s="182" t="s">
        <v>748</v>
      </c>
    </row>
    <row r="3" spans="1:10">
      <c r="A3" s="196" t="s">
        <v>2</v>
      </c>
      <c r="B3" s="179" t="s">
        <v>5</v>
      </c>
      <c r="C3" s="183">
        <v>-5</v>
      </c>
      <c r="D3" s="184">
        <v>1.35</v>
      </c>
      <c r="E3" s="172"/>
      <c r="F3" s="184">
        <v>-20</v>
      </c>
      <c r="G3" s="191"/>
      <c r="H3" s="153"/>
      <c r="I3" s="153"/>
      <c r="J3" s="173"/>
    </row>
    <row r="4" spans="1:10">
      <c r="A4" s="197"/>
      <c r="B4" s="180" t="s">
        <v>7</v>
      </c>
      <c r="C4" s="185">
        <v>-4</v>
      </c>
      <c r="D4" s="186">
        <v>1.44</v>
      </c>
      <c r="E4" s="174"/>
      <c r="F4" s="186">
        <v>2.1999999999999993</v>
      </c>
      <c r="G4" s="192"/>
      <c r="H4" s="120"/>
      <c r="I4" s="120"/>
      <c r="J4" s="175"/>
    </row>
    <row r="5" spans="1:10">
      <c r="A5" s="197"/>
      <c r="B5" s="180" t="s">
        <v>7</v>
      </c>
      <c r="C5" s="185">
        <v>-3</v>
      </c>
      <c r="D5" s="186">
        <v>1.67</v>
      </c>
      <c r="E5" s="174"/>
      <c r="F5" s="186">
        <v>3.3499999999999996</v>
      </c>
      <c r="G5" s="192"/>
      <c r="H5" s="120"/>
      <c r="I5" s="120"/>
      <c r="J5" s="175"/>
    </row>
    <row r="6" spans="1:10">
      <c r="A6" s="197"/>
      <c r="B6" s="180" t="s">
        <v>7</v>
      </c>
      <c r="C6" s="185">
        <v>-2</v>
      </c>
      <c r="D6" s="186">
        <v>1.4</v>
      </c>
      <c r="E6" s="174"/>
      <c r="F6" s="186">
        <v>2</v>
      </c>
      <c r="G6" s="192"/>
      <c r="H6" s="120"/>
      <c r="I6" s="120"/>
      <c r="J6" s="175"/>
    </row>
    <row r="7" spans="1:10" ht="12" thickBot="1">
      <c r="A7" s="195"/>
      <c r="B7" s="181" t="s">
        <v>5</v>
      </c>
      <c r="C7" s="187">
        <v>-1</v>
      </c>
      <c r="D7" s="188">
        <v>2.95</v>
      </c>
      <c r="E7" s="177">
        <f>AVERAGE(D3:D7)</f>
        <v>1.7619999999999998</v>
      </c>
      <c r="F7" s="188">
        <v>-5</v>
      </c>
      <c r="G7" s="193">
        <f>F3+F4+F5+F6+F7</f>
        <v>-17.450000000000003</v>
      </c>
      <c r="H7" s="176" t="str">
        <f>IF(G7=MAX(G3:G29),"TOP"," ")</f>
        <v xml:space="preserve"> </v>
      </c>
      <c r="I7" s="176" t="str">
        <f>IF(G7=MIN(G3:G29),"FLOP"," ")</f>
        <v>FLOP</v>
      </c>
      <c r="J7" s="178" t="str">
        <f>CONCATENATE(H7,I7)</f>
        <v xml:space="preserve"> FLOP</v>
      </c>
    </row>
    <row r="8" spans="1:10">
      <c r="A8" s="196" t="s">
        <v>468</v>
      </c>
      <c r="B8" s="179" t="s">
        <v>5</v>
      </c>
      <c r="C8" s="183">
        <v>-5</v>
      </c>
      <c r="D8" s="184">
        <v>1.22</v>
      </c>
      <c r="E8" s="172"/>
      <c r="F8" s="184">
        <v>-3.5</v>
      </c>
      <c r="G8" s="191"/>
      <c r="H8" s="153"/>
      <c r="I8" s="153"/>
      <c r="J8" s="173"/>
    </row>
    <row r="9" spans="1:10">
      <c r="A9" s="197" t="s">
        <v>468</v>
      </c>
      <c r="B9" s="180" t="s">
        <v>7</v>
      </c>
      <c r="C9" s="185">
        <v>-4</v>
      </c>
      <c r="D9" s="186">
        <v>1.33</v>
      </c>
      <c r="E9" s="174"/>
      <c r="F9" s="186">
        <v>1.6500000000000004</v>
      </c>
      <c r="G9" s="192"/>
      <c r="H9" s="120"/>
      <c r="I9" s="120"/>
      <c r="J9" s="175"/>
    </row>
    <row r="10" spans="1:10">
      <c r="A10" s="197" t="s">
        <v>468</v>
      </c>
      <c r="B10" s="180" t="s">
        <v>7</v>
      </c>
      <c r="C10" s="185">
        <v>-3</v>
      </c>
      <c r="D10" s="186">
        <v>1.72</v>
      </c>
      <c r="E10" s="174"/>
      <c r="F10" s="186">
        <v>3.5999999999999996</v>
      </c>
      <c r="G10" s="192"/>
      <c r="H10" s="120"/>
      <c r="I10" s="120"/>
      <c r="J10" s="175"/>
    </row>
    <row r="11" spans="1:10">
      <c r="A11" s="197" t="s">
        <v>468</v>
      </c>
      <c r="B11" s="180" t="s">
        <v>7</v>
      </c>
      <c r="C11" s="185">
        <v>-2</v>
      </c>
      <c r="D11" s="186">
        <v>1.33</v>
      </c>
      <c r="E11" s="174"/>
      <c r="F11" s="186">
        <v>1.6500000000000004</v>
      </c>
      <c r="G11" s="192"/>
      <c r="H11" s="120"/>
      <c r="I11" s="120"/>
      <c r="J11" s="175"/>
    </row>
    <row r="12" spans="1:10" ht="12" thickBot="1">
      <c r="A12" s="195" t="s">
        <v>468</v>
      </c>
      <c r="B12" s="181" t="s">
        <v>7</v>
      </c>
      <c r="C12" s="187">
        <v>-1</v>
      </c>
      <c r="D12" s="188">
        <v>3.75</v>
      </c>
      <c r="E12" s="177">
        <f>AVERAGE(D8:D12)</f>
        <v>1.8699999999999999</v>
      </c>
      <c r="F12" s="188">
        <v>13.75</v>
      </c>
      <c r="G12" s="193">
        <f>F8+F9+F10+F11+F12</f>
        <v>17.149999999999999</v>
      </c>
      <c r="H12" s="176" t="str">
        <f>IF(G12=MAX(G3:G29),"TOP"," ")</f>
        <v>TOP</v>
      </c>
      <c r="I12" s="176" t="str">
        <f>IF(G12=MIN(G3:G29),"FLOP"," ")</f>
        <v xml:space="preserve"> </v>
      </c>
      <c r="J12" s="178" t="str">
        <f>CONCATENATE(H12,I12)</f>
        <v xml:space="preserve">TOP </v>
      </c>
    </row>
    <row r="13" spans="1:10">
      <c r="A13" s="196" t="s">
        <v>58</v>
      </c>
      <c r="B13" s="179" t="s">
        <v>7</v>
      </c>
      <c r="C13" s="183">
        <v>-5</v>
      </c>
      <c r="D13" s="184">
        <v>2.1</v>
      </c>
      <c r="E13" s="172"/>
      <c r="F13" s="184">
        <v>5.5</v>
      </c>
      <c r="G13" s="191"/>
      <c r="H13" s="153"/>
      <c r="I13" s="153"/>
      <c r="J13" s="173"/>
    </row>
    <row r="14" spans="1:10">
      <c r="A14" s="197" t="s">
        <v>58</v>
      </c>
      <c r="B14" s="180" t="s">
        <v>7</v>
      </c>
      <c r="C14" s="185">
        <v>-4</v>
      </c>
      <c r="D14" s="186">
        <v>1.23</v>
      </c>
      <c r="E14" s="174"/>
      <c r="F14" s="186">
        <v>1.1500000000000004</v>
      </c>
      <c r="G14" s="192"/>
      <c r="H14" s="120"/>
      <c r="I14" s="120"/>
      <c r="J14" s="175"/>
    </row>
    <row r="15" spans="1:10">
      <c r="A15" s="197" t="s">
        <v>58</v>
      </c>
      <c r="B15" s="180" t="s">
        <v>7</v>
      </c>
      <c r="C15" s="185">
        <v>-3</v>
      </c>
      <c r="D15" s="186">
        <v>1.6</v>
      </c>
      <c r="E15" s="174"/>
      <c r="F15" s="186">
        <v>3</v>
      </c>
      <c r="G15" s="192"/>
      <c r="H15" s="120"/>
      <c r="I15" s="120"/>
      <c r="J15" s="175"/>
    </row>
    <row r="16" spans="1:10">
      <c r="A16" s="197" t="s">
        <v>58</v>
      </c>
      <c r="B16" s="180" t="s">
        <v>7</v>
      </c>
      <c r="C16" s="185">
        <v>-2</v>
      </c>
      <c r="D16" s="186">
        <v>1.22</v>
      </c>
      <c r="E16" s="174"/>
      <c r="F16" s="186">
        <v>1.0999999999999996</v>
      </c>
      <c r="G16" s="192"/>
      <c r="H16" s="120"/>
      <c r="I16" s="120"/>
      <c r="J16" s="175"/>
    </row>
    <row r="17" spans="1:10" ht="12" thickBot="1">
      <c r="A17" s="195" t="s">
        <v>58</v>
      </c>
      <c r="B17" s="181" t="s">
        <v>5</v>
      </c>
      <c r="C17" s="187">
        <v>-1</v>
      </c>
      <c r="D17" s="188">
        <v>2.0499999999999998</v>
      </c>
      <c r="E17" s="177">
        <f>AVERAGE(D13:D17)</f>
        <v>1.64</v>
      </c>
      <c r="F17" s="188">
        <v>-5</v>
      </c>
      <c r="G17" s="193">
        <f>F13+F14+F15+F16+F17</f>
        <v>5.75</v>
      </c>
      <c r="H17" s="176" t="str">
        <f>IF(G17=MAX(G3:G29),"TOP"," ")</f>
        <v xml:space="preserve"> </v>
      </c>
      <c r="I17" s="176" t="str">
        <f>IF(G17=MIN(G3:G29),"FLOP"," ")</f>
        <v xml:space="preserve"> </v>
      </c>
      <c r="J17" s="178" t="str">
        <f>CONCATENATE(H17,I17)</f>
        <v xml:space="preserve">  </v>
      </c>
    </row>
    <row r="18" spans="1:10">
      <c r="A18" s="196" t="s">
        <v>67</v>
      </c>
      <c r="B18" s="179" t="s">
        <v>7</v>
      </c>
      <c r="C18" s="183">
        <v>-1</v>
      </c>
      <c r="D18" s="184">
        <v>1.4</v>
      </c>
      <c r="E18" s="172"/>
      <c r="F18" s="184">
        <v>-5</v>
      </c>
      <c r="G18" s="191"/>
      <c r="H18" s="153"/>
      <c r="I18" s="153"/>
      <c r="J18" s="173"/>
    </row>
    <row r="19" spans="1:10">
      <c r="A19" s="197" t="s">
        <v>67</v>
      </c>
      <c r="B19" s="180" t="s">
        <v>5</v>
      </c>
      <c r="C19" s="185">
        <v>-2</v>
      </c>
      <c r="D19" s="186">
        <v>4.4000000000000004</v>
      </c>
      <c r="E19" s="174"/>
      <c r="F19" s="186">
        <v>1.25</v>
      </c>
      <c r="G19" s="192"/>
      <c r="H19" s="120"/>
      <c r="I19" s="120"/>
      <c r="J19" s="175"/>
    </row>
    <row r="20" spans="1:10">
      <c r="A20" s="197" t="s">
        <v>67</v>
      </c>
      <c r="B20" s="180" t="s">
        <v>7</v>
      </c>
      <c r="C20" s="185">
        <v>-3</v>
      </c>
      <c r="D20" s="186">
        <v>2</v>
      </c>
      <c r="E20" s="174"/>
      <c r="F20" s="186">
        <v>5</v>
      </c>
      <c r="G20" s="192"/>
      <c r="H20" s="120"/>
      <c r="I20" s="120"/>
      <c r="J20" s="175"/>
    </row>
    <row r="21" spans="1:10">
      <c r="A21" s="197" t="s">
        <v>67</v>
      </c>
      <c r="B21" s="180" t="s">
        <v>7</v>
      </c>
      <c r="C21" s="185">
        <v>-4</v>
      </c>
      <c r="D21" s="186">
        <v>1.25</v>
      </c>
      <c r="E21" s="174"/>
      <c r="F21" s="186">
        <v>-5</v>
      </c>
      <c r="G21" s="192"/>
      <c r="H21" s="120"/>
      <c r="I21" s="120"/>
      <c r="J21" s="175"/>
    </row>
    <row r="22" spans="1:10" ht="12" thickBot="1">
      <c r="A22" s="195" t="s">
        <v>67</v>
      </c>
      <c r="B22" s="181" t="s">
        <v>5</v>
      </c>
      <c r="C22" s="187">
        <v>-5</v>
      </c>
      <c r="D22" s="188">
        <v>1.53</v>
      </c>
      <c r="E22" s="177">
        <f>AVERAGE(D18:D22)</f>
        <v>2.1160000000000001</v>
      </c>
      <c r="F22" s="188">
        <v>2</v>
      </c>
      <c r="G22" s="193">
        <f>F18+F19+F20+F21+F22</f>
        <v>-1.75</v>
      </c>
      <c r="H22" s="176" t="str">
        <f>IF(G22=MAX(G3:G29),"TOP"," ")</f>
        <v xml:space="preserve"> </v>
      </c>
      <c r="I22" s="176" t="str">
        <f>IF(G22=MIN(G3:G29),"FLOP"," ")</f>
        <v xml:space="preserve"> </v>
      </c>
      <c r="J22" s="178" t="str">
        <f>CONCATENATE(H22,I22)</f>
        <v xml:space="preserve">  </v>
      </c>
    </row>
    <row r="23" spans="1:10">
      <c r="A23" s="196" t="s">
        <v>8</v>
      </c>
      <c r="B23" s="179" t="s">
        <v>5</v>
      </c>
      <c r="C23" s="183">
        <v>-5</v>
      </c>
      <c r="D23" s="184">
        <v>1.7</v>
      </c>
      <c r="E23" s="172"/>
      <c r="F23" s="184">
        <v>-5</v>
      </c>
      <c r="G23" s="191"/>
      <c r="H23" s="153"/>
      <c r="I23" s="153"/>
      <c r="J23" s="173"/>
    </row>
    <row r="24" spans="1:10">
      <c r="A24" s="197" t="s">
        <v>8</v>
      </c>
      <c r="B24" s="180" t="s">
        <v>7</v>
      </c>
      <c r="C24" s="185">
        <v>-4</v>
      </c>
      <c r="D24" s="186">
        <v>1.87</v>
      </c>
      <c r="E24" s="174"/>
      <c r="F24" s="186">
        <v>4.3500000000000014</v>
      </c>
      <c r="G24" s="192"/>
      <c r="H24" s="120"/>
      <c r="I24" s="120"/>
      <c r="J24" s="175"/>
    </row>
    <row r="25" spans="1:10">
      <c r="A25" s="197" t="s">
        <v>8</v>
      </c>
      <c r="B25" s="180" t="s">
        <v>5</v>
      </c>
      <c r="C25" s="185">
        <v>-3</v>
      </c>
      <c r="D25" s="186">
        <v>36</v>
      </c>
      <c r="E25" s="174"/>
      <c r="F25" s="186">
        <v>-2</v>
      </c>
      <c r="G25" s="192"/>
      <c r="H25" s="120"/>
      <c r="I25" s="120"/>
      <c r="J25" s="175"/>
    </row>
    <row r="26" spans="1:10">
      <c r="A26" s="197" t="s">
        <v>8</v>
      </c>
      <c r="B26" s="180" t="s">
        <v>7</v>
      </c>
      <c r="C26" s="185">
        <v>-2</v>
      </c>
      <c r="D26" s="186">
        <v>2.7</v>
      </c>
      <c r="E26" s="174"/>
      <c r="F26" s="186">
        <v>8.5</v>
      </c>
      <c r="G26" s="192"/>
      <c r="H26" s="120"/>
      <c r="I26" s="120"/>
      <c r="J26" s="175"/>
    </row>
    <row r="27" spans="1:10" ht="12" thickBot="1">
      <c r="A27" s="195" t="s">
        <v>8</v>
      </c>
      <c r="B27" s="181" t="s">
        <v>5</v>
      </c>
      <c r="C27" s="187">
        <v>-1</v>
      </c>
      <c r="D27" s="188">
        <v>1.7</v>
      </c>
      <c r="E27" s="177">
        <f>AVERAGE(D23:D27)</f>
        <v>8.7940000000000005</v>
      </c>
      <c r="F27" s="188">
        <v>-5</v>
      </c>
      <c r="G27" s="193">
        <f>F23+F24+F25+F26+F27</f>
        <v>0.85000000000000142</v>
      </c>
      <c r="H27" s="176" t="str">
        <f>IF(G27=MAX(G3:G29),"TO¨P"," ")</f>
        <v xml:space="preserve"> </v>
      </c>
      <c r="I27" s="176" t="str">
        <f>IF(G27=MIN(G3:G29),"FLOP"," ")</f>
        <v xml:space="preserve"> </v>
      </c>
      <c r="J27" s="178" t="str">
        <f>CONCATENATE(H27,I27)</f>
        <v xml:space="preserve">  </v>
      </c>
    </row>
    <row r="28" spans="1:10">
      <c r="A28" s="194" t="s">
        <v>383</v>
      </c>
      <c r="B28" s="179" t="s">
        <v>5</v>
      </c>
      <c r="C28" s="183">
        <v>-1</v>
      </c>
      <c r="D28" s="184">
        <v>6</v>
      </c>
      <c r="E28" s="172"/>
      <c r="F28" s="184">
        <v>-1</v>
      </c>
      <c r="G28" s="191"/>
      <c r="H28" s="153"/>
      <c r="I28" s="153"/>
      <c r="J28" s="173"/>
    </row>
    <row r="29" spans="1:10" ht="12" thickBot="1">
      <c r="A29" s="195"/>
      <c r="B29" s="181" t="s">
        <v>5</v>
      </c>
      <c r="C29" s="187">
        <v>-2</v>
      </c>
      <c r="D29" s="188">
        <v>4.0999999999999996</v>
      </c>
      <c r="E29" s="177">
        <f>AVERAGE(D28:D29)</f>
        <v>5.05</v>
      </c>
      <c r="F29" s="188">
        <v>-1</v>
      </c>
      <c r="G29" s="193">
        <f>F28+F29</f>
        <v>-2</v>
      </c>
      <c r="H29" s="176" t="str">
        <f>IF(G29=MAX(G3:G29),"ok"," ")</f>
        <v xml:space="preserve"> </v>
      </c>
      <c r="I29" s="176" t="str">
        <f>IF(G29=MIN(G3:G29),"FLOP"," ")</f>
        <v xml:space="preserve"> </v>
      </c>
      <c r="J29" s="178" t="str">
        <f>CONCATENATE(H29,I29)</f>
        <v xml:space="preserve">  </v>
      </c>
    </row>
    <row r="31" spans="1:10">
      <c r="B31" s="189" t="s">
        <v>751</v>
      </c>
      <c r="D31" s="189" t="s">
        <v>752</v>
      </c>
      <c r="F31" s="189" t="s">
        <v>753</v>
      </c>
    </row>
  </sheetData>
  <sortState ref="A28:E32">
    <sortCondition ref="C28:C32"/>
  </sortState>
  <mergeCells count="6">
    <mergeCell ref="A28:A29"/>
    <mergeCell ref="A3:A7"/>
    <mergeCell ref="A8:A12"/>
    <mergeCell ref="A13:A17"/>
    <mergeCell ref="A18:A22"/>
    <mergeCell ref="A23:A27"/>
  </mergeCells>
  <conditionalFormatting sqref="J1:J1048576">
    <cfRule type="containsText" dxfId="18" priority="3" operator="containsText" text="TOP">
      <formula>NOT(ISERROR(SEARCH("TOP",J1)))</formula>
    </cfRule>
    <cfRule type="containsText" dxfId="17" priority="4" operator="containsText" text="FLOP">
      <formula>NOT(ISERROR(SEARCH("FLOP",J1)))</formula>
    </cfRule>
  </conditionalFormatting>
  <conditionalFormatting sqref="B1:B30 B32:B1048576">
    <cfRule type="containsText" dxfId="16" priority="1" operator="containsText" text="PERDU">
      <formula>NOT(ISERROR(SEARCH("PERDU",B1)))</formula>
    </cfRule>
    <cfRule type="containsText" dxfId="15" priority="2" operator="containsText" text="BON">
      <formula>NOT(ISERROR(SEARCH("BON",B1)))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1"/>
  <dimension ref="A1:AA424"/>
  <sheetViews>
    <sheetView tabSelected="1" zoomScale="90" zoomScaleNormal="90" workbookViewId="0">
      <pane ySplit="1" topLeftCell="A32" activePane="bottomLeft" state="frozen"/>
      <selection pane="bottomLeft" activeCell="A45" sqref="A45"/>
    </sheetView>
  </sheetViews>
  <sheetFormatPr baseColWidth="10" defaultColWidth="11" defaultRowHeight="11.25" outlineLevelCol="1"/>
  <cols>
    <col min="1" max="1" width="10.125" style="108" bestFit="1" customWidth="1"/>
    <col min="2" max="2" width="15.75" style="109" bestFit="1" customWidth="1"/>
    <col min="3" max="3" width="7.875" style="108" hidden="1" customWidth="1"/>
    <col min="4" max="4" width="29.75" style="108" customWidth="1"/>
    <col min="5" max="5" width="17.625" style="109" customWidth="1"/>
    <col min="6" max="6" width="27.5" style="109" customWidth="1"/>
    <col min="7" max="7" width="7.875" style="109" hidden="1" customWidth="1"/>
    <col min="8" max="8" width="6.5" style="110" bestFit="1" customWidth="1"/>
    <col min="9" max="9" width="16" style="109" bestFit="1" customWidth="1"/>
    <col min="10" max="10" width="10.875" style="109" bestFit="1" customWidth="1"/>
    <col min="11" max="11" width="7" style="6" customWidth="1"/>
    <col min="12" max="12" width="9.375" style="10" bestFit="1" customWidth="1"/>
    <col min="13" max="16" width="15.5" style="6" hidden="1" customWidth="1" outlineLevel="1"/>
    <col min="17" max="17" width="9.5" style="6" hidden="1" customWidth="1" outlineLevel="1"/>
    <col min="18" max="18" width="11" style="30" hidden="1" customWidth="1" outlineLevel="1"/>
    <col min="19" max="19" width="7.25" style="4" customWidth="1" collapsed="1"/>
    <col min="20" max="20" width="10" style="13" bestFit="1" customWidth="1"/>
    <col min="21" max="21" width="8.375" style="13" bestFit="1" customWidth="1"/>
    <col min="22" max="22" width="10.75" style="13" bestFit="1" customWidth="1"/>
    <col min="23" max="23" width="8.375" style="13" bestFit="1" customWidth="1"/>
    <col min="24" max="25" width="8.375" style="13" customWidth="1"/>
    <col min="26" max="26" width="10.25" style="13" bestFit="1" customWidth="1"/>
    <col min="27" max="16384" width="11" style="1"/>
  </cols>
  <sheetData>
    <row r="1" spans="1:26" ht="24">
      <c r="A1" s="108" t="s">
        <v>0</v>
      </c>
      <c r="B1" s="109" t="s">
        <v>26</v>
      </c>
      <c r="C1" s="109" t="s">
        <v>389</v>
      </c>
      <c r="D1" s="108" t="s">
        <v>21</v>
      </c>
      <c r="E1" s="109" t="s">
        <v>22</v>
      </c>
      <c r="F1" s="109" t="s">
        <v>23</v>
      </c>
      <c r="G1" s="109" t="s">
        <v>389</v>
      </c>
      <c r="H1" s="110" t="s">
        <v>24</v>
      </c>
      <c r="I1" s="109" t="s">
        <v>40</v>
      </c>
      <c r="J1" s="109" t="s">
        <v>28</v>
      </c>
      <c r="K1" s="39" t="s">
        <v>25</v>
      </c>
      <c r="L1" s="9" t="s">
        <v>35</v>
      </c>
      <c r="M1" s="6" t="s">
        <v>36</v>
      </c>
      <c r="N1" s="4" t="s">
        <v>7</v>
      </c>
      <c r="O1" s="4" t="s">
        <v>5</v>
      </c>
      <c r="P1" s="4" t="s">
        <v>561</v>
      </c>
      <c r="Q1" s="6" t="s">
        <v>220</v>
      </c>
      <c r="R1" s="30" t="s">
        <v>18</v>
      </c>
      <c r="S1" s="4" t="s">
        <v>1</v>
      </c>
      <c r="T1" s="20" t="s">
        <v>99</v>
      </c>
      <c r="U1" s="20" t="s">
        <v>100</v>
      </c>
      <c r="V1" s="20" t="s">
        <v>101</v>
      </c>
      <c r="W1" s="20" t="s">
        <v>102</v>
      </c>
      <c r="X1" s="20" t="s">
        <v>388</v>
      </c>
      <c r="Y1" s="20" t="s">
        <v>487</v>
      </c>
      <c r="Z1" s="20" t="s">
        <v>103</v>
      </c>
    </row>
    <row r="2" spans="1:26" ht="11.25" customHeight="1">
      <c r="A2" s="111"/>
      <c r="D2" s="108" t="s">
        <v>64</v>
      </c>
      <c r="I2" s="112">
        <v>41240.59375</v>
      </c>
      <c r="N2" s="6">
        <f>IF(L2="BON",1,0)</f>
        <v>0</v>
      </c>
      <c r="O2" s="6">
        <f>IF(L2="PERDU",1,0)</f>
        <v>0</v>
      </c>
      <c r="P2" s="6">
        <f t="shared" ref="P2:P65" si="0">IF(M2&gt;L2,1,0)</f>
        <v>0</v>
      </c>
      <c r="S2" s="4">
        <v>50</v>
      </c>
      <c r="T2" s="13">
        <v>0</v>
      </c>
      <c r="U2" s="13">
        <v>0</v>
      </c>
      <c r="V2" s="13">
        <v>0</v>
      </c>
      <c r="W2" s="13">
        <v>0</v>
      </c>
      <c r="X2" s="13">
        <v>0</v>
      </c>
      <c r="Y2" s="13">
        <v>0</v>
      </c>
      <c r="Z2" s="13">
        <v>0</v>
      </c>
    </row>
    <row r="3" spans="1:26" ht="11.25" customHeight="1">
      <c r="A3" s="111" t="s">
        <v>8</v>
      </c>
      <c r="B3" s="112">
        <v>41240.864583333336</v>
      </c>
      <c r="D3" s="108" t="s">
        <v>12</v>
      </c>
      <c r="E3" s="109" t="s">
        <v>19</v>
      </c>
      <c r="F3" s="109" t="s">
        <v>20</v>
      </c>
      <c r="H3" s="110" t="s">
        <v>390</v>
      </c>
      <c r="I3" s="112">
        <v>41240.727777777778</v>
      </c>
      <c r="J3" s="109" t="s">
        <v>3</v>
      </c>
      <c r="K3" s="6">
        <v>10</v>
      </c>
      <c r="L3" s="10" t="s">
        <v>7</v>
      </c>
      <c r="M3" s="6">
        <f t="shared" ref="M3:M27" si="1">IF(L3="PERDU",0,K3*H3)</f>
        <v>17.5</v>
      </c>
      <c r="N3" s="6">
        <f t="shared" ref="N3:N66" si="2">IF(L3="BON",1,0)</f>
        <v>1</v>
      </c>
      <c r="O3" s="6">
        <f t="shared" ref="O3:O66" si="3">IF(L3="PERDU",1,0)</f>
        <v>0</v>
      </c>
      <c r="P3" s="6">
        <f t="shared" si="0"/>
        <v>0</v>
      </c>
      <c r="Q3" s="6">
        <f>IF(L3="","non réalisé",R3)</f>
        <v>7.5</v>
      </c>
      <c r="R3" s="30">
        <f t="shared" ref="R3:R66" si="4">IF(L3=0,K3*-1,M3-K3)</f>
        <v>7.5</v>
      </c>
      <c r="S3" s="4">
        <f t="shared" ref="S3:S8" si="5">S2+M3-K3</f>
        <v>57.5</v>
      </c>
      <c r="T3" s="13">
        <v>7.5</v>
      </c>
      <c r="U3" s="13">
        <v>0</v>
      </c>
      <c r="V3" s="13">
        <v>0</v>
      </c>
      <c r="W3" s="13">
        <v>0</v>
      </c>
      <c r="X3" s="13">
        <v>0</v>
      </c>
      <c r="Y3" s="13">
        <v>0</v>
      </c>
      <c r="Z3" s="13">
        <f>+R3</f>
        <v>7.5</v>
      </c>
    </row>
    <row r="4" spans="1:26" ht="11.25" customHeight="1">
      <c r="A4" s="113" t="s">
        <v>8</v>
      </c>
      <c r="B4" s="114">
        <v>41240.875</v>
      </c>
      <c r="C4" s="115"/>
      <c r="D4" s="115" t="s">
        <v>14</v>
      </c>
      <c r="E4" s="109" t="s">
        <v>27</v>
      </c>
      <c r="F4" s="109" t="s">
        <v>15</v>
      </c>
      <c r="H4" s="110" t="s">
        <v>391</v>
      </c>
      <c r="I4" s="112">
        <v>41240.727777777778</v>
      </c>
      <c r="J4" s="109" t="s">
        <v>3</v>
      </c>
      <c r="K4" s="6">
        <v>10</v>
      </c>
      <c r="L4" s="10" t="s">
        <v>5</v>
      </c>
      <c r="M4" s="6">
        <f t="shared" si="1"/>
        <v>0</v>
      </c>
      <c r="N4" s="6">
        <f t="shared" si="2"/>
        <v>0</v>
      </c>
      <c r="O4" s="6">
        <f t="shared" si="3"/>
        <v>1</v>
      </c>
      <c r="P4" s="6">
        <f t="shared" si="0"/>
        <v>0</v>
      </c>
      <c r="Q4" s="6">
        <f t="shared" ref="Q4:Q67" si="6">IF(L4="",0,R4)</f>
        <v>-10</v>
      </c>
      <c r="R4" s="30">
        <f t="shared" si="4"/>
        <v>-10</v>
      </c>
      <c r="S4" s="4">
        <f t="shared" si="5"/>
        <v>47.5</v>
      </c>
      <c r="T4" s="14">
        <f t="shared" ref="T4:T67" si="7">IF(A4="YANN",T3+R4,T3)</f>
        <v>-2.5</v>
      </c>
      <c r="U4" s="13">
        <v>0</v>
      </c>
      <c r="V4" s="13">
        <v>0</v>
      </c>
      <c r="W4" s="13">
        <v>0</v>
      </c>
      <c r="X4" s="13">
        <v>0</v>
      </c>
      <c r="Y4" s="13">
        <v>0</v>
      </c>
      <c r="Z4" s="13">
        <f t="shared" ref="Z4:Z67" si="8">+Z3+R4</f>
        <v>-2.5</v>
      </c>
    </row>
    <row r="5" spans="1:26" ht="11.25" customHeight="1">
      <c r="A5" s="111" t="s">
        <v>8</v>
      </c>
      <c r="B5" s="112">
        <v>41240.854166666664</v>
      </c>
      <c r="D5" s="108" t="s">
        <v>10</v>
      </c>
      <c r="E5" s="109" t="s">
        <v>29</v>
      </c>
      <c r="F5" s="109" t="s">
        <v>11</v>
      </c>
      <c r="H5" s="110" t="s">
        <v>392</v>
      </c>
      <c r="I5" s="112">
        <v>41240.729861111111</v>
      </c>
      <c r="J5" s="109" t="s">
        <v>9</v>
      </c>
      <c r="K5" s="6">
        <v>5</v>
      </c>
      <c r="L5" s="10" t="s">
        <v>5</v>
      </c>
      <c r="M5" s="6">
        <f t="shared" si="1"/>
        <v>0</v>
      </c>
      <c r="N5" s="6">
        <f t="shared" si="2"/>
        <v>0</v>
      </c>
      <c r="O5" s="6">
        <f t="shared" si="3"/>
        <v>1</v>
      </c>
      <c r="P5" s="6">
        <f t="shared" si="0"/>
        <v>0</v>
      </c>
      <c r="Q5" s="6">
        <f t="shared" si="6"/>
        <v>-5</v>
      </c>
      <c r="R5" s="30">
        <f t="shared" si="4"/>
        <v>-5</v>
      </c>
      <c r="S5" s="4">
        <f t="shared" si="5"/>
        <v>42.5</v>
      </c>
      <c r="T5" s="14">
        <f t="shared" si="7"/>
        <v>-7.5</v>
      </c>
      <c r="U5" s="13">
        <v>0</v>
      </c>
      <c r="V5" s="13">
        <v>0</v>
      </c>
      <c r="W5" s="13">
        <v>0</v>
      </c>
      <c r="X5" s="13">
        <v>0</v>
      </c>
      <c r="Y5" s="13">
        <v>0</v>
      </c>
      <c r="Z5" s="13">
        <f t="shared" si="8"/>
        <v>-7.5</v>
      </c>
    </row>
    <row r="6" spans="1:26" ht="11.25" customHeight="1">
      <c r="A6" s="111" t="s">
        <v>2</v>
      </c>
      <c r="B6" s="112">
        <v>41240.833333333336</v>
      </c>
      <c r="D6" s="108" t="s">
        <v>30</v>
      </c>
      <c r="E6" s="109" t="s">
        <v>31</v>
      </c>
      <c r="F6" s="109" t="s">
        <v>6</v>
      </c>
      <c r="H6" s="110" t="s">
        <v>391</v>
      </c>
      <c r="I6" s="112">
        <v>41240.788888888892</v>
      </c>
      <c r="J6" s="109" t="s">
        <v>3</v>
      </c>
      <c r="K6" s="6">
        <v>10</v>
      </c>
      <c r="L6" s="10" t="s">
        <v>7</v>
      </c>
      <c r="M6" s="6">
        <f t="shared" si="1"/>
        <v>17</v>
      </c>
      <c r="N6" s="6">
        <f t="shared" si="2"/>
        <v>1</v>
      </c>
      <c r="O6" s="6">
        <f t="shared" si="3"/>
        <v>0</v>
      </c>
      <c r="P6" s="6">
        <f t="shared" si="0"/>
        <v>0</v>
      </c>
      <c r="Q6" s="6">
        <f t="shared" si="6"/>
        <v>7</v>
      </c>
      <c r="R6" s="30">
        <f t="shared" si="4"/>
        <v>7</v>
      </c>
      <c r="S6" s="4">
        <f t="shared" si="5"/>
        <v>49.5</v>
      </c>
      <c r="T6" s="14">
        <f t="shared" si="7"/>
        <v>-7.5</v>
      </c>
      <c r="U6" s="13">
        <v>7</v>
      </c>
      <c r="V6" s="13">
        <v>0</v>
      </c>
      <c r="W6" s="13">
        <v>0</v>
      </c>
      <c r="X6" s="13">
        <v>0</v>
      </c>
      <c r="Y6" s="13">
        <v>0</v>
      </c>
      <c r="Z6" s="13">
        <f t="shared" si="8"/>
        <v>-0.5</v>
      </c>
    </row>
    <row r="7" spans="1:26" ht="11.25" customHeight="1">
      <c r="A7" s="111" t="s">
        <v>2</v>
      </c>
      <c r="B7" s="112">
        <v>41240.8125</v>
      </c>
      <c r="D7" s="108" t="s">
        <v>32</v>
      </c>
      <c r="E7" s="109" t="s">
        <v>31</v>
      </c>
      <c r="F7" s="109" t="s">
        <v>4</v>
      </c>
      <c r="H7" s="110" t="s">
        <v>393</v>
      </c>
      <c r="I7" s="112">
        <v>41240.790972222225</v>
      </c>
      <c r="J7" s="109" t="s">
        <v>3</v>
      </c>
      <c r="K7" s="6">
        <v>10</v>
      </c>
      <c r="L7" s="10" t="s">
        <v>5</v>
      </c>
      <c r="M7" s="6">
        <f t="shared" si="1"/>
        <v>0</v>
      </c>
      <c r="N7" s="6">
        <f t="shared" si="2"/>
        <v>0</v>
      </c>
      <c r="O7" s="6">
        <f t="shared" si="3"/>
        <v>1</v>
      </c>
      <c r="P7" s="6">
        <f t="shared" si="0"/>
        <v>0</v>
      </c>
      <c r="Q7" s="6">
        <f t="shared" si="6"/>
        <v>-10</v>
      </c>
      <c r="R7" s="30">
        <f t="shared" si="4"/>
        <v>-10</v>
      </c>
      <c r="S7" s="4">
        <f t="shared" si="5"/>
        <v>39.5</v>
      </c>
      <c r="T7" s="14">
        <f t="shared" si="7"/>
        <v>-7.5</v>
      </c>
      <c r="U7" s="14">
        <f t="shared" ref="U7:U70" si="9">IF(A7="DJO",U6+R7,U6)</f>
        <v>-3</v>
      </c>
      <c r="V7" s="13">
        <v>0</v>
      </c>
      <c r="W7" s="13">
        <v>0</v>
      </c>
      <c r="X7" s="13">
        <v>0</v>
      </c>
      <c r="Y7" s="13">
        <v>0</v>
      </c>
      <c r="Z7" s="13">
        <f t="shared" si="8"/>
        <v>-10.5</v>
      </c>
    </row>
    <row r="8" spans="1:26" ht="11.25" customHeight="1">
      <c r="A8" s="111" t="s">
        <v>2</v>
      </c>
      <c r="B8" s="112">
        <v>41240.885416666664</v>
      </c>
      <c r="D8" s="108" t="s">
        <v>33</v>
      </c>
      <c r="E8" s="109" t="s">
        <v>31</v>
      </c>
      <c r="F8" s="109" t="s">
        <v>13</v>
      </c>
      <c r="H8" s="110" t="s">
        <v>394</v>
      </c>
      <c r="I8" s="112">
        <v>41240.792361111111</v>
      </c>
      <c r="J8" s="109" t="s">
        <v>3</v>
      </c>
      <c r="K8" s="6">
        <v>5</v>
      </c>
      <c r="L8" s="10" t="s">
        <v>5</v>
      </c>
      <c r="M8" s="6">
        <f t="shared" si="1"/>
        <v>0</v>
      </c>
      <c r="N8" s="6">
        <f t="shared" si="2"/>
        <v>0</v>
      </c>
      <c r="O8" s="6">
        <f t="shared" si="3"/>
        <v>1</v>
      </c>
      <c r="P8" s="6">
        <f t="shared" si="0"/>
        <v>0</v>
      </c>
      <c r="Q8" s="6">
        <f t="shared" si="6"/>
        <v>-5</v>
      </c>
      <c r="R8" s="30">
        <f t="shared" si="4"/>
        <v>-5</v>
      </c>
      <c r="S8" s="4">
        <f t="shared" si="5"/>
        <v>34.5</v>
      </c>
      <c r="T8" s="14">
        <f t="shared" si="7"/>
        <v>-7.5</v>
      </c>
      <c r="U8" s="14">
        <f t="shared" si="9"/>
        <v>-8</v>
      </c>
      <c r="V8" s="13">
        <v>0</v>
      </c>
      <c r="W8" s="13">
        <v>0</v>
      </c>
      <c r="X8" s="13">
        <v>0</v>
      </c>
      <c r="Y8" s="13">
        <v>0</v>
      </c>
      <c r="Z8" s="13">
        <f t="shared" si="8"/>
        <v>-15.5</v>
      </c>
    </row>
    <row r="9" spans="1:26" ht="11.25" customHeight="1">
      <c r="A9" s="111"/>
      <c r="B9" s="112"/>
      <c r="D9" s="108" t="s">
        <v>65</v>
      </c>
      <c r="I9" s="112">
        <v>41242.854861111111</v>
      </c>
      <c r="M9" s="6">
        <f t="shared" si="1"/>
        <v>0</v>
      </c>
      <c r="N9" s="6">
        <f t="shared" si="2"/>
        <v>0</v>
      </c>
      <c r="O9" s="6">
        <f t="shared" si="3"/>
        <v>0</v>
      </c>
      <c r="P9" s="6">
        <f t="shared" si="0"/>
        <v>0</v>
      </c>
      <c r="Q9" s="6">
        <f t="shared" si="6"/>
        <v>0</v>
      </c>
      <c r="R9" s="30">
        <f t="shared" si="4"/>
        <v>0</v>
      </c>
      <c r="S9" s="4">
        <f>S8+M9-K9+50</f>
        <v>84.5</v>
      </c>
      <c r="T9" s="14">
        <f t="shared" si="7"/>
        <v>-7.5</v>
      </c>
      <c r="U9" s="14">
        <f t="shared" si="9"/>
        <v>-8</v>
      </c>
      <c r="V9" s="13">
        <v>0</v>
      </c>
      <c r="W9" s="13">
        <v>0</v>
      </c>
      <c r="X9" s="13">
        <v>0</v>
      </c>
      <c r="Y9" s="13">
        <v>0</v>
      </c>
      <c r="Z9" s="13">
        <f t="shared" si="8"/>
        <v>-15.5</v>
      </c>
    </row>
    <row r="10" spans="1:26" ht="11.25" customHeight="1">
      <c r="A10" s="111" t="s">
        <v>2</v>
      </c>
      <c r="B10" s="112">
        <v>41243.78125</v>
      </c>
      <c r="D10" s="108" t="s">
        <v>41</v>
      </c>
      <c r="E10" s="109" t="s">
        <v>31</v>
      </c>
      <c r="F10" s="109" t="s">
        <v>42</v>
      </c>
      <c r="H10" s="110" t="s">
        <v>395</v>
      </c>
      <c r="I10" s="112">
        <v>41242.871527777781</v>
      </c>
      <c r="J10" s="109" t="s">
        <v>3</v>
      </c>
      <c r="K10" s="6">
        <v>10</v>
      </c>
      <c r="L10" s="10" t="s">
        <v>7</v>
      </c>
      <c r="M10" s="6">
        <f t="shared" si="1"/>
        <v>14.5</v>
      </c>
      <c r="N10" s="6">
        <f t="shared" si="2"/>
        <v>1</v>
      </c>
      <c r="O10" s="6">
        <f t="shared" si="3"/>
        <v>0</v>
      </c>
      <c r="P10" s="6">
        <f t="shared" si="0"/>
        <v>0</v>
      </c>
      <c r="Q10" s="6">
        <f t="shared" si="6"/>
        <v>4.5</v>
      </c>
      <c r="R10" s="30">
        <f t="shared" si="4"/>
        <v>4.5</v>
      </c>
      <c r="S10" s="4">
        <f t="shared" ref="S10:S18" si="10">IF(L10=0,S9-K10,S9+M10-K10)</f>
        <v>89</v>
      </c>
      <c r="T10" s="14">
        <f t="shared" si="7"/>
        <v>-7.5</v>
      </c>
      <c r="U10" s="14">
        <f t="shared" si="9"/>
        <v>-3.5</v>
      </c>
      <c r="V10" s="13">
        <v>0</v>
      </c>
      <c r="W10" s="13">
        <v>0</v>
      </c>
      <c r="X10" s="13">
        <v>0</v>
      </c>
      <c r="Y10" s="13">
        <v>0</v>
      </c>
      <c r="Z10" s="13">
        <f t="shared" si="8"/>
        <v>-11</v>
      </c>
    </row>
    <row r="11" spans="1:26" ht="11.25" customHeight="1">
      <c r="A11" s="111" t="s">
        <v>2</v>
      </c>
      <c r="B11" s="112">
        <v>41244.833333333336</v>
      </c>
      <c r="D11" s="108" t="s">
        <v>43</v>
      </c>
      <c r="E11" s="109" t="s">
        <v>31</v>
      </c>
      <c r="F11" s="109" t="s">
        <v>44</v>
      </c>
      <c r="H11" s="110" t="s">
        <v>396</v>
      </c>
      <c r="I11" s="112">
        <v>41242.875</v>
      </c>
      <c r="J11" s="109" t="s">
        <v>3</v>
      </c>
      <c r="K11" s="6">
        <v>10</v>
      </c>
      <c r="L11" s="10" t="s">
        <v>5</v>
      </c>
      <c r="M11" s="6">
        <f t="shared" si="1"/>
        <v>0</v>
      </c>
      <c r="N11" s="6">
        <f t="shared" si="2"/>
        <v>0</v>
      </c>
      <c r="O11" s="6">
        <f t="shared" si="3"/>
        <v>1</v>
      </c>
      <c r="P11" s="6">
        <f t="shared" si="0"/>
        <v>0</v>
      </c>
      <c r="Q11" s="6">
        <f t="shared" si="6"/>
        <v>-10</v>
      </c>
      <c r="R11" s="30">
        <f t="shared" si="4"/>
        <v>-10</v>
      </c>
      <c r="S11" s="4">
        <f t="shared" si="10"/>
        <v>79</v>
      </c>
      <c r="T11" s="14">
        <f t="shared" si="7"/>
        <v>-7.5</v>
      </c>
      <c r="U11" s="14">
        <f t="shared" si="9"/>
        <v>-13.5</v>
      </c>
      <c r="V11" s="13">
        <v>0</v>
      </c>
      <c r="W11" s="13">
        <v>0</v>
      </c>
      <c r="X11" s="13">
        <v>0</v>
      </c>
      <c r="Y11" s="13">
        <v>0</v>
      </c>
      <c r="Z11" s="13">
        <f t="shared" si="8"/>
        <v>-21</v>
      </c>
    </row>
    <row r="12" spans="1:26" ht="12" customHeight="1">
      <c r="A12" s="111" t="s">
        <v>2</v>
      </c>
      <c r="B12" s="112">
        <v>41244.833333333336</v>
      </c>
      <c r="D12" s="108" t="s">
        <v>45</v>
      </c>
      <c r="E12" s="109" t="s">
        <v>31</v>
      </c>
      <c r="F12" s="109" t="s">
        <v>46</v>
      </c>
      <c r="H12" s="110" t="s">
        <v>397</v>
      </c>
      <c r="I12" s="112">
        <v>41242.876388888886</v>
      </c>
      <c r="J12" s="109" t="s">
        <v>3</v>
      </c>
      <c r="K12" s="6">
        <v>10</v>
      </c>
      <c r="L12" s="10" t="s">
        <v>5</v>
      </c>
      <c r="M12" s="6">
        <f t="shared" si="1"/>
        <v>0</v>
      </c>
      <c r="N12" s="6">
        <f t="shared" si="2"/>
        <v>0</v>
      </c>
      <c r="O12" s="6">
        <f t="shared" si="3"/>
        <v>1</v>
      </c>
      <c r="P12" s="6">
        <f t="shared" si="0"/>
        <v>0</v>
      </c>
      <c r="Q12" s="6">
        <f t="shared" si="6"/>
        <v>-10</v>
      </c>
      <c r="R12" s="30">
        <f t="shared" si="4"/>
        <v>-10</v>
      </c>
      <c r="S12" s="4">
        <f t="shared" si="10"/>
        <v>69</v>
      </c>
      <c r="T12" s="14">
        <f t="shared" si="7"/>
        <v>-7.5</v>
      </c>
      <c r="U12" s="14">
        <f t="shared" si="9"/>
        <v>-23.5</v>
      </c>
      <c r="V12" s="13">
        <v>0</v>
      </c>
      <c r="W12" s="13">
        <v>0</v>
      </c>
      <c r="X12" s="13">
        <v>0</v>
      </c>
      <c r="Y12" s="13">
        <v>0</v>
      </c>
      <c r="Z12" s="13">
        <f t="shared" si="8"/>
        <v>-31</v>
      </c>
    </row>
    <row r="13" spans="1:26" ht="11.25" customHeight="1">
      <c r="A13" s="111" t="s">
        <v>8</v>
      </c>
      <c r="B13" s="112">
        <v>41244.833333333336</v>
      </c>
      <c r="D13" s="108" t="s">
        <v>47</v>
      </c>
      <c r="E13" s="109" t="s">
        <v>31</v>
      </c>
      <c r="F13" s="109">
        <v>1</v>
      </c>
      <c r="H13" s="110" t="s">
        <v>398</v>
      </c>
      <c r="I13" s="112">
        <v>41243.738194444442</v>
      </c>
      <c r="J13" s="109" t="s">
        <v>48</v>
      </c>
      <c r="K13" s="6">
        <v>5</v>
      </c>
      <c r="L13" s="10" t="s">
        <v>5</v>
      </c>
      <c r="M13" s="6">
        <f t="shared" si="1"/>
        <v>0</v>
      </c>
      <c r="N13" s="6">
        <f t="shared" si="2"/>
        <v>0</v>
      </c>
      <c r="O13" s="6">
        <f t="shared" si="3"/>
        <v>1</v>
      </c>
      <c r="P13" s="6">
        <f t="shared" si="0"/>
        <v>0</v>
      </c>
      <c r="Q13" s="6">
        <f t="shared" si="6"/>
        <v>-5</v>
      </c>
      <c r="R13" s="30">
        <f t="shared" si="4"/>
        <v>-5</v>
      </c>
      <c r="S13" s="4">
        <f t="shared" si="10"/>
        <v>64</v>
      </c>
      <c r="T13" s="14">
        <f t="shared" si="7"/>
        <v>-12.5</v>
      </c>
      <c r="U13" s="14">
        <f t="shared" si="9"/>
        <v>-23.5</v>
      </c>
      <c r="V13" s="13">
        <v>0</v>
      </c>
      <c r="W13" s="13">
        <v>0</v>
      </c>
      <c r="X13" s="13">
        <v>0</v>
      </c>
      <c r="Y13" s="13">
        <v>0</v>
      </c>
      <c r="Z13" s="13">
        <f t="shared" si="8"/>
        <v>-36</v>
      </c>
    </row>
    <row r="14" spans="1:26" ht="11.25" customHeight="1">
      <c r="A14" s="111" t="s">
        <v>8</v>
      </c>
      <c r="B14" s="112">
        <v>41244.833333333336</v>
      </c>
      <c r="D14" s="108" t="s">
        <v>49</v>
      </c>
      <c r="E14" s="109" t="s">
        <v>31</v>
      </c>
      <c r="F14" s="109" t="s">
        <v>44</v>
      </c>
      <c r="H14" s="110" t="s">
        <v>396</v>
      </c>
      <c r="I14" s="112">
        <v>41243.740972222222</v>
      </c>
      <c r="J14" s="109" t="s">
        <v>3</v>
      </c>
      <c r="K14" s="6">
        <v>5</v>
      </c>
      <c r="L14" s="10" t="s">
        <v>5</v>
      </c>
      <c r="M14" s="6">
        <f t="shared" si="1"/>
        <v>0</v>
      </c>
      <c r="N14" s="6">
        <f t="shared" si="2"/>
        <v>0</v>
      </c>
      <c r="O14" s="6">
        <f t="shared" si="3"/>
        <v>1</v>
      </c>
      <c r="P14" s="6">
        <f t="shared" si="0"/>
        <v>0</v>
      </c>
      <c r="Q14" s="6">
        <f t="shared" si="6"/>
        <v>-5</v>
      </c>
      <c r="R14" s="30">
        <f t="shared" si="4"/>
        <v>-5</v>
      </c>
      <c r="S14" s="4">
        <f t="shared" si="10"/>
        <v>59</v>
      </c>
      <c r="T14" s="14">
        <f t="shared" si="7"/>
        <v>-17.5</v>
      </c>
      <c r="U14" s="14">
        <f t="shared" si="9"/>
        <v>-23.5</v>
      </c>
      <c r="V14" s="13">
        <v>0</v>
      </c>
      <c r="W14" s="13">
        <v>0</v>
      </c>
      <c r="X14" s="13">
        <v>0</v>
      </c>
      <c r="Y14" s="13">
        <v>0</v>
      </c>
      <c r="Z14" s="13">
        <f t="shared" si="8"/>
        <v>-41</v>
      </c>
    </row>
    <row r="15" spans="1:26" ht="11.25" customHeight="1">
      <c r="A15" s="111" t="s">
        <v>8</v>
      </c>
      <c r="B15" s="112">
        <v>41244.833333333336</v>
      </c>
      <c r="D15" s="108" t="s">
        <v>50</v>
      </c>
      <c r="E15" s="109" t="s">
        <v>31</v>
      </c>
      <c r="F15" s="109" t="s">
        <v>46</v>
      </c>
      <c r="H15" s="110" t="s">
        <v>397</v>
      </c>
      <c r="I15" s="112">
        <v>41243.740972222222</v>
      </c>
      <c r="J15" s="109" t="s">
        <v>3</v>
      </c>
      <c r="K15" s="6">
        <v>5</v>
      </c>
      <c r="L15" s="10" t="s">
        <v>5</v>
      </c>
      <c r="M15" s="6">
        <f t="shared" si="1"/>
        <v>0</v>
      </c>
      <c r="N15" s="6">
        <f t="shared" si="2"/>
        <v>0</v>
      </c>
      <c r="O15" s="6">
        <f t="shared" si="3"/>
        <v>1</v>
      </c>
      <c r="P15" s="6">
        <f t="shared" si="0"/>
        <v>0</v>
      </c>
      <c r="Q15" s="6">
        <f t="shared" si="6"/>
        <v>-5</v>
      </c>
      <c r="R15" s="30">
        <f t="shared" si="4"/>
        <v>-5</v>
      </c>
      <c r="S15" s="4">
        <f t="shared" si="10"/>
        <v>54</v>
      </c>
      <c r="T15" s="14">
        <f t="shared" si="7"/>
        <v>-22.5</v>
      </c>
      <c r="U15" s="14">
        <f t="shared" si="9"/>
        <v>-23.5</v>
      </c>
      <c r="V15" s="13">
        <v>0</v>
      </c>
      <c r="W15" s="13">
        <v>0</v>
      </c>
      <c r="X15" s="13">
        <v>0</v>
      </c>
      <c r="Y15" s="13">
        <v>0</v>
      </c>
      <c r="Z15" s="13">
        <f t="shared" si="8"/>
        <v>-46</v>
      </c>
    </row>
    <row r="16" spans="1:26" ht="11.25" customHeight="1">
      <c r="A16" s="111" t="s">
        <v>8</v>
      </c>
      <c r="B16" s="112">
        <v>41243.78125</v>
      </c>
      <c r="D16" s="108" t="s">
        <v>51</v>
      </c>
      <c r="E16" s="109" t="s">
        <v>31</v>
      </c>
      <c r="F16" s="109" t="s">
        <v>42</v>
      </c>
      <c r="H16" s="110" t="s">
        <v>393</v>
      </c>
      <c r="I16" s="112">
        <v>41243.740972222222</v>
      </c>
      <c r="J16" s="109" t="s">
        <v>3</v>
      </c>
      <c r="K16" s="6">
        <v>5</v>
      </c>
      <c r="L16" s="10" t="s">
        <v>7</v>
      </c>
      <c r="M16" s="6">
        <f t="shared" si="1"/>
        <v>7.1</v>
      </c>
      <c r="N16" s="6">
        <f t="shared" si="2"/>
        <v>1</v>
      </c>
      <c r="O16" s="6">
        <f t="shared" si="3"/>
        <v>0</v>
      </c>
      <c r="P16" s="6">
        <f t="shared" si="0"/>
        <v>0</v>
      </c>
      <c r="Q16" s="6">
        <f t="shared" si="6"/>
        <v>2.0999999999999996</v>
      </c>
      <c r="R16" s="30">
        <f t="shared" si="4"/>
        <v>2.0999999999999996</v>
      </c>
      <c r="S16" s="4">
        <f t="shared" si="10"/>
        <v>56.1</v>
      </c>
      <c r="T16" s="14">
        <f t="shared" si="7"/>
        <v>-20.399999999999999</v>
      </c>
      <c r="U16" s="14">
        <f t="shared" si="9"/>
        <v>-23.5</v>
      </c>
      <c r="V16" s="13">
        <v>0</v>
      </c>
      <c r="W16" s="13">
        <v>0</v>
      </c>
      <c r="X16" s="13">
        <v>0</v>
      </c>
      <c r="Y16" s="13">
        <v>0</v>
      </c>
      <c r="Z16" s="13">
        <f t="shared" si="8"/>
        <v>-43.9</v>
      </c>
    </row>
    <row r="17" spans="1:26" ht="11.25" customHeight="1">
      <c r="A17" s="111" t="s">
        <v>8</v>
      </c>
      <c r="B17" s="112">
        <v>41243.836805555555</v>
      </c>
      <c r="D17" s="108" t="s">
        <v>52</v>
      </c>
      <c r="E17" s="109" t="s">
        <v>31</v>
      </c>
      <c r="F17" s="109" t="s">
        <v>54</v>
      </c>
      <c r="H17" s="110" t="s">
        <v>399</v>
      </c>
      <c r="I17" s="112">
        <v>41243.740972222222</v>
      </c>
      <c r="J17" s="109" t="s">
        <v>53</v>
      </c>
      <c r="K17" s="6">
        <v>5</v>
      </c>
      <c r="L17" s="10" t="s">
        <v>5</v>
      </c>
      <c r="M17" s="6">
        <f t="shared" si="1"/>
        <v>0</v>
      </c>
      <c r="N17" s="6">
        <f t="shared" si="2"/>
        <v>0</v>
      </c>
      <c r="O17" s="6">
        <f t="shared" si="3"/>
        <v>1</v>
      </c>
      <c r="P17" s="6">
        <f t="shared" si="0"/>
        <v>0</v>
      </c>
      <c r="Q17" s="6">
        <f t="shared" si="6"/>
        <v>-5</v>
      </c>
      <c r="R17" s="30">
        <f t="shared" si="4"/>
        <v>-5</v>
      </c>
      <c r="S17" s="4">
        <f t="shared" si="10"/>
        <v>51.1</v>
      </c>
      <c r="T17" s="14">
        <f t="shared" si="7"/>
        <v>-25.4</v>
      </c>
      <c r="U17" s="14">
        <f t="shared" si="9"/>
        <v>-23.5</v>
      </c>
      <c r="V17" s="13">
        <v>0</v>
      </c>
      <c r="W17" s="13">
        <v>0</v>
      </c>
      <c r="X17" s="13">
        <v>0</v>
      </c>
      <c r="Y17" s="13">
        <v>0</v>
      </c>
      <c r="Z17" s="13">
        <f t="shared" si="8"/>
        <v>-48.9</v>
      </c>
    </row>
    <row r="18" spans="1:26" ht="11.25" customHeight="1">
      <c r="A18" s="111" t="s">
        <v>8</v>
      </c>
      <c r="B18" s="112">
        <v>41243.868055555555</v>
      </c>
      <c r="D18" s="108" t="s">
        <v>55</v>
      </c>
      <c r="E18" s="109" t="s">
        <v>56</v>
      </c>
      <c r="F18" s="109" t="s">
        <v>57</v>
      </c>
      <c r="H18" s="110">
        <v>7</v>
      </c>
      <c r="I18" s="112">
        <v>41243.740972222222</v>
      </c>
      <c r="J18" s="109" t="s">
        <v>53</v>
      </c>
      <c r="K18" s="6">
        <v>5</v>
      </c>
      <c r="L18" s="10" t="s">
        <v>5</v>
      </c>
      <c r="M18" s="6">
        <f t="shared" si="1"/>
        <v>0</v>
      </c>
      <c r="N18" s="6">
        <f t="shared" si="2"/>
        <v>0</v>
      </c>
      <c r="O18" s="6">
        <f t="shared" si="3"/>
        <v>1</v>
      </c>
      <c r="P18" s="6">
        <f t="shared" si="0"/>
        <v>0</v>
      </c>
      <c r="Q18" s="6">
        <f t="shared" si="6"/>
        <v>-5</v>
      </c>
      <c r="R18" s="30">
        <f t="shared" si="4"/>
        <v>-5</v>
      </c>
      <c r="S18" s="4">
        <f t="shared" si="10"/>
        <v>46.1</v>
      </c>
      <c r="T18" s="14">
        <f t="shared" si="7"/>
        <v>-30.4</v>
      </c>
      <c r="U18" s="14">
        <f t="shared" si="9"/>
        <v>-23.5</v>
      </c>
      <c r="V18" s="13">
        <v>0</v>
      </c>
      <c r="W18" s="13">
        <v>0</v>
      </c>
      <c r="X18" s="13">
        <v>0</v>
      </c>
      <c r="Y18" s="13">
        <v>0</v>
      </c>
      <c r="Z18" s="13">
        <f t="shared" si="8"/>
        <v>-53.9</v>
      </c>
    </row>
    <row r="19" spans="1:26" ht="12" customHeight="1">
      <c r="A19" s="111"/>
      <c r="B19" s="112"/>
      <c r="D19" s="108" t="s">
        <v>66</v>
      </c>
      <c r="I19" s="112">
        <v>41243.978472222225</v>
      </c>
      <c r="M19" s="6">
        <f t="shared" si="1"/>
        <v>0</v>
      </c>
      <c r="N19" s="6">
        <f t="shared" si="2"/>
        <v>0</v>
      </c>
      <c r="O19" s="6">
        <f t="shared" si="3"/>
        <v>0</v>
      </c>
      <c r="P19" s="6">
        <f t="shared" si="0"/>
        <v>0</v>
      </c>
      <c r="Q19" s="6">
        <f t="shared" si="6"/>
        <v>0</v>
      </c>
      <c r="R19" s="30">
        <f t="shared" si="4"/>
        <v>0</v>
      </c>
      <c r="S19" s="4">
        <f>IF(L19=0,S18-K19,S18+M19-K19)+50</f>
        <v>96.1</v>
      </c>
      <c r="T19" s="14">
        <f t="shared" si="7"/>
        <v>-30.4</v>
      </c>
      <c r="U19" s="14">
        <f t="shared" si="9"/>
        <v>-23.5</v>
      </c>
      <c r="V19" s="13">
        <v>0</v>
      </c>
      <c r="W19" s="13">
        <v>0</v>
      </c>
      <c r="X19" s="13">
        <v>0</v>
      </c>
      <c r="Y19" s="13">
        <v>0</v>
      </c>
      <c r="Z19" s="13">
        <f t="shared" si="8"/>
        <v>-53.9</v>
      </c>
    </row>
    <row r="20" spans="1:26" ht="11.25" customHeight="1">
      <c r="A20" s="111" t="s">
        <v>58</v>
      </c>
      <c r="B20" s="112">
        <v>41248.864583333336</v>
      </c>
      <c r="D20" s="108" t="s">
        <v>59</v>
      </c>
      <c r="E20" s="109" t="s">
        <v>31</v>
      </c>
      <c r="F20" s="109" t="s">
        <v>60</v>
      </c>
      <c r="H20" s="110" t="s">
        <v>397</v>
      </c>
      <c r="I20" s="112">
        <v>41243.98541666667</v>
      </c>
      <c r="J20" s="109" t="s">
        <v>3</v>
      </c>
      <c r="K20" s="6">
        <v>5</v>
      </c>
      <c r="L20" s="10" t="s">
        <v>5</v>
      </c>
      <c r="M20" s="6">
        <f t="shared" si="1"/>
        <v>0</v>
      </c>
      <c r="N20" s="6">
        <f t="shared" si="2"/>
        <v>0</v>
      </c>
      <c r="O20" s="6">
        <f t="shared" si="3"/>
        <v>1</v>
      </c>
      <c r="P20" s="6">
        <f t="shared" si="0"/>
        <v>0</v>
      </c>
      <c r="Q20" s="6">
        <f t="shared" si="6"/>
        <v>-5</v>
      </c>
      <c r="R20" s="30">
        <f t="shared" si="4"/>
        <v>-5</v>
      </c>
      <c r="S20" s="4">
        <f>IF(L20=0,S19-K20,S19+M20-K20)</f>
        <v>91.1</v>
      </c>
      <c r="T20" s="14">
        <f t="shared" si="7"/>
        <v>-30.4</v>
      </c>
      <c r="U20" s="14">
        <f t="shared" si="9"/>
        <v>-23.5</v>
      </c>
      <c r="V20" s="13">
        <v>-5</v>
      </c>
      <c r="W20" s="13">
        <v>0</v>
      </c>
      <c r="X20" s="13">
        <v>0</v>
      </c>
      <c r="Y20" s="13">
        <v>0</v>
      </c>
      <c r="Z20" s="13">
        <f t="shared" si="8"/>
        <v>-58.9</v>
      </c>
    </row>
    <row r="21" spans="1:26" ht="11.25" customHeight="1">
      <c r="A21" s="111" t="s">
        <v>58</v>
      </c>
      <c r="B21" s="112">
        <v>41248.864583333336</v>
      </c>
      <c r="D21" s="108" t="s">
        <v>61</v>
      </c>
      <c r="E21" s="109" t="s">
        <v>31</v>
      </c>
      <c r="F21" s="109">
        <v>1</v>
      </c>
      <c r="H21" s="110" t="s">
        <v>400</v>
      </c>
      <c r="I21" s="112">
        <v>41243.999305555553</v>
      </c>
      <c r="J21" s="109" t="s">
        <v>3</v>
      </c>
      <c r="K21" s="6">
        <v>5</v>
      </c>
      <c r="L21" s="10" t="s">
        <v>5</v>
      </c>
      <c r="M21" s="6">
        <f t="shared" si="1"/>
        <v>0</v>
      </c>
      <c r="N21" s="6">
        <f t="shared" si="2"/>
        <v>0</v>
      </c>
      <c r="O21" s="6">
        <f t="shared" si="3"/>
        <v>1</v>
      </c>
      <c r="P21" s="6">
        <f t="shared" si="0"/>
        <v>0</v>
      </c>
      <c r="Q21" s="6">
        <f t="shared" si="6"/>
        <v>-5</v>
      </c>
      <c r="R21" s="30">
        <f t="shared" si="4"/>
        <v>-5</v>
      </c>
      <c r="S21" s="4">
        <f>IF(L21=0,S20-K21,S20+M21-K21)</f>
        <v>86.1</v>
      </c>
      <c r="T21" s="14">
        <f t="shared" si="7"/>
        <v>-30.4</v>
      </c>
      <c r="U21" s="14">
        <f t="shared" si="9"/>
        <v>-23.5</v>
      </c>
      <c r="V21" s="14">
        <f t="shared" ref="V21:V84" si="11">IF(A21="PHANE",V20+R21,V20)</f>
        <v>-10</v>
      </c>
      <c r="W21" s="13">
        <v>0</v>
      </c>
      <c r="X21" s="13">
        <v>0</v>
      </c>
      <c r="Y21" s="13">
        <v>0</v>
      </c>
      <c r="Z21" s="13">
        <f t="shared" si="8"/>
        <v>-63.9</v>
      </c>
    </row>
    <row r="22" spans="1:26" ht="12" customHeight="1">
      <c r="A22" s="111" t="s">
        <v>58</v>
      </c>
      <c r="B22" s="112">
        <v>41248.864583333336</v>
      </c>
      <c r="D22" s="108" t="s">
        <v>61</v>
      </c>
      <c r="E22" s="109" t="s">
        <v>31</v>
      </c>
      <c r="F22" s="109">
        <v>1</v>
      </c>
      <c r="H22" s="110" t="s">
        <v>401</v>
      </c>
      <c r="I22" s="112">
        <v>41244.000694444447</v>
      </c>
      <c r="J22" s="109" t="s">
        <v>3</v>
      </c>
      <c r="K22" s="6">
        <v>5</v>
      </c>
      <c r="L22" s="10" t="s">
        <v>5</v>
      </c>
      <c r="M22" s="6">
        <f t="shared" si="1"/>
        <v>0</v>
      </c>
      <c r="N22" s="6">
        <f t="shared" si="2"/>
        <v>0</v>
      </c>
      <c r="O22" s="6">
        <f t="shared" si="3"/>
        <v>1</v>
      </c>
      <c r="P22" s="6">
        <f t="shared" si="0"/>
        <v>0</v>
      </c>
      <c r="Q22" s="6">
        <f t="shared" si="6"/>
        <v>-5</v>
      </c>
      <c r="R22" s="30">
        <f t="shared" si="4"/>
        <v>-5</v>
      </c>
      <c r="S22" s="4">
        <f>IF(L22=0,S21-K22,S21+M22-K22)</f>
        <v>81.099999999999994</v>
      </c>
      <c r="T22" s="14">
        <f t="shared" si="7"/>
        <v>-30.4</v>
      </c>
      <c r="U22" s="14">
        <f t="shared" si="9"/>
        <v>-23.5</v>
      </c>
      <c r="V22" s="14">
        <f t="shared" si="11"/>
        <v>-15</v>
      </c>
      <c r="W22" s="13">
        <v>0</v>
      </c>
      <c r="X22" s="13">
        <v>0</v>
      </c>
      <c r="Y22" s="13">
        <v>0</v>
      </c>
      <c r="Z22" s="13">
        <f t="shared" si="8"/>
        <v>-68.900000000000006</v>
      </c>
    </row>
    <row r="23" spans="1:26" ht="11.25" customHeight="1">
      <c r="A23" s="111" t="s">
        <v>58</v>
      </c>
      <c r="B23" s="112">
        <v>41244.833333333336</v>
      </c>
      <c r="D23" s="108" t="s">
        <v>62</v>
      </c>
      <c r="E23" s="109" t="s">
        <v>31</v>
      </c>
      <c r="F23" s="109" t="s">
        <v>63</v>
      </c>
      <c r="H23" s="110" t="s">
        <v>402</v>
      </c>
      <c r="I23" s="112">
        <v>41244.006944444445</v>
      </c>
      <c r="J23" s="109" t="s">
        <v>3</v>
      </c>
      <c r="K23" s="6">
        <v>5</v>
      </c>
      <c r="L23" s="10" t="s">
        <v>7</v>
      </c>
      <c r="M23" s="6">
        <f t="shared" si="1"/>
        <v>7.8500000000000005</v>
      </c>
      <c r="N23" s="6">
        <f t="shared" si="2"/>
        <v>1</v>
      </c>
      <c r="O23" s="6">
        <f t="shared" si="3"/>
        <v>0</v>
      </c>
      <c r="P23" s="6">
        <f t="shared" si="0"/>
        <v>0</v>
      </c>
      <c r="Q23" s="6">
        <f t="shared" si="6"/>
        <v>2.8500000000000005</v>
      </c>
      <c r="R23" s="30">
        <f t="shared" si="4"/>
        <v>2.8500000000000005</v>
      </c>
      <c r="S23" s="4">
        <f>IF(L23=0,S22-K23,S22+M23-K23)</f>
        <v>83.949999999999989</v>
      </c>
      <c r="T23" s="14">
        <f t="shared" si="7"/>
        <v>-30.4</v>
      </c>
      <c r="U23" s="14">
        <f t="shared" si="9"/>
        <v>-23.5</v>
      </c>
      <c r="V23" s="14">
        <f t="shared" si="11"/>
        <v>-12.149999999999999</v>
      </c>
      <c r="W23" s="13">
        <v>0</v>
      </c>
      <c r="X23" s="13">
        <v>0</v>
      </c>
      <c r="Y23" s="13">
        <v>0</v>
      </c>
      <c r="Z23" s="13">
        <f t="shared" si="8"/>
        <v>-66.050000000000011</v>
      </c>
    </row>
    <row r="24" spans="1:26" ht="11.25" customHeight="1">
      <c r="A24" s="111" t="s">
        <v>58</v>
      </c>
      <c r="B24" s="112">
        <v>41247.864583333336</v>
      </c>
      <c r="D24" s="108" t="s">
        <v>61</v>
      </c>
      <c r="E24" s="109" t="s">
        <v>31</v>
      </c>
      <c r="F24" s="109">
        <v>1</v>
      </c>
      <c r="H24" s="110" t="s">
        <v>403</v>
      </c>
      <c r="I24" s="112">
        <v>41244.009722222225</v>
      </c>
      <c r="J24" s="109" t="s">
        <v>3</v>
      </c>
      <c r="K24" s="6">
        <v>5</v>
      </c>
      <c r="L24" s="10" t="s">
        <v>5</v>
      </c>
      <c r="M24" s="6">
        <f t="shared" si="1"/>
        <v>0</v>
      </c>
      <c r="N24" s="6">
        <f t="shared" si="2"/>
        <v>0</v>
      </c>
      <c r="O24" s="6">
        <f t="shared" si="3"/>
        <v>1</v>
      </c>
      <c r="P24" s="6">
        <f t="shared" si="0"/>
        <v>0</v>
      </c>
      <c r="Q24" s="6">
        <f t="shared" si="6"/>
        <v>-5</v>
      </c>
      <c r="R24" s="30">
        <f t="shared" si="4"/>
        <v>-5</v>
      </c>
      <c r="S24" s="4">
        <f>IF(L24=0,S23-K24,S23+M24-K24)</f>
        <v>78.949999999999989</v>
      </c>
      <c r="T24" s="14">
        <f t="shared" si="7"/>
        <v>-30.4</v>
      </c>
      <c r="U24" s="14">
        <f t="shared" si="9"/>
        <v>-23.5</v>
      </c>
      <c r="V24" s="14">
        <f t="shared" si="11"/>
        <v>-17.149999999999999</v>
      </c>
      <c r="W24" s="13">
        <v>0</v>
      </c>
      <c r="X24" s="13">
        <v>0</v>
      </c>
      <c r="Y24" s="13">
        <v>0</v>
      </c>
      <c r="Z24" s="13">
        <f t="shared" si="8"/>
        <v>-71.050000000000011</v>
      </c>
    </row>
    <row r="25" spans="1:26" ht="11.25" customHeight="1">
      <c r="A25" s="111"/>
      <c r="B25" s="112"/>
      <c r="D25" s="108" t="s">
        <v>71</v>
      </c>
      <c r="I25" s="112">
        <v>41244.614583333336</v>
      </c>
      <c r="M25" s="6">
        <f t="shared" si="1"/>
        <v>0</v>
      </c>
      <c r="N25" s="6">
        <f t="shared" si="2"/>
        <v>0</v>
      </c>
      <c r="O25" s="6">
        <f t="shared" si="3"/>
        <v>0</v>
      </c>
      <c r="P25" s="6">
        <f t="shared" si="0"/>
        <v>0</v>
      </c>
      <c r="Q25" s="6">
        <f t="shared" si="6"/>
        <v>0</v>
      </c>
      <c r="R25" s="30">
        <f t="shared" si="4"/>
        <v>0</v>
      </c>
      <c r="S25" s="4">
        <f>IF(L25=0,S24-K25,S24+M25-K25)+50</f>
        <v>128.94999999999999</v>
      </c>
      <c r="T25" s="14">
        <f t="shared" si="7"/>
        <v>-30.4</v>
      </c>
      <c r="U25" s="14">
        <f t="shared" si="9"/>
        <v>-23.5</v>
      </c>
      <c r="V25" s="14">
        <f t="shared" si="11"/>
        <v>-17.149999999999999</v>
      </c>
      <c r="W25" s="13">
        <v>0</v>
      </c>
      <c r="X25" s="13">
        <v>0</v>
      </c>
      <c r="Y25" s="13">
        <v>0</v>
      </c>
      <c r="Z25" s="13">
        <f t="shared" si="8"/>
        <v>-71.050000000000011</v>
      </c>
    </row>
    <row r="26" spans="1:26" ht="11.25" customHeight="1">
      <c r="A26" s="111" t="s">
        <v>67</v>
      </c>
      <c r="B26" s="112">
        <v>41244.833333333336</v>
      </c>
      <c r="D26" s="108" t="s">
        <v>62</v>
      </c>
      <c r="E26" s="109" t="s">
        <v>31</v>
      </c>
      <c r="F26" s="109" t="s">
        <v>63</v>
      </c>
      <c r="H26" s="110" t="s">
        <v>404</v>
      </c>
      <c r="I26" s="112">
        <v>41244.615972222222</v>
      </c>
      <c r="J26" s="109" t="s">
        <v>3</v>
      </c>
      <c r="K26" s="6">
        <v>5</v>
      </c>
      <c r="L26" s="10" t="s">
        <v>7</v>
      </c>
      <c r="M26" s="6">
        <f t="shared" si="1"/>
        <v>7.5</v>
      </c>
      <c r="N26" s="6">
        <f t="shared" si="2"/>
        <v>1</v>
      </c>
      <c r="O26" s="6">
        <f t="shared" si="3"/>
        <v>0</v>
      </c>
      <c r="P26" s="6">
        <f t="shared" si="0"/>
        <v>0</v>
      </c>
      <c r="Q26" s="6">
        <f t="shared" si="6"/>
        <v>2.5</v>
      </c>
      <c r="R26" s="30">
        <f t="shared" si="4"/>
        <v>2.5</v>
      </c>
      <c r="S26" s="16">
        <f t="shared" ref="S26:S57" si="12">IF(L26=0,S25-K26,S25+M26-K26)</f>
        <v>131.44999999999999</v>
      </c>
      <c r="T26" s="14">
        <f t="shared" si="7"/>
        <v>-30.4</v>
      </c>
      <c r="U26" s="14">
        <f t="shared" si="9"/>
        <v>-23.5</v>
      </c>
      <c r="V26" s="14">
        <f t="shared" si="11"/>
        <v>-17.149999999999999</v>
      </c>
      <c r="W26" s="13">
        <v>2.5</v>
      </c>
      <c r="X26" s="13">
        <v>0</v>
      </c>
      <c r="Y26" s="13">
        <v>0</v>
      </c>
      <c r="Z26" s="13">
        <f t="shared" si="8"/>
        <v>-68.550000000000011</v>
      </c>
    </row>
    <row r="27" spans="1:26" ht="11.25" customHeight="1">
      <c r="A27" s="111" t="s">
        <v>67</v>
      </c>
      <c r="B27" s="112">
        <v>41247.864583333336</v>
      </c>
      <c r="D27" s="108" t="s">
        <v>68</v>
      </c>
      <c r="E27" s="109" t="s">
        <v>31</v>
      </c>
      <c r="F27" s="109" t="s">
        <v>69</v>
      </c>
      <c r="H27" s="110" t="s">
        <v>405</v>
      </c>
      <c r="I27" s="112">
        <v>41244.615972222222</v>
      </c>
      <c r="J27" s="109" t="s">
        <v>3</v>
      </c>
      <c r="K27" s="6">
        <v>5</v>
      </c>
      <c r="L27" s="10" t="s">
        <v>5</v>
      </c>
      <c r="M27" s="6">
        <f t="shared" si="1"/>
        <v>0</v>
      </c>
      <c r="N27" s="6">
        <f t="shared" si="2"/>
        <v>0</v>
      </c>
      <c r="O27" s="6">
        <f t="shared" si="3"/>
        <v>1</v>
      </c>
      <c r="P27" s="6">
        <f t="shared" si="0"/>
        <v>0</v>
      </c>
      <c r="Q27" s="6">
        <f t="shared" si="6"/>
        <v>-5</v>
      </c>
      <c r="R27" s="30">
        <f t="shared" si="4"/>
        <v>-5</v>
      </c>
      <c r="S27" s="4">
        <f t="shared" si="12"/>
        <v>126.44999999999999</v>
      </c>
      <c r="T27" s="14">
        <f t="shared" si="7"/>
        <v>-30.4</v>
      </c>
      <c r="U27" s="14">
        <f t="shared" si="9"/>
        <v>-23.5</v>
      </c>
      <c r="V27" s="14">
        <f t="shared" si="11"/>
        <v>-17.149999999999999</v>
      </c>
      <c r="W27" s="14">
        <f t="shared" ref="W27:W90" si="13">IF(A27="TOF",W26+R27,W26)</f>
        <v>-2.5</v>
      </c>
      <c r="X27" s="13">
        <v>0</v>
      </c>
      <c r="Y27" s="13">
        <v>0</v>
      </c>
      <c r="Z27" s="13">
        <f t="shared" si="8"/>
        <v>-73.550000000000011</v>
      </c>
    </row>
    <row r="28" spans="1:26" ht="11.25" customHeight="1">
      <c r="A28" s="111" t="s">
        <v>67</v>
      </c>
      <c r="B28" s="112">
        <v>41244.833333333336</v>
      </c>
      <c r="D28" s="108" t="s">
        <v>70</v>
      </c>
      <c r="E28" s="109" t="s">
        <v>31</v>
      </c>
      <c r="F28" s="109" t="s">
        <v>15</v>
      </c>
      <c r="H28" s="110" t="s">
        <v>390</v>
      </c>
      <c r="I28" s="112">
        <v>41244.615972222222</v>
      </c>
      <c r="J28" s="109" t="s">
        <v>3</v>
      </c>
      <c r="K28" s="6">
        <v>5</v>
      </c>
      <c r="L28" s="10" t="s">
        <v>5</v>
      </c>
      <c r="M28" s="6">
        <f t="shared" ref="M28:M91" si="14">IF(L28="PERDU",0,K28*H28)</f>
        <v>0</v>
      </c>
      <c r="N28" s="6">
        <f t="shared" si="2"/>
        <v>0</v>
      </c>
      <c r="O28" s="6">
        <f t="shared" si="3"/>
        <v>1</v>
      </c>
      <c r="P28" s="6">
        <f t="shared" si="0"/>
        <v>0</v>
      </c>
      <c r="Q28" s="6">
        <f t="shared" si="6"/>
        <v>-5</v>
      </c>
      <c r="R28" s="30">
        <f t="shared" si="4"/>
        <v>-5</v>
      </c>
      <c r="S28" s="4">
        <f t="shared" si="12"/>
        <v>121.44999999999999</v>
      </c>
      <c r="T28" s="14">
        <f t="shared" si="7"/>
        <v>-30.4</v>
      </c>
      <c r="U28" s="14">
        <f t="shared" si="9"/>
        <v>-23.5</v>
      </c>
      <c r="V28" s="14">
        <f t="shared" si="11"/>
        <v>-17.149999999999999</v>
      </c>
      <c r="W28" s="14">
        <f t="shared" si="13"/>
        <v>-7.5</v>
      </c>
      <c r="X28" s="13">
        <v>0</v>
      </c>
      <c r="Y28" s="13">
        <v>0</v>
      </c>
      <c r="Z28" s="13">
        <f t="shared" si="8"/>
        <v>-78.550000000000011</v>
      </c>
    </row>
    <row r="29" spans="1:26" ht="11.25" customHeight="1">
      <c r="A29" s="111" t="s">
        <v>67</v>
      </c>
      <c r="B29" s="112">
        <v>41244.833333333336</v>
      </c>
      <c r="D29" s="108" t="s">
        <v>62</v>
      </c>
      <c r="E29" s="109" t="s">
        <v>31</v>
      </c>
      <c r="F29" s="109" t="s">
        <v>63</v>
      </c>
      <c r="H29" s="110" t="s">
        <v>404</v>
      </c>
      <c r="I29" s="112">
        <v>41244.617361111108</v>
      </c>
      <c r="J29" s="109" t="s">
        <v>3</v>
      </c>
      <c r="K29" s="6">
        <v>5</v>
      </c>
      <c r="L29" s="10" t="s">
        <v>7</v>
      </c>
      <c r="M29" s="6">
        <f t="shared" si="14"/>
        <v>7.5</v>
      </c>
      <c r="N29" s="6">
        <f t="shared" si="2"/>
        <v>1</v>
      </c>
      <c r="O29" s="6">
        <f t="shared" si="3"/>
        <v>0</v>
      </c>
      <c r="P29" s="6">
        <f t="shared" si="0"/>
        <v>0</v>
      </c>
      <c r="Q29" s="6">
        <f t="shared" si="6"/>
        <v>2.5</v>
      </c>
      <c r="R29" s="30">
        <f t="shared" si="4"/>
        <v>2.5</v>
      </c>
      <c r="S29" s="4">
        <f t="shared" si="12"/>
        <v>123.94999999999999</v>
      </c>
      <c r="T29" s="14">
        <f t="shared" si="7"/>
        <v>-30.4</v>
      </c>
      <c r="U29" s="14">
        <f t="shared" si="9"/>
        <v>-23.5</v>
      </c>
      <c r="V29" s="14">
        <f t="shared" si="11"/>
        <v>-17.149999999999999</v>
      </c>
      <c r="W29" s="14">
        <f t="shared" si="13"/>
        <v>-5</v>
      </c>
      <c r="X29" s="13">
        <v>0</v>
      </c>
      <c r="Y29" s="13">
        <v>0</v>
      </c>
      <c r="Z29" s="13">
        <f t="shared" si="8"/>
        <v>-76.050000000000011</v>
      </c>
    </row>
    <row r="30" spans="1:26" ht="11.25" customHeight="1">
      <c r="A30" s="111" t="s">
        <v>67</v>
      </c>
      <c r="B30" s="112">
        <v>41247.864583333336</v>
      </c>
      <c r="D30" s="108" t="s">
        <v>68</v>
      </c>
      <c r="E30" s="109" t="s">
        <v>31</v>
      </c>
      <c r="F30" s="109" t="s">
        <v>69</v>
      </c>
      <c r="H30" s="110" t="s">
        <v>405</v>
      </c>
      <c r="I30" s="112">
        <v>41244.617361111108</v>
      </c>
      <c r="J30" s="109" t="s">
        <v>3</v>
      </c>
      <c r="K30" s="6">
        <v>5</v>
      </c>
      <c r="L30" s="10" t="s">
        <v>5</v>
      </c>
      <c r="M30" s="6">
        <f t="shared" si="14"/>
        <v>0</v>
      </c>
      <c r="N30" s="6">
        <f t="shared" si="2"/>
        <v>0</v>
      </c>
      <c r="O30" s="6">
        <f t="shared" si="3"/>
        <v>1</v>
      </c>
      <c r="P30" s="6">
        <f t="shared" si="0"/>
        <v>0</v>
      </c>
      <c r="Q30" s="6">
        <f t="shared" si="6"/>
        <v>-5</v>
      </c>
      <c r="R30" s="30">
        <f t="shared" si="4"/>
        <v>-5</v>
      </c>
      <c r="S30" s="4">
        <f t="shared" si="12"/>
        <v>118.94999999999999</v>
      </c>
      <c r="T30" s="14">
        <f t="shared" si="7"/>
        <v>-30.4</v>
      </c>
      <c r="U30" s="14">
        <f t="shared" si="9"/>
        <v>-23.5</v>
      </c>
      <c r="V30" s="14">
        <f t="shared" si="11"/>
        <v>-17.149999999999999</v>
      </c>
      <c r="W30" s="14">
        <f t="shared" si="13"/>
        <v>-10</v>
      </c>
      <c r="X30" s="13">
        <v>0</v>
      </c>
      <c r="Y30" s="13">
        <v>0</v>
      </c>
      <c r="Z30" s="13">
        <f t="shared" si="8"/>
        <v>-81.050000000000011</v>
      </c>
    </row>
    <row r="31" spans="1:26" ht="11.25" customHeight="1">
      <c r="A31" s="111" t="s">
        <v>67</v>
      </c>
      <c r="B31" s="112">
        <v>41244.833333333336</v>
      </c>
      <c r="D31" s="108" t="s">
        <v>70</v>
      </c>
      <c r="E31" s="109" t="s">
        <v>31</v>
      </c>
      <c r="F31" s="109" t="s">
        <v>15</v>
      </c>
      <c r="H31" s="110" t="s">
        <v>390</v>
      </c>
      <c r="I31" s="112">
        <v>41244.617361111108</v>
      </c>
      <c r="J31" s="109" t="s">
        <v>3</v>
      </c>
      <c r="K31" s="6">
        <v>5</v>
      </c>
      <c r="L31" s="10" t="s">
        <v>5</v>
      </c>
      <c r="M31" s="6">
        <f t="shared" si="14"/>
        <v>0</v>
      </c>
      <c r="N31" s="6">
        <f t="shared" si="2"/>
        <v>0</v>
      </c>
      <c r="O31" s="6">
        <f t="shared" si="3"/>
        <v>1</v>
      </c>
      <c r="P31" s="6">
        <f t="shared" si="0"/>
        <v>0</v>
      </c>
      <c r="Q31" s="6">
        <f t="shared" si="6"/>
        <v>-5</v>
      </c>
      <c r="R31" s="30">
        <f t="shared" si="4"/>
        <v>-5</v>
      </c>
      <c r="S31" s="4">
        <f t="shared" si="12"/>
        <v>113.94999999999999</v>
      </c>
      <c r="T31" s="14">
        <f t="shared" si="7"/>
        <v>-30.4</v>
      </c>
      <c r="U31" s="14">
        <f t="shared" si="9"/>
        <v>-23.5</v>
      </c>
      <c r="V31" s="14">
        <f t="shared" si="11"/>
        <v>-17.149999999999999</v>
      </c>
      <c r="W31" s="14">
        <f t="shared" si="13"/>
        <v>-15</v>
      </c>
      <c r="X31" s="13">
        <v>0</v>
      </c>
      <c r="Y31" s="13">
        <v>0</v>
      </c>
      <c r="Z31" s="13">
        <f t="shared" si="8"/>
        <v>-86.050000000000011</v>
      </c>
    </row>
    <row r="32" spans="1:26" ht="11.25" customHeight="1">
      <c r="A32" s="111"/>
      <c r="B32" s="112"/>
      <c r="I32" s="112"/>
      <c r="M32" s="6">
        <f t="shared" si="14"/>
        <v>0</v>
      </c>
      <c r="N32" s="6">
        <f t="shared" si="2"/>
        <v>0</v>
      </c>
      <c r="O32" s="6">
        <f t="shared" si="3"/>
        <v>0</v>
      </c>
      <c r="P32" s="6">
        <f t="shared" si="0"/>
        <v>0</v>
      </c>
      <c r="Q32" s="6">
        <f t="shared" si="6"/>
        <v>0</v>
      </c>
      <c r="R32" s="30">
        <f t="shared" si="4"/>
        <v>0</v>
      </c>
      <c r="S32" s="4">
        <f t="shared" si="12"/>
        <v>113.94999999999999</v>
      </c>
      <c r="T32" s="14">
        <f t="shared" si="7"/>
        <v>-30.4</v>
      </c>
      <c r="U32" s="14">
        <f t="shared" si="9"/>
        <v>-23.5</v>
      </c>
      <c r="V32" s="14">
        <f t="shared" si="11"/>
        <v>-17.149999999999999</v>
      </c>
      <c r="W32" s="14">
        <f t="shared" si="13"/>
        <v>-15</v>
      </c>
      <c r="X32" s="13">
        <v>0</v>
      </c>
      <c r="Y32" s="13">
        <v>0</v>
      </c>
      <c r="Z32" s="13">
        <f t="shared" si="8"/>
        <v>-86.050000000000011</v>
      </c>
    </row>
    <row r="33" spans="1:26" ht="11.25" customHeight="1">
      <c r="A33" s="111" t="s">
        <v>67</v>
      </c>
      <c r="B33" s="112">
        <v>41244.833333333336</v>
      </c>
      <c r="D33" s="108" t="s">
        <v>62</v>
      </c>
      <c r="E33" s="109" t="s">
        <v>31</v>
      </c>
      <c r="F33" s="109" t="s">
        <v>63</v>
      </c>
      <c r="H33" s="110" t="s">
        <v>404</v>
      </c>
      <c r="I33" s="112">
        <v>41244.618055555555</v>
      </c>
      <c r="J33" s="109" t="s">
        <v>3</v>
      </c>
      <c r="K33" s="6">
        <v>5</v>
      </c>
      <c r="L33" s="10" t="s">
        <v>7</v>
      </c>
      <c r="M33" s="6">
        <f t="shared" si="14"/>
        <v>7.5</v>
      </c>
      <c r="N33" s="6">
        <f t="shared" si="2"/>
        <v>1</v>
      </c>
      <c r="O33" s="6">
        <f t="shared" si="3"/>
        <v>0</v>
      </c>
      <c r="P33" s="6">
        <f t="shared" si="0"/>
        <v>0</v>
      </c>
      <c r="Q33" s="6">
        <f t="shared" si="6"/>
        <v>2.5</v>
      </c>
      <c r="R33" s="30">
        <f t="shared" si="4"/>
        <v>2.5</v>
      </c>
      <c r="S33" s="4">
        <f t="shared" si="12"/>
        <v>116.44999999999999</v>
      </c>
      <c r="T33" s="14">
        <f t="shared" si="7"/>
        <v>-30.4</v>
      </c>
      <c r="U33" s="14">
        <f t="shared" si="9"/>
        <v>-23.5</v>
      </c>
      <c r="V33" s="14">
        <f t="shared" si="11"/>
        <v>-17.149999999999999</v>
      </c>
      <c r="W33" s="14">
        <f t="shared" si="13"/>
        <v>-12.5</v>
      </c>
      <c r="X33" s="13">
        <v>0</v>
      </c>
      <c r="Y33" s="13">
        <v>0</v>
      </c>
      <c r="Z33" s="13">
        <f t="shared" si="8"/>
        <v>-83.550000000000011</v>
      </c>
    </row>
    <row r="34" spans="1:26" ht="11.25" customHeight="1">
      <c r="A34" s="111" t="s">
        <v>67</v>
      </c>
      <c r="B34" s="112">
        <v>41247.864583333336</v>
      </c>
      <c r="D34" s="108" t="s">
        <v>68</v>
      </c>
      <c r="E34" s="109" t="s">
        <v>31</v>
      </c>
      <c r="F34" s="109" t="s">
        <v>69</v>
      </c>
      <c r="H34" s="110" t="s">
        <v>405</v>
      </c>
      <c r="I34" s="112">
        <v>41244.618055555555</v>
      </c>
      <c r="J34" s="109" t="s">
        <v>3</v>
      </c>
      <c r="K34" s="6">
        <v>5</v>
      </c>
      <c r="L34" s="10" t="s">
        <v>5</v>
      </c>
      <c r="M34" s="6">
        <f t="shared" si="14"/>
        <v>0</v>
      </c>
      <c r="N34" s="6">
        <f t="shared" si="2"/>
        <v>0</v>
      </c>
      <c r="O34" s="6">
        <f t="shared" si="3"/>
        <v>1</v>
      </c>
      <c r="P34" s="6">
        <f t="shared" si="0"/>
        <v>0</v>
      </c>
      <c r="Q34" s="6">
        <f t="shared" si="6"/>
        <v>-5</v>
      </c>
      <c r="R34" s="30">
        <f t="shared" si="4"/>
        <v>-5</v>
      </c>
      <c r="S34" s="4">
        <f t="shared" si="12"/>
        <v>111.44999999999999</v>
      </c>
      <c r="T34" s="14">
        <f t="shared" si="7"/>
        <v>-30.4</v>
      </c>
      <c r="U34" s="14">
        <f t="shared" si="9"/>
        <v>-23.5</v>
      </c>
      <c r="V34" s="14">
        <f t="shared" si="11"/>
        <v>-17.149999999999999</v>
      </c>
      <c r="W34" s="14">
        <f t="shared" si="13"/>
        <v>-17.5</v>
      </c>
      <c r="X34" s="13">
        <v>0</v>
      </c>
      <c r="Y34" s="13">
        <v>0</v>
      </c>
      <c r="Z34" s="13">
        <f t="shared" si="8"/>
        <v>-88.550000000000011</v>
      </c>
    </row>
    <row r="35" spans="1:26" ht="11.25" customHeight="1">
      <c r="A35" s="111" t="s">
        <v>67</v>
      </c>
      <c r="B35" s="112">
        <v>41244.833333333336</v>
      </c>
      <c r="D35" s="108" t="s">
        <v>70</v>
      </c>
      <c r="E35" s="109" t="s">
        <v>31</v>
      </c>
      <c r="F35" s="109" t="s">
        <v>15</v>
      </c>
      <c r="H35" s="110" t="s">
        <v>390</v>
      </c>
      <c r="I35" s="112">
        <v>41244.618055555555</v>
      </c>
      <c r="J35" s="109" t="s">
        <v>3</v>
      </c>
      <c r="K35" s="6">
        <v>5</v>
      </c>
      <c r="L35" s="10" t="s">
        <v>5</v>
      </c>
      <c r="M35" s="6">
        <f t="shared" si="14"/>
        <v>0</v>
      </c>
      <c r="N35" s="6">
        <f t="shared" si="2"/>
        <v>0</v>
      </c>
      <c r="O35" s="6">
        <f t="shared" si="3"/>
        <v>1</v>
      </c>
      <c r="P35" s="6">
        <f t="shared" si="0"/>
        <v>0</v>
      </c>
      <c r="Q35" s="6">
        <f t="shared" si="6"/>
        <v>-5</v>
      </c>
      <c r="R35" s="30">
        <f t="shared" si="4"/>
        <v>-5</v>
      </c>
      <c r="S35" s="4">
        <f t="shared" si="12"/>
        <v>106.44999999999999</v>
      </c>
      <c r="T35" s="14">
        <f t="shared" si="7"/>
        <v>-30.4</v>
      </c>
      <c r="U35" s="14">
        <f t="shared" si="9"/>
        <v>-23.5</v>
      </c>
      <c r="V35" s="14">
        <f t="shared" si="11"/>
        <v>-17.149999999999999</v>
      </c>
      <c r="W35" s="14">
        <f t="shared" si="13"/>
        <v>-22.5</v>
      </c>
      <c r="X35" s="13">
        <v>0</v>
      </c>
      <c r="Y35" s="13">
        <v>0</v>
      </c>
      <c r="Z35" s="13">
        <f t="shared" si="8"/>
        <v>-93.550000000000011</v>
      </c>
    </row>
    <row r="36" spans="1:26" ht="11.25" customHeight="1">
      <c r="A36" s="111" t="s">
        <v>67</v>
      </c>
      <c r="B36" s="112">
        <v>41244.833333333336</v>
      </c>
      <c r="D36" s="108" t="s">
        <v>50</v>
      </c>
      <c r="E36" s="109" t="s">
        <v>31</v>
      </c>
      <c r="F36" s="109" t="s">
        <v>46</v>
      </c>
      <c r="H36" s="110" t="s">
        <v>406</v>
      </c>
      <c r="I36" s="112">
        <v>41244.618055555555</v>
      </c>
      <c r="J36" s="109" t="s">
        <v>3</v>
      </c>
      <c r="K36" s="6">
        <v>5</v>
      </c>
      <c r="L36" s="10" t="s">
        <v>5</v>
      </c>
      <c r="M36" s="6">
        <f t="shared" si="14"/>
        <v>0</v>
      </c>
      <c r="N36" s="6">
        <f t="shared" si="2"/>
        <v>0</v>
      </c>
      <c r="O36" s="6">
        <f t="shared" si="3"/>
        <v>1</v>
      </c>
      <c r="P36" s="6">
        <f t="shared" si="0"/>
        <v>0</v>
      </c>
      <c r="Q36" s="6">
        <f t="shared" si="6"/>
        <v>-5</v>
      </c>
      <c r="R36" s="30">
        <f t="shared" si="4"/>
        <v>-5</v>
      </c>
      <c r="S36" s="4">
        <f t="shared" si="12"/>
        <v>101.44999999999999</v>
      </c>
      <c r="T36" s="14">
        <f t="shared" si="7"/>
        <v>-30.4</v>
      </c>
      <c r="U36" s="14">
        <f t="shared" si="9"/>
        <v>-23.5</v>
      </c>
      <c r="V36" s="14">
        <f t="shared" si="11"/>
        <v>-17.149999999999999</v>
      </c>
      <c r="W36" s="14">
        <f t="shared" si="13"/>
        <v>-27.5</v>
      </c>
      <c r="X36" s="13">
        <v>0</v>
      </c>
      <c r="Y36" s="13">
        <v>0</v>
      </c>
      <c r="Z36" s="13">
        <f t="shared" si="8"/>
        <v>-98.550000000000011</v>
      </c>
    </row>
    <row r="37" spans="1:26" ht="11.25" customHeight="1">
      <c r="A37" s="111" t="s">
        <v>67</v>
      </c>
      <c r="B37" s="112">
        <v>41244.916666666664</v>
      </c>
      <c r="D37" s="108" t="s">
        <v>72</v>
      </c>
      <c r="E37" s="109" t="s">
        <v>31</v>
      </c>
      <c r="F37" s="109" t="s">
        <v>73</v>
      </c>
      <c r="H37" s="110" t="s">
        <v>397</v>
      </c>
      <c r="I37" s="112">
        <v>41244.618055555555</v>
      </c>
      <c r="J37" s="109" t="s">
        <v>3</v>
      </c>
      <c r="K37" s="6">
        <v>5</v>
      </c>
      <c r="L37" s="10" t="s">
        <v>7</v>
      </c>
      <c r="M37" s="6">
        <f t="shared" si="14"/>
        <v>7.1999999999999993</v>
      </c>
      <c r="N37" s="6">
        <f t="shared" si="2"/>
        <v>1</v>
      </c>
      <c r="O37" s="6">
        <f t="shared" si="3"/>
        <v>0</v>
      </c>
      <c r="P37" s="6">
        <f t="shared" si="0"/>
        <v>0</v>
      </c>
      <c r="Q37" s="6">
        <f t="shared" si="6"/>
        <v>2.1999999999999993</v>
      </c>
      <c r="R37" s="30">
        <f t="shared" si="4"/>
        <v>2.1999999999999993</v>
      </c>
      <c r="S37" s="4">
        <f t="shared" si="12"/>
        <v>103.64999999999999</v>
      </c>
      <c r="T37" s="14">
        <f t="shared" si="7"/>
        <v>-30.4</v>
      </c>
      <c r="U37" s="14">
        <f t="shared" si="9"/>
        <v>-23.5</v>
      </c>
      <c r="V37" s="14">
        <f t="shared" si="11"/>
        <v>-17.149999999999999</v>
      </c>
      <c r="W37" s="14">
        <f t="shared" si="13"/>
        <v>-25.3</v>
      </c>
      <c r="X37" s="13">
        <v>0</v>
      </c>
      <c r="Y37" s="13">
        <v>0</v>
      </c>
      <c r="Z37" s="13">
        <f t="shared" si="8"/>
        <v>-96.350000000000009</v>
      </c>
    </row>
    <row r="38" spans="1:26" ht="11.25" customHeight="1">
      <c r="A38" s="111" t="s">
        <v>67</v>
      </c>
      <c r="B38" s="112">
        <v>41244.916666666664</v>
      </c>
      <c r="D38" s="108" t="s">
        <v>62</v>
      </c>
      <c r="E38" s="109" t="s">
        <v>31</v>
      </c>
      <c r="F38" s="109" t="s">
        <v>63</v>
      </c>
      <c r="H38" s="110" t="s">
        <v>404</v>
      </c>
      <c r="I38" s="112">
        <v>41244.618750000001</v>
      </c>
      <c r="J38" s="109" t="s">
        <v>3</v>
      </c>
      <c r="K38" s="6">
        <v>5</v>
      </c>
      <c r="L38" s="10" t="s">
        <v>7</v>
      </c>
      <c r="M38" s="6">
        <f t="shared" si="14"/>
        <v>7.5</v>
      </c>
      <c r="N38" s="6">
        <f t="shared" si="2"/>
        <v>1</v>
      </c>
      <c r="O38" s="6">
        <f t="shared" si="3"/>
        <v>0</v>
      </c>
      <c r="P38" s="6">
        <f t="shared" si="0"/>
        <v>0</v>
      </c>
      <c r="Q38" s="6">
        <f t="shared" si="6"/>
        <v>2.5</v>
      </c>
      <c r="R38" s="30">
        <f t="shared" si="4"/>
        <v>2.5</v>
      </c>
      <c r="S38" s="4">
        <f t="shared" si="12"/>
        <v>106.14999999999999</v>
      </c>
      <c r="T38" s="14">
        <f t="shared" si="7"/>
        <v>-30.4</v>
      </c>
      <c r="U38" s="14">
        <f t="shared" si="9"/>
        <v>-23.5</v>
      </c>
      <c r="V38" s="14">
        <f t="shared" si="11"/>
        <v>-17.149999999999999</v>
      </c>
      <c r="W38" s="14">
        <f t="shared" si="13"/>
        <v>-22.8</v>
      </c>
      <c r="X38" s="13">
        <v>0</v>
      </c>
      <c r="Y38" s="13">
        <v>0</v>
      </c>
      <c r="Z38" s="13">
        <f t="shared" si="8"/>
        <v>-93.850000000000009</v>
      </c>
    </row>
    <row r="39" spans="1:26" ht="11.25" customHeight="1">
      <c r="A39" s="111" t="s">
        <v>67</v>
      </c>
      <c r="B39" s="112">
        <v>41247.864583333336</v>
      </c>
      <c r="D39" s="108" t="s">
        <v>68</v>
      </c>
      <c r="E39" s="109" t="s">
        <v>31</v>
      </c>
      <c r="F39" s="109" t="s">
        <v>69</v>
      </c>
      <c r="H39" s="110" t="s">
        <v>405</v>
      </c>
      <c r="I39" s="112">
        <v>41244.618750000001</v>
      </c>
      <c r="J39" s="109" t="s">
        <v>3</v>
      </c>
      <c r="K39" s="6">
        <v>5</v>
      </c>
      <c r="L39" s="10" t="s">
        <v>5</v>
      </c>
      <c r="M39" s="6">
        <f t="shared" si="14"/>
        <v>0</v>
      </c>
      <c r="N39" s="6">
        <f t="shared" si="2"/>
        <v>0</v>
      </c>
      <c r="O39" s="6">
        <f t="shared" si="3"/>
        <v>1</v>
      </c>
      <c r="P39" s="6">
        <f t="shared" si="0"/>
        <v>0</v>
      </c>
      <c r="Q39" s="6">
        <f t="shared" si="6"/>
        <v>-5</v>
      </c>
      <c r="R39" s="30">
        <f t="shared" si="4"/>
        <v>-5</v>
      </c>
      <c r="S39" s="4">
        <f t="shared" si="12"/>
        <v>101.14999999999999</v>
      </c>
      <c r="T39" s="14">
        <f t="shared" si="7"/>
        <v>-30.4</v>
      </c>
      <c r="U39" s="14">
        <f t="shared" si="9"/>
        <v>-23.5</v>
      </c>
      <c r="V39" s="14">
        <f t="shared" si="11"/>
        <v>-17.149999999999999</v>
      </c>
      <c r="W39" s="14">
        <f t="shared" si="13"/>
        <v>-27.8</v>
      </c>
      <c r="X39" s="13">
        <v>0</v>
      </c>
      <c r="Y39" s="13">
        <v>0</v>
      </c>
      <c r="Z39" s="13">
        <f t="shared" si="8"/>
        <v>-98.850000000000009</v>
      </c>
    </row>
    <row r="40" spans="1:26" ht="11.25" customHeight="1">
      <c r="A40" s="111" t="s">
        <v>67</v>
      </c>
      <c r="B40" s="112">
        <v>41244.833333333336</v>
      </c>
      <c r="D40" s="108" t="s">
        <v>70</v>
      </c>
      <c r="E40" s="109" t="s">
        <v>31</v>
      </c>
      <c r="F40" s="109" t="s">
        <v>15</v>
      </c>
      <c r="H40" s="110" t="s">
        <v>390</v>
      </c>
      <c r="I40" s="112">
        <v>41244.618750000001</v>
      </c>
      <c r="J40" s="109" t="s">
        <v>3</v>
      </c>
      <c r="K40" s="6">
        <v>5</v>
      </c>
      <c r="L40" s="10" t="s">
        <v>5</v>
      </c>
      <c r="M40" s="6">
        <f t="shared" si="14"/>
        <v>0</v>
      </c>
      <c r="N40" s="6">
        <f t="shared" si="2"/>
        <v>0</v>
      </c>
      <c r="O40" s="6">
        <f t="shared" si="3"/>
        <v>1</v>
      </c>
      <c r="P40" s="6">
        <f t="shared" si="0"/>
        <v>0</v>
      </c>
      <c r="Q40" s="6">
        <f t="shared" si="6"/>
        <v>-5</v>
      </c>
      <c r="R40" s="30">
        <f t="shared" si="4"/>
        <v>-5</v>
      </c>
      <c r="S40" s="4">
        <f t="shared" si="12"/>
        <v>96.149999999999991</v>
      </c>
      <c r="T40" s="14">
        <f t="shared" si="7"/>
        <v>-30.4</v>
      </c>
      <c r="U40" s="14">
        <f t="shared" si="9"/>
        <v>-23.5</v>
      </c>
      <c r="V40" s="14">
        <f t="shared" si="11"/>
        <v>-17.149999999999999</v>
      </c>
      <c r="W40" s="14">
        <f t="shared" si="13"/>
        <v>-32.799999999999997</v>
      </c>
      <c r="X40" s="13">
        <v>0</v>
      </c>
      <c r="Y40" s="13">
        <v>0</v>
      </c>
      <c r="Z40" s="13">
        <f t="shared" si="8"/>
        <v>-103.85000000000001</v>
      </c>
    </row>
    <row r="41" spans="1:26" ht="11.25" customHeight="1">
      <c r="A41" s="111" t="s">
        <v>67</v>
      </c>
      <c r="B41" s="112">
        <v>41244.833333333336</v>
      </c>
      <c r="D41" s="108" t="s">
        <v>50</v>
      </c>
      <c r="E41" s="109" t="s">
        <v>31</v>
      </c>
      <c r="F41" s="109" t="s">
        <v>46</v>
      </c>
      <c r="H41" s="110" t="s">
        <v>406</v>
      </c>
      <c r="I41" s="112">
        <v>41244.618750000001</v>
      </c>
      <c r="J41" s="109" t="s">
        <v>3</v>
      </c>
      <c r="K41" s="6">
        <v>5</v>
      </c>
      <c r="L41" s="10" t="s">
        <v>5</v>
      </c>
      <c r="M41" s="6">
        <f t="shared" si="14"/>
        <v>0</v>
      </c>
      <c r="N41" s="6">
        <f t="shared" si="2"/>
        <v>0</v>
      </c>
      <c r="O41" s="6">
        <f t="shared" si="3"/>
        <v>1</v>
      </c>
      <c r="P41" s="6">
        <f t="shared" si="0"/>
        <v>0</v>
      </c>
      <c r="Q41" s="6">
        <f t="shared" si="6"/>
        <v>-5</v>
      </c>
      <c r="R41" s="30">
        <f t="shared" si="4"/>
        <v>-5</v>
      </c>
      <c r="S41" s="4">
        <f t="shared" si="12"/>
        <v>91.149999999999991</v>
      </c>
      <c r="T41" s="14">
        <f t="shared" si="7"/>
        <v>-30.4</v>
      </c>
      <c r="U41" s="14">
        <f t="shared" si="9"/>
        <v>-23.5</v>
      </c>
      <c r="V41" s="14">
        <f t="shared" si="11"/>
        <v>-17.149999999999999</v>
      </c>
      <c r="W41" s="14">
        <f t="shared" si="13"/>
        <v>-37.799999999999997</v>
      </c>
      <c r="X41" s="13">
        <v>0</v>
      </c>
      <c r="Y41" s="13">
        <v>0</v>
      </c>
      <c r="Z41" s="13">
        <f t="shared" si="8"/>
        <v>-108.85000000000001</v>
      </c>
    </row>
    <row r="42" spans="1:26" ht="11.25" customHeight="1">
      <c r="A42" s="111" t="s">
        <v>67</v>
      </c>
      <c r="B42" s="112">
        <v>41244.916666666664</v>
      </c>
      <c r="D42" s="108" t="s">
        <v>72</v>
      </c>
      <c r="E42" s="109" t="s">
        <v>31</v>
      </c>
      <c r="F42" s="109" t="s">
        <v>73</v>
      </c>
      <c r="H42" s="110" t="s">
        <v>397</v>
      </c>
      <c r="I42" s="112">
        <v>41244.618750000001</v>
      </c>
      <c r="J42" s="109" t="s">
        <v>3</v>
      </c>
      <c r="K42" s="6">
        <v>5</v>
      </c>
      <c r="L42" s="10" t="s">
        <v>7</v>
      </c>
      <c r="M42" s="6">
        <f t="shared" si="14"/>
        <v>7.1999999999999993</v>
      </c>
      <c r="N42" s="6">
        <f t="shared" si="2"/>
        <v>1</v>
      </c>
      <c r="O42" s="6">
        <f t="shared" si="3"/>
        <v>0</v>
      </c>
      <c r="P42" s="6">
        <f t="shared" si="0"/>
        <v>0</v>
      </c>
      <c r="Q42" s="6">
        <f t="shared" si="6"/>
        <v>2.1999999999999993</v>
      </c>
      <c r="R42" s="30">
        <f t="shared" si="4"/>
        <v>2.1999999999999993</v>
      </c>
      <c r="S42" s="4">
        <f t="shared" si="12"/>
        <v>93.35</v>
      </c>
      <c r="T42" s="14">
        <f t="shared" si="7"/>
        <v>-30.4</v>
      </c>
      <c r="U42" s="14">
        <f t="shared" si="9"/>
        <v>-23.5</v>
      </c>
      <c r="V42" s="14">
        <f t="shared" si="11"/>
        <v>-17.149999999999999</v>
      </c>
      <c r="W42" s="14">
        <f t="shared" si="13"/>
        <v>-35.599999999999994</v>
      </c>
      <c r="X42" s="13">
        <v>0</v>
      </c>
      <c r="Y42" s="13">
        <v>0</v>
      </c>
      <c r="Z42" s="13">
        <f t="shared" si="8"/>
        <v>-106.65</v>
      </c>
    </row>
    <row r="43" spans="1:26" ht="11.25" customHeight="1">
      <c r="A43" s="111" t="s">
        <v>58</v>
      </c>
      <c r="B43" s="112">
        <v>41244.708333333336</v>
      </c>
      <c r="D43" s="108" t="s">
        <v>76</v>
      </c>
      <c r="E43" s="109" t="s">
        <v>31</v>
      </c>
      <c r="F43" s="109" t="s">
        <v>77</v>
      </c>
      <c r="H43" s="110" t="s">
        <v>407</v>
      </c>
      <c r="I43" s="112">
        <v>41244.65</v>
      </c>
      <c r="J43" s="109" t="s">
        <v>3</v>
      </c>
      <c r="K43" s="6">
        <v>5</v>
      </c>
      <c r="L43" s="10" t="s">
        <v>5</v>
      </c>
      <c r="M43" s="6">
        <f t="shared" si="14"/>
        <v>0</v>
      </c>
      <c r="N43" s="6">
        <f t="shared" si="2"/>
        <v>0</v>
      </c>
      <c r="O43" s="6">
        <f t="shared" si="3"/>
        <v>1</v>
      </c>
      <c r="P43" s="6">
        <f t="shared" si="0"/>
        <v>0</v>
      </c>
      <c r="Q43" s="6">
        <f t="shared" si="6"/>
        <v>-5</v>
      </c>
      <c r="R43" s="30">
        <f t="shared" si="4"/>
        <v>-5</v>
      </c>
      <c r="S43" s="4">
        <f t="shared" si="12"/>
        <v>88.35</v>
      </c>
      <c r="T43" s="14">
        <f t="shared" si="7"/>
        <v>-30.4</v>
      </c>
      <c r="U43" s="14">
        <f t="shared" si="9"/>
        <v>-23.5</v>
      </c>
      <c r="V43" s="14">
        <f t="shared" si="11"/>
        <v>-22.15</v>
      </c>
      <c r="W43" s="14">
        <f t="shared" si="13"/>
        <v>-35.599999999999994</v>
      </c>
      <c r="X43" s="13">
        <v>0</v>
      </c>
      <c r="Y43" s="13">
        <v>0</v>
      </c>
      <c r="Z43" s="13">
        <f t="shared" si="8"/>
        <v>-111.65</v>
      </c>
    </row>
    <row r="44" spans="1:26" ht="11.25" customHeight="1">
      <c r="A44" s="111" t="s">
        <v>58</v>
      </c>
      <c r="B44" s="112">
        <v>41244.708333333336</v>
      </c>
      <c r="D44" s="108" t="s">
        <v>76</v>
      </c>
      <c r="E44" s="109" t="s">
        <v>31</v>
      </c>
      <c r="F44" s="109" t="s">
        <v>77</v>
      </c>
      <c r="H44" s="110" t="s">
        <v>407</v>
      </c>
      <c r="I44" s="112">
        <v>41244.651388888888</v>
      </c>
      <c r="J44" s="109" t="s">
        <v>3</v>
      </c>
      <c r="K44" s="6">
        <v>5</v>
      </c>
      <c r="L44" s="10" t="s">
        <v>5</v>
      </c>
      <c r="M44" s="6">
        <f t="shared" si="14"/>
        <v>0</v>
      </c>
      <c r="N44" s="6">
        <f t="shared" si="2"/>
        <v>0</v>
      </c>
      <c r="O44" s="6">
        <f t="shared" si="3"/>
        <v>1</v>
      </c>
      <c r="P44" s="6">
        <f t="shared" si="0"/>
        <v>0</v>
      </c>
      <c r="Q44" s="6">
        <f t="shared" si="6"/>
        <v>-5</v>
      </c>
      <c r="R44" s="30">
        <f t="shared" si="4"/>
        <v>-5</v>
      </c>
      <c r="S44" s="4">
        <f t="shared" si="12"/>
        <v>83.35</v>
      </c>
      <c r="T44" s="14">
        <f t="shared" si="7"/>
        <v>-30.4</v>
      </c>
      <c r="U44" s="14">
        <f t="shared" si="9"/>
        <v>-23.5</v>
      </c>
      <c r="V44" s="14">
        <f t="shared" si="11"/>
        <v>-27.15</v>
      </c>
      <c r="W44" s="14">
        <f t="shared" si="13"/>
        <v>-35.599999999999994</v>
      </c>
      <c r="X44" s="13">
        <v>0</v>
      </c>
      <c r="Y44" s="13">
        <v>0</v>
      </c>
      <c r="Z44" s="13">
        <f t="shared" si="8"/>
        <v>-116.65</v>
      </c>
    </row>
    <row r="45" spans="1:26" ht="11.25" customHeight="1">
      <c r="A45" s="111" t="s">
        <v>67</v>
      </c>
      <c r="B45" s="112">
        <v>41244.833333333336</v>
      </c>
      <c r="D45" s="108" t="s">
        <v>74</v>
      </c>
      <c r="E45" s="109" t="s">
        <v>31</v>
      </c>
      <c r="F45" s="109" t="s">
        <v>75</v>
      </c>
      <c r="H45" s="110" t="s">
        <v>408</v>
      </c>
      <c r="I45" s="112">
        <v>41244.833333333336</v>
      </c>
      <c r="J45" s="109" t="s">
        <v>9</v>
      </c>
      <c r="K45" s="6">
        <v>5</v>
      </c>
      <c r="L45" s="10" t="s">
        <v>5</v>
      </c>
      <c r="M45" s="6">
        <f t="shared" si="14"/>
        <v>0</v>
      </c>
      <c r="N45" s="6">
        <f t="shared" si="2"/>
        <v>0</v>
      </c>
      <c r="O45" s="6">
        <f t="shared" si="3"/>
        <v>1</v>
      </c>
      <c r="P45" s="6">
        <f t="shared" si="0"/>
        <v>0</v>
      </c>
      <c r="Q45" s="6">
        <f t="shared" si="6"/>
        <v>-5</v>
      </c>
      <c r="R45" s="30">
        <f t="shared" si="4"/>
        <v>-5</v>
      </c>
      <c r="S45" s="4">
        <f t="shared" si="12"/>
        <v>78.349999999999994</v>
      </c>
      <c r="T45" s="14">
        <f t="shared" si="7"/>
        <v>-30.4</v>
      </c>
      <c r="U45" s="14">
        <f t="shared" si="9"/>
        <v>-23.5</v>
      </c>
      <c r="V45" s="14">
        <f t="shared" si="11"/>
        <v>-27.15</v>
      </c>
      <c r="W45" s="14">
        <f t="shared" si="13"/>
        <v>-40.599999999999994</v>
      </c>
      <c r="X45" s="13">
        <v>0</v>
      </c>
      <c r="Y45" s="13">
        <v>0</v>
      </c>
      <c r="Z45" s="13">
        <f t="shared" si="8"/>
        <v>-121.65</v>
      </c>
    </row>
    <row r="46" spans="1:26" ht="11.25" customHeight="1">
      <c r="A46" s="111" t="s">
        <v>58</v>
      </c>
      <c r="B46" s="112">
        <v>41247.864583333336</v>
      </c>
      <c r="D46" s="108" t="s">
        <v>78</v>
      </c>
      <c r="E46" s="109" t="s">
        <v>31</v>
      </c>
      <c r="F46" s="109" t="s">
        <v>15</v>
      </c>
      <c r="H46" s="110">
        <v>2</v>
      </c>
      <c r="I46" s="112">
        <v>41245.847916666666</v>
      </c>
      <c r="J46" s="109" t="s">
        <v>3</v>
      </c>
      <c r="K46" s="6">
        <v>5</v>
      </c>
      <c r="L46" s="10" t="s">
        <v>7</v>
      </c>
      <c r="M46" s="6">
        <f t="shared" si="14"/>
        <v>10</v>
      </c>
      <c r="N46" s="6">
        <f t="shared" si="2"/>
        <v>1</v>
      </c>
      <c r="O46" s="6">
        <f t="shared" si="3"/>
        <v>0</v>
      </c>
      <c r="P46" s="6">
        <f t="shared" si="0"/>
        <v>0</v>
      </c>
      <c r="Q46" s="6">
        <f t="shared" si="6"/>
        <v>5</v>
      </c>
      <c r="R46" s="30">
        <f t="shared" si="4"/>
        <v>5</v>
      </c>
      <c r="S46" s="4">
        <f t="shared" si="12"/>
        <v>83.35</v>
      </c>
      <c r="T46" s="14">
        <f t="shared" si="7"/>
        <v>-30.4</v>
      </c>
      <c r="U46" s="14">
        <f t="shared" si="9"/>
        <v>-23.5</v>
      </c>
      <c r="V46" s="14">
        <f t="shared" si="11"/>
        <v>-22.15</v>
      </c>
      <c r="W46" s="14">
        <f t="shared" si="13"/>
        <v>-40.599999999999994</v>
      </c>
      <c r="X46" s="13">
        <v>0</v>
      </c>
      <c r="Y46" s="13">
        <v>0</v>
      </c>
      <c r="Z46" s="13">
        <f t="shared" si="8"/>
        <v>-116.65</v>
      </c>
    </row>
    <row r="47" spans="1:26" ht="11.25" customHeight="1">
      <c r="A47" s="111" t="s">
        <v>58</v>
      </c>
      <c r="B47" s="112">
        <v>41247.864583333336</v>
      </c>
      <c r="D47" s="108" t="s">
        <v>79</v>
      </c>
      <c r="E47" s="109" t="s">
        <v>31</v>
      </c>
      <c r="F47" s="109" t="s">
        <v>73</v>
      </c>
      <c r="H47" s="110" t="s">
        <v>409</v>
      </c>
      <c r="I47" s="112">
        <v>41245.848611111112</v>
      </c>
      <c r="J47" s="109" t="s">
        <v>3</v>
      </c>
      <c r="K47" s="6">
        <v>5</v>
      </c>
      <c r="L47" s="10" t="s">
        <v>7</v>
      </c>
      <c r="M47" s="6">
        <f t="shared" si="14"/>
        <v>6.4</v>
      </c>
      <c r="N47" s="6">
        <f t="shared" si="2"/>
        <v>1</v>
      </c>
      <c r="O47" s="6">
        <f t="shared" si="3"/>
        <v>0</v>
      </c>
      <c r="P47" s="6">
        <f t="shared" si="0"/>
        <v>0</v>
      </c>
      <c r="Q47" s="6">
        <f t="shared" si="6"/>
        <v>1.4000000000000004</v>
      </c>
      <c r="R47" s="30">
        <f t="shared" si="4"/>
        <v>1.4000000000000004</v>
      </c>
      <c r="S47" s="4">
        <f t="shared" si="12"/>
        <v>84.75</v>
      </c>
      <c r="T47" s="14">
        <f t="shared" si="7"/>
        <v>-30.4</v>
      </c>
      <c r="U47" s="14">
        <f t="shared" si="9"/>
        <v>-23.5</v>
      </c>
      <c r="V47" s="14">
        <f t="shared" si="11"/>
        <v>-20.75</v>
      </c>
      <c r="W47" s="14">
        <f t="shared" si="13"/>
        <v>-40.599999999999994</v>
      </c>
      <c r="X47" s="13">
        <v>0</v>
      </c>
      <c r="Y47" s="13">
        <v>0</v>
      </c>
      <c r="Z47" s="13">
        <f t="shared" si="8"/>
        <v>-115.25</v>
      </c>
    </row>
    <row r="48" spans="1:26" ht="11.25" customHeight="1">
      <c r="A48" s="111" t="s">
        <v>58</v>
      </c>
      <c r="B48" s="112">
        <v>41245.875</v>
      </c>
      <c r="D48" s="108" t="s">
        <v>80</v>
      </c>
      <c r="E48" s="109" t="s">
        <v>31</v>
      </c>
      <c r="F48" s="109" t="s">
        <v>81</v>
      </c>
      <c r="H48" s="110" t="s">
        <v>410</v>
      </c>
      <c r="I48" s="112">
        <v>41245.855555555558</v>
      </c>
      <c r="J48" s="109" t="s">
        <v>3</v>
      </c>
      <c r="K48" s="6">
        <v>5</v>
      </c>
      <c r="L48" s="10" t="s">
        <v>7</v>
      </c>
      <c r="M48" s="6">
        <f t="shared" si="14"/>
        <v>13.5</v>
      </c>
      <c r="N48" s="6">
        <f t="shared" si="2"/>
        <v>1</v>
      </c>
      <c r="O48" s="6">
        <f t="shared" si="3"/>
        <v>0</v>
      </c>
      <c r="P48" s="6">
        <f t="shared" si="0"/>
        <v>0</v>
      </c>
      <c r="Q48" s="6">
        <f t="shared" si="6"/>
        <v>8.5</v>
      </c>
      <c r="R48" s="30">
        <f t="shared" si="4"/>
        <v>8.5</v>
      </c>
      <c r="S48" s="4">
        <f t="shared" si="12"/>
        <v>93.25</v>
      </c>
      <c r="T48" s="14">
        <f t="shared" si="7"/>
        <v>-30.4</v>
      </c>
      <c r="U48" s="14">
        <f t="shared" si="9"/>
        <v>-23.5</v>
      </c>
      <c r="V48" s="14">
        <f t="shared" si="11"/>
        <v>-12.25</v>
      </c>
      <c r="W48" s="14">
        <f t="shared" si="13"/>
        <v>-40.599999999999994</v>
      </c>
      <c r="X48" s="13">
        <v>0</v>
      </c>
      <c r="Y48" s="13">
        <v>0</v>
      </c>
      <c r="Z48" s="13">
        <f t="shared" si="8"/>
        <v>-106.75</v>
      </c>
    </row>
    <row r="49" spans="1:26" ht="11.25" customHeight="1">
      <c r="A49" s="111" t="s">
        <v>8</v>
      </c>
      <c r="B49" s="112">
        <v>41246.75</v>
      </c>
      <c r="D49" s="108" t="s">
        <v>82</v>
      </c>
      <c r="E49" s="109" t="s">
        <v>83</v>
      </c>
      <c r="H49" s="110" t="s">
        <v>411</v>
      </c>
      <c r="I49" s="112">
        <v>41246.723611111112</v>
      </c>
      <c r="J49" s="109" t="s">
        <v>3</v>
      </c>
      <c r="K49" s="6">
        <v>5</v>
      </c>
      <c r="L49" s="10" t="s">
        <v>7</v>
      </c>
      <c r="M49" s="6">
        <f t="shared" si="14"/>
        <v>8.6</v>
      </c>
      <c r="N49" s="6">
        <f t="shared" si="2"/>
        <v>1</v>
      </c>
      <c r="O49" s="6">
        <f t="shared" si="3"/>
        <v>0</v>
      </c>
      <c r="P49" s="6">
        <f t="shared" si="0"/>
        <v>0</v>
      </c>
      <c r="Q49" s="6">
        <f t="shared" si="6"/>
        <v>3.5999999999999996</v>
      </c>
      <c r="R49" s="30">
        <f t="shared" si="4"/>
        <v>3.5999999999999996</v>
      </c>
      <c r="S49" s="4">
        <f t="shared" si="12"/>
        <v>96.85</v>
      </c>
      <c r="T49" s="14">
        <f t="shared" si="7"/>
        <v>-26.799999999999997</v>
      </c>
      <c r="U49" s="14">
        <f t="shared" si="9"/>
        <v>-23.5</v>
      </c>
      <c r="V49" s="14">
        <f t="shared" si="11"/>
        <v>-12.25</v>
      </c>
      <c r="W49" s="14">
        <f t="shared" si="13"/>
        <v>-40.599999999999994</v>
      </c>
      <c r="X49" s="13">
        <v>0</v>
      </c>
      <c r="Y49" s="13">
        <v>0</v>
      </c>
      <c r="Z49" s="13">
        <f t="shared" si="8"/>
        <v>-103.15</v>
      </c>
    </row>
    <row r="50" spans="1:26" ht="11.25" customHeight="1">
      <c r="A50" s="111" t="s">
        <v>2</v>
      </c>
      <c r="B50" s="112">
        <v>41246.895833333336</v>
      </c>
      <c r="D50" s="108" t="s">
        <v>84</v>
      </c>
      <c r="E50" s="109" t="s">
        <v>31</v>
      </c>
      <c r="F50" s="109" t="s">
        <v>85</v>
      </c>
      <c r="H50" s="110" t="s">
        <v>412</v>
      </c>
      <c r="I50" s="112">
        <v>41246.807638888888</v>
      </c>
      <c r="J50" s="109" t="s">
        <v>3</v>
      </c>
      <c r="K50" s="6">
        <v>5</v>
      </c>
      <c r="L50" s="10" t="s">
        <v>5</v>
      </c>
      <c r="M50" s="6">
        <f t="shared" si="14"/>
        <v>0</v>
      </c>
      <c r="N50" s="6">
        <f t="shared" si="2"/>
        <v>0</v>
      </c>
      <c r="O50" s="6">
        <f t="shared" si="3"/>
        <v>1</v>
      </c>
      <c r="P50" s="6">
        <f t="shared" si="0"/>
        <v>0</v>
      </c>
      <c r="Q50" s="6">
        <f t="shared" si="6"/>
        <v>-5</v>
      </c>
      <c r="R50" s="30">
        <f t="shared" si="4"/>
        <v>-5</v>
      </c>
      <c r="S50" s="4">
        <f t="shared" si="12"/>
        <v>91.85</v>
      </c>
      <c r="T50" s="14">
        <f t="shared" si="7"/>
        <v>-26.799999999999997</v>
      </c>
      <c r="U50" s="14">
        <f t="shared" si="9"/>
        <v>-28.5</v>
      </c>
      <c r="V50" s="14">
        <f t="shared" si="11"/>
        <v>-12.25</v>
      </c>
      <c r="W50" s="14">
        <f t="shared" si="13"/>
        <v>-40.599999999999994</v>
      </c>
      <c r="X50" s="13">
        <v>0</v>
      </c>
      <c r="Y50" s="13">
        <v>0</v>
      </c>
      <c r="Z50" s="13">
        <f t="shared" si="8"/>
        <v>-108.15</v>
      </c>
    </row>
    <row r="51" spans="1:26" ht="11.25" customHeight="1">
      <c r="A51" s="111" t="s">
        <v>8</v>
      </c>
      <c r="B51" s="112">
        <v>41246.84375</v>
      </c>
      <c r="D51" s="108" t="s">
        <v>86</v>
      </c>
      <c r="E51" s="109" t="s">
        <v>31</v>
      </c>
      <c r="F51" s="109" t="s">
        <v>77</v>
      </c>
      <c r="H51" s="110" t="s">
        <v>413</v>
      </c>
      <c r="I51" s="112">
        <v>41246.807638888888</v>
      </c>
      <c r="J51" s="109" t="s">
        <v>3</v>
      </c>
      <c r="K51" s="6">
        <v>5</v>
      </c>
      <c r="L51" s="10" t="s">
        <v>5</v>
      </c>
      <c r="M51" s="6">
        <f t="shared" si="14"/>
        <v>0</v>
      </c>
      <c r="N51" s="6">
        <f t="shared" si="2"/>
        <v>0</v>
      </c>
      <c r="O51" s="6">
        <f t="shared" si="3"/>
        <v>1</v>
      </c>
      <c r="P51" s="6">
        <f t="shared" si="0"/>
        <v>0</v>
      </c>
      <c r="Q51" s="6">
        <f t="shared" si="6"/>
        <v>-5</v>
      </c>
      <c r="R51" s="30">
        <f t="shared" si="4"/>
        <v>-5</v>
      </c>
      <c r="S51" s="4">
        <f t="shared" si="12"/>
        <v>86.85</v>
      </c>
      <c r="T51" s="14">
        <f t="shared" si="7"/>
        <v>-31.799999999999997</v>
      </c>
      <c r="U51" s="14">
        <f t="shared" si="9"/>
        <v>-28.5</v>
      </c>
      <c r="V51" s="14">
        <f t="shared" si="11"/>
        <v>-12.25</v>
      </c>
      <c r="W51" s="14">
        <f t="shared" si="13"/>
        <v>-40.599999999999994</v>
      </c>
      <c r="X51" s="13">
        <v>0</v>
      </c>
      <c r="Y51" s="13">
        <v>0</v>
      </c>
      <c r="Z51" s="13">
        <f t="shared" si="8"/>
        <v>-113.15</v>
      </c>
    </row>
    <row r="52" spans="1:26" ht="11.25" customHeight="1">
      <c r="A52" s="111" t="s">
        <v>2</v>
      </c>
      <c r="B52" s="112">
        <v>41248.864583333336</v>
      </c>
      <c r="D52" s="108" t="s">
        <v>87</v>
      </c>
      <c r="E52" s="109" t="s">
        <v>31</v>
      </c>
      <c r="F52" s="109" t="s">
        <v>88</v>
      </c>
      <c r="H52" s="110" t="s">
        <v>414</v>
      </c>
      <c r="I52" s="112">
        <v>41247.814583333333</v>
      </c>
      <c r="J52" s="109" t="s">
        <v>3</v>
      </c>
      <c r="K52" s="6">
        <v>5</v>
      </c>
      <c r="L52" s="10" t="s">
        <v>7</v>
      </c>
      <c r="M52" s="6">
        <f t="shared" si="14"/>
        <v>7.65</v>
      </c>
      <c r="N52" s="6">
        <f t="shared" si="2"/>
        <v>1</v>
      </c>
      <c r="O52" s="6">
        <f t="shared" si="3"/>
        <v>0</v>
      </c>
      <c r="P52" s="6">
        <f t="shared" si="0"/>
        <v>0</v>
      </c>
      <c r="Q52" s="6">
        <f t="shared" si="6"/>
        <v>2.6500000000000004</v>
      </c>
      <c r="R52" s="30">
        <f t="shared" si="4"/>
        <v>2.6500000000000004</v>
      </c>
      <c r="S52" s="4">
        <f t="shared" si="12"/>
        <v>89.5</v>
      </c>
      <c r="T52" s="14">
        <f t="shared" si="7"/>
        <v>-31.799999999999997</v>
      </c>
      <c r="U52" s="14">
        <f t="shared" si="9"/>
        <v>-25.85</v>
      </c>
      <c r="V52" s="14">
        <f t="shared" si="11"/>
        <v>-12.25</v>
      </c>
      <c r="W52" s="14">
        <f t="shared" si="13"/>
        <v>-40.599999999999994</v>
      </c>
      <c r="X52" s="13">
        <v>0</v>
      </c>
      <c r="Y52" s="13">
        <v>0</v>
      </c>
      <c r="Z52" s="13">
        <f t="shared" si="8"/>
        <v>-110.5</v>
      </c>
    </row>
    <row r="53" spans="1:26" ht="11.25" customHeight="1">
      <c r="A53" s="111" t="s">
        <v>8</v>
      </c>
      <c r="B53" s="112">
        <v>41248.864583333336</v>
      </c>
      <c r="D53" s="108" t="s">
        <v>89</v>
      </c>
      <c r="E53" s="109" t="s">
        <v>90</v>
      </c>
      <c r="F53" s="109" t="s">
        <v>91</v>
      </c>
      <c r="H53" s="110" t="s">
        <v>415</v>
      </c>
      <c r="I53" s="112">
        <v>41248.71875</v>
      </c>
      <c r="J53" s="109" t="s">
        <v>3</v>
      </c>
      <c r="K53" s="6">
        <v>5</v>
      </c>
      <c r="L53" s="10" t="s">
        <v>7</v>
      </c>
      <c r="M53" s="6">
        <f t="shared" si="14"/>
        <v>8.35</v>
      </c>
      <c r="N53" s="6">
        <f t="shared" si="2"/>
        <v>1</v>
      </c>
      <c r="O53" s="6">
        <f t="shared" si="3"/>
        <v>0</v>
      </c>
      <c r="P53" s="6">
        <f t="shared" si="0"/>
        <v>0</v>
      </c>
      <c r="Q53" s="6">
        <f t="shared" si="6"/>
        <v>3.3499999999999996</v>
      </c>
      <c r="R53" s="30">
        <f t="shared" si="4"/>
        <v>3.3499999999999996</v>
      </c>
      <c r="S53" s="4">
        <f t="shared" si="12"/>
        <v>92.85</v>
      </c>
      <c r="T53" s="14">
        <f t="shared" si="7"/>
        <v>-28.449999999999996</v>
      </c>
      <c r="U53" s="14">
        <f t="shared" si="9"/>
        <v>-25.85</v>
      </c>
      <c r="V53" s="14">
        <f t="shared" si="11"/>
        <v>-12.25</v>
      </c>
      <c r="W53" s="14">
        <f t="shared" si="13"/>
        <v>-40.599999999999994</v>
      </c>
      <c r="X53" s="13">
        <v>0</v>
      </c>
      <c r="Y53" s="13">
        <v>0</v>
      </c>
      <c r="Z53" s="13">
        <f t="shared" si="8"/>
        <v>-107.15</v>
      </c>
    </row>
    <row r="54" spans="1:26" ht="11.25" customHeight="1">
      <c r="A54" s="111" t="s">
        <v>2</v>
      </c>
      <c r="B54" s="112">
        <v>41248.864583333336</v>
      </c>
      <c r="D54" s="108" t="s">
        <v>92</v>
      </c>
      <c r="E54" s="109" t="s">
        <v>93</v>
      </c>
      <c r="F54" s="109" t="s">
        <v>94</v>
      </c>
      <c r="H54" s="110" t="s">
        <v>416</v>
      </c>
      <c r="I54" s="112">
        <v>41248.819444444445</v>
      </c>
      <c r="J54" s="109" t="s">
        <v>3</v>
      </c>
      <c r="K54" s="6">
        <v>5</v>
      </c>
      <c r="L54" s="10" t="s">
        <v>7</v>
      </c>
      <c r="M54" s="6">
        <f t="shared" si="14"/>
        <v>6.65</v>
      </c>
      <c r="N54" s="6">
        <f t="shared" si="2"/>
        <v>1</v>
      </c>
      <c r="O54" s="6">
        <f t="shared" si="3"/>
        <v>0</v>
      </c>
      <c r="P54" s="6">
        <f t="shared" si="0"/>
        <v>0</v>
      </c>
      <c r="Q54" s="6">
        <f t="shared" si="6"/>
        <v>1.6500000000000004</v>
      </c>
      <c r="R54" s="30">
        <f t="shared" si="4"/>
        <v>1.6500000000000004</v>
      </c>
      <c r="S54" s="4">
        <f t="shared" si="12"/>
        <v>94.5</v>
      </c>
      <c r="T54" s="14">
        <f t="shared" si="7"/>
        <v>-28.449999999999996</v>
      </c>
      <c r="U54" s="14">
        <f t="shared" si="9"/>
        <v>-24.200000000000003</v>
      </c>
      <c r="V54" s="14">
        <f t="shared" si="11"/>
        <v>-12.25</v>
      </c>
      <c r="W54" s="14">
        <f t="shared" si="13"/>
        <v>-40.599999999999994</v>
      </c>
      <c r="X54" s="13">
        <v>0</v>
      </c>
      <c r="Y54" s="13">
        <v>0</v>
      </c>
      <c r="Z54" s="13">
        <f t="shared" si="8"/>
        <v>-105.5</v>
      </c>
    </row>
    <row r="55" spans="1:26" ht="11.25" customHeight="1">
      <c r="A55" s="111" t="s">
        <v>8</v>
      </c>
      <c r="B55" s="112">
        <v>41248.854166666664</v>
      </c>
      <c r="D55" s="108" t="s">
        <v>95</v>
      </c>
      <c r="E55" s="109" t="s">
        <v>97</v>
      </c>
      <c r="F55" s="109" t="s">
        <v>98</v>
      </c>
      <c r="H55" s="110" t="s">
        <v>417</v>
      </c>
      <c r="I55" s="112">
        <v>41248.839583333334</v>
      </c>
      <c r="J55" s="109" t="s">
        <v>96</v>
      </c>
      <c r="K55" s="6">
        <v>5</v>
      </c>
      <c r="L55" s="10" t="s">
        <v>5</v>
      </c>
      <c r="M55" s="6">
        <f t="shared" si="14"/>
        <v>0</v>
      </c>
      <c r="N55" s="6">
        <f t="shared" si="2"/>
        <v>0</v>
      </c>
      <c r="O55" s="6">
        <f t="shared" si="3"/>
        <v>1</v>
      </c>
      <c r="P55" s="6">
        <f t="shared" si="0"/>
        <v>0</v>
      </c>
      <c r="Q55" s="6">
        <f t="shared" si="6"/>
        <v>-5</v>
      </c>
      <c r="R55" s="30">
        <f t="shared" si="4"/>
        <v>-5</v>
      </c>
      <c r="S55" s="4">
        <f t="shared" si="12"/>
        <v>89.5</v>
      </c>
      <c r="T55" s="14">
        <f t="shared" si="7"/>
        <v>-33.449999999999996</v>
      </c>
      <c r="U55" s="14">
        <f t="shared" si="9"/>
        <v>-24.200000000000003</v>
      </c>
      <c r="V55" s="14">
        <f t="shared" si="11"/>
        <v>-12.25</v>
      </c>
      <c r="W55" s="14">
        <f t="shared" si="13"/>
        <v>-40.599999999999994</v>
      </c>
      <c r="X55" s="13">
        <v>0</v>
      </c>
      <c r="Y55" s="13">
        <v>0</v>
      </c>
      <c r="Z55" s="13">
        <f t="shared" si="8"/>
        <v>-110.5</v>
      </c>
    </row>
    <row r="56" spans="1:26" ht="11.25" customHeight="1">
      <c r="A56" s="111" t="s">
        <v>2</v>
      </c>
      <c r="B56" s="112">
        <v>41249.791666666664</v>
      </c>
      <c r="D56" s="108" t="s">
        <v>104</v>
      </c>
      <c r="E56" s="109" t="s">
        <v>31</v>
      </c>
      <c r="F56" s="109" t="s">
        <v>105</v>
      </c>
      <c r="H56" s="110" t="s">
        <v>418</v>
      </c>
      <c r="I56" s="112">
        <v>41249.732638888891</v>
      </c>
      <c r="J56" s="109" t="s">
        <v>3</v>
      </c>
      <c r="K56" s="6">
        <v>5</v>
      </c>
      <c r="L56" s="10" t="s">
        <v>7</v>
      </c>
      <c r="M56" s="6">
        <f t="shared" si="14"/>
        <v>9.3500000000000014</v>
      </c>
      <c r="N56" s="6">
        <f t="shared" si="2"/>
        <v>1</v>
      </c>
      <c r="O56" s="6">
        <f t="shared" si="3"/>
        <v>0</v>
      </c>
      <c r="P56" s="6">
        <f t="shared" si="0"/>
        <v>0</v>
      </c>
      <c r="Q56" s="6">
        <f t="shared" si="6"/>
        <v>4.3500000000000014</v>
      </c>
      <c r="R56" s="30">
        <f t="shared" si="4"/>
        <v>4.3500000000000014</v>
      </c>
      <c r="S56" s="4">
        <f t="shared" si="12"/>
        <v>93.85</v>
      </c>
      <c r="T56" s="14">
        <f t="shared" si="7"/>
        <v>-33.449999999999996</v>
      </c>
      <c r="U56" s="14">
        <f t="shared" si="9"/>
        <v>-19.850000000000001</v>
      </c>
      <c r="V56" s="14">
        <f t="shared" si="11"/>
        <v>-12.25</v>
      </c>
      <c r="W56" s="14">
        <f t="shared" si="13"/>
        <v>-40.599999999999994</v>
      </c>
      <c r="X56" s="13">
        <v>0</v>
      </c>
      <c r="Y56" s="13">
        <v>0</v>
      </c>
      <c r="Z56" s="13">
        <f t="shared" si="8"/>
        <v>-106.15</v>
      </c>
    </row>
    <row r="57" spans="1:26" ht="11.25" customHeight="1">
      <c r="A57" s="111" t="s">
        <v>2</v>
      </c>
      <c r="B57" s="112">
        <v>41249.878472222219</v>
      </c>
      <c r="D57" s="108" t="s">
        <v>106</v>
      </c>
      <c r="E57" s="109" t="s">
        <v>31</v>
      </c>
      <c r="F57" s="109" t="s">
        <v>107</v>
      </c>
      <c r="H57" s="110" t="s">
        <v>419</v>
      </c>
      <c r="I57" s="112">
        <v>41249.734027777777</v>
      </c>
      <c r="J57" s="109" t="s">
        <v>3</v>
      </c>
      <c r="K57" s="6">
        <v>5</v>
      </c>
      <c r="L57" s="10" t="s">
        <v>7</v>
      </c>
      <c r="M57" s="6">
        <f t="shared" si="14"/>
        <v>6.75</v>
      </c>
      <c r="N57" s="6">
        <f t="shared" si="2"/>
        <v>1</v>
      </c>
      <c r="O57" s="6">
        <f t="shared" si="3"/>
        <v>0</v>
      </c>
      <c r="P57" s="6">
        <f t="shared" si="0"/>
        <v>0</v>
      </c>
      <c r="Q57" s="6">
        <f t="shared" si="6"/>
        <v>1.75</v>
      </c>
      <c r="R57" s="30">
        <f t="shared" si="4"/>
        <v>1.75</v>
      </c>
      <c r="S57" s="4">
        <f t="shared" si="12"/>
        <v>95.6</v>
      </c>
      <c r="T57" s="14">
        <f t="shared" si="7"/>
        <v>-33.449999999999996</v>
      </c>
      <c r="U57" s="14">
        <f t="shared" si="9"/>
        <v>-18.100000000000001</v>
      </c>
      <c r="V57" s="14">
        <f t="shared" si="11"/>
        <v>-12.25</v>
      </c>
      <c r="W57" s="14">
        <f t="shared" si="13"/>
        <v>-40.599999999999994</v>
      </c>
      <c r="X57" s="13">
        <v>0</v>
      </c>
      <c r="Y57" s="13">
        <v>0</v>
      </c>
      <c r="Z57" s="13">
        <f t="shared" si="8"/>
        <v>-104.4</v>
      </c>
    </row>
    <row r="58" spans="1:26" ht="11.25" customHeight="1">
      <c r="A58" s="111" t="s">
        <v>2</v>
      </c>
      <c r="B58" s="112">
        <v>41250.864583333336</v>
      </c>
      <c r="D58" s="108" t="s">
        <v>108</v>
      </c>
      <c r="E58" s="109" t="s">
        <v>31</v>
      </c>
      <c r="F58" s="109" t="s">
        <v>109</v>
      </c>
      <c r="H58" s="110" t="s">
        <v>420</v>
      </c>
      <c r="I58" s="112">
        <v>41249.738194444442</v>
      </c>
      <c r="J58" s="109" t="s">
        <v>3</v>
      </c>
      <c r="K58" s="6">
        <v>5</v>
      </c>
      <c r="L58" s="10" t="s">
        <v>5</v>
      </c>
      <c r="M58" s="6">
        <f t="shared" si="14"/>
        <v>0</v>
      </c>
      <c r="N58" s="6">
        <f t="shared" si="2"/>
        <v>0</v>
      </c>
      <c r="O58" s="6">
        <f t="shared" si="3"/>
        <v>1</v>
      </c>
      <c r="P58" s="6">
        <f t="shared" si="0"/>
        <v>0</v>
      </c>
      <c r="Q58" s="6">
        <f t="shared" si="6"/>
        <v>-5</v>
      </c>
      <c r="R58" s="30">
        <f t="shared" si="4"/>
        <v>-5</v>
      </c>
      <c r="S58" s="4">
        <f t="shared" ref="S58:S89" si="15">IF(L58=0,S57-K58,S57+M58-K58)</f>
        <v>90.6</v>
      </c>
      <c r="T58" s="14">
        <f t="shared" si="7"/>
        <v>-33.449999999999996</v>
      </c>
      <c r="U58" s="14">
        <f t="shared" si="9"/>
        <v>-23.1</v>
      </c>
      <c r="V58" s="14">
        <f t="shared" si="11"/>
        <v>-12.25</v>
      </c>
      <c r="W58" s="14">
        <f t="shared" si="13"/>
        <v>-40.599999999999994</v>
      </c>
      <c r="X58" s="13">
        <v>0</v>
      </c>
      <c r="Y58" s="13">
        <v>0</v>
      </c>
      <c r="Z58" s="13">
        <f t="shared" si="8"/>
        <v>-109.4</v>
      </c>
    </row>
    <row r="59" spans="1:26" ht="11.25" customHeight="1">
      <c r="A59" s="111" t="s">
        <v>2</v>
      </c>
      <c r="B59" s="112">
        <v>41250.854166666664</v>
      </c>
      <c r="D59" s="108" t="s">
        <v>110</v>
      </c>
      <c r="E59" s="109" t="s">
        <v>31</v>
      </c>
      <c r="F59" s="109" t="s">
        <v>111</v>
      </c>
      <c r="H59" s="110" t="s">
        <v>421</v>
      </c>
      <c r="I59" s="112">
        <v>41249.740277777775</v>
      </c>
      <c r="J59" s="109" t="s">
        <v>3</v>
      </c>
      <c r="K59" s="6">
        <v>5</v>
      </c>
      <c r="L59" s="10" t="s">
        <v>7</v>
      </c>
      <c r="M59" s="6">
        <f t="shared" si="14"/>
        <v>9.75</v>
      </c>
      <c r="N59" s="6">
        <f t="shared" si="2"/>
        <v>1</v>
      </c>
      <c r="O59" s="6">
        <f t="shared" si="3"/>
        <v>0</v>
      </c>
      <c r="P59" s="6">
        <f t="shared" si="0"/>
        <v>0</v>
      </c>
      <c r="Q59" s="6">
        <f t="shared" si="6"/>
        <v>4.75</v>
      </c>
      <c r="R59" s="30">
        <f t="shared" si="4"/>
        <v>4.75</v>
      </c>
      <c r="S59" s="4">
        <f t="shared" si="15"/>
        <v>95.35</v>
      </c>
      <c r="T59" s="14">
        <f t="shared" si="7"/>
        <v>-33.449999999999996</v>
      </c>
      <c r="U59" s="14">
        <f t="shared" si="9"/>
        <v>-18.350000000000001</v>
      </c>
      <c r="V59" s="14">
        <f t="shared" si="11"/>
        <v>-12.25</v>
      </c>
      <c r="W59" s="14">
        <f t="shared" si="13"/>
        <v>-40.599999999999994</v>
      </c>
      <c r="X59" s="13">
        <v>0</v>
      </c>
      <c r="Y59" s="13">
        <v>0</v>
      </c>
      <c r="Z59" s="13">
        <f t="shared" si="8"/>
        <v>-104.65</v>
      </c>
    </row>
    <row r="60" spans="1:26" ht="11.25" customHeight="1">
      <c r="A60" s="111" t="s">
        <v>2</v>
      </c>
      <c r="B60" s="112">
        <v>41250.854166666664</v>
      </c>
      <c r="D60" s="108" t="s">
        <v>112</v>
      </c>
      <c r="E60" s="109" t="s">
        <v>31</v>
      </c>
      <c r="F60" s="109" t="s">
        <v>113</v>
      </c>
      <c r="H60" s="110" t="s">
        <v>422</v>
      </c>
      <c r="I60" s="112">
        <v>41249.743055555555</v>
      </c>
      <c r="J60" s="109" t="s">
        <v>3</v>
      </c>
      <c r="K60" s="6">
        <v>5</v>
      </c>
      <c r="L60" s="10" t="s">
        <v>7</v>
      </c>
      <c r="M60" s="6">
        <f t="shared" si="14"/>
        <v>6.5500000000000007</v>
      </c>
      <c r="N60" s="6">
        <f t="shared" si="2"/>
        <v>1</v>
      </c>
      <c r="O60" s="6">
        <f t="shared" si="3"/>
        <v>0</v>
      </c>
      <c r="P60" s="6">
        <f t="shared" si="0"/>
        <v>0</v>
      </c>
      <c r="Q60" s="6">
        <f t="shared" si="6"/>
        <v>1.5500000000000007</v>
      </c>
      <c r="R60" s="30">
        <f t="shared" si="4"/>
        <v>1.5500000000000007</v>
      </c>
      <c r="S60" s="4">
        <f t="shared" si="15"/>
        <v>96.899999999999991</v>
      </c>
      <c r="T60" s="14">
        <f t="shared" si="7"/>
        <v>-33.449999999999996</v>
      </c>
      <c r="U60" s="14">
        <f t="shared" si="9"/>
        <v>-16.8</v>
      </c>
      <c r="V60" s="14">
        <f t="shared" si="11"/>
        <v>-12.25</v>
      </c>
      <c r="W60" s="14">
        <f t="shared" si="13"/>
        <v>-40.599999999999994</v>
      </c>
      <c r="X60" s="13">
        <v>0</v>
      </c>
      <c r="Y60" s="13">
        <v>0</v>
      </c>
      <c r="Z60" s="13">
        <f t="shared" si="8"/>
        <v>-103.10000000000001</v>
      </c>
    </row>
    <row r="61" spans="1:26" ht="11.25" customHeight="1">
      <c r="A61" s="111" t="s">
        <v>8</v>
      </c>
      <c r="B61" s="112">
        <v>41249.864583333336</v>
      </c>
      <c r="D61" s="108" t="s">
        <v>115</v>
      </c>
      <c r="E61" s="109" t="s">
        <v>31</v>
      </c>
      <c r="F61" s="109" t="s">
        <v>114</v>
      </c>
      <c r="H61" s="110" t="s">
        <v>421</v>
      </c>
      <c r="I61" s="112">
        <v>41249.765972222223</v>
      </c>
      <c r="J61" s="109" t="s">
        <v>53</v>
      </c>
      <c r="K61" s="6">
        <v>5</v>
      </c>
      <c r="L61" s="10" t="s">
        <v>5</v>
      </c>
      <c r="M61" s="6">
        <f t="shared" si="14"/>
        <v>0</v>
      </c>
      <c r="N61" s="6">
        <f t="shared" si="2"/>
        <v>0</v>
      </c>
      <c r="O61" s="6">
        <f t="shared" si="3"/>
        <v>1</v>
      </c>
      <c r="P61" s="6">
        <f t="shared" si="0"/>
        <v>0</v>
      </c>
      <c r="Q61" s="6">
        <f t="shared" si="6"/>
        <v>-5</v>
      </c>
      <c r="R61" s="30">
        <f t="shared" si="4"/>
        <v>-5</v>
      </c>
      <c r="S61" s="4">
        <f t="shared" si="15"/>
        <v>91.899999999999991</v>
      </c>
      <c r="T61" s="14">
        <f t="shared" si="7"/>
        <v>-38.449999999999996</v>
      </c>
      <c r="U61" s="14">
        <f t="shared" si="9"/>
        <v>-16.8</v>
      </c>
      <c r="V61" s="14">
        <f t="shared" si="11"/>
        <v>-12.25</v>
      </c>
      <c r="W61" s="14">
        <f t="shared" si="13"/>
        <v>-40.599999999999994</v>
      </c>
      <c r="X61" s="13">
        <v>0</v>
      </c>
      <c r="Y61" s="13">
        <v>0</v>
      </c>
      <c r="Z61" s="13">
        <f t="shared" si="8"/>
        <v>-108.10000000000001</v>
      </c>
    </row>
    <row r="62" spans="1:26" ht="11.25" customHeight="1">
      <c r="A62" s="111" t="s">
        <v>8</v>
      </c>
      <c r="B62" s="112">
        <v>41249.791666666664</v>
      </c>
      <c r="D62" s="108" t="s">
        <v>116</v>
      </c>
      <c r="E62" s="109" t="s">
        <v>117</v>
      </c>
      <c r="H62" s="110" t="s">
        <v>412</v>
      </c>
      <c r="I62" s="112">
        <v>41249.78402777778</v>
      </c>
      <c r="J62" s="109" t="s">
        <v>3</v>
      </c>
      <c r="K62" s="6">
        <v>5</v>
      </c>
      <c r="L62" s="10" t="s">
        <v>5</v>
      </c>
      <c r="M62" s="6">
        <f t="shared" si="14"/>
        <v>0</v>
      </c>
      <c r="N62" s="6">
        <f t="shared" si="2"/>
        <v>0</v>
      </c>
      <c r="O62" s="6">
        <f t="shared" si="3"/>
        <v>1</v>
      </c>
      <c r="P62" s="6">
        <f t="shared" si="0"/>
        <v>0</v>
      </c>
      <c r="Q62" s="6">
        <f t="shared" si="6"/>
        <v>-5</v>
      </c>
      <c r="R62" s="30">
        <f t="shared" si="4"/>
        <v>-5</v>
      </c>
      <c r="S62" s="4">
        <f t="shared" si="15"/>
        <v>86.899999999999991</v>
      </c>
      <c r="T62" s="14">
        <f t="shared" si="7"/>
        <v>-43.449999999999996</v>
      </c>
      <c r="U62" s="14">
        <f t="shared" si="9"/>
        <v>-16.8</v>
      </c>
      <c r="V62" s="14">
        <f t="shared" si="11"/>
        <v>-12.25</v>
      </c>
      <c r="W62" s="14">
        <f t="shared" si="13"/>
        <v>-40.599999999999994</v>
      </c>
      <c r="X62" s="13">
        <v>0</v>
      </c>
      <c r="Y62" s="13">
        <v>0</v>
      </c>
      <c r="Z62" s="13">
        <f t="shared" si="8"/>
        <v>-113.10000000000001</v>
      </c>
    </row>
    <row r="63" spans="1:26" ht="11.25" customHeight="1">
      <c r="A63" s="111" t="s">
        <v>58</v>
      </c>
      <c r="B63" s="112">
        <v>41251.583333333336</v>
      </c>
      <c r="D63" s="108" t="s">
        <v>118</v>
      </c>
      <c r="E63" s="109" t="s">
        <v>31</v>
      </c>
      <c r="F63" s="109" t="s">
        <v>120</v>
      </c>
      <c r="H63" s="110">
        <v>2</v>
      </c>
      <c r="I63" s="112">
        <v>41250.561805555553</v>
      </c>
      <c r="J63" s="109" t="s">
        <v>119</v>
      </c>
      <c r="K63" s="6">
        <v>5</v>
      </c>
      <c r="L63" s="10" t="s">
        <v>5</v>
      </c>
      <c r="M63" s="6">
        <f t="shared" si="14"/>
        <v>0</v>
      </c>
      <c r="N63" s="6">
        <f t="shared" si="2"/>
        <v>0</v>
      </c>
      <c r="O63" s="6">
        <f t="shared" si="3"/>
        <v>1</v>
      </c>
      <c r="P63" s="6">
        <f t="shared" si="0"/>
        <v>0</v>
      </c>
      <c r="Q63" s="6">
        <f t="shared" si="6"/>
        <v>-5</v>
      </c>
      <c r="R63" s="30">
        <f t="shared" si="4"/>
        <v>-5</v>
      </c>
      <c r="S63" s="4">
        <f t="shared" si="15"/>
        <v>81.899999999999991</v>
      </c>
      <c r="T63" s="14">
        <f t="shared" si="7"/>
        <v>-43.449999999999996</v>
      </c>
      <c r="U63" s="14">
        <f t="shared" si="9"/>
        <v>-16.8</v>
      </c>
      <c r="V63" s="14">
        <f t="shared" si="11"/>
        <v>-17.25</v>
      </c>
      <c r="W63" s="14">
        <f t="shared" si="13"/>
        <v>-40.599999999999994</v>
      </c>
      <c r="X63" s="13">
        <v>0</v>
      </c>
      <c r="Y63" s="13">
        <v>0</v>
      </c>
      <c r="Z63" s="13">
        <f t="shared" si="8"/>
        <v>-118.10000000000001</v>
      </c>
    </row>
    <row r="64" spans="1:26" ht="11.25" customHeight="1">
      <c r="A64" s="111" t="s">
        <v>58</v>
      </c>
      <c r="B64" s="112">
        <v>41251.833333333336</v>
      </c>
      <c r="D64" s="108" t="s">
        <v>121</v>
      </c>
      <c r="E64" s="109" t="s">
        <v>31</v>
      </c>
      <c r="F64" s="109" t="s">
        <v>122</v>
      </c>
      <c r="H64" s="110" t="s">
        <v>423</v>
      </c>
      <c r="I64" s="112">
        <v>41250.56527777778</v>
      </c>
      <c r="J64" s="109" t="s">
        <v>3</v>
      </c>
      <c r="K64" s="6">
        <v>5</v>
      </c>
      <c r="L64" s="10" t="s">
        <v>7</v>
      </c>
      <c r="M64" s="6">
        <f t="shared" si="14"/>
        <v>8</v>
      </c>
      <c r="N64" s="6">
        <f t="shared" si="2"/>
        <v>1</v>
      </c>
      <c r="O64" s="6">
        <f t="shared" si="3"/>
        <v>0</v>
      </c>
      <c r="P64" s="6">
        <f t="shared" si="0"/>
        <v>0</v>
      </c>
      <c r="Q64" s="6">
        <f t="shared" si="6"/>
        <v>3</v>
      </c>
      <c r="R64" s="30">
        <f t="shared" si="4"/>
        <v>3</v>
      </c>
      <c r="S64" s="4">
        <f t="shared" si="15"/>
        <v>84.899999999999991</v>
      </c>
      <c r="T64" s="14">
        <f t="shared" si="7"/>
        <v>-43.449999999999996</v>
      </c>
      <c r="U64" s="14">
        <f t="shared" si="9"/>
        <v>-16.8</v>
      </c>
      <c r="V64" s="14">
        <f t="shared" si="11"/>
        <v>-14.25</v>
      </c>
      <c r="W64" s="14">
        <f t="shared" si="13"/>
        <v>-40.599999999999994</v>
      </c>
      <c r="X64" s="13">
        <v>0</v>
      </c>
      <c r="Y64" s="13">
        <v>0</v>
      </c>
      <c r="Z64" s="13">
        <f t="shared" si="8"/>
        <v>-115.10000000000001</v>
      </c>
    </row>
    <row r="65" spans="1:26" ht="11.25" customHeight="1">
      <c r="A65" s="111" t="s">
        <v>58</v>
      </c>
      <c r="B65" s="112">
        <v>41251.833333333336</v>
      </c>
      <c r="D65" s="108" t="s">
        <v>123</v>
      </c>
      <c r="E65" s="109" t="s">
        <v>31</v>
      </c>
      <c r="F65" s="109" t="s">
        <v>63</v>
      </c>
      <c r="H65" s="110" t="s">
        <v>405</v>
      </c>
      <c r="I65" s="112">
        <v>41250.569444444445</v>
      </c>
      <c r="J65" s="109" t="s">
        <v>3</v>
      </c>
      <c r="K65" s="6">
        <v>5</v>
      </c>
      <c r="L65" s="10" t="s">
        <v>5</v>
      </c>
      <c r="M65" s="6">
        <f t="shared" si="14"/>
        <v>0</v>
      </c>
      <c r="N65" s="6">
        <f t="shared" si="2"/>
        <v>0</v>
      </c>
      <c r="O65" s="6">
        <f t="shared" si="3"/>
        <v>1</v>
      </c>
      <c r="P65" s="6">
        <f t="shared" si="0"/>
        <v>0</v>
      </c>
      <c r="Q65" s="6">
        <f t="shared" si="6"/>
        <v>-5</v>
      </c>
      <c r="R65" s="30">
        <f t="shared" si="4"/>
        <v>-5</v>
      </c>
      <c r="S65" s="4">
        <f t="shared" si="15"/>
        <v>79.899999999999991</v>
      </c>
      <c r="T65" s="14">
        <f t="shared" si="7"/>
        <v>-43.449999999999996</v>
      </c>
      <c r="U65" s="14">
        <f t="shared" si="9"/>
        <v>-16.8</v>
      </c>
      <c r="V65" s="14">
        <f t="shared" si="11"/>
        <v>-19.25</v>
      </c>
      <c r="W65" s="14">
        <f t="shared" si="13"/>
        <v>-40.599999999999994</v>
      </c>
      <c r="X65" s="13">
        <v>0</v>
      </c>
      <c r="Y65" s="13">
        <v>0</v>
      </c>
      <c r="Z65" s="13">
        <f t="shared" si="8"/>
        <v>-120.10000000000001</v>
      </c>
    </row>
    <row r="66" spans="1:26" ht="11.25" customHeight="1">
      <c r="A66" s="111" t="s">
        <v>8</v>
      </c>
      <c r="B66" s="112">
        <v>41250.75</v>
      </c>
      <c r="D66" s="108" t="s">
        <v>124</v>
      </c>
      <c r="E66" s="109" t="s">
        <v>125</v>
      </c>
      <c r="F66" s="109" t="s">
        <v>20</v>
      </c>
      <c r="H66" s="110" t="s">
        <v>390</v>
      </c>
      <c r="I66" s="112">
        <v>41250.715277777781</v>
      </c>
      <c r="J66" s="109" t="s">
        <v>3</v>
      </c>
      <c r="K66" s="6">
        <v>6.55</v>
      </c>
      <c r="L66" s="10" t="s">
        <v>7</v>
      </c>
      <c r="M66" s="6">
        <f t="shared" si="14"/>
        <v>11.4625</v>
      </c>
      <c r="N66" s="6">
        <f t="shared" si="2"/>
        <v>1</v>
      </c>
      <c r="O66" s="6">
        <f t="shared" si="3"/>
        <v>0</v>
      </c>
      <c r="P66" s="6">
        <f t="shared" ref="P66:P129" si="16">IF(M66&gt;L66,1,0)</f>
        <v>0</v>
      </c>
      <c r="Q66" s="6">
        <f t="shared" si="6"/>
        <v>4.9125000000000005</v>
      </c>
      <c r="R66" s="30">
        <f t="shared" si="4"/>
        <v>4.9125000000000005</v>
      </c>
      <c r="S66" s="4">
        <f t="shared" si="15"/>
        <v>84.8125</v>
      </c>
      <c r="T66" s="14">
        <f t="shared" si="7"/>
        <v>-38.537499999999994</v>
      </c>
      <c r="U66" s="14">
        <f t="shared" si="9"/>
        <v>-16.8</v>
      </c>
      <c r="V66" s="14">
        <f t="shared" si="11"/>
        <v>-19.25</v>
      </c>
      <c r="W66" s="14">
        <f t="shared" si="13"/>
        <v>-40.599999999999994</v>
      </c>
      <c r="X66" s="13">
        <v>0</v>
      </c>
      <c r="Y66" s="13">
        <v>0</v>
      </c>
      <c r="Z66" s="13">
        <f t="shared" si="8"/>
        <v>-115.18750000000001</v>
      </c>
    </row>
    <row r="67" spans="1:26" ht="11.25" customHeight="1">
      <c r="A67" s="111" t="s">
        <v>67</v>
      </c>
      <c r="B67" s="112">
        <v>41251.833333333336</v>
      </c>
      <c r="D67" s="108" t="s">
        <v>126</v>
      </c>
      <c r="E67" s="109" t="s">
        <v>31</v>
      </c>
      <c r="F67" s="109" t="s">
        <v>127</v>
      </c>
      <c r="H67" s="110">
        <v>10</v>
      </c>
      <c r="I67" s="112">
        <v>41250.853472222225</v>
      </c>
      <c r="J67" s="109" t="s">
        <v>3</v>
      </c>
      <c r="K67" s="6">
        <v>5</v>
      </c>
      <c r="L67" s="10" t="s">
        <v>5</v>
      </c>
      <c r="M67" s="6">
        <f t="shared" si="14"/>
        <v>0</v>
      </c>
      <c r="N67" s="6">
        <f t="shared" ref="N67:N130" si="17">IF(L67="BON",1,0)</f>
        <v>0</v>
      </c>
      <c r="O67" s="6">
        <f t="shared" ref="O67:O130" si="18">IF(L67="PERDU",1,0)</f>
        <v>1</v>
      </c>
      <c r="P67" s="6">
        <f t="shared" si="16"/>
        <v>0</v>
      </c>
      <c r="Q67" s="6">
        <f t="shared" si="6"/>
        <v>-5</v>
      </c>
      <c r="R67" s="30">
        <f t="shared" ref="R67:R130" si="19">IF(L67=0,K67*-1,M67-K67)</f>
        <v>-5</v>
      </c>
      <c r="S67" s="4">
        <f t="shared" si="15"/>
        <v>79.8125</v>
      </c>
      <c r="T67" s="14">
        <f t="shared" si="7"/>
        <v>-38.537499999999994</v>
      </c>
      <c r="U67" s="14">
        <f t="shared" si="9"/>
        <v>-16.8</v>
      </c>
      <c r="V67" s="14">
        <f t="shared" si="11"/>
        <v>-19.25</v>
      </c>
      <c r="W67" s="14">
        <f t="shared" si="13"/>
        <v>-45.599999999999994</v>
      </c>
      <c r="X67" s="13">
        <v>0</v>
      </c>
      <c r="Y67" s="13">
        <v>0</v>
      </c>
      <c r="Z67" s="13">
        <f t="shared" si="8"/>
        <v>-120.18750000000001</v>
      </c>
    </row>
    <row r="68" spans="1:26" ht="11.25" customHeight="1">
      <c r="A68" s="111" t="s">
        <v>8</v>
      </c>
      <c r="B68" s="112">
        <v>41251.708333333336</v>
      </c>
      <c r="D68" s="108" t="s">
        <v>128</v>
      </c>
      <c r="E68" s="109" t="s">
        <v>129</v>
      </c>
      <c r="F68" s="109" t="s">
        <v>130</v>
      </c>
      <c r="H68" s="110" t="s">
        <v>420</v>
      </c>
      <c r="I68" s="112">
        <v>41251.505555555559</v>
      </c>
      <c r="J68" s="109" t="s">
        <v>3</v>
      </c>
      <c r="K68" s="6">
        <v>5</v>
      </c>
      <c r="L68" s="10" t="s">
        <v>7</v>
      </c>
      <c r="M68" s="6">
        <f t="shared" si="14"/>
        <v>8.1000000000000014</v>
      </c>
      <c r="N68" s="6">
        <f t="shared" si="17"/>
        <v>1</v>
      </c>
      <c r="O68" s="6">
        <f t="shared" si="18"/>
        <v>0</v>
      </c>
      <c r="P68" s="6">
        <f t="shared" si="16"/>
        <v>0</v>
      </c>
      <c r="Q68" s="6">
        <f t="shared" ref="Q68:Q131" si="20">IF(L68="",0,R68)</f>
        <v>3.1000000000000014</v>
      </c>
      <c r="R68" s="30">
        <f t="shared" si="19"/>
        <v>3.1000000000000014</v>
      </c>
      <c r="S68" s="4">
        <f t="shared" si="15"/>
        <v>82.912499999999994</v>
      </c>
      <c r="T68" s="14">
        <f t="shared" ref="T68:T131" si="21">IF(A68="YANN",T67+R68,T67)</f>
        <v>-35.437499999999993</v>
      </c>
      <c r="U68" s="14">
        <f t="shared" si="9"/>
        <v>-16.8</v>
      </c>
      <c r="V68" s="14">
        <f t="shared" si="11"/>
        <v>-19.25</v>
      </c>
      <c r="W68" s="14">
        <f t="shared" si="13"/>
        <v>-45.599999999999994</v>
      </c>
      <c r="X68" s="13">
        <v>0</v>
      </c>
      <c r="Y68" s="13">
        <v>0</v>
      </c>
      <c r="Z68" s="13">
        <f t="shared" ref="Z68:Z131" si="22">+Z67+R68</f>
        <v>-117.08750000000001</v>
      </c>
    </row>
    <row r="69" spans="1:26" ht="11.25" customHeight="1">
      <c r="A69" s="111" t="s">
        <v>8</v>
      </c>
      <c r="B69" s="112">
        <v>41251.694444444445</v>
      </c>
      <c r="D69" s="108" t="s">
        <v>131</v>
      </c>
      <c r="E69" s="109" t="s">
        <v>29</v>
      </c>
      <c r="F69" s="109" t="s">
        <v>132</v>
      </c>
      <c r="H69" s="110" t="s">
        <v>424</v>
      </c>
      <c r="I69" s="112">
        <v>41251.508333333331</v>
      </c>
      <c r="J69" s="109" t="s">
        <v>53</v>
      </c>
      <c r="K69" s="6">
        <v>5</v>
      </c>
      <c r="L69" s="10" t="s">
        <v>7</v>
      </c>
      <c r="M69" s="6">
        <f t="shared" si="14"/>
        <v>31.25</v>
      </c>
      <c r="N69" s="6">
        <f t="shared" si="17"/>
        <v>1</v>
      </c>
      <c r="O69" s="6">
        <f t="shared" si="18"/>
        <v>0</v>
      </c>
      <c r="P69" s="6">
        <f t="shared" si="16"/>
        <v>0</v>
      </c>
      <c r="Q69" s="6">
        <f t="shared" si="20"/>
        <v>26.25</v>
      </c>
      <c r="R69" s="30">
        <f t="shared" si="19"/>
        <v>26.25</v>
      </c>
      <c r="S69" s="4">
        <f t="shared" si="15"/>
        <v>109.16249999999999</v>
      </c>
      <c r="T69" s="14">
        <f t="shared" si="21"/>
        <v>-9.1874999999999929</v>
      </c>
      <c r="U69" s="14">
        <f t="shared" si="9"/>
        <v>-16.8</v>
      </c>
      <c r="V69" s="14">
        <f t="shared" si="11"/>
        <v>-19.25</v>
      </c>
      <c r="W69" s="14">
        <f t="shared" si="13"/>
        <v>-45.599999999999994</v>
      </c>
      <c r="X69" s="13">
        <v>0</v>
      </c>
      <c r="Y69" s="13">
        <v>0</v>
      </c>
      <c r="Z69" s="13">
        <f t="shared" si="22"/>
        <v>-90.837500000000006</v>
      </c>
    </row>
    <row r="70" spans="1:26" ht="11.25" customHeight="1">
      <c r="A70" s="111" t="s">
        <v>58</v>
      </c>
      <c r="B70" s="112">
        <v>41251.864583333336</v>
      </c>
      <c r="D70" s="108" t="s">
        <v>133</v>
      </c>
      <c r="E70" s="109" t="s">
        <v>31</v>
      </c>
      <c r="F70" s="109" t="s">
        <v>134</v>
      </c>
      <c r="H70" s="110" t="s">
        <v>418</v>
      </c>
      <c r="I70" s="112">
        <v>41251.539583333331</v>
      </c>
      <c r="J70" s="109" t="s">
        <v>3</v>
      </c>
      <c r="K70" s="6">
        <v>5</v>
      </c>
      <c r="L70" s="10" t="s">
        <v>7</v>
      </c>
      <c r="M70" s="6">
        <f t="shared" si="14"/>
        <v>9.3500000000000014</v>
      </c>
      <c r="N70" s="6">
        <f t="shared" si="17"/>
        <v>1</v>
      </c>
      <c r="O70" s="6">
        <f t="shared" si="18"/>
        <v>0</v>
      </c>
      <c r="P70" s="6">
        <f t="shared" si="16"/>
        <v>0</v>
      </c>
      <c r="Q70" s="6">
        <f t="shared" si="20"/>
        <v>4.3500000000000014</v>
      </c>
      <c r="R70" s="30">
        <f t="shared" si="19"/>
        <v>4.3500000000000014</v>
      </c>
      <c r="S70" s="4">
        <f t="shared" si="15"/>
        <v>113.51249999999999</v>
      </c>
      <c r="T70" s="14">
        <f t="shared" si="21"/>
        <v>-9.1874999999999929</v>
      </c>
      <c r="U70" s="14">
        <f t="shared" si="9"/>
        <v>-16.8</v>
      </c>
      <c r="V70" s="14">
        <f t="shared" si="11"/>
        <v>-14.899999999999999</v>
      </c>
      <c r="W70" s="14">
        <f t="shared" si="13"/>
        <v>-45.599999999999994</v>
      </c>
      <c r="X70" s="13">
        <v>0</v>
      </c>
      <c r="Y70" s="13">
        <v>0</v>
      </c>
      <c r="Z70" s="13">
        <f t="shared" si="22"/>
        <v>-86.487500000000011</v>
      </c>
    </row>
    <row r="71" spans="1:26" ht="11.25" customHeight="1">
      <c r="A71" s="111" t="s">
        <v>58</v>
      </c>
      <c r="B71" s="112">
        <v>41252.864583333336</v>
      </c>
      <c r="D71" s="108" t="s">
        <v>135</v>
      </c>
      <c r="E71" s="109" t="s">
        <v>31</v>
      </c>
      <c r="F71" s="109" t="s">
        <v>136</v>
      </c>
      <c r="H71" s="110" t="s">
        <v>425</v>
      </c>
      <c r="I71" s="112">
        <v>41251.540972222225</v>
      </c>
      <c r="J71" s="109" t="s">
        <v>3</v>
      </c>
      <c r="K71" s="6">
        <v>5</v>
      </c>
      <c r="L71" s="10" t="s">
        <v>7</v>
      </c>
      <c r="M71" s="6">
        <f t="shared" si="14"/>
        <v>11.25</v>
      </c>
      <c r="N71" s="6">
        <f t="shared" si="17"/>
        <v>1</v>
      </c>
      <c r="O71" s="6">
        <f t="shared" si="18"/>
        <v>0</v>
      </c>
      <c r="P71" s="6">
        <f t="shared" si="16"/>
        <v>0</v>
      </c>
      <c r="Q71" s="6">
        <f t="shared" si="20"/>
        <v>6.25</v>
      </c>
      <c r="R71" s="30">
        <f t="shared" si="19"/>
        <v>6.25</v>
      </c>
      <c r="S71" s="4">
        <f t="shared" si="15"/>
        <v>119.76249999999999</v>
      </c>
      <c r="T71" s="14">
        <f t="shared" si="21"/>
        <v>-9.1874999999999929</v>
      </c>
      <c r="U71" s="14">
        <f t="shared" ref="U71:U134" si="23">IF(A71="DJO",U70+R71,U70)</f>
        <v>-16.8</v>
      </c>
      <c r="V71" s="14">
        <f t="shared" si="11"/>
        <v>-8.6499999999999986</v>
      </c>
      <c r="W71" s="14">
        <f t="shared" si="13"/>
        <v>-45.599999999999994</v>
      </c>
      <c r="X71" s="13">
        <v>0</v>
      </c>
      <c r="Y71" s="13">
        <v>0</v>
      </c>
      <c r="Z71" s="13">
        <f t="shared" si="22"/>
        <v>-80.237500000000011</v>
      </c>
    </row>
    <row r="72" spans="1:26" ht="11.25" customHeight="1">
      <c r="A72" s="111" t="s">
        <v>2</v>
      </c>
      <c r="B72" s="112">
        <v>41252.791666666664</v>
      </c>
      <c r="D72" s="108" t="s">
        <v>137</v>
      </c>
      <c r="E72" s="109" t="s">
        <v>31</v>
      </c>
      <c r="F72" s="109" t="s">
        <v>138</v>
      </c>
      <c r="H72" s="110" t="s">
        <v>426</v>
      </c>
      <c r="I72" s="112">
        <v>41251.822222222225</v>
      </c>
      <c r="J72" s="109" t="s">
        <v>3</v>
      </c>
      <c r="K72" s="6">
        <v>5</v>
      </c>
      <c r="L72" s="10" t="s">
        <v>7</v>
      </c>
      <c r="M72" s="6">
        <f t="shared" si="14"/>
        <v>6.1</v>
      </c>
      <c r="N72" s="6">
        <f t="shared" si="17"/>
        <v>1</v>
      </c>
      <c r="O72" s="6">
        <f t="shared" si="18"/>
        <v>0</v>
      </c>
      <c r="P72" s="6">
        <f t="shared" si="16"/>
        <v>0</v>
      </c>
      <c r="Q72" s="6">
        <f t="shared" si="20"/>
        <v>1.0999999999999996</v>
      </c>
      <c r="R72" s="30">
        <f t="shared" si="19"/>
        <v>1.0999999999999996</v>
      </c>
      <c r="S72" s="4">
        <f t="shared" si="15"/>
        <v>120.86249999999998</v>
      </c>
      <c r="T72" s="14">
        <f t="shared" si="21"/>
        <v>-9.1874999999999929</v>
      </c>
      <c r="U72" s="14">
        <f t="shared" si="23"/>
        <v>-15.700000000000001</v>
      </c>
      <c r="V72" s="14">
        <f t="shared" si="11"/>
        <v>-8.6499999999999986</v>
      </c>
      <c r="W72" s="14">
        <f t="shared" si="13"/>
        <v>-45.599999999999994</v>
      </c>
      <c r="X72" s="13">
        <v>0</v>
      </c>
      <c r="Y72" s="13">
        <v>0</v>
      </c>
      <c r="Z72" s="13">
        <f t="shared" si="22"/>
        <v>-79.137500000000017</v>
      </c>
    </row>
    <row r="73" spans="1:26" ht="11.25" customHeight="1">
      <c r="A73" s="111" t="s">
        <v>2</v>
      </c>
      <c r="B73" s="112">
        <v>41253.875</v>
      </c>
      <c r="D73" s="108" t="s">
        <v>139</v>
      </c>
      <c r="E73" s="109" t="s">
        <v>31</v>
      </c>
      <c r="F73" s="109" t="s">
        <v>140</v>
      </c>
      <c r="H73" s="110">
        <v>2</v>
      </c>
      <c r="I73" s="112">
        <v>41251.826388888891</v>
      </c>
      <c r="J73" s="109" t="s">
        <v>3</v>
      </c>
      <c r="K73" s="6">
        <v>5</v>
      </c>
      <c r="L73" s="10" t="s">
        <v>5</v>
      </c>
      <c r="M73" s="6">
        <f t="shared" si="14"/>
        <v>0</v>
      </c>
      <c r="N73" s="6">
        <f t="shared" si="17"/>
        <v>0</v>
      </c>
      <c r="O73" s="6">
        <f t="shared" si="18"/>
        <v>1</v>
      </c>
      <c r="P73" s="6">
        <f t="shared" si="16"/>
        <v>0</v>
      </c>
      <c r="Q73" s="6">
        <f t="shared" si="20"/>
        <v>-5</v>
      </c>
      <c r="R73" s="30">
        <f t="shared" si="19"/>
        <v>-5</v>
      </c>
      <c r="S73" s="4">
        <f t="shared" si="15"/>
        <v>115.86249999999998</v>
      </c>
      <c r="T73" s="14">
        <f t="shared" si="21"/>
        <v>-9.1874999999999929</v>
      </c>
      <c r="U73" s="14">
        <f t="shared" si="23"/>
        <v>-20.700000000000003</v>
      </c>
      <c r="V73" s="14">
        <f t="shared" si="11"/>
        <v>-8.6499999999999986</v>
      </c>
      <c r="W73" s="14">
        <f t="shared" si="13"/>
        <v>-45.599999999999994</v>
      </c>
      <c r="X73" s="13">
        <v>0</v>
      </c>
      <c r="Y73" s="13">
        <v>0</v>
      </c>
      <c r="Z73" s="13">
        <f t="shared" si="22"/>
        <v>-84.137500000000017</v>
      </c>
    </row>
    <row r="74" spans="1:26" ht="11.25" customHeight="1">
      <c r="A74" s="111" t="s">
        <v>8</v>
      </c>
      <c r="B74" s="112">
        <v>41252.666666666664</v>
      </c>
      <c r="D74" s="108" t="s">
        <v>145</v>
      </c>
      <c r="E74" s="109" t="s">
        <v>29</v>
      </c>
      <c r="F74" s="109" t="s">
        <v>141</v>
      </c>
      <c r="H74" s="110" t="s">
        <v>427</v>
      </c>
      <c r="I74" s="112">
        <v>41251.933333333334</v>
      </c>
      <c r="J74" s="109" t="s">
        <v>53</v>
      </c>
      <c r="K74" s="6">
        <v>5</v>
      </c>
      <c r="L74" s="10" t="s">
        <v>5</v>
      </c>
      <c r="M74" s="6">
        <f t="shared" si="14"/>
        <v>0</v>
      </c>
      <c r="N74" s="6">
        <f t="shared" si="17"/>
        <v>0</v>
      </c>
      <c r="O74" s="6">
        <f t="shared" si="18"/>
        <v>1</v>
      </c>
      <c r="P74" s="6">
        <f t="shared" si="16"/>
        <v>0</v>
      </c>
      <c r="Q74" s="6">
        <f t="shared" si="20"/>
        <v>-5</v>
      </c>
      <c r="R74" s="30">
        <f t="shared" si="19"/>
        <v>-5</v>
      </c>
      <c r="S74" s="4">
        <f t="shared" si="15"/>
        <v>110.86249999999998</v>
      </c>
      <c r="T74" s="14">
        <f t="shared" si="21"/>
        <v>-14.187499999999993</v>
      </c>
      <c r="U74" s="14">
        <f t="shared" si="23"/>
        <v>-20.700000000000003</v>
      </c>
      <c r="V74" s="14">
        <f t="shared" si="11"/>
        <v>-8.6499999999999986</v>
      </c>
      <c r="W74" s="14">
        <f t="shared" si="13"/>
        <v>-45.599999999999994</v>
      </c>
      <c r="X74" s="13">
        <v>0</v>
      </c>
      <c r="Y74" s="13">
        <v>0</v>
      </c>
      <c r="Z74" s="13">
        <f t="shared" si="22"/>
        <v>-89.137500000000017</v>
      </c>
    </row>
    <row r="75" spans="1:26" ht="11.25" customHeight="1">
      <c r="A75" s="111" t="s">
        <v>8</v>
      </c>
      <c r="B75" s="112">
        <v>41252.666666666664</v>
      </c>
      <c r="D75" s="108" t="s">
        <v>145</v>
      </c>
      <c r="E75" s="109" t="s">
        <v>29</v>
      </c>
      <c r="F75" s="109" t="s">
        <v>141</v>
      </c>
      <c r="H75" s="110" t="s">
        <v>427</v>
      </c>
      <c r="I75" s="112">
        <v>41252.417361111111</v>
      </c>
      <c r="J75" s="109" t="s">
        <v>53</v>
      </c>
      <c r="K75" s="6">
        <v>5</v>
      </c>
      <c r="L75" s="10" t="s">
        <v>5</v>
      </c>
      <c r="M75" s="6">
        <f t="shared" si="14"/>
        <v>0</v>
      </c>
      <c r="N75" s="6">
        <f t="shared" si="17"/>
        <v>0</v>
      </c>
      <c r="O75" s="6">
        <f t="shared" si="18"/>
        <v>1</v>
      </c>
      <c r="P75" s="6">
        <f t="shared" si="16"/>
        <v>0</v>
      </c>
      <c r="Q75" s="6">
        <f t="shared" si="20"/>
        <v>-5</v>
      </c>
      <c r="R75" s="30">
        <f t="shared" si="19"/>
        <v>-5</v>
      </c>
      <c r="S75" s="4">
        <f t="shared" si="15"/>
        <v>105.86249999999998</v>
      </c>
      <c r="T75" s="14">
        <f t="shared" si="21"/>
        <v>-19.187499999999993</v>
      </c>
      <c r="U75" s="14">
        <f t="shared" si="23"/>
        <v>-20.700000000000003</v>
      </c>
      <c r="V75" s="14">
        <f t="shared" si="11"/>
        <v>-8.6499999999999986</v>
      </c>
      <c r="W75" s="14">
        <f t="shared" si="13"/>
        <v>-45.599999999999994</v>
      </c>
      <c r="X75" s="13">
        <v>0</v>
      </c>
      <c r="Y75" s="13">
        <v>0</v>
      </c>
      <c r="Z75" s="13">
        <f t="shared" si="22"/>
        <v>-94.137500000000017</v>
      </c>
    </row>
    <row r="76" spans="1:26" ht="11.25" customHeight="1">
      <c r="A76" s="111" t="s">
        <v>8</v>
      </c>
      <c r="B76" s="112">
        <v>41252.604166666664</v>
      </c>
      <c r="D76" s="108" t="s">
        <v>146</v>
      </c>
      <c r="E76" s="109" t="s">
        <v>125</v>
      </c>
      <c r="F76" s="109" t="s">
        <v>142</v>
      </c>
      <c r="H76" s="110" t="s">
        <v>405</v>
      </c>
      <c r="I76" s="112">
        <v>41252.54791666667</v>
      </c>
      <c r="J76" s="109" t="s">
        <v>3</v>
      </c>
      <c r="K76" s="6">
        <v>5</v>
      </c>
      <c r="L76" s="10" t="s">
        <v>7</v>
      </c>
      <c r="M76" s="6">
        <f t="shared" si="14"/>
        <v>12.25</v>
      </c>
      <c r="N76" s="6">
        <f t="shared" si="17"/>
        <v>1</v>
      </c>
      <c r="O76" s="6">
        <f t="shared" si="18"/>
        <v>0</v>
      </c>
      <c r="P76" s="6">
        <f t="shared" si="16"/>
        <v>0</v>
      </c>
      <c r="Q76" s="6">
        <f t="shared" si="20"/>
        <v>7.25</v>
      </c>
      <c r="R76" s="30">
        <f t="shared" si="19"/>
        <v>7.25</v>
      </c>
      <c r="S76" s="4">
        <f t="shared" si="15"/>
        <v>113.11249999999998</v>
      </c>
      <c r="T76" s="14">
        <f t="shared" si="21"/>
        <v>-11.937499999999993</v>
      </c>
      <c r="U76" s="14">
        <f t="shared" si="23"/>
        <v>-20.700000000000003</v>
      </c>
      <c r="V76" s="14">
        <f t="shared" si="11"/>
        <v>-8.6499999999999986</v>
      </c>
      <c r="W76" s="14">
        <f t="shared" si="13"/>
        <v>-45.599999999999994</v>
      </c>
      <c r="X76" s="13">
        <v>0</v>
      </c>
      <c r="Y76" s="13">
        <v>0</v>
      </c>
      <c r="Z76" s="13">
        <f t="shared" si="22"/>
        <v>-86.887500000000017</v>
      </c>
    </row>
    <row r="77" spans="1:26" ht="11.25" customHeight="1">
      <c r="A77" s="111" t="s">
        <v>67</v>
      </c>
      <c r="B77" s="112">
        <v>41252.875</v>
      </c>
      <c r="D77" s="108" t="s">
        <v>147</v>
      </c>
      <c r="E77" s="109" t="s">
        <v>31</v>
      </c>
      <c r="F77" s="109" t="s">
        <v>143</v>
      </c>
      <c r="H77" s="110" t="s">
        <v>428</v>
      </c>
      <c r="I77" s="112">
        <v>41252.677083333336</v>
      </c>
      <c r="J77" s="109" t="s">
        <v>3</v>
      </c>
      <c r="K77" s="6">
        <v>5</v>
      </c>
      <c r="L77" s="10" t="s">
        <v>5</v>
      </c>
      <c r="M77" s="6">
        <f t="shared" si="14"/>
        <v>0</v>
      </c>
      <c r="N77" s="6">
        <f t="shared" si="17"/>
        <v>0</v>
      </c>
      <c r="O77" s="6">
        <f t="shared" si="18"/>
        <v>1</v>
      </c>
      <c r="P77" s="6">
        <f t="shared" si="16"/>
        <v>0</v>
      </c>
      <c r="Q77" s="6">
        <f t="shared" si="20"/>
        <v>-5</v>
      </c>
      <c r="R77" s="30">
        <f t="shared" si="19"/>
        <v>-5</v>
      </c>
      <c r="S77" s="4">
        <f t="shared" si="15"/>
        <v>108.11249999999998</v>
      </c>
      <c r="T77" s="14">
        <f t="shared" si="21"/>
        <v>-11.937499999999993</v>
      </c>
      <c r="U77" s="14">
        <f t="shared" si="23"/>
        <v>-20.700000000000003</v>
      </c>
      <c r="V77" s="14">
        <f t="shared" si="11"/>
        <v>-8.6499999999999986</v>
      </c>
      <c r="W77" s="14">
        <f t="shared" si="13"/>
        <v>-50.599999999999994</v>
      </c>
      <c r="X77" s="13">
        <v>0</v>
      </c>
      <c r="Y77" s="13">
        <v>0</v>
      </c>
      <c r="Z77" s="13">
        <f t="shared" si="22"/>
        <v>-91.887500000000017</v>
      </c>
    </row>
    <row r="78" spans="1:26" ht="11.25" customHeight="1">
      <c r="A78" s="111" t="s">
        <v>67</v>
      </c>
      <c r="B78" s="112">
        <v>41252.6875</v>
      </c>
      <c r="D78" s="108" t="s">
        <v>148</v>
      </c>
      <c r="E78" s="109" t="s">
        <v>31</v>
      </c>
      <c r="F78" s="109" t="s">
        <v>144</v>
      </c>
      <c r="H78" s="110" t="s">
        <v>415</v>
      </c>
      <c r="I78" s="112">
        <v>41252.677777777775</v>
      </c>
      <c r="J78" s="109" t="s">
        <v>3</v>
      </c>
      <c r="K78" s="6">
        <v>5</v>
      </c>
      <c r="L78" s="10" t="s">
        <v>7</v>
      </c>
      <c r="M78" s="6">
        <f t="shared" si="14"/>
        <v>8.35</v>
      </c>
      <c r="N78" s="6">
        <f t="shared" si="17"/>
        <v>1</v>
      </c>
      <c r="O78" s="6">
        <f t="shared" si="18"/>
        <v>0</v>
      </c>
      <c r="P78" s="6">
        <f t="shared" si="16"/>
        <v>0</v>
      </c>
      <c r="Q78" s="6">
        <f t="shared" si="20"/>
        <v>3.3499999999999996</v>
      </c>
      <c r="R78" s="30">
        <f t="shared" si="19"/>
        <v>3.3499999999999996</v>
      </c>
      <c r="S78" s="4">
        <f t="shared" si="15"/>
        <v>111.46249999999998</v>
      </c>
      <c r="T78" s="14">
        <f t="shared" si="21"/>
        <v>-11.937499999999993</v>
      </c>
      <c r="U78" s="14">
        <f t="shared" si="23"/>
        <v>-20.700000000000003</v>
      </c>
      <c r="V78" s="14">
        <f t="shared" si="11"/>
        <v>-8.6499999999999986</v>
      </c>
      <c r="W78" s="14">
        <f t="shared" si="13"/>
        <v>-47.249999999999993</v>
      </c>
      <c r="X78" s="13">
        <v>0</v>
      </c>
      <c r="Y78" s="13">
        <v>0</v>
      </c>
      <c r="Z78" s="13">
        <f t="shared" si="22"/>
        <v>-88.537500000000023</v>
      </c>
    </row>
    <row r="79" spans="1:26" ht="11.25" customHeight="1">
      <c r="A79" s="111" t="s">
        <v>8</v>
      </c>
      <c r="B79" s="112">
        <v>41252.75</v>
      </c>
      <c r="D79" s="108" t="s">
        <v>149</v>
      </c>
      <c r="E79" s="109" t="s">
        <v>150</v>
      </c>
      <c r="F79" s="109" t="s">
        <v>151</v>
      </c>
      <c r="H79" s="110" t="s">
        <v>429</v>
      </c>
      <c r="I79" s="112">
        <v>41252.730555555558</v>
      </c>
      <c r="J79" s="109" t="s">
        <v>3</v>
      </c>
      <c r="K79" s="6">
        <v>5</v>
      </c>
      <c r="L79" s="10" t="s">
        <v>7</v>
      </c>
      <c r="M79" s="6">
        <f t="shared" si="14"/>
        <v>9.5499999999999989</v>
      </c>
      <c r="N79" s="6">
        <f t="shared" si="17"/>
        <v>1</v>
      </c>
      <c r="O79" s="6">
        <f t="shared" si="18"/>
        <v>0</v>
      </c>
      <c r="P79" s="6">
        <f t="shared" si="16"/>
        <v>0</v>
      </c>
      <c r="Q79" s="6">
        <f t="shared" si="20"/>
        <v>4.5499999999999989</v>
      </c>
      <c r="R79" s="30">
        <f t="shared" si="19"/>
        <v>4.5499999999999989</v>
      </c>
      <c r="S79" s="4">
        <f t="shared" si="15"/>
        <v>116.01249999999997</v>
      </c>
      <c r="T79" s="14">
        <f t="shared" si="21"/>
        <v>-7.387499999999994</v>
      </c>
      <c r="U79" s="14">
        <f t="shared" si="23"/>
        <v>-20.700000000000003</v>
      </c>
      <c r="V79" s="14">
        <f t="shared" si="11"/>
        <v>-8.6499999999999986</v>
      </c>
      <c r="W79" s="14">
        <f t="shared" si="13"/>
        <v>-47.249999999999993</v>
      </c>
      <c r="X79" s="13">
        <v>0</v>
      </c>
      <c r="Y79" s="13">
        <v>0</v>
      </c>
      <c r="Z79" s="13">
        <f t="shared" si="22"/>
        <v>-83.987500000000026</v>
      </c>
    </row>
    <row r="80" spans="1:26" ht="11.25" customHeight="1">
      <c r="A80" s="111" t="s">
        <v>8</v>
      </c>
      <c r="B80" s="112">
        <v>41252.791666666664</v>
      </c>
      <c r="D80" s="108" t="s">
        <v>152</v>
      </c>
      <c r="E80" s="109" t="s">
        <v>154</v>
      </c>
      <c r="F80" s="109" t="s">
        <v>155</v>
      </c>
      <c r="H80" s="110" t="s">
        <v>391</v>
      </c>
      <c r="I80" s="112">
        <v>41252.75</v>
      </c>
      <c r="J80" s="109" t="s">
        <v>153</v>
      </c>
      <c r="K80" s="6">
        <v>5</v>
      </c>
      <c r="L80" s="10" t="s">
        <v>7</v>
      </c>
      <c r="M80" s="6">
        <f t="shared" si="14"/>
        <v>8.5</v>
      </c>
      <c r="N80" s="6">
        <f t="shared" si="17"/>
        <v>1</v>
      </c>
      <c r="O80" s="6">
        <f t="shared" si="18"/>
        <v>0</v>
      </c>
      <c r="P80" s="6">
        <f t="shared" si="16"/>
        <v>0</v>
      </c>
      <c r="Q80" s="6">
        <f t="shared" si="20"/>
        <v>3.5</v>
      </c>
      <c r="R80" s="30">
        <f t="shared" si="19"/>
        <v>3.5</v>
      </c>
      <c r="S80" s="4">
        <f t="shared" si="15"/>
        <v>119.51249999999997</v>
      </c>
      <c r="T80" s="14">
        <f t="shared" si="21"/>
        <v>-3.887499999999994</v>
      </c>
      <c r="U80" s="14">
        <f t="shared" si="23"/>
        <v>-20.700000000000003</v>
      </c>
      <c r="V80" s="14">
        <f t="shared" si="11"/>
        <v>-8.6499999999999986</v>
      </c>
      <c r="W80" s="14">
        <f t="shared" si="13"/>
        <v>-47.249999999999993</v>
      </c>
      <c r="X80" s="13">
        <v>0</v>
      </c>
      <c r="Y80" s="13">
        <v>0</v>
      </c>
      <c r="Z80" s="13">
        <f t="shared" si="22"/>
        <v>-80.487500000000026</v>
      </c>
    </row>
    <row r="81" spans="1:26" ht="11.25" customHeight="1">
      <c r="A81" s="111" t="s">
        <v>2</v>
      </c>
      <c r="B81" s="112">
        <v>41254.086805555555</v>
      </c>
      <c r="D81" s="108" t="s">
        <v>156</v>
      </c>
      <c r="E81" s="109" t="s">
        <v>157</v>
      </c>
      <c r="F81" s="109" t="s">
        <v>158</v>
      </c>
      <c r="H81" s="110" t="s">
        <v>414</v>
      </c>
      <c r="I81" s="112">
        <v>41252.761805555558</v>
      </c>
      <c r="J81" s="109" t="s">
        <v>9</v>
      </c>
      <c r="K81" s="6">
        <v>5</v>
      </c>
      <c r="L81" s="10" t="s">
        <v>7</v>
      </c>
      <c r="M81" s="6">
        <f t="shared" si="14"/>
        <v>7.65</v>
      </c>
      <c r="N81" s="6">
        <f t="shared" si="17"/>
        <v>1</v>
      </c>
      <c r="O81" s="6">
        <f t="shared" si="18"/>
        <v>0</v>
      </c>
      <c r="P81" s="6">
        <f t="shared" si="16"/>
        <v>0</v>
      </c>
      <c r="Q81" s="6">
        <f t="shared" si="20"/>
        <v>2.6500000000000004</v>
      </c>
      <c r="R81" s="30">
        <f t="shared" si="19"/>
        <v>2.6500000000000004</v>
      </c>
      <c r="S81" s="4">
        <f t="shared" si="15"/>
        <v>122.16249999999998</v>
      </c>
      <c r="T81" s="14">
        <f t="shared" si="21"/>
        <v>-3.887499999999994</v>
      </c>
      <c r="U81" s="14">
        <f t="shared" si="23"/>
        <v>-18.050000000000004</v>
      </c>
      <c r="V81" s="14">
        <f t="shared" si="11"/>
        <v>-8.6499999999999986</v>
      </c>
      <c r="W81" s="14">
        <f t="shared" si="13"/>
        <v>-47.249999999999993</v>
      </c>
      <c r="X81" s="13">
        <v>0</v>
      </c>
      <c r="Y81" s="13">
        <v>0</v>
      </c>
      <c r="Z81" s="13">
        <f t="shared" si="22"/>
        <v>-77.83750000000002</v>
      </c>
    </row>
    <row r="82" spans="1:26" ht="11.25" customHeight="1">
      <c r="A82" s="111" t="s">
        <v>8</v>
      </c>
      <c r="B82" s="112">
        <v>41253.614583333336</v>
      </c>
      <c r="D82" s="108" t="s">
        <v>161</v>
      </c>
      <c r="E82" s="109" t="s">
        <v>31</v>
      </c>
      <c r="F82" s="109" t="s">
        <v>162</v>
      </c>
      <c r="H82" s="110" t="s">
        <v>418</v>
      </c>
      <c r="I82" s="112">
        <v>41253.550000000003</v>
      </c>
      <c r="J82" s="109" t="s">
        <v>3</v>
      </c>
      <c r="K82" s="6">
        <v>5</v>
      </c>
      <c r="L82" s="10" t="s">
        <v>5</v>
      </c>
      <c r="M82" s="6">
        <f t="shared" si="14"/>
        <v>0</v>
      </c>
      <c r="N82" s="6">
        <f t="shared" si="17"/>
        <v>0</v>
      </c>
      <c r="O82" s="6">
        <f t="shared" si="18"/>
        <v>1</v>
      </c>
      <c r="P82" s="6">
        <f t="shared" si="16"/>
        <v>0</v>
      </c>
      <c r="Q82" s="6">
        <f t="shared" si="20"/>
        <v>-5</v>
      </c>
      <c r="R82" s="30">
        <f t="shared" si="19"/>
        <v>-5</v>
      </c>
      <c r="S82" s="4">
        <f t="shared" si="15"/>
        <v>117.16249999999998</v>
      </c>
      <c r="T82" s="14">
        <f t="shared" si="21"/>
        <v>-8.887499999999994</v>
      </c>
      <c r="U82" s="14">
        <f t="shared" si="23"/>
        <v>-18.050000000000004</v>
      </c>
      <c r="V82" s="14">
        <f t="shared" si="11"/>
        <v>-8.6499999999999986</v>
      </c>
      <c r="W82" s="14">
        <f t="shared" si="13"/>
        <v>-47.249999999999993</v>
      </c>
      <c r="X82" s="13">
        <v>0</v>
      </c>
      <c r="Y82" s="13">
        <v>0</v>
      </c>
      <c r="Z82" s="13">
        <f t="shared" si="22"/>
        <v>-82.83750000000002</v>
      </c>
    </row>
    <row r="83" spans="1:26" ht="11.25" customHeight="1">
      <c r="A83" s="111" t="s">
        <v>8</v>
      </c>
      <c r="B83" s="112">
        <v>41253.864583333336</v>
      </c>
      <c r="D83" s="108" t="s">
        <v>163</v>
      </c>
      <c r="E83" s="109" t="s">
        <v>31</v>
      </c>
      <c r="F83" s="109" t="s">
        <v>164</v>
      </c>
      <c r="H83" s="110" t="s">
        <v>417</v>
      </c>
      <c r="I83" s="112">
        <v>41253.730555555558</v>
      </c>
      <c r="J83" s="109" t="s">
        <v>3</v>
      </c>
      <c r="K83" s="6">
        <v>5</v>
      </c>
      <c r="L83" s="10" t="s">
        <v>7</v>
      </c>
      <c r="M83" s="6">
        <f t="shared" si="14"/>
        <v>13.75</v>
      </c>
      <c r="N83" s="6">
        <f t="shared" si="17"/>
        <v>1</v>
      </c>
      <c r="O83" s="6">
        <f t="shared" si="18"/>
        <v>0</v>
      </c>
      <c r="P83" s="6">
        <f t="shared" si="16"/>
        <v>0</v>
      </c>
      <c r="Q83" s="6">
        <f t="shared" si="20"/>
        <v>8.75</v>
      </c>
      <c r="R83" s="30">
        <f t="shared" si="19"/>
        <v>8.75</v>
      </c>
      <c r="S83" s="4">
        <f t="shared" si="15"/>
        <v>125.91249999999997</v>
      </c>
      <c r="T83" s="14">
        <f t="shared" si="21"/>
        <v>-0.13749999999999396</v>
      </c>
      <c r="U83" s="14">
        <f t="shared" si="23"/>
        <v>-18.050000000000004</v>
      </c>
      <c r="V83" s="14">
        <f t="shared" si="11"/>
        <v>-8.6499999999999986</v>
      </c>
      <c r="W83" s="14">
        <f t="shared" si="13"/>
        <v>-47.249999999999993</v>
      </c>
      <c r="X83" s="13">
        <v>0</v>
      </c>
      <c r="Y83" s="13">
        <v>0</v>
      </c>
      <c r="Z83" s="13">
        <f t="shared" si="22"/>
        <v>-74.08750000000002</v>
      </c>
    </row>
    <row r="84" spans="1:26" ht="11.25" customHeight="1">
      <c r="A84" s="111" t="s">
        <v>2</v>
      </c>
      <c r="B84" s="112">
        <v>41254.791666666664</v>
      </c>
      <c r="D84" s="108" t="s">
        <v>165</v>
      </c>
      <c r="E84" s="109" t="s">
        <v>117</v>
      </c>
      <c r="H84" s="110" t="s">
        <v>391</v>
      </c>
      <c r="I84" s="112">
        <v>41254.720138888886</v>
      </c>
      <c r="J84" s="109" t="s">
        <v>3</v>
      </c>
      <c r="K84" s="6">
        <v>5</v>
      </c>
      <c r="L84" s="10" t="s">
        <v>5</v>
      </c>
      <c r="M84" s="6">
        <f t="shared" si="14"/>
        <v>0</v>
      </c>
      <c r="N84" s="6">
        <f t="shared" si="17"/>
        <v>0</v>
      </c>
      <c r="O84" s="6">
        <f t="shared" si="18"/>
        <v>1</v>
      </c>
      <c r="P84" s="6">
        <f t="shared" si="16"/>
        <v>0</v>
      </c>
      <c r="Q84" s="6">
        <f t="shared" si="20"/>
        <v>-5</v>
      </c>
      <c r="R84" s="30">
        <f t="shared" si="19"/>
        <v>-5</v>
      </c>
      <c r="S84" s="4">
        <f t="shared" si="15"/>
        <v>120.91249999999997</v>
      </c>
      <c r="T84" s="14">
        <f t="shared" si="21"/>
        <v>-0.13749999999999396</v>
      </c>
      <c r="U84" s="14">
        <f t="shared" si="23"/>
        <v>-23.050000000000004</v>
      </c>
      <c r="V84" s="14">
        <f t="shared" si="11"/>
        <v>-8.6499999999999986</v>
      </c>
      <c r="W84" s="14">
        <f t="shared" si="13"/>
        <v>-47.249999999999993</v>
      </c>
      <c r="X84" s="13">
        <v>0</v>
      </c>
      <c r="Y84" s="13">
        <v>0</v>
      </c>
      <c r="Z84" s="13">
        <f t="shared" si="22"/>
        <v>-79.08750000000002</v>
      </c>
    </row>
    <row r="85" spans="1:26" ht="11.25" customHeight="1">
      <c r="A85" s="111" t="s">
        <v>2</v>
      </c>
      <c r="B85" s="112">
        <v>41254.833333333336</v>
      </c>
      <c r="D85" s="108" t="s">
        <v>166</v>
      </c>
      <c r="E85" s="109" t="s">
        <v>167</v>
      </c>
      <c r="F85" s="109" t="s">
        <v>168</v>
      </c>
      <c r="H85" s="110" t="s">
        <v>430</v>
      </c>
      <c r="I85" s="112">
        <v>41254.722222222219</v>
      </c>
      <c r="J85" s="109" t="s">
        <v>3</v>
      </c>
      <c r="K85" s="6">
        <v>5</v>
      </c>
      <c r="L85" s="10" t="s">
        <v>7</v>
      </c>
      <c r="M85" s="6">
        <f t="shared" si="14"/>
        <v>6.3</v>
      </c>
      <c r="N85" s="6">
        <f t="shared" si="17"/>
        <v>1</v>
      </c>
      <c r="O85" s="6">
        <f t="shared" si="18"/>
        <v>0</v>
      </c>
      <c r="P85" s="6">
        <f t="shared" si="16"/>
        <v>0</v>
      </c>
      <c r="Q85" s="6">
        <f t="shared" si="20"/>
        <v>1.2999999999999998</v>
      </c>
      <c r="R85" s="30">
        <f t="shared" si="19"/>
        <v>1.2999999999999998</v>
      </c>
      <c r="S85" s="4">
        <f t="shared" si="15"/>
        <v>122.21249999999996</v>
      </c>
      <c r="T85" s="14">
        <f t="shared" si="21"/>
        <v>-0.13749999999999396</v>
      </c>
      <c r="U85" s="14">
        <f t="shared" si="23"/>
        <v>-21.750000000000004</v>
      </c>
      <c r="V85" s="14">
        <f t="shared" ref="V85:V148" si="24">IF(A85="PHANE",V84+R85,V84)</f>
        <v>-8.6499999999999986</v>
      </c>
      <c r="W85" s="14">
        <f t="shared" si="13"/>
        <v>-47.249999999999993</v>
      </c>
      <c r="X85" s="13">
        <v>0</v>
      </c>
      <c r="Y85" s="13">
        <v>0</v>
      </c>
      <c r="Z85" s="13">
        <f t="shared" si="22"/>
        <v>-77.787500000000023</v>
      </c>
    </row>
    <row r="86" spans="1:26" ht="11.25" customHeight="1">
      <c r="A86" s="111" t="s">
        <v>2</v>
      </c>
      <c r="B86" s="112">
        <v>41254.875</v>
      </c>
      <c r="D86" s="108" t="s">
        <v>169</v>
      </c>
      <c r="E86" s="109" t="s">
        <v>31</v>
      </c>
      <c r="F86" s="109" t="s">
        <v>134</v>
      </c>
      <c r="H86" s="110" t="s">
        <v>431</v>
      </c>
      <c r="I86" s="112">
        <v>41254.724305555559</v>
      </c>
      <c r="J86" s="109" t="s">
        <v>3</v>
      </c>
      <c r="K86" s="6">
        <v>5</v>
      </c>
      <c r="L86" s="10" t="s">
        <v>7</v>
      </c>
      <c r="M86" s="6">
        <f t="shared" si="14"/>
        <v>6.8000000000000007</v>
      </c>
      <c r="N86" s="6">
        <f t="shared" si="17"/>
        <v>1</v>
      </c>
      <c r="O86" s="6">
        <f t="shared" si="18"/>
        <v>0</v>
      </c>
      <c r="P86" s="6">
        <f t="shared" si="16"/>
        <v>0</v>
      </c>
      <c r="Q86" s="6">
        <f t="shared" si="20"/>
        <v>1.8000000000000007</v>
      </c>
      <c r="R86" s="30">
        <f t="shared" si="19"/>
        <v>1.8000000000000007</v>
      </c>
      <c r="S86" s="4">
        <f t="shared" si="15"/>
        <v>124.01249999999996</v>
      </c>
      <c r="T86" s="14">
        <f t="shared" si="21"/>
        <v>-0.13749999999999396</v>
      </c>
      <c r="U86" s="14">
        <f t="shared" si="23"/>
        <v>-19.950000000000003</v>
      </c>
      <c r="V86" s="14">
        <f t="shared" si="24"/>
        <v>-8.6499999999999986</v>
      </c>
      <c r="W86" s="14">
        <f t="shared" si="13"/>
        <v>-47.249999999999993</v>
      </c>
      <c r="X86" s="13">
        <v>0</v>
      </c>
      <c r="Y86" s="13">
        <v>0</v>
      </c>
      <c r="Z86" s="13">
        <f t="shared" si="22"/>
        <v>-75.987500000000026</v>
      </c>
    </row>
    <row r="87" spans="1:26" ht="11.25" customHeight="1">
      <c r="A87" s="111" t="s">
        <v>2</v>
      </c>
      <c r="B87" s="112">
        <v>41254.864583333336</v>
      </c>
      <c r="D87" s="108" t="s">
        <v>170</v>
      </c>
      <c r="E87" s="109" t="s">
        <v>31</v>
      </c>
      <c r="F87" s="109" t="s">
        <v>171</v>
      </c>
      <c r="H87" s="110" t="s">
        <v>431</v>
      </c>
      <c r="I87" s="112">
        <v>41254.724999999999</v>
      </c>
      <c r="J87" s="109" t="s">
        <v>3</v>
      </c>
      <c r="K87" s="6">
        <v>5</v>
      </c>
      <c r="L87" s="10" t="s">
        <v>5</v>
      </c>
      <c r="M87" s="6">
        <f t="shared" si="14"/>
        <v>0</v>
      </c>
      <c r="N87" s="6">
        <f t="shared" si="17"/>
        <v>0</v>
      </c>
      <c r="O87" s="6">
        <f t="shared" si="18"/>
        <v>1</v>
      </c>
      <c r="P87" s="6">
        <f t="shared" si="16"/>
        <v>0</v>
      </c>
      <c r="Q87" s="6">
        <f t="shared" si="20"/>
        <v>-5</v>
      </c>
      <c r="R87" s="30">
        <f t="shared" si="19"/>
        <v>-5</v>
      </c>
      <c r="S87" s="4">
        <f t="shared" si="15"/>
        <v>119.01249999999996</v>
      </c>
      <c r="T87" s="14">
        <f t="shared" si="21"/>
        <v>-0.13749999999999396</v>
      </c>
      <c r="U87" s="14">
        <f t="shared" si="23"/>
        <v>-24.950000000000003</v>
      </c>
      <c r="V87" s="14">
        <f t="shared" si="24"/>
        <v>-8.6499999999999986</v>
      </c>
      <c r="W87" s="14">
        <f t="shared" si="13"/>
        <v>-47.249999999999993</v>
      </c>
      <c r="X87" s="13">
        <v>0</v>
      </c>
      <c r="Y87" s="13">
        <v>0</v>
      </c>
      <c r="Z87" s="13">
        <f t="shared" si="22"/>
        <v>-80.987500000000026</v>
      </c>
    </row>
    <row r="88" spans="1:26" ht="11.25" customHeight="1">
      <c r="A88" s="111" t="s">
        <v>2</v>
      </c>
      <c r="B88" s="112">
        <v>41255.791666666664</v>
      </c>
      <c r="D88" s="108" t="s">
        <v>172</v>
      </c>
      <c r="E88" s="109" t="s">
        <v>31</v>
      </c>
      <c r="F88" s="109" t="s">
        <v>173</v>
      </c>
      <c r="H88" s="110" t="s">
        <v>416</v>
      </c>
      <c r="I88" s="112">
        <v>41254.726388888892</v>
      </c>
      <c r="J88" s="109" t="s">
        <v>3</v>
      </c>
      <c r="K88" s="6">
        <v>5</v>
      </c>
      <c r="L88" s="10" t="s">
        <v>5</v>
      </c>
      <c r="M88" s="6">
        <f t="shared" si="14"/>
        <v>0</v>
      </c>
      <c r="N88" s="6">
        <f t="shared" si="17"/>
        <v>0</v>
      </c>
      <c r="O88" s="6">
        <f t="shared" si="18"/>
        <v>1</v>
      </c>
      <c r="P88" s="6">
        <f t="shared" si="16"/>
        <v>0</v>
      </c>
      <c r="Q88" s="6">
        <f t="shared" si="20"/>
        <v>-5</v>
      </c>
      <c r="R88" s="30">
        <f t="shared" si="19"/>
        <v>-5</v>
      </c>
      <c r="S88" s="4">
        <f t="shared" si="15"/>
        <v>114.01249999999996</v>
      </c>
      <c r="T88" s="14">
        <f t="shared" si="21"/>
        <v>-0.13749999999999396</v>
      </c>
      <c r="U88" s="14">
        <f t="shared" si="23"/>
        <v>-29.950000000000003</v>
      </c>
      <c r="V88" s="14">
        <f t="shared" si="24"/>
        <v>-8.6499999999999986</v>
      </c>
      <c r="W88" s="14">
        <f t="shared" si="13"/>
        <v>-47.249999999999993</v>
      </c>
      <c r="X88" s="13">
        <v>0</v>
      </c>
      <c r="Y88" s="13">
        <v>0</v>
      </c>
      <c r="Z88" s="13">
        <f t="shared" si="22"/>
        <v>-85.987500000000026</v>
      </c>
    </row>
    <row r="89" spans="1:26" ht="11.25" customHeight="1">
      <c r="A89" s="111" t="s">
        <v>2</v>
      </c>
      <c r="B89" s="112">
        <v>41255.916666666664</v>
      </c>
      <c r="D89" s="108" t="s">
        <v>174</v>
      </c>
      <c r="E89" s="109" t="s">
        <v>31</v>
      </c>
      <c r="F89" s="109" t="s">
        <v>73</v>
      </c>
      <c r="H89" s="110" t="s">
        <v>431</v>
      </c>
      <c r="I89" s="112">
        <v>41254.727777777778</v>
      </c>
      <c r="J89" s="109" t="s">
        <v>3</v>
      </c>
      <c r="K89" s="6">
        <v>5</v>
      </c>
      <c r="L89" s="10" t="s">
        <v>5</v>
      </c>
      <c r="M89" s="6">
        <f t="shared" si="14"/>
        <v>0</v>
      </c>
      <c r="N89" s="6">
        <f t="shared" si="17"/>
        <v>0</v>
      </c>
      <c r="O89" s="6">
        <f t="shared" si="18"/>
        <v>1</v>
      </c>
      <c r="P89" s="6">
        <f t="shared" si="16"/>
        <v>0</v>
      </c>
      <c r="Q89" s="6">
        <f t="shared" si="20"/>
        <v>-5</v>
      </c>
      <c r="R89" s="30">
        <f t="shared" si="19"/>
        <v>-5</v>
      </c>
      <c r="S89" s="4">
        <f t="shared" si="15"/>
        <v>109.01249999999996</v>
      </c>
      <c r="T89" s="14">
        <f t="shared" si="21"/>
        <v>-0.13749999999999396</v>
      </c>
      <c r="U89" s="14">
        <f t="shared" si="23"/>
        <v>-34.950000000000003</v>
      </c>
      <c r="V89" s="14">
        <f t="shared" si="24"/>
        <v>-8.6499999999999986</v>
      </c>
      <c r="W89" s="14">
        <f t="shared" si="13"/>
        <v>-47.249999999999993</v>
      </c>
      <c r="X89" s="13">
        <v>0</v>
      </c>
      <c r="Y89" s="13">
        <v>0</v>
      </c>
      <c r="Z89" s="13">
        <f t="shared" si="22"/>
        <v>-90.987500000000026</v>
      </c>
    </row>
    <row r="90" spans="1:26" ht="11.25" customHeight="1">
      <c r="A90" s="111" t="s">
        <v>2</v>
      </c>
      <c r="B90" s="111">
        <v>41255.833333333336</v>
      </c>
      <c r="D90" s="108" t="s">
        <v>175</v>
      </c>
      <c r="E90" s="109" t="s">
        <v>150</v>
      </c>
      <c r="F90" s="109" t="s">
        <v>176</v>
      </c>
      <c r="H90" s="110" t="s">
        <v>420</v>
      </c>
      <c r="I90" s="112">
        <v>41254.729166666664</v>
      </c>
      <c r="J90" s="108" t="s">
        <v>3</v>
      </c>
      <c r="K90" s="6">
        <v>5</v>
      </c>
      <c r="L90" s="10" t="s">
        <v>7</v>
      </c>
      <c r="M90" s="6">
        <f t="shared" si="14"/>
        <v>8.1000000000000014</v>
      </c>
      <c r="N90" s="6">
        <f t="shared" si="17"/>
        <v>1</v>
      </c>
      <c r="O90" s="6">
        <f t="shared" si="18"/>
        <v>0</v>
      </c>
      <c r="P90" s="6">
        <f t="shared" si="16"/>
        <v>0</v>
      </c>
      <c r="Q90" s="6">
        <f t="shared" si="20"/>
        <v>3.1000000000000014</v>
      </c>
      <c r="R90" s="30">
        <f t="shared" si="19"/>
        <v>3.1000000000000014</v>
      </c>
      <c r="S90" s="4">
        <f t="shared" ref="S90:S121" si="25">IF(L90=0,S89-K90,S89+M90-K90)</f>
        <v>112.11249999999995</v>
      </c>
      <c r="T90" s="14">
        <f t="shared" si="21"/>
        <v>-0.13749999999999396</v>
      </c>
      <c r="U90" s="14">
        <f t="shared" si="23"/>
        <v>-31.85</v>
      </c>
      <c r="V90" s="14">
        <f t="shared" si="24"/>
        <v>-8.6499999999999986</v>
      </c>
      <c r="W90" s="14">
        <f t="shared" si="13"/>
        <v>-47.249999999999993</v>
      </c>
      <c r="X90" s="13">
        <v>0</v>
      </c>
      <c r="Y90" s="13">
        <v>0</v>
      </c>
      <c r="Z90" s="13">
        <f t="shared" si="22"/>
        <v>-87.887500000000017</v>
      </c>
    </row>
    <row r="91" spans="1:26" ht="11.25" customHeight="1">
      <c r="A91" s="111" t="s">
        <v>2</v>
      </c>
      <c r="B91" s="111">
        <v>41255.875</v>
      </c>
      <c r="D91" s="108" t="s">
        <v>177</v>
      </c>
      <c r="E91" s="109" t="s">
        <v>178</v>
      </c>
      <c r="F91" s="109" t="s">
        <v>179</v>
      </c>
      <c r="H91" s="110" t="s">
        <v>412</v>
      </c>
      <c r="I91" s="112">
        <v>41254.730555555558</v>
      </c>
      <c r="J91" s="108" t="s">
        <v>3</v>
      </c>
      <c r="K91" s="6">
        <v>5</v>
      </c>
      <c r="L91" s="10" t="s">
        <v>5</v>
      </c>
      <c r="M91" s="6">
        <f t="shared" si="14"/>
        <v>0</v>
      </c>
      <c r="N91" s="6">
        <f t="shared" si="17"/>
        <v>0</v>
      </c>
      <c r="O91" s="6">
        <f t="shared" si="18"/>
        <v>1</v>
      </c>
      <c r="P91" s="6">
        <f t="shared" si="16"/>
        <v>0</v>
      </c>
      <c r="Q91" s="6">
        <f t="shared" si="20"/>
        <v>-5</v>
      </c>
      <c r="R91" s="30">
        <f t="shared" si="19"/>
        <v>-5</v>
      </c>
      <c r="S91" s="4">
        <f t="shared" si="25"/>
        <v>107.11249999999995</v>
      </c>
      <c r="T91" s="14">
        <f t="shared" si="21"/>
        <v>-0.13749999999999396</v>
      </c>
      <c r="U91" s="14">
        <f t="shared" si="23"/>
        <v>-36.85</v>
      </c>
      <c r="V91" s="14">
        <f t="shared" si="24"/>
        <v>-8.6499999999999986</v>
      </c>
      <c r="W91" s="14">
        <f t="shared" ref="W91:W154" si="26">IF(A91="TOF",W90+R91,W90)</f>
        <v>-47.249999999999993</v>
      </c>
      <c r="X91" s="13">
        <v>0</v>
      </c>
      <c r="Y91" s="13">
        <v>0</v>
      </c>
      <c r="Z91" s="13">
        <f t="shared" si="22"/>
        <v>-92.887500000000017</v>
      </c>
    </row>
    <row r="92" spans="1:26" ht="11.25" customHeight="1">
      <c r="A92" s="111" t="s">
        <v>8</v>
      </c>
      <c r="B92" s="111">
        <v>41254.864583333336</v>
      </c>
      <c r="D92" s="108" t="s">
        <v>181</v>
      </c>
      <c r="E92" s="109" t="s">
        <v>31</v>
      </c>
      <c r="F92" s="109" t="s">
        <v>182</v>
      </c>
      <c r="H92" s="110" t="s">
        <v>432</v>
      </c>
      <c r="I92" s="112">
        <v>41254.775694444441</v>
      </c>
      <c r="J92" s="108" t="s">
        <v>3</v>
      </c>
      <c r="K92" s="6">
        <v>5</v>
      </c>
      <c r="L92" s="10" t="s">
        <v>7</v>
      </c>
      <c r="M92" s="6">
        <f t="shared" ref="M92:M155" si="27">IF(L92="PERDU",0,K92*H92)</f>
        <v>9.3999999999999986</v>
      </c>
      <c r="N92" s="6">
        <f t="shared" si="17"/>
        <v>1</v>
      </c>
      <c r="O92" s="6">
        <f t="shared" si="18"/>
        <v>0</v>
      </c>
      <c r="P92" s="6">
        <f t="shared" si="16"/>
        <v>0</v>
      </c>
      <c r="Q92" s="6">
        <f t="shared" si="20"/>
        <v>4.3999999999999986</v>
      </c>
      <c r="R92" s="30">
        <f t="shared" si="19"/>
        <v>4.3999999999999986</v>
      </c>
      <c r="S92" s="4">
        <f t="shared" si="25"/>
        <v>111.51249999999996</v>
      </c>
      <c r="T92" s="14">
        <f t="shared" si="21"/>
        <v>4.2625000000000046</v>
      </c>
      <c r="U92" s="14">
        <f t="shared" si="23"/>
        <v>-36.85</v>
      </c>
      <c r="V92" s="14">
        <f t="shared" si="24"/>
        <v>-8.6499999999999986</v>
      </c>
      <c r="W92" s="14">
        <f t="shared" si="26"/>
        <v>-47.249999999999993</v>
      </c>
      <c r="X92" s="13">
        <v>0</v>
      </c>
      <c r="Y92" s="13">
        <v>0</v>
      </c>
      <c r="Z92" s="13">
        <f t="shared" si="22"/>
        <v>-88.487500000000011</v>
      </c>
    </row>
    <row r="93" spans="1:26" ht="11.25" customHeight="1">
      <c r="A93" s="111" t="s">
        <v>8</v>
      </c>
      <c r="B93" s="111">
        <v>41254.791666666664</v>
      </c>
      <c r="D93" s="108" t="s">
        <v>165</v>
      </c>
      <c r="E93" s="109" t="s">
        <v>31</v>
      </c>
      <c r="F93" s="109" t="s">
        <v>63</v>
      </c>
      <c r="H93" s="110" t="s">
        <v>433</v>
      </c>
      <c r="I93" s="112">
        <v>41254.777083333334</v>
      </c>
      <c r="J93" s="108" t="s">
        <v>3</v>
      </c>
      <c r="K93" s="6">
        <v>5</v>
      </c>
      <c r="L93" s="10" t="s">
        <v>5</v>
      </c>
      <c r="M93" s="6">
        <f t="shared" si="27"/>
        <v>0</v>
      </c>
      <c r="N93" s="6">
        <f t="shared" si="17"/>
        <v>0</v>
      </c>
      <c r="O93" s="6">
        <f t="shared" si="18"/>
        <v>1</v>
      </c>
      <c r="P93" s="6">
        <f t="shared" si="16"/>
        <v>0</v>
      </c>
      <c r="Q93" s="6">
        <f t="shared" si="20"/>
        <v>-5</v>
      </c>
      <c r="R93" s="30">
        <f t="shared" si="19"/>
        <v>-5</v>
      </c>
      <c r="S93" s="4">
        <f t="shared" si="25"/>
        <v>106.51249999999996</v>
      </c>
      <c r="T93" s="14">
        <f t="shared" si="21"/>
        <v>-0.73749999999999538</v>
      </c>
      <c r="U93" s="14">
        <f t="shared" si="23"/>
        <v>-36.85</v>
      </c>
      <c r="V93" s="14">
        <f t="shared" si="24"/>
        <v>-8.6499999999999986</v>
      </c>
      <c r="W93" s="14">
        <f t="shared" si="26"/>
        <v>-47.249999999999993</v>
      </c>
      <c r="X93" s="13">
        <v>0</v>
      </c>
      <c r="Y93" s="13">
        <v>0</v>
      </c>
      <c r="Z93" s="13">
        <f t="shared" si="22"/>
        <v>-93.487500000000011</v>
      </c>
    </row>
    <row r="94" spans="1:26" ht="11.25" customHeight="1">
      <c r="A94" s="111" t="s">
        <v>8</v>
      </c>
      <c r="B94" s="111">
        <v>41254.875</v>
      </c>
      <c r="D94" s="108" t="s">
        <v>180</v>
      </c>
      <c r="E94" s="109" t="s">
        <v>31</v>
      </c>
      <c r="F94" s="109" t="s">
        <v>77</v>
      </c>
      <c r="H94" s="110" t="s">
        <v>434</v>
      </c>
      <c r="I94" s="112">
        <v>41254.777777777781</v>
      </c>
      <c r="J94" s="108" t="s">
        <v>3</v>
      </c>
      <c r="K94" s="6">
        <v>5</v>
      </c>
      <c r="L94" s="10" t="s">
        <v>5</v>
      </c>
      <c r="M94" s="6">
        <f t="shared" si="27"/>
        <v>0</v>
      </c>
      <c r="N94" s="6">
        <f t="shared" si="17"/>
        <v>0</v>
      </c>
      <c r="O94" s="6">
        <f t="shared" si="18"/>
        <v>1</v>
      </c>
      <c r="P94" s="6">
        <f t="shared" si="16"/>
        <v>0</v>
      </c>
      <c r="Q94" s="6">
        <f t="shared" si="20"/>
        <v>-5</v>
      </c>
      <c r="R94" s="30">
        <f t="shared" si="19"/>
        <v>-5</v>
      </c>
      <c r="S94" s="4">
        <f t="shared" si="25"/>
        <v>101.51249999999996</v>
      </c>
      <c r="T94" s="14">
        <f t="shared" si="21"/>
        <v>-5.7374999999999954</v>
      </c>
      <c r="U94" s="14">
        <f t="shared" si="23"/>
        <v>-36.85</v>
      </c>
      <c r="V94" s="14">
        <f t="shared" si="24"/>
        <v>-8.6499999999999986</v>
      </c>
      <c r="W94" s="14">
        <f t="shared" si="26"/>
        <v>-47.249999999999993</v>
      </c>
      <c r="X94" s="13">
        <v>0</v>
      </c>
      <c r="Y94" s="13">
        <v>0</v>
      </c>
      <c r="Z94" s="13">
        <f t="shared" si="22"/>
        <v>-98.487500000000011</v>
      </c>
    </row>
    <row r="95" spans="1:26" ht="11.25" customHeight="1">
      <c r="A95" s="111" t="s">
        <v>67</v>
      </c>
      <c r="B95" s="111">
        <v>41254.864583333336</v>
      </c>
      <c r="D95" s="108" t="s">
        <v>184</v>
      </c>
      <c r="E95" s="109" t="s">
        <v>31</v>
      </c>
      <c r="F95" s="109" t="s">
        <v>171</v>
      </c>
      <c r="H95" s="110" t="s">
        <v>416</v>
      </c>
      <c r="I95" s="116">
        <v>41254.780555555553</v>
      </c>
      <c r="J95" s="108" t="s">
        <v>3</v>
      </c>
      <c r="K95" s="6">
        <v>5</v>
      </c>
      <c r="L95" s="10" t="s">
        <v>5</v>
      </c>
      <c r="M95" s="6">
        <f t="shared" si="27"/>
        <v>0</v>
      </c>
      <c r="N95" s="6">
        <f t="shared" si="17"/>
        <v>0</v>
      </c>
      <c r="O95" s="6">
        <f t="shared" si="18"/>
        <v>1</v>
      </c>
      <c r="P95" s="6">
        <f t="shared" si="16"/>
        <v>0</v>
      </c>
      <c r="Q95" s="6">
        <f t="shared" si="20"/>
        <v>-5</v>
      </c>
      <c r="R95" s="30">
        <f t="shared" si="19"/>
        <v>-5</v>
      </c>
      <c r="S95" s="4">
        <f t="shared" si="25"/>
        <v>96.51249999999996</v>
      </c>
      <c r="T95" s="14">
        <f t="shared" si="21"/>
        <v>-5.7374999999999954</v>
      </c>
      <c r="U95" s="14">
        <f t="shared" si="23"/>
        <v>-36.85</v>
      </c>
      <c r="V95" s="14">
        <f t="shared" si="24"/>
        <v>-8.6499999999999986</v>
      </c>
      <c r="W95" s="14">
        <f t="shared" si="26"/>
        <v>-52.249999999999993</v>
      </c>
      <c r="X95" s="13">
        <v>0</v>
      </c>
      <c r="Y95" s="13">
        <v>0</v>
      </c>
      <c r="Z95" s="13">
        <f t="shared" si="22"/>
        <v>-103.48750000000001</v>
      </c>
    </row>
    <row r="96" spans="1:26" ht="11.25" customHeight="1">
      <c r="A96" s="111" t="s">
        <v>67</v>
      </c>
      <c r="B96" s="111">
        <v>41254.875</v>
      </c>
      <c r="D96" s="108" t="s">
        <v>183</v>
      </c>
      <c r="E96" s="109" t="s">
        <v>31</v>
      </c>
      <c r="F96" s="109" t="s">
        <v>134</v>
      </c>
      <c r="H96" s="110" t="s">
        <v>431</v>
      </c>
      <c r="I96" s="116">
        <v>41254.78125</v>
      </c>
      <c r="J96" s="108" t="s">
        <v>3</v>
      </c>
      <c r="K96" s="6">
        <v>5</v>
      </c>
      <c r="L96" s="10" t="s">
        <v>7</v>
      </c>
      <c r="M96" s="6">
        <f t="shared" si="27"/>
        <v>6.8000000000000007</v>
      </c>
      <c r="N96" s="6">
        <f t="shared" si="17"/>
        <v>1</v>
      </c>
      <c r="O96" s="6">
        <f t="shared" si="18"/>
        <v>0</v>
      </c>
      <c r="P96" s="6">
        <f t="shared" si="16"/>
        <v>0</v>
      </c>
      <c r="Q96" s="6">
        <f t="shared" si="20"/>
        <v>1.8000000000000007</v>
      </c>
      <c r="R96" s="30">
        <f t="shared" si="19"/>
        <v>1.8000000000000007</v>
      </c>
      <c r="S96" s="4">
        <f t="shared" si="25"/>
        <v>98.312499999999957</v>
      </c>
      <c r="T96" s="14">
        <f t="shared" si="21"/>
        <v>-5.7374999999999954</v>
      </c>
      <c r="U96" s="14">
        <f t="shared" si="23"/>
        <v>-36.85</v>
      </c>
      <c r="V96" s="14">
        <f t="shared" si="24"/>
        <v>-8.6499999999999986</v>
      </c>
      <c r="W96" s="14">
        <f t="shared" si="26"/>
        <v>-50.449999999999989</v>
      </c>
      <c r="X96" s="13">
        <v>0</v>
      </c>
      <c r="Y96" s="13">
        <v>0</v>
      </c>
      <c r="Z96" s="13">
        <f t="shared" si="22"/>
        <v>-101.68750000000001</v>
      </c>
    </row>
    <row r="97" spans="1:26" ht="11.25" customHeight="1">
      <c r="A97" s="111" t="s">
        <v>58</v>
      </c>
      <c r="B97" s="111">
        <v>41255.791666666664</v>
      </c>
      <c r="D97" s="108" t="s">
        <v>185</v>
      </c>
      <c r="E97" s="109" t="s">
        <v>31</v>
      </c>
      <c r="F97" s="109" t="s">
        <v>81</v>
      </c>
      <c r="H97" s="110" t="s">
        <v>420</v>
      </c>
      <c r="I97" s="112">
        <v>41254.871527777781</v>
      </c>
      <c r="J97" s="108" t="s">
        <v>3</v>
      </c>
      <c r="K97" s="6">
        <v>5</v>
      </c>
      <c r="L97" s="10" t="s">
        <v>7</v>
      </c>
      <c r="M97" s="6">
        <f t="shared" si="27"/>
        <v>8.1000000000000014</v>
      </c>
      <c r="N97" s="6">
        <f t="shared" si="17"/>
        <v>1</v>
      </c>
      <c r="O97" s="6">
        <f t="shared" si="18"/>
        <v>0</v>
      </c>
      <c r="P97" s="6">
        <f t="shared" si="16"/>
        <v>0</v>
      </c>
      <c r="Q97" s="6">
        <f t="shared" si="20"/>
        <v>3.1000000000000014</v>
      </c>
      <c r="R97" s="30">
        <f t="shared" si="19"/>
        <v>3.1000000000000014</v>
      </c>
      <c r="S97" s="4">
        <f t="shared" si="25"/>
        <v>101.41249999999997</v>
      </c>
      <c r="T97" s="14">
        <f t="shared" si="21"/>
        <v>-5.7374999999999954</v>
      </c>
      <c r="U97" s="14">
        <f t="shared" si="23"/>
        <v>-36.85</v>
      </c>
      <c r="V97" s="14">
        <f t="shared" si="24"/>
        <v>-5.5499999999999972</v>
      </c>
      <c r="W97" s="14">
        <f t="shared" si="26"/>
        <v>-50.449999999999989</v>
      </c>
      <c r="X97" s="13">
        <v>0</v>
      </c>
      <c r="Y97" s="13">
        <v>0</v>
      </c>
      <c r="Z97" s="13">
        <f t="shared" si="22"/>
        <v>-98.587500000000006</v>
      </c>
    </row>
    <row r="98" spans="1:26" ht="11.25" customHeight="1">
      <c r="A98" s="111" t="s">
        <v>58</v>
      </c>
      <c r="B98" s="111">
        <v>41255.833333333336</v>
      </c>
      <c r="D98" s="108" t="s">
        <v>175</v>
      </c>
      <c r="E98" s="109" t="s">
        <v>150</v>
      </c>
      <c r="F98" s="109" t="s">
        <v>176</v>
      </c>
      <c r="H98" s="110" t="s">
        <v>420</v>
      </c>
      <c r="I98" s="112">
        <v>41254.879166666666</v>
      </c>
      <c r="J98" s="108" t="s">
        <v>3</v>
      </c>
      <c r="K98" s="6">
        <v>5</v>
      </c>
      <c r="L98" s="10" t="s">
        <v>7</v>
      </c>
      <c r="M98" s="6">
        <f t="shared" si="27"/>
        <v>8.1000000000000014</v>
      </c>
      <c r="N98" s="6">
        <f t="shared" si="17"/>
        <v>1</v>
      </c>
      <c r="O98" s="6">
        <f t="shared" si="18"/>
        <v>0</v>
      </c>
      <c r="P98" s="6">
        <f t="shared" si="16"/>
        <v>0</v>
      </c>
      <c r="Q98" s="6">
        <f t="shared" si="20"/>
        <v>3.1000000000000014</v>
      </c>
      <c r="R98" s="30">
        <f t="shared" si="19"/>
        <v>3.1000000000000014</v>
      </c>
      <c r="S98" s="4">
        <f t="shared" si="25"/>
        <v>104.51249999999996</v>
      </c>
      <c r="T98" s="14">
        <f t="shared" si="21"/>
        <v>-5.7374999999999954</v>
      </c>
      <c r="U98" s="14">
        <f t="shared" si="23"/>
        <v>-36.85</v>
      </c>
      <c r="V98" s="14">
        <f t="shared" si="24"/>
        <v>-2.4499999999999957</v>
      </c>
      <c r="W98" s="14">
        <f t="shared" si="26"/>
        <v>-50.449999999999989</v>
      </c>
      <c r="X98" s="13">
        <v>0</v>
      </c>
      <c r="Y98" s="13">
        <v>0</v>
      </c>
      <c r="Z98" s="13">
        <f t="shared" si="22"/>
        <v>-95.487500000000011</v>
      </c>
    </row>
    <row r="99" spans="1:26" ht="11.25" customHeight="1">
      <c r="A99" s="111" t="s">
        <v>58</v>
      </c>
      <c r="B99" s="111">
        <v>41258.833333333336</v>
      </c>
      <c r="D99" s="108" t="s">
        <v>186</v>
      </c>
      <c r="E99" s="109" t="s">
        <v>31</v>
      </c>
      <c r="F99" s="109" t="s">
        <v>122</v>
      </c>
      <c r="H99" s="110" t="s">
        <v>420</v>
      </c>
      <c r="I99" s="112">
        <v>41254.883333333331</v>
      </c>
      <c r="J99" s="108" t="s">
        <v>3</v>
      </c>
      <c r="K99" s="6">
        <v>5</v>
      </c>
      <c r="L99" s="10" t="s">
        <v>7</v>
      </c>
      <c r="M99" s="6">
        <f t="shared" si="27"/>
        <v>8.1000000000000014</v>
      </c>
      <c r="N99" s="6">
        <f t="shared" si="17"/>
        <v>1</v>
      </c>
      <c r="O99" s="6">
        <f t="shared" si="18"/>
        <v>0</v>
      </c>
      <c r="P99" s="6">
        <f t="shared" si="16"/>
        <v>0</v>
      </c>
      <c r="Q99" s="6">
        <f t="shared" si="20"/>
        <v>3.1000000000000014</v>
      </c>
      <c r="R99" s="30">
        <f t="shared" si="19"/>
        <v>3.1000000000000014</v>
      </c>
      <c r="S99" s="4">
        <f t="shared" si="25"/>
        <v>107.61249999999995</v>
      </c>
      <c r="T99" s="14">
        <f t="shared" si="21"/>
        <v>-5.7374999999999954</v>
      </c>
      <c r="U99" s="14">
        <f t="shared" si="23"/>
        <v>-36.85</v>
      </c>
      <c r="V99" s="14">
        <f t="shared" si="24"/>
        <v>0.65000000000000568</v>
      </c>
      <c r="W99" s="14">
        <f t="shared" si="26"/>
        <v>-50.449999999999989</v>
      </c>
      <c r="X99" s="13">
        <v>0</v>
      </c>
      <c r="Y99" s="13">
        <v>0</v>
      </c>
      <c r="Z99" s="13">
        <f t="shared" si="22"/>
        <v>-92.387500000000017</v>
      </c>
    </row>
    <row r="100" spans="1:26" ht="11.25" customHeight="1">
      <c r="A100" s="111" t="s">
        <v>58</v>
      </c>
      <c r="B100" s="111">
        <v>41259.875</v>
      </c>
      <c r="D100" s="108" t="s">
        <v>187</v>
      </c>
      <c r="E100" s="109" t="s">
        <v>31</v>
      </c>
      <c r="F100" s="109" t="s">
        <v>77</v>
      </c>
      <c r="H100" s="110" t="s">
        <v>435</v>
      </c>
      <c r="I100" s="112">
        <v>41254.934027777781</v>
      </c>
      <c r="J100" s="108" t="s">
        <v>3</v>
      </c>
      <c r="K100" s="6">
        <v>5</v>
      </c>
      <c r="L100" s="10" t="s">
        <v>5</v>
      </c>
      <c r="M100" s="6">
        <f t="shared" si="27"/>
        <v>0</v>
      </c>
      <c r="N100" s="6">
        <f t="shared" si="17"/>
        <v>0</v>
      </c>
      <c r="O100" s="6">
        <f t="shared" si="18"/>
        <v>1</v>
      </c>
      <c r="P100" s="6">
        <f t="shared" si="16"/>
        <v>0</v>
      </c>
      <c r="Q100" s="6">
        <f t="shared" si="20"/>
        <v>-5</v>
      </c>
      <c r="R100" s="30">
        <f t="shared" si="19"/>
        <v>-5</v>
      </c>
      <c r="S100" s="4">
        <f t="shared" si="25"/>
        <v>102.61249999999995</v>
      </c>
      <c r="T100" s="14">
        <f t="shared" si="21"/>
        <v>-5.7374999999999954</v>
      </c>
      <c r="U100" s="14">
        <f t="shared" si="23"/>
        <v>-36.85</v>
      </c>
      <c r="V100" s="14">
        <f t="shared" si="24"/>
        <v>-4.3499999999999943</v>
      </c>
      <c r="W100" s="14">
        <f t="shared" si="26"/>
        <v>-50.449999999999989</v>
      </c>
      <c r="X100" s="13">
        <v>0</v>
      </c>
      <c r="Y100" s="13">
        <v>0</v>
      </c>
      <c r="Z100" s="13">
        <f t="shared" si="22"/>
        <v>-97.387500000000017</v>
      </c>
    </row>
    <row r="101" spans="1:26" ht="11.25" customHeight="1">
      <c r="A101" s="111" t="s">
        <v>58</v>
      </c>
      <c r="B101" s="111">
        <v>41255.875</v>
      </c>
      <c r="D101" s="108" t="s">
        <v>193</v>
      </c>
      <c r="E101" s="109" t="s">
        <v>31</v>
      </c>
      <c r="F101" s="109" t="s">
        <v>194</v>
      </c>
      <c r="H101" s="110" t="s">
        <v>436</v>
      </c>
      <c r="I101" s="112">
        <v>41254.964583333334</v>
      </c>
      <c r="J101" s="108" t="s">
        <v>3</v>
      </c>
      <c r="K101" s="6">
        <v>5</v>
      </c>
      <c r="L101" s="10" t="s">
        <v>7</v>
      </c>
      <c r="M101" s="6">
        <f t="shared" si="27"/>
        <v>10.75</v>
      </c>
      <c r="N101" s="6">
        <f t="shared" si="17"/>
        <v>1</v>
      </c>
      <c r="O101" s="6">
        <f t="shared" si="18"/>
        <v>0</v>
      </c>
      <c r="P101" s="6">
        <f t="shared" si="16"/>
        <v>0</v>
      </c>
      <c r="Q101" s="6">
        <f t="shared" si="20"/>
        <v>5.75</v>
      </c>
      <c r="R101" s="30">
        <f t="shared" si="19"/>
        <v>5.75</v>
      </c>
      <c r="S101" s="4">
        <f t="shared" si="25"/>
        <v>108.36249999999995</v>
      </c>
      <c r="T101" s="14">
        <f t="shared" si="21"/>
        <v>-5.7374999999999954</v>
      </c>
      <c r="U101" s="14">
        <f t="shared" si="23"/>
        <v>-36.85</v>
      </c>
      <c r="V101" s="14">
        <f t="shared" si="24"/>
        <v>1.4000000000000057</v>
      </c>
      <c r="W101" s="14">
        <f t="shared" si="26"/>
        <v>-50.449999999999989</v>
      </c>
      <c r="X101" s="13">
        <v>0</v>
      </c>
      <c r="Y101" s="13">
        <v>0</v>
      </c>
      <c r="Z101" s="13">
        <f t="shared" si="22"/>
        <v>-91.637500000000017</v>
      </c>
    </row>
    <row r="102" spans="1:26" ht="11.25" customHeight="1">
      <c r="A102" s="111" t="s">
        <v>8</v>
      </c>
      <c r="B102" s="112">
        <v>41255.833333333336</v>
      </c>
      <c r="D102" s="108" t="s">
        <v>188</v>
      </c>
      <c r="E102" s="109" t="s">
        <v>29</v>
      </c>
      <c r="F102" s="109" t="s">
        <v>189</v>
      </c>
      <c r="H102" s="110" t="s">
        <v>433</v>
      </c>
      <c r="I102" s="112">
        <v>41255.722222222219</v>
      </c>
      <c r="J102" s="109" t="s">
        <v>9</v>
      </c>
      <c r="K102" s="6">
        <v>5</v>
      </c>
      <c r="L102" s="10" t="s">
        <v>5</v>
      </c>
      <c r="M102" s="6">
        <f t="shared" si="27"/>
        <v>0</v>
      </c>
      <c r="N102" s="6">
        <f t="shared" si="17"/>
        <v>0</v>
      </c>
      <c r="O102" s="6">
        <f t="shared" si="18"/>
        <v>1</v>
      </c>
      <c r="P102" s="6">
        <f t="shared" si="16"/>
        <v>0</v>
      </c>
      <c r="Q102" s="6">
        <f t="shared" si="20"/>
        <v>-5</v>
      </c>
      <c r="R102" s="30">
        <f t="shared" si="19"/>
        <v>-5</v>
      </c>
      <c r="S102" s="4">
        <f t="shared" si="25"/>
        <v>103.36249999999995</v>
      </c>
      <c r="T102" s="14">
        <f t="shared" si="21"/>
        <v>-10.737499999999995</v>
      </c>
      <c r="U102" s="14">
        <f t="shared" si="23"/>
        <v>-36.85</v>
      </c>
      <c r="V102" s="14">
        <f t="shared" si="24"/>
        <v>1.4000000000000057</v>
      </c>
      <c r="W102" s="14">
        <f t="shared" si="26"/>
        <v>-50.449999999999989</v>
      </c>
      <c r="X102" s="13">
        <v>0</v>
      </c>
      <c r="Y102" s="13">
        <v>0</v>
      </c>
      <c r="Z102" s="13">
        <f t="shared" si="22"/>
        <v>-96.637500000000017</v>
      </c>
    </row>
    <row r="103" spans="1:26" ht="11.25" customHeight="1">
      <c r="A103" s="111" t="s">
        <v>8</v>
      </c>
      <c r="B103" s="112">
        <v>41255.791666666664</v>
      </c>
      <c r="D103" s="108" t="s">
        <v>190</v>
      </c>
      <c r="E103" s="109" t="s">
        <v>191</v>
      </c>
      <c r="F103" s="109" t="s">
        <v>192</v>
      </c>
      <c r="H103" s="110" t="s">
        <v>394</v>
      </c>
      <c r="I103" s="112">
        <v>41255.722916666666</v>
      </c>
      <c r="J103" s="109" t="s">
        <v>3</v>
      </c>
      <c r="K103" s="6">
        <v>5</v>
      </c>
      <c r="L103" s="10" t="s">
        <v>5</v>
      </c>
      <c r="M103" s="6">
        <f t="shared" si="27"/>
        <v>0</v>
      </c>
      <c r="N103" s="6">
        <f t="shared" si="17"/>
        <v>0</v>
      </c>
      <c r="O103" s="6">
        <f t="shared" si="18"/>
        <v>1</v>
      </c>
      <c r="P103" s="6">
        <f t="shared" si="16"/>
        <v>0</v>
      </c>
      <c r="Q103" s="6">
        <f t="shared" si="20"/>
        <v>-5</v>
      </c>
      <c r="R103" s="30">
        <f t="shared" si="19"/>
        <v>-5</v>
      </c>
      <c r="S103" s="4">
        <f t="shared" si="25"/>
        <v>98.362499999999955</v>
      </c>
      <c r="T103" s="14">
        <f t="shared" si="21"/>
        <v>-15.737499999999995</v>
      </c>
      <c r="U103" s="14">
        <f t="shared" si="23"/>
        <v>-36.85</v>
      </c>
      <c r="V103" s="14">
        <f t="shared" si="24"/>
        <v>1.4000000000000057</v>
      </c>
      <c r="W103" s="14">
        <f t="shared" si="26"/>
        <v>-50.449999999999989</v>
      </c>
      <c r="X103" s="13">
        <v>0</v>
      </c>
      <c r="Y103" s="13">
        <v>0</v>
      </c>
      <c r="Z103" s="13">
        <f t="shared" si="22"/>
        <v>-101.63750000000002</v>
      </c>
    </row>
    <row r="104" spans="1:26" ht="11.25" customHeight="1">
      <c r="A104" s="111" t="s">
        <v>8</v>
      </c>
      <c r="B104" s="112">
        <v>41255.791666666664</v>
      </c>
      <c r="D104" s="108" t="s">
        <v>185</v>
      </c>
      <c r="E104" s="109" t="s">
        <v>125</v>
      </c>
      <c r="F104" s="109" t="s">
        <v>20</v>
      </c>
      <c r="H104" s="110" t="s">
        <v>437</v>
      </c>
      <c r="I104" s="112">
        <v>41255.728472222225</v>
      </c>
      <c r="J104" s="109" t="s">
        <v>3</v>
      </c>
      <c r="K104" s="6">
        <v>5</v>
      </c>
      <c r="L104" s="10" t="s">
        <v>5</v>
      </c>
      <c r="M104" s="6">
        <f t="shared" si="27"/>
        <v>0</v>
      </c>
      <c r="N104" s="6">
        <f t="shared" si="17"/>
        <v>0</v>
      </c>
      <c r="O104" s="6">
        <f t="shared" si="18"/>
        <v>1</v>
      </c>
      <c r="P104" s="6">
        <f t="shared" si="16"/>
        <v>0</v>
      </c>
      <c r="Q104" s="6">
        <f t="shared" si="20"/>
        <v>-5</v>
      </c>
      <c r="R104" s="30">
        <f t="shared" si="19"/>
        <v>-5</v>
      </c>
      <c r="S104" s="4">
        <f t="shared" si="25"/>
        <v>93.362499999999955</v>
      </c>
      <c r="T104" s="14">
        <f t="shared" si="21"/>
        <v>-20.737499999999997</v>
      </c>
      <c r="U104" s="14">
        <f t="shared" si="23"/>
        <v>-36.85</v>
      </c>
      <c r="V104" s="14">
        <f t="shared" si="24"/>
        <v>1.4000000000000057</v>
      </c>
      <c r="W104" s="14">
        <f t="shared" si="26"/>
        <v>-50.449999999999989</v>
      </c>
      <c r="X104" s="13">
        <v>0</v>
      </c>
      <c r="Y104" s="13">
        <v>0</v>
      </c>
      <c r="Z104" s="13">
        <f t="shared" si="22"/>
        <v>-106.63750000000002</v>
      </c>
    </row>
    <row r="105" spans="1:26" ht="11.25" customHeight="1">
      <c r="A105" s="111" t="s">
        <v>67</v>
      </c>
      <c r="B105" s="112">
        <v>41255.045138888891</v>
      </c>
      <c r="D105" s="108" t="s">
        <v>195</v>
      </c>
      <c r="E105" s="109" t="s">
        <v>157</v>
      </c>
      <c r="F105" s="109" t="s">
        <v>158</v>
      </c>
      <c r="H105" s="110" t="s">
        <v>414</v>
      </c>
      <c r="I105" s="116">
        <v>41255.880555555559</v>
      </c>
      <c r="J105" s="109" t="s">
        <v>9</v>
      </c>
      <c r="K105" s="6">
        <v>5</v>
      </c>
      <c r="L105" s="10" t="s">
        <v>5</v>
      </c>
      <c r="M105" s="6">
        <f t="shared" si="27"/>
        <v>0</v>
      </c>
      <c r="N105" s="6">
        <f t="shared" si="17"/>
        <v>0</v>
      </c>
      <c r="O105" s="6">
        <f t="shared" si="18"/>
        <v>1</v>
      </c>
      <c r="P105" s="6">
        <f t="shared" si="16"/>
        <v>0</v>
      </c>
      <c r="Q105" s="6">
        <f t="shared" si="20"/>
        <v>-5</v>
      </c>
      <c r="R105" s="30">
        <f t="shared" si="19"/>
        <v>-5</v>
      </c>
      <c r="S105" s="4">
        <f t="shared" si="25"/>
        <v>88.362499999999955</v>
      </c>
      <c r="T105" s="14">
        <f t="shared" si="21"/>
        <v>-20.737499999999997</v>
      </c>
      <c r="U105" s="14">
        <f t="shared" si="23"/>
        <v>-36.85</v>
      </c>
      <c r="V105" s="14">
        <f t="shared" si="24"/>
        <v>1.4000000000000057</v>
      </c>
      <c r="W105" s="14">
        <f t="shared" si="26"/>
        <v>-55.449999999999989</v>
      </c>
      <c r="X105" s="13">
        <v>0</v>
      </c>
      <c r="Y105" s="13">
        <v>0</v>
      </c>
      <c r="Z105" s="13">
        <f t="shared" si="22"/>
        <v>-111.63750000000002</v>
      </c>
    </row>
    <row r="106" spans="1:26" ht="11.25" customHeight="1">
      <c r="A106" s="111" t="s">
        <v>67</v>
      </c>
      <c r="B106" s="112">
        <v>41255.190972222219</v>
      </c>
      <c r="D106" s="108" t="s">
        <v>196</v>
      </c>
      <c r="E106" s="109" t="s">
        <v>157</v>
      </c>
      <c r="F106" s="109" t="s">
        <v>197</v>
      </c>
      <c r="H106" s="110" t="s">
        <v>438</v>
      </c>
      <c r="I106" s="116">
        <v>41255.880555555559</v>
      </c>
      <c r="J106" s="109" t="s">
        <v>9</v>
      </c>
      <c r="K106" s="6">
        <v>5</v>
      </c>
      <c r="L106" s="10" t="s">
        <v>7</v>
      </c>
      <c r="M106" s="6">
        <f t="shared" si="27"/>
        <v>6.25</v>
      </c>
      <c r="N106" s="6">
        <f t="shared" si="17"/>
        <v>1</v>
      </c>
      <c r="O106" s="6">
        <f t="shared" si="18"/>
        <v>0</v>
      </c>
      <c r="P106" s="6">
        <f t="shared" si="16"/>
        <v>0</v>
      </c>
      <c r="Q106" s="6">
        <f t="shared" si="20"/>
        <v>1.25</v>
      </c>
      <c r="R106" s="30">
        <f t="shared" si="19"/>
        <v>1.25</v>
      </c>
      <c r="S106" s="4">
        <f t="shared" si="25"/>
        <v>89.612499999999955</v>
      </c>
      <c r="T106" s="14">
        <f t="shared" si="21"/>
        <v>-20.737499999999997</v>
      </c>
      <c r="U106" s="14">
        <f t="shared" si="23"/>
        <v>-36.85</v>
      </c>
      <c r="V106" s="14">
        <f t="shared" si="24"/>
        <v>1.4000000000000057</v>
      </c>
      <c r="W106" s="14">
        <f t="shared" si="26"/>
        <v>-54.199999999999989</v>
      </c>
      <c r="X106" s="13">
        <v>0</v>
      </c>
      <c r="Y106" s="13">
        <v>0</v>
      </c>
      <c r="Z106" s="13">
        <f t="shared" si="22"/>
        <v>-110.38750000000002</v>
      </c>
    </row>
    <row r="107" spans="1:26" ht="11.25" customHeight="1">
      <c r="A107" s="111" t="s">
        <v>2</v>
      </c>
      <c r="B107" s="112">
        <v>41256.479166666664</v>
      </c>
      <c r="D107" s="108" t="s">
        <v>198</v>
      </c>
      <c r="E107" s="109" t="s">
        <v>31</v>
      </c>
      <c r="F107" s="109" t="s">
        <v>199</v>
      </c>
      <c r="H107" s="110" t="s">
        <v>439</v>
      </c>
      <c r="I107" s="112">
        <v>41255.940972222219</v>
      </c>
      <c r="J107" s="109" t="s">
        <v>3</v>
      </c>
      <c r="K107" s="6">
        <v>5</v>
      </c>
      <c r="L107" s="10" t="s">
        <v>7</v>
      </c>
      <c r="M107" s="6">
        <f t="shared" si="27"/>
        <v>7</v>
      </c>
      <c r="N107" s="6">
        <f t="shared" si="17"/>
        <v>1</v>
      </c>
      <c r="O107" s="6">
        <f t="shared" si="18"/>
        <v>0</v>
      </c>
      <c r="P107" s="6">
        <f t="shared" si="16"/>
        <v>0</v>
      </c>
      <c r="Q107" s="6">
        <f t="shared" si="20"/>
        <v>2</v>
      </c>
      <c r="R107" s="30">
        <f t="shared" si="19"/>
        <v>2</v>
      </c>
      <c r="S107" s="4">
        <f t="shared" si="25"/>
        <v>91.612499999999955</v>
      </c>
      <c r="T107" s="14">
        <f t="shared" si="21"/>
        <v>-20.737499999999997</v>
      </c>
      <c r="U107" s="14">
        <f t="shared" si="23"/>
        <v>-34.85</v>
      </c>
      <c r="V107" s="14">
        <f t="shared" si="24"/>
        <v>1.4000000000000057</v>
      </c>
      <c r="W107" s="14">
        <f t="shared" si="26"/>
        <v>-54.199999999999989</v>
      </c>
      <c r="X107" s="13">
        <v>0</v>
      </c>
      <c r="Y107" s="13">
        <v>0</v>
      </c>
      <c r="Z107" s="13">
        <f t="shared" si="22"/>
        <v>-108.38750000000002</v>
      </c>
    </row>
    <row r="108" spans="1:26" ht="11.25" customHeight="1">
      <c r="A108" s="111" t="s">
        <v>2</v>
      </c>
      <c r="B108" s="112">
        <v>41256.833333333336</v>
      </c>
      <c r="D108" s="108" t="s">
        <v>200</v>
      </c>
      <c r="E108" s="109" t="s">
        <v>31</v>
      </c>
      <c r="F108" s="109" t="s">
        <v>201</v>
      </c>
      <c r="H108" s="110" t="s">
        <v>390</v>
      </c>
      <c r="I108" s="112">
        <v>41255.942361111112</v>
      </c>
      <c r="J108" s="109" t="s">
        <v>3</v>
      </c>
      <c r="K108" s="6">
        <v>5</v>
      </c>
      <c r="L108" s="10" t="s">
        <v>5</v>
      </c>
      <c r="M108" s="6">
        <f t="shared" si="27"/>
        <v>0</v>
      </c>
      <c r="N108" s="6">
        <f t="shared" si="17"/>
        <v>0</v>
      </c>
      <c r="O108" s="6">
        <f t="shared" si="18"/>
        <v>1</v>
      </c>
      <c r="P108" s="6">
        <f t="shared" si="16"/>
        <v>0</v>
      </c>
      <c r="Q108" s="6">
        <f t="shared" si="20"/>
        <v>-5</v>
      </c>
      <c r="R108" s="30">
        <f t="shared" si="19"/>
        <v>-5</v>
      </c>
      <c r="S108" s="4">
        <f t="shared" si="25"/>
        <v>86.612499999999955</v>
      </c>
      <c r="T108" s="14">
        <f t="shared" si="21"/>
        <v>-20.737499999999997</v>
      </c>
      <c r="U108" s="14">
        <f t="shared" si="23"/>
        <v>-39.85</v>
      </c>
      <c r="V108" s="14">
        <f t="shared" si="24"/>
        <v>1.4000000000000057</v>
      </c>
      <c r="W108" s="14">
        <f t="shared" si="26"/>
        <v>-54.199999999999989</v>
      </c>
      <c r="X108" s="13">
        <v>0</v>
      </c>
      <c r="Y108" s="13">
        <v>0</v>
      </c>
      <c r="Z108" s="13">
        <f t="shared" si="22"/>
        <v>-113.38750000000002</v>
      </c>
    </row>
    <row r="109" spans="1:26" ht="11.25" customHeight="1">
      <c r="A109" s="111" t="s">
        <v>2</v>
      </c>
      <c r="B109" s="112">
        <v>41257.78125</v>
      </c>
      <c r="D109" s="108" t="s">
        <v>202</v>
      </c>
      <c r="E109" s="109" t="s">
        <v>31</v>
      </c>
      <c r="F109" s="109" t="s">
        <v>203</v>
      </c>
      <c r="H109" s="110">
        <v>2</v>
      </c>
      <c r="I109" s="112">
        <v>41255.943749999999</v>
      </c>
      <c r="J109" s="109" t="s">
        <v>3</v>
      </c>
      <c r="K109" s="6">
        <v>5</v>
      </c>
      <c r="L109" s="10" t="s">
        <v>5</v>
      </c>
      <c r="M109" s="6">
        <f t="shared" si="27"/>
        <v>0</v>
      </c>
      <c r="N109" s="6">
        <f t="shared" si="17"/>
        <v>0</v>
      </c>
      <c r="O109" s="6">
        <f t="shared" si="18"/>
        <v>1</v>
      </c>
      <c r="P109" s="6">
        <f t="shared" si="16"/>
        <v>0</v>
      </c>
      <c r="Q109" s="6">
        <f t="shared" si="20"/>
        <v>-5</v>
      </c>
      <c r="R109" s="30">
        <f t="shared" si="19"/>
        <v>-5</v>
      </c>
      <c r="S109" s="4">
        <f t="shared" si="25"/>
        <v>81.612499999999955</v>
      </c>
      <c r="T109" s="14">
        <f t="shared" si="21"/>
        <v>-20.737499999999997</v>
      </c>
      <c r="U109" s="14">
        <f t="shared" si="23"/>
        <v>-44.85</v>
      </c>
      <c r="V109" s="14">
        <f t="shared" si="24"/>
        <v>1.4000000000000057</v>
      </c>
      <c r="W109" s="14">
        <f t="shared" si="26"/>
        <v>-54.199999999999989</v>
      </c>
      <c r="X109" s="13">
        <v>0</v>
      </c>
      <c r="Y109" s="13">
        <v>0</v>
      </c>
      <c r="Z109" s="13">
        <f t="shared" si="22"/>
        <v>-118.38750000000002</v>
      </c>
    </row>
    <row r="110" spans="1:26" ht="11.25" customHeight="1">
      <c r="A110" s="111" t="s">
        <v>2</v>
      </c>
      <c r="B110" s="112">
        <v>41257.885416666664</v>
      </c>
      <c r="D110" s="108" t="s">
        <v>204</v>
      </c>
      <c r="E110" s="109" t="s">
        <v>31</v>
      </c>
      <c r="F110" s="109" t="s">
        <v>205</v>
      </c>
      <c r="H110" s="110">
        <v>1</v>
      </c>
      <c r="I110" s="112">
        <v>41255.944444444445</v>
      </c>
      <c r="J110" s="109" t="s">
        <v>3</v>
      </c>
      <c r="K110" s="6">
        <v>5</v>
      </c>
      <c r="L110" s="10" t="s">
        <v>7</v>
      </c>
      <c r="M110" s="6">
        <f t="shared" si="27"/>
        <v>5</v>
      </c>
      <c r="N110" s="6">
        <f t="shared" si="17"/>
        <v>1</v>
      </c>
      <c r="O110" s="6">
        <f t="shared" si="18"/>
        <v>0</v>
      </c>
      <c r="P110" s="6">
        <f t="shared" si="16"/>
        <v>0</v>
      </c>
      <c r="Q110" s="6">
        <f t="shared" si="20"/>
        <v>0</v>
      </c>
      <c r="R110" s="30">
        <f t="shared" si="19"/>
        <v>0</v>
      </c>
      <c r="S110" s="4">
        <f t="shared" si="25"/>
        <v>81.612499999999955</v>
      </c>
      <c r="T110" s="14">
        <f t="shared" si="21"/>
        <v>-20.737499999999997</v>
      </c>
      <c r="U110" s="14">
        <f t="shared" si="23"/>
        <v>-44.85</v>
      </c>
      <c r="V110" s="14">
        <f t="shared" si="24"/>
        <v>1.4000000000000057</v>
      </c>
      <c r="W110" s="14">
        <f t="shared" si="26"/>
        <v>-54.199999999999989</v>
      </c>
      <c r="X110" s="13">
        <v>0</v>
      </c>
      <c r="Y110" s="13">
        <v>0</v>
      </c>
      <c r="Z110" s="13">
        <f t="shared" si="22"/>
        <v>-118.38750000000002</v>
      </c>
    </row>
    <row r="111" spans="1:26" ht="11.25" customHeight="1">
      <c r="A111" s="111" t="s">
        <v>58</v>
      </c>
      <c r="B111" s="112">
        <v>41257.78125</v>
      </c>
      <c r="D111" s="108" t="s">
        <v>206</v>
      </c>
      <c r="E111" s="109" t="s">
        <v>31</v>
      </c>
      <c r="F111" s="109" t="s">
        <v>42</v>
      </c>
      <c r="H111" s="110" t="s">
        <v>414</v>
      </c>
      <c r="I111" s="112">
        <v>41256.488194444442</v>
      </c>
      <c r="J111" s="109" t="s">
        <v>3</v>
      </c>
      <c r="K111" s="6">
        <v>5</v>
      </c>
      <c r="L111" s="10" t="s">
        <v>5</v>
      </c>
      <c r="M111" s="6">
        <f t="shared" si="27"/>
        <v>0</v>
      </c>
      <c r="N111" s="6">
        <f t="shared" si="17"/>
        <v>0</v>
      </c>
      <c r="O111" s="6">
        <f t="shared" si="18"/>
        <v>1</v>
      </c>
      <c r="P111" s="6">
        <f t="shared" si="16"/>
        <v>0</v>
      </c>
      <c r="Q111" s="6">
        <f t="shared" si="20"/>
        <v>-5</v>
      </c>
      <c r="R111" s="30">
        <f t="shared" si="19"/>
        <v>-5</v>
      </c>
      <c r="S111" s="4">
        <f t="shared" si="25"/>
        <v>76.612499999999955</v>
      </c>
      <c r="T111" s="14">
        <f t="shared" si="21"/>
        <v>-20.737499999999997</v>
      </c>
      <c r="U111" s="14">
        <f t="shared" si="23"/>
        <v>-44.85</v>
      </c>
      <c r="V111" s="14">
        <f t="shared" si="24"/>
        <v>-3.5999999999999943</v>
      </c>
      <c r="W111" s="14">
        <f t="shared" si="26"/>
        <v>-54.199999999999989</v>
      </c>
      <c r="X111" s="13">
        <v>0</v>
      </c>
      <c r="Y111" s="13">
        <v>0</v>
      </c>
      <c r="Z111" s="13">
        <f t="shared" si="22"/>
        <v>-123.38750000000002</v>
      </c>
    </row>
    <row r="112" spans="1:26" ht="11.25" customHeight="1">
      <c r="A112" s="111" t="s">
        <v>58</v>
      </c>
      <c r="B112" s="112">
        <v>41257.854166666664</v>
      </c>
      <c r="D112" s="108" t="s">
        <v>207</v>
      </c>
      <c r="E112" s="109" t="s">
        <v>150</v>
      </c>
      <c r="F112" s="109" t="s">
        <v>208</v>
      </c>
      <c r="H112" s="110" t="s">
        <v>439</v>
      </c>
      <c r="I112" s="112">
        <v>41256.49722222222</v>
      </c>
      <c r="J112" s="109" t="s">
        <v>3</v>
      </c>
      <c r="K112" s="6">
        <v>5</v>
      </c>
      <c r="L112" s="10" t="s">
        <v>5</v>
      </c>
      <c r="M112" s="6">
        <f t="shared" si="27"/>
        <v>0</v>
      </c>
      <c r="N112" s="6">
        <f t="shared" si="17"/>
        <v>0</v>
      </c>
      <c r="O112" s="6">
        <f t="shared" si="18"/>
        <v>1</v>
      </c>
      <c r="P112" s="6">
        <f t="shared" si="16"/>
        <v>0</v>
      </c>
      <c r="Q112" s="6">
        <f t="shared" si="20"/>
        <v>-5</v>
      </c>
      <c r="R112" s="30">
        <f t="shared" si="19"/>
        <v>-5</v>
      </c>
      <c r="S112" s="12">
        <f t="shared" si="25"/>
        <v>71.612499999999955</v>
      </c>
      <c r="T112" s="14">
        <f t="shared" si="21"/>
        <v>-20.737499999999997</v>
      </c>
      <c r="U112" s="14">
        <f t="shared" si="23"/>
        <v>-44.85</v>
      </c>
      <c r="V112" s="14">
        <f t="shared" si="24"/>
        <v>-8.5999999999999943</v>
      </c>
      <c r="W112" s="14">
        <f t="shared" si="26"/>
        <v>-54.199999999999989</v>
      </c>
      <c r="X112" s="13">
        <v>0</v>
      </c>
      <c r="Y112" s="13">
        <v>0</v>
      </c>
      <c r="Z112" s="13">
        <f t="shared" si="22"/>
        <v>-128.38750000000002</v>
      </c>
    </row>
    <row r="113" spans="1:26" ht="11.25" customHeight="1">
      <c r="A113" s="111" t="s">
        <v>58</v>
      </c>
      <c r="B113" s="112">
        <v>41261.875</v>
      </c>
      <c r="D113" s="108" t="s">
        <v>209</v>
      </c>
      <c r="E113" s="109" t="s">
        <v>31</v>
      </c>
      <c r="F113" s="109" t="s">
        <v>136</v>
      </c>
      <c r="H113" s="110" t="s">
        <v>406</v>
      </c>
      <c r="I113" s="112">
        <v>41256.499305555553</v>
      </c>
      <c r="J113" s="109" t="s">
        <v>3</v>
      </c>
      <c r="K113" s="6">
        <v>5</v>
      </c>
      <c r="L113" s="10" t="s">
        <v>7</v>
      </c>
      <c r="M113" s="6">
        <f t="shared" si="27"/>
        <v>6.7</v>
      </c>
      <c r="N113" s="6">
        <f t="shared" si="17"/>
        <v>1</v>
      </c>
      <c r="O113" s="6">
        <f t="shared" si="18"/>
        <v>0</v>
      </c>
      <c r="P113" s="6">
        <f t="shared" si="16"/>
        <v>0</v>
      </c>
      <c r="Q113" s="6">
        <f t="shared" si="20"/>
        <v>1.7000000000000002</v>
      </c>
      <c r="R113" s="30">
        <f t="shared" si="19"/>
        <v>1.7000000000000002</v>
      </c>
      <c r="S113" s="4">
        <f t="shared" si="25"/>
        <v>73.312499999999957</v>
      </c>
      <c r="T113" s="14">
        <f t="shared" si="21"/>
        <v>-20.737499999999997</v>
      </c>
      <c r="U113" s="14">
        <f t="shared" si="23"/>
        <v>-44.85</v>
      </c>
      <c r="V113" s="14">
        <f t="shared" si="24"/>
        <v>-6.8999999999999941</v>
      </c>
      <c r="W113" s="14">
        <f t="shared" si="26"/>
        <v>-54.199999999999989</v>
      </c>
      <c r="X113" s="13">
        <v>0</v>
      </c>
      <c r="Y113" s="13">
        <v>0</v>
      </c>
      <c r="Z113" s="13">
        <f t="shared" si="22"/>
        <v>-126.68750000000001</v>
      </c>
    </row>
    <row r="114" spans="1:26" ht="11.25" customHeight="1">
      <c r="A114" s="111" t="s">
        <v>58</v>
      </c>
      <c r="B114" s="112">
        <v>41256.875</v>
      </c>
      <c r="D114" s="108" t="s">
        <v>210</v>
      </c>
      <c r="E114" s="109" t="s">
        <v>31</v>
      </c>
      <c r="F114" s="109" t="s">
        <v>77</v>
      </c>
      <c r="H114" s="110" t="s">
        <v>440</v>
      </c>
      <c r="I114" s="112">
        <v>41256.504861111112</v>
      </c>
      <c r="J114" s="109" t="s">
        <v>3</v>
      </c>
      <c r="K114" s="6">
        <v>5</v>
      </c>
      <c r="L114" s="10" t="s">
        <v>7</v>
      </c>
      <c r="M114" s="6">
        <f t="shared" si="27"/>
        <v>15.5</v>
      </c>
      <c r="N114" s="6">
        <f t="shared" si="17"/>
        <v>1</v>
      </c>
      <c r="O114" s="6">
        <f t="shared" si="18"/>
        <v>0</v>
      </c>
      <c r="P114" s="6">
        <f t="shared" si="16"/>
        <v>0</v>
      </c>
      <c r="Q114" s="6">
        <f t="shared" si="20"/>
        <v>10.5</v>
      </c>
      <c r="R114" s="30">
        <f t="shared" si="19"/>
        <v>10.5</v>
      </c>
      <c r="S114" s="4">
        <f t="shared" si="25"/>
        <v>83.812499999999957</v>
      </c>
      <c r="T114" s="14">
        <f t="shared" si="21"/>
        <v>-20.737499999999997</v>
      </c>
      <c r="U114" s="14">
        <f t="shared" si="23"/>
        <v>-44.85</v>
      </c>
      <c r="V114" s="14">
        <f t="shared" si="24"/>
        <v>3.6000000000000059</v>
      </c>
      <c r="W114" s="14">
        <f t="shared" si="26"/>
        <v>-54.199999999999989</v>
      </c>
      <c r="X114" s="13">
        <v>0</v>
      </c>
      <c r="Y114" s="13">
        <v>0</v>
      </c>
      <c r="Z114" s="13">
        <f t="shared" si="22"/>
        <v>-116.18750000000001</v>
      </c>
    </row>
    <row r="115" spans="1:26" ht="11.25" customHeight="1">
      <c r="A115" s="111" t="s">
        <v>8</v>
      </c>
      <c r="B115" s="112">
        <v>41256.75</v>
      </c>
      <c r="D115" s="108" t="s">
        <v>211</v>
      </c>
      <c r="E115" s="109" t="s">
        <v>154</v>
      </c>
      <c r="F115" s="109" t="s">
        <v>212</v>
      </c>
      <c r="H115" s="110" t="s">
        <v>441</v>
      </c>
      <c r="I115" s="112">
        <v>41256.642361111109</v>
      </c>
      <c r="J115" s="109" t="s">
        <v>9</v>
      </c>
      <c r="K115" s="6">
        <v>5</v>
      </c>
      <c r="L115" s="10" t="s">
        <v>5</v>
      </c>
      <c r="M115" s="6">
        <f t="shared" si="27"/>
        <v>0</v>
      </c>
      <c r="N115" s="6">
        <f t="shared" si="17"/>
        <v>0</v>
      </c>
      <c r="O115" s="6">
        <f t="shared" si="18"/>
        <v>1</v>
      </c>
      <c r="P115" s="6">
        <f t="shared" si="16"/>
        <v>0</v>
      </c>
      <c r="Q115" s="6">
        <f t="shared" si="20"/>
        <v>-5</v>
      </c>
      <c r="R115" s="30">
        <f t="shared" si="19"/>
        <v>-5</v>
      </c>
      <c r="S115" s="4">
        <f t="shared" si="25"/>
        <v>78.812499999999957</v>
      </c>
      <c r="T115" s="14">
        <f t="shared" si="21"/>
        <v>-25.737499999999997</v>
      </c>
      <c r="U115" s="14">
        <f t="shared" si="23"/>
        <v>-44.85</v>
      </c>
      <c r="V115" s="14">
        <f t="shared" si="24"/>
        <v>3.6000000000000059</v>
      </c>
      <c r="W115" s="14">
        <f t="shared" si="26"/>
        <v>-54.199999999999989</v>
      </c>
      <c r="X115" s="13">
        <v>0</v>
      </c>
      <c r="Y115" s="13">
        <v>0</v>
      </c>
      <c r="Z115" s="13">
        <f t="shared" si="22"/>
        <v>-121.18750000000001</v>
      </c>
    </row>
    <row r="116" spans="1:26" ht="11.25" customHeight="1">
      <c r="A116" s="111" t="s">
        <v>8</v>
      </c>
      <c r="B116" s="112">
        <v>41256.75</v>
      </c>
      <c r="D116" s="108" t="s">
        <v>211</v>
      </c>
      <c r="E116" s="109" t="s">
        <v>213</v>
      </c>
      <c r="F116" s="109" t="s">
        <v>214</v>
      </c>
      <c r="H116" s="110" t="s">
        <v>415</v>
      </c>
      <c r="I116" s="112">
        <v>41256.644444444442</v>
      </c>
      <c r="J116" s="109" t="s">
        <v>9</v>
      </c>
      <c r="K116" s="6">
        <v>5</v>
      </c>
      <c r="L116" s="10" t="s">
        <v>7</v>
      </c>
      <c r="M116" s="6">
        <f t="shared" si="27"/>
        <v>8.35</v>
      </c>
      <c r="N116" s="6">
        <f t="shared" si="17"/>
        <v>1</v>
      </c>
      <c r="O116" s="6">
        <f t="shared" si="18"/>
        <v>0</v>
      </c>
      <c r="P116" s="6">
        <f t="shared" si="16"/>
        <v>0</v>
      </c>
      <c r="Q116" s="6">
        <f t="shared" si="20"/>
        <v>3.3499999999999996</v>
      </c>
      <c r="R116" s="30">
        <f t="shared" si="19"/>
        <v>3.3499999999999996</v>
      </c>
      <c r="S116" s="4">
        <f t="shared" si="25"/>
        <v>82.162499999999952</v>
      </c>
      <c r="T116" s="14">
        <f t="shared" si="21"/>
        <v>-22.387499999999996</v>
      </c>
      <c r="U116" s="14">
        <f t="shared" si="23"/>
        <v>-44.85</v>
      </c>
      <c r="V116" s="14">
        <f t="shared" si="24"/>
        <v>3.6000000000000059</v>
      </c>
      <c r="W116" s="14">
        <f t="shared" si="26"/>
        <v>-54.199999999999989</v>
      </c>
      <c r="X116" s="13">
        <v>0</v>
      </c>
      <c r="Y116" s="13">
        <v>0</v>
      </c>
      <c r="Z116" s="13">
        <f t="shared" si="22"/>
        <v>-117.83750000000002</v>
      </c>
    </row>
    <row r="117" spans="1:26" ht="11.25" customHeight="1">
      <c r="A117" s="111" t="s">
        <v>8</v>
      </c>
      <c r="B117" s="112">
        <v>41256.875</v>
      </c>
      <c r="D117" s="108" t="s">
        <v>215</v>
      </c>
      <c r="E117" s="109" t="s">
        <v>216</v>
      </c>
      <c r="F117" s="109" t="s">
        <v>217</v>
      </c>
      <c r="H117" s="110" t="s">
        <v>442</v>
      </c>
      <c r="I117" s="112">
        <v>41256.838888888888</v>
      </c>
      <c r="J117" s="109" t="s">
        <v>3</v>
      </c>
      <c r="K117" s="6">
        <v>5</v>
      </c>
      <c r="L117" s="10" t="s">
        <v>5</v>
      </c>
      <c r="M117" s="6">
        <f t="shared" si="27"/>
        <v>0</v>
      </c>
      <c r="N117" s="6">
        <f t="shared" si="17"/>
        <v>0</v>
      </c>
      <c r="O117" s="6">
        <f t="shared" si="18"/>
        <v>1</v>
      </c>
      <c r="P117" s="6">
        <f t="shared" si="16"/>
        <v>0</v>
      </c>
      <c r="Q117" s="6">
        <f t="shared" si="20"/>
        <v>-5</v>
      </c>
      <c r="R117" s="30">
        <f t="shared" si="19"/>
        <v>-5</v>
      </c>
      <c r="S117" s="4">
        <f t="shared" si="25"/>
        <v>77.162499999999952</v>
      </c>
      <c r="T117" s="14">
        <f t="shared" si="21"/>
        <v>-27.387499999999996</v>
      </c>
      <c r="U117" s="14">
        <f t="shared" si="23"/>
        <v>-44.85</v>
      </c>
      <c r="V117" s="14">
        <f t="shared" si="24"/>
        <v>3.6000000000000059</v>
      </c>
      <c r="W117" s="14">
        <f t="shared" si="26"/>
        <v>-54.199999999999989</v>
      </c>
      <c r="X117" s="13">
        <v>0</v>
      </c>
      <c r="Y117" s="13">
        <v>0</v>
      </c>
      <c r="Z117" s="13">
        <f t="shared" si="22"/>
        <v>-122.83750000000002</v>
      </c>
    </row>
    <row r="118" spans="1:26" ht="11.25" customHeight="1">
      <c r="A118" s="111" t="s">
        <v>8</v>
      </c>
      <c r="B118" s="112">
        <v>41256.875</v>
      </c>
      <c r="D118" s="108" t="s">
        <v>215</v>
      </c>
      <c r="E118" s="109" t="s">
        <v>218</v>
      </c>
      <c r="F118" s="109" t="s">
        <v>219</v>
      </c>
      <c r="H118" s="110" t="s">
        <v>415</v>
      </c>
      <c r="I118" s="112">
        <v>41256.838888888888</v>
      </c>
      <c r="J118" s="109" t="s">
        <v>3</v>
      </c>
      <c r="K118" s="6">
        <v>5</v>
      </c>
      <c r="L118" s="10" t="s">
        <v>7</v>
      </c>
      <c r="M118" s="6">
        <f t="shared" si="27"/>
        <v>8.35</v>
      </c>
      <c r="N118" s="6">
        <f t="shared" si="17"/>
        <v>1</v>
      </c>
      <c r="O118" s="6">
        <f t="shared" si="18"/>
        <v>0</v>
      </c>
      <c r="P118" s="6">
        <f t="shared" si="16"/>
        <v>0</v>
      </c>
      <c r="Q118" s="6">
        <f t="shared" si="20"/>
        <v>3.3499999999999996</v>
      </c>
      <c r="R118" s="30">
        <f t="shared" si="19"/>
        <v>3.3499999999999996</v>
      </c>
      <c r="S118" s="4">
        <f t="shared" si="25"/>
        <v>80.512499999999946</v>
      </c>
      <c r="T118" s="14">
        <f t="shared" si="21"/>
        <v>-24.037499999999994</v>
      </c>
      <c r="U118" s="14">
        <f t="shared" si="23"/>
        <v>-44.85</v>
      </c>
      <c r="V118" s="14">
        <f t="shared" si="24"/>
        <v>3.6000000000000059</v>
      </c>
      <c r="W118" s="14">
        <f t="shared" si="26"/>
        <v>-54.199999999999989</v>
      </c>
      <c r="X118" s="13">
        <v>0</v>
      </c>
      <c r="Y118" s="13">
        <v>0</v>
      </c>
      <c r="Z118" s="13">
        <f t="shared" si="22"/>
        <v>-119.48750000000003</v>
      </c>
    </row>
    <row r="119" spans="1:26" ht="11.25" customHeight="1">
      <c r="A119" s="111" t="s">
        <v>8</v>
      </c>
      <c r="B119" s="112">
        <v>41256.875</v>
      </c>
      <c r="D119" s="108" t="s">
        <v>215</v>
      </c>
      <c r="E119" s="109" t="s">
        <v>125</v>
      </c>
      <c r="F119" s="109" t="s">
        <v>20</v>
      </c>
      <c r="H119" s="110" t="s">
        <v>396</v>
      </c>
      <c r="I119" s="112">
        <v>41256.839583333334</v>
      </c>
      <c r="J119" s="109" t="s">
        <v>3</v>
      </c>
      <c r="K119" s="6">
        <v>5</v>
      </c>
      <c r="L119" s="10" t="s">
        <v>7</v>
      </c>
      <c r="M119" s="6">
        <f t="shared" si="27"/>
        <v>7.4</v>
      </c>
      <c r="N119" s="6">
        <f t="shared" si="17"/>
        <v>1</v>
      </c>
      <c r="O119" s="6">
        <f t="shared" si="18"/>
        <v>0</v>
      </c>
      <c r="P119" s="6">
        <f t="shared" si="16"/>
        <v>0</v>
      </c>
      <c r="Q119" s="6">
        <f t="shared" si="20"/>
        <v>2.4000000000000004</v>
      </c>
      <c r="R119" s="30">
        <f t="shared" si="19"/>
        <v>2.4000000000000004</v>
      </c>
      <c r="S119" s="4">
        <f t="shared" si="25"/>
        <v>82.912499999999952</v>
      </c>
      <c r="T119" s="14">
        <f t="shared" si="21"/>
        <v>-21.637499999999996</v>
      </c>
      <c r="U119" s="14">
        <f t="shared" si="23"/>
        <v>-44.85</v>
      </c>
      <c r="V119" s="14">
        <f t="shared" si="24"/>
        <v>3.6000000000000059</v>
      </c>
      <c r="W119" s="14">
        <f t="shared" si="26"/>
        <v>-54.199999999999989</v>
      </c>
      <c r="X119" s="13">
        <v>0</v>
      </c>
      <c r="Y119" s="13">
        <v>0</v>
      </c>
      <c r="Z119" s="13">
        <f t="shared" si="22"/>
        <v>-117.08750000000002</v>
      </c>
    </row>
    <row r="120" spans="1:26" ht="11.25" customHeight="1">
      <c r="A120" s="111" t="s">
        <v>58</v>
      </c>
      <c r="B120" s="112">
        <v>41257.086805555555</v>
      </c>
      <c r="D120" s="108" t="s">
        <v>237</v>
      </c>
      <c r="E120" s="109" t="s">
        <v>229</v>
      </c>
      <c r="F120" s="109" t="s">
        <v>230</v>
      </c>
      <c r="H120" s="110" t="s">
        <v>439</v>
      </c>
      <c r="I120" s="112">
        <v>41256.975694444445</v>
      </c>
      <c r="J120" s="108" t="s">
        <v>9</v>
      </c>
      <c r="K120" s="6">
        <v>5</v>
      </c>
      <c r="L120" s="10" t="s">
        <v>7</v>
      </c>
      <c r="M120" s="6">
        <f t="shared" si="27"/>
        <v>7</v>
      </c>
      <c r="N120" s="6">
        <f t="shared" si="17"/>
        <v>1</v>
      </c>
      <c r="O120" s="6">
        <f t="shared" si="18"/>
        <v>0</v>
      </c>
      <c r="P120" s="6">
        <f t="shared" si="16"/>
        <v>0</v>
      </c>
      <c r="Q120" s="6">
        <f t="shared" si="20"/>
        <v>2</v>
      </c>
      <c r="R120" s="30">
        <f t="shared" si="19"/>
        <v>2</v>
      </c>
      <c r="S120" s="4">
        <f t="shared" si="25"/>
        <v>84.912499999999952</v>
      </c>
      <c r="T120" s="14">
        <f t="shared" si="21"/>
        <v>-21.637499999999996</v>
      </c>
      <c r="U120" s="14">
        <f t="shared" si="23"/>
        <v>-44.85</v>
      </c>
      <c r="V120" s="14">
        <f t="shared" si="24"/>
        <v>5.6000000000000059</v>
      </c>
      <c r="W120" s="14">
        <f t="shared" si="26"/>
        <v>-54.199999999999989</v>
      </c>
      <c r="X120" s="13">
        <v>0</v>
      </c>
      <c r="Y120" s="13">
        <v>0</v>
      </c>
      <c r="Z120" s="13">
        <f t="shared" si="22"/>
        <v>-115.08750000000002</v>
      </c>
    </row>
    <row r="121" spans="1:26" ht="11.25" customHeight="1">
      <c r="A121" s="111" t="s">
        <v>8</v>
      </c>
      <c r="B121" s="112">
        <v>41257.78125</v>
      </c>
      <c r="D121" s="108" t="s">
        <v>202</v>
      </c>
      <c r="E121" s="109" t="s">
        <v>228</v>
      </c>
      <c r="F121" s="109" t="s">
        <v>227</v>
      </c>
      <c r="H121" s="55" t="s">
        <v>418</v>
      </c>
      <c r="I121" s="112">
        <v>41257.742361111108</v>
      </c>
      <c r="J121" s="108" t="s">
        <v>3</v>
      </c>
      <c r="K121" s="6">
        <v>5</v>
      </c>
      <c r="L121" s="10" t="s">
        <v>5</v>
      </c>
      <c r="M121" s="6">
        <f t="shared" si="27"/>
        <v>0</v>
      </c>
      <c r="N121" s="6">
        <f t="shared" si="17"/>
        <v>0</v>
      </c>
      <c r="O121" s="6">
        <f t="shared" si="18"/>
        <v>1</v>
      </c>
      <c r="P121" s="6">
        <f t="shared" si="16"/>
        <v>0</v>
      </c>
      <c r="Q121" s="6">
        <f t="shared" si="20"/>
        <v>-5</v>
      </c>
      <c r="R121" s="30">
        <f t="shared" si="19"/>
        <v>-5</v>
      </c>
      <c r="S121" s="4">
        <f t="shared" si="25"/>
        <v>79.912499999999952</v>
      </c>
      <c r="T121" s="14">
        <f t="shared" si="21"/>
        <v>-26.637499999999996</v>
      </c>
      <c r="U121" s="14">
        <f t="shared" si="23"/>
        <v>-44.85</v>
      </c>
      <c r="V121" s="14">
        <f t="shared" si="24"/>
        <v>5.6000000000000059</v>
      </c>
      <c r="W121" s="14">
        <f t="shared" si="26"/>
        <v>-54.199999999999989</v>
      </c>
      <c r="X121" s="13">
        <v>0</v>
      </c>
      <c r="Y121" s="13">
        <v>0</v>
      </c>
      <c r="Z121" s="13">
        <f t="shared" si="22"/>
        <v>-120.08750000000002</v>
      </c>
    </row>
    <row r="122" spans="1:26" ht="11.25" customHeight="1">
      <c r="A122" s="111" t="s">
        <v>8</v>
      </c>
      <c r="B122" s="112">
        <v>41257.864583333336</v>
      </c>
      <c r="D122" s="108" t="s">
        <v>226</v>
      </c>
      <c r="E122" s="109" t="s">
        <v>218</v>
      </c>
      <c r="F122" s="109" t="s">
        <v>227</v>
      </c>
      <c r="H122" s="55" t="s">
        <v>443</v>
      </c>
      <c r="I122" s="112">
        <v>41257.744444444441</v>
      </c>
      <c r="J122" s="108" t="s">
        <v>3</v>
      </c>
      <c r="K122" s="6">
        <v>5</v>
      </c>
      <c r="L122" s="10" t="s">
        <v>5</v>
      </c>
      <c r="M122" s="6">
        <f t="shared" si="27"/>
        <v>0</v>
      </c>
      <c r="N122" s="6">
        <f t="shared" si="17"/>
        <v>0</v>
      </c>
      <c r="O122" s="6">
        <f t="shared" si="18"/>
        <v>1</v>
      </c>
      <c r="P122" s="6">
        <f t="shared" si="16"/>
        <v>0</v>
      </c>
      <c r="Q122" s="6">
        <f t="shared" si="20"/>
        <v>-5</v>
      </c>
      <c r="R122" s="30">
        <f t="shared" si="19"/>
        <v>-5</v>
      </c>
      <c r="S122" s="4">
        <f t="shared" ref="S122:S153" si="28">IF(L122=0,S121-K122,S121+M122-K122)</f>
        <v>74.912499999999952</v>
      </c>
      <c r="T122" s="14">
        <f t="shared" si="21"/>
        <v>-31.637499999999996</v>
      </c>
      <c r="U122" s="14">
        <f t="shared" si="23"/>
        <v>-44.85</v>
      </c>
      <c r="V122" s="14">
        <f t="shared" si="24"/>
        <v>5.6000000000000059</v>
      </c>
      <c r="W122" s="14">
        <f t="shared" si="26"/>
        <v>-54.199999999999989</v>
      </c>
      <c r="X122" s="13">
        <v>0</v>
      </c>
      <c r="Y122" s="13">
        <v>0</v>
      </c>
      <c r="Z122" s="13">
        <f t="shared" si="22"/>
        <v>-125.08750000000002</v>
      </c>
    </row>
    <row r="123" spans="1:26" ht="11.25" customHeight="1">
      <c r="A123" s="111" t="s">
        <v>8</v>
      </c>
      <c r="B123" s="112">
        <v>41257.885416666664</v>
      </c>
      <c r="D123" s="108" t="s">
        <v>204</v>
      </c>
      <c r="E123" s="109" t="s">
        <v>129</v>
      </c>
      <c r="F123" s="109" t="s">
        <v>225</v>
      </c>
      <c r="H123" s="55">
        <v>1</v>
      </c>
      <c r="I123" s="112">
        <v>41257.74722222222</v>
      </c>
      <c r="J123" s="108" t="s">
        <v>3</v>
      </c>
      <c r="K123" s="6">
        <v>5</v>
      </c>
      <c r="L123" s="10" t="s">
        <v>7</v>
      </c>
      <c r="M123" s="6">
        <f t="shared" si="27"/>
        <v>5</v>
      </c>
      <c r="N123" s="6">
        <f t="shared" si="17"/>
        <v>1</v>
      </c>
      <c r="O123" s="6">
        <f t="shared" si="18"/>
        <v>0</v>
      </c>
      <c r="P123" s="6">
        <f t="shared" si="16"/>
        <v>0</v>
      </c>
      <c r="Q123" s="6">
        <f t="shared" si="20"/>
        <v>0</v>
      </c>
      <c r="R123" s="30">
        <f t="shared" si="19"/>
        <v>0</v>
      </c>
      <c r="S123" s="4">
        <f t="shared" si="28"/>
        <v>74.912499999999952</v>
      </c>
      <c r="T123" s="14">
        <f t="shared" si="21"/>
        <v>-31.637499999999996</v>
      </c>
      <c r="U123" s="14">
        <f t="shared" si="23"/>
        <v>-44.85</v>
      </c>
      <c r="V123" s="14">
        <f t="shared" si="24"/>
        <v>5.6000000000000059</v>
      </c>
      <c r="W123" s="14">
        <f t="shared" si="26"/>
        <v>-54.199999999999989</v>
      </c>
      <c r="X123" s="13">
        <v>0</v>
      </c>
      <c r="Y123" s="13">
        <v>0</v>
      </c>
      <c r="Z123" s="13">
        <f t="shared" si="22"/>
        <v>-125.08750000000002</v>
      </c>
    </row>
    <row r="124" spans="1:26" ht="11.25" customHeight="1">
      <c r="A124" s="111" t="s">
        <v>8</v>
      </c>
      <c r="B124" s="112">
        <v>41257.791666666664</v>
      </c>
      <c r="D124" s="108" t="s">
        <v>222</v>
      </c>
      <c r="E124" s="109" t="s">
        <v>223</v>
      </c>
      <c r="F124" s="109" t="s">
        <v>224</v>
      </c>
      <c r="H124" s="55" t="s">
        <v>390</v>
      </c>
      <c r="I124" s="112">
        <v>41257.75</v>
      </c>
      <c r="J124" s="108" t="s">
        <v>9</v>
      </c>
      <c r="K124" s="6">
        <v>5</v>
      </c>
      <c r="L124" s="10" t="s">
        <v>7</v>
      </c>
      <c r="M124" s="6">
        <f t="shared" si="27"/>
        <v>8.75</v>
      </c>
      <c r="N124" s="6">
        <f t="shared" si="17"/>
        <v>1</v>
      </c>
      <c r="O124" s="6">
        <f t="shared" si="18"/>
        <v>0</v>
      </c>
      <c r="P124" s="6">
        <f t="shared" si="16"/>
        <v>0</v>
      </c>
      <c r="Q124" s="6">
        <f t="shared" si="20"/>
        <v>3.75</v>
      </c>
      <c r="R124" s="30">
        <f t="shared" si="19"/>
        <v>3.75</v>
      </c>
      <c r="S124" s="4">
        <f t="shared" si="28"/>
        <v>78.662499999999952</v>
      </c>
      <c r="T124" s="14">
        <f t="shared" si="21"/>
        <v>-27.887499999999996</v>
      </c>
      <c r="U124" s="14">
        <f t="shared" si="23"/>
        <v>-44.85</v>
      </c>
      <c r="V124" s="14">
        <f t="shared" si="24"/>
        <v>5.6000000000000059</v>
      </c>
      <c r="W124" s="14">
        <f t="shared" si="26"/>
        <v>-54.199999999999989</v>
      </c>
      <c r="X124" s="13">
        <v>0</v>
      </c>
      <c r="Y124" s="13">
        <v>0</v>
      </c>
      <c r="Z124" s="13">
        <f t="shared" si="22"/>
        <v>-121.33750000000002</v>
      </c>
    </row>
    <row r="125" spans="1:26" ht="11.25" customHeight="1">
      <c r="A125" s="111" t="s">
        <v>8</v>
      </c>
      <c r="B125" s="112">
        <v>41258.666666666664</v>
      </c>
      <c r="D125" s="108" t="s">
        <v>231</v>
      </c>
      <c r="E125" s="109" t="s">
        <v>31</v>
      </c>
      <c r="F125" s="109" t="s">
        <v>232</v>
      </c>
      <c r="H125" s="110" t="s">
        <v>436</v>
      </c>
      <c r="I125" s="112">
        <v>41258.477777777778</v>
      </c>
      <c r="J125" s="108" t="s">
        <v>3</v>
      </c>
      <c r="K125" s="6">
        <v>5</v>
      </c>
      <c r="L125" s="10" t="s">
        <v>7</v>
      </c>
      <c r="M125" s="6">
        <f t="shared" si="27"/>
        <v>10.75</v>
      </c>
      <c r="N125" s="6">
        <f t="shared" si="17"/>
        <v>1</v>
      </c>
      <c r="O125" s="6">
        <f t="shared" si="18"/>
        <v>0</v>
      </c>
      <c r="P125" s="6">
        <f t="shared" si="16"/>
        <v>0</v>
      </c>
      <c r="Q125" s="6">
        <f t="shared" si="20"/>
        <v>5.75</v>
      </c>
      <c r="R125" s="30">
        <f t="shared" si="19"/>
        <v>5.75</v>
      </c>
      <c r="S125" s="4">
        <f t="shared" si="28"/>
        <v>84.412499999999952</v>
      </c>
      <c r="T125" s="14">
        <f t="shared" si="21"/>
        <v>-22.137499999999996</v>
      </c>
      <c r="U125" s="14">
        <f t="shared" si="23"/>
        <v>-44.85</v>
      </c>
      <c r="V125" s="14">
        <f t="shared" si="24"/>
        <v>5.6000000000000059</v>
      </c>
      <c r="W125" s="14">
        <f t="shared" si="26"/>
        <v>-54.199999999999989</v>
      </c>
      <c r="X125" s="13">
        <v>0</v>
      </c>
      <c r="Y125" s="13">
        <v>0</v>
      </c>
      <c r="Z125" s="13">
        <f t="shared" si="22"/>
        <v>-115.58750000000002</v>
      </c>
    </row>
    <row r="126" spans="1:26" ht="11.25" customHeight="1">
      <c r="A126" s="111" t="s">
        <v>8</v>
      </c>
      <c r="B126" s="112">
        <v>41258.833333333336</v>
      </c>
      <c r="D126" s="108" t="s">
        <v>233</v>
      </c>
      <c r="E126" s="109" t="s">
        <v>154</v>
      </c>
      <c r="F126" s="109" t="s">
        <v>234</v>
      </c>
      <c r="H126" s="110" t="s">
        <v>444</v>
      </c>
      <c r="I126" s="112">
        <v>41258.479861111111</v>
      </c>
      <c r="J126" s="108" t="s">
        <v>9</v>
      </c>
      <c r="K126" s="6">
        <v>5</v>
      </c>
      <c r="L126" s="10" t="s">
        <v>7</v>
      </c>
      <c r="M126" s="6">
        <f t="shared" si="27"/>
        <v>9</v>
      </c>
      <c r="N126" s="6">
        <f t="shared" si="17"/>
        <v>1</v>
      </c>
      <c r="O126" s="6">
        <f t="shared" si="18"/>
        <v>0</v>
      </c>
      <c r="P126" s="6">
        <f t="shared" si="16"/>
        <v>0</v>
      </c>
      <c r="Q126" s="6">
        <f t="shared" si="20"/>
        <v>4</v>
      </c>
      <c r="R126" s="30">
        <f t="shared" si="19"/>
        <v>4</v>
      </c>
      <c r="S126" s="4">
        <f t="shared" si="28"/>
        <v>88.412499999999952</v>
      </c>
      <c r="T126" s="14">
        <f t="shared" si="21"/>
        <v>-18.137499999999996</v>
      </c>
      <c r="U126" s="14">
        <f t="shared" si="23"/>
        <v>-44.85</v>
      </c>
      <c r="V126" s="14">
        <f t="shared" si="24"/>
        <v>5.6000000000000059</v>
      </c>
      <c r="W126" s="14">
        <f t="shared" si="26"/>
        <v>-54.199999999999989</v>
      </c>
      <c r="X126" s="13">
        <v>0</v>
      </c>
      <c r="Y126" s="13">
        <v>0</v>
      </c>
      <c r="Z126" s="13">
        <f t="shared" si="22"/>
        <v>-111.58750000000002</v>
      </c>
    </row>
    <row r="127" spans="1:26" ht="11.25" customHeight="1">
      <c r="A127" s="111" t="s">
        <v>8</v>
      </c>
      <c r="B127" s="112">
        <v>41258.604166666664</v>
      </c>
      <c r="D127" s="108" t="s">
        <v>235</v>
      </c>
      <c r="E127" s="109" t="s">
        <v>31</v>
      </c>
      <c r="F127" s="109" t="s">
        <v>236</v>
      </c>
      <c r="H127" s="110" t="s">
        <v>445</v>
      </c>
      <c r="I127" s="112">
        <v>41258.494444444441</v>
      </c>
      <c r="J127" s="108" t="s">
        <v>53</v>
      </c>
      <c r="K127" s="6">
        <v>5</v>
      </c>
      <c r="L127" s="10" t="s">
        <v>7</v>
      </c>
      <c r="M127" s="6">
        <f t="shared" si="27"/>
        <v>9.5</v>
      </c>
      <c r="N127" s="6">
        <f t="shared" si="17"/>
        <v>1</v>
      </c>
      <c r="O127" s="6">
        <f t="shared" si="18"/>
        <v>0</v>
      </c>
      <c r="P127" s="6">
        <f t="shared" si="16"/>
        <v>0</v>
      </c>
      <c r="Q127" s="6">
        <f t="shared" si="20"/>
        <v>4.5</v>
      </c>
      <c r="R127" s="30">
        <f t="shared" si="19"/>
        <v>4.5</v>
      </c>
      <c r="S127" s="4">
        <f t="shared" si="28"/>
        <v>92.912499999999952</v>
      </c>
      <c r="T127" s="14">
        <f t="shared" si="21"/>
        <v>-13.637499999999996</v>
      </c>
      <c r="U127" s="14">
        <f t="shared" si="23"/>
        <v>-44.85</v>
      </c>
      <c r="V127" s="14">
        <f t="shared" si="24"/>
        <v>5.6000000000000059</v>
      </c>
      <c r="W127" s="14">
        <f t="shared" si="26"/>
        <v>-54.199999999999989</v>
      </c>
      <c r="X127" s="13">
        <v>0</v>
      </c>
      <c r="Y127" s="13">
        <v>0</v>
      </c>
      <c r="Z127" s="13">
        <f t="shared" si="22"/>
        <v>-107.08750000000002</v>
      </c>
    </row>
    <row r="128" spans="1:26" ht="11.25" customHeight="1">
      <c r="A128" s="111" t="s">
        <v>2</v>
      </c>
      <c r="B128" s="117">
        <v>41259.864583333336</v>
      </c>
      <c r="D128" s="108" t="s">
        <v>238</v>
      </c>
      <c r="E128" s="109" t="s">
        <v>31</v>
      </c>
      <c r="F128" s="109" t="s">
        <v>239</v>
      </c>
      <c r="H128" s="110" t="s">
        <v>416</v>
      </c>
      <c r="I128" s="112">
        <v>41258.729166666664</v>
      </c>
      <c r="J128" s="108" t="s">
        <v>3</v>
      </c>
      <c r="K128" s="6">
        <v>5</v>
      </c>
      <c r="L128" s="10" t="s">
        <v>5</v>
      </c>
      <c r="M128" s="6">
        <f t="shared" si="27"/>
        <v>0</v>
      </c>
      <c r="N128" s="6">
        <f t="shared" si="17"/>
        <v>0</v>
      </c>
      <c r="O128" s="6">
        <f t="shared" si="18"/>
        <v>1</v>
      </c>
      <c r="P128" s="6">
        <f t="shared" si="16"/>
        <v>0</v>
      </c>
      <c r="Q128" s="6">
        <f t="shared" si="20"/>
        <v>-5</v>
      </c>
      <c r="R128" s="30">
        <f t="shared" si="19"/>
        <v>-5</v>
      </c>
      <c r="S128" s="4">
        <f t="shared" si="28"/>
        <v>87.912499999999952</v>
      </c>
      <c r="T128" s="14">
        <f t="shared" si="21"/>
        <v>-13.637499999999996</v>
      </c>
      <c r="U128" s="14">
        <f t="shared" si="23"/>
        <v>-49.85</v>
      </c>
      <c r="V128" s="14">
        <f t="shared" si="24"/>
        <v>5.6000000000000059</v>
      </c>
      <c r="W128" s="14">
        <f t="shared" si="26"/>
        <v>-54.199999999999989</v>
      </c>
      <c r="X128" s="13">
        <v>0</v>
      </c>
      <c r="Y128" s="13">
        <v>0</v>
      </c>
      <c r="Z128" s="13">
        <f t="shared" si="22"/>
        <v>-112.08750000000002</v>
      </c>
    </row>
    <row r="129" spans="1:26" ht="11.25" customHeight="1">
      <c r="A129" s="111" t="s">
        <v>8</v>
      </c>
      <c r="B129" s="117">
        <v>41258.770833333336</v>
      </c>
      <c r="D129" s="108" t="s">
        <v>240</v>
      </c>
      <c r="E129" s="109" t="s">
        <v>31</v>
      </c>
      <c r="F129" s="109" t="s">
        <v>241</v>
      </c>
      <c r="H129" s="110" t="s">
        <v>446</v>
      </c>
      <c r="I129" s="117">
        <v>41258.74722222222</v>
      </c>
      <c r="J129" s="109" t="s">
        <v>53</v>
      </c>
      <c r="K129" s="6">
        <v>5</v>
      </c>
      <c r="L129" s="10" t="s">
        <v>7</v>
      </c>
      <c r="M129" s="6">
        <f t="shared" si="27"/>
        <v>8.9</v>
      </c>
      <c r="N129" s="6">
        <f t="shared" si="17"/>
        <v>1</v>
      </c>
      <c r="O129" s="6">
        <f t="shared" si="18"/>
        <v>0</v>
      </c>
      <c r="P129" s="6">
        <f t="shared" si="16"/>
        <v>0</v>
      </c>
      <c r="Q129" s="6">
        <f t="shared" si="20"/>
        <v>3.9000000000000004</v>
      </c>
      <c r="R129" s="30">
        <f t="shared" si="19"/>
        <v>3.9000000000000004</v>
      </c>
      <c r="S129" s="4">
        <f t="shared" si="28"/>
        <v>91.812499999999957</v>
      </c>
      <c r="T129" s="14">
        <f t="shared" si="21"/>
        <v>-9.7374999999999954</v>
      </c>
      <c r="U129" s="14">
        <f t="shared" si="23"/>
        <v>-49.85</v>
      </c>
      <c r="V129" s="14">
        <f t="shared" si="24"/>
        <v>5.6000000000000059</v>
      </c>
      <c r="W129" s="14">
        <f t="shared" si="26"/>
        <v>-54.199999999999989</v>
      </c>
      <c r="X129" s="13">
        <v>0</v>
      </c>
      <c r="Y129" s="13">
        <v>0</v>
      </c>
      <c r="Z129" s="13">
        <f t="shared" si="22"/>
        <v>-108.18750000000001</v>
      </c>
    </row>
    <row r="130" spans="1:26" ht="11.25" customHeight="1">
      <c r="A130" s="111" t="s">
        <v>8</v>
      </c>
      <c r="B130" s="117">
        <v>41258.833333333336</v>
      </c>
      <c r="D130" s="108" t="s">
        <v>242</v>
      </c>
      <c r="E130" s="109" t="s">
        <v>154</v>
      </c>
      <c r="F130" s="109" t="s">
        <v>243</v>
      </c>
      <c r="H130" s="110" t="s">
        <v>421</v>
      </c>
      <c r="I130" s="117">
        <v>41258.791666666664</v>
      </c>
      <c r="J130" s="109" t="s">
        <v>9</v>
      </c>
      <c r="K130" s="6">
        <v>5</v>
      </c>
      <c r="L130" s="10" t="s">
        <v>7</v>
      </c>
      <c r="M130" s="6">
        <f t="shared" si="27"/>
        <v>9.75</v>
      </c>
      <c r="N130" s="6">
        <f t="shared" si="17"/>
        <v>1</v>
      </c>
      <c r="O130" s="6">
        <f t="shared" si="18"/>
        <v>0</v>
      </c>
      <c r="P130" s="6">
        <f t="shared" ref="P130:P193" si="29">IF(M130&gt;L130,1,0)</f>
        <v>0</v>
      </c>
      <c r="Q130" s="6">
        <f t="shared" si="20"/>
        <v>4.75</v>
      </c>
      <c r="R130" s="30">
        <f t="shared" si="19"/>
        <v>4.75</v>
      </c>
      <c r="S130" s="4">
        <f t="shared" si="28"/>
        <v>96.562499999999957</v>
      </c>
      <c r="T130" s="14">
        <f t="shared" si="21"/>
        <v>-4.9874999999999954</v>
      </c>
      <c r="U130" s="14">
        <f t="shared" si="23"/>
        <v>-49.85</v>
      </c>
      <c r="V130" s="14">
        <f t="shared" si="24"/>
        <v>5.6000000000000059</v>
      </c>
      <c r="W130" s="14">
        <f t="shared" si="26"/>
        <v>-54.199999999999989</v>
      </c>
      <c r="X130" s="13">
        <v>0</v>
      </c>
      <c r="Y130" s="13">
        <v>0</v>
      </c>
      <c r="Z130" s="13">
        <f t="shared" si="22"/>
        <v>-103.43750000000001</v>
      </c>
    </row>
    <row r="131" spans="1:26" ht="11.25" customHeight="1">
      <c r="A131" s="111" t="s">
        <v>8</v>
      </c>
      <c r="B131" s="117">
        <v>41258.833333333336</v>
      </c>
      <c r="D131" s="108" t="s">
        <v>244</v>
      </c>
      <c r="E131" s="109" t="s">
        <v>31</v>
      </c>
      <c r="F131" s="109" t="s">
        <v>245</v>
      </c>
      <c r="H131" s="110" t="s">
        <v>447</v>
      </c>
      <c r="I131" s="117">
        <v>41258.793055555558</v>
      </c>
      <c r="J131" s="109" t="s">
        <v>3</v>
      </c>
      <c r="K131" s="6">
        <v>5</v>
      </c>
      <c r="L131" s="10" t="s">
        <v>5</v>
      </c>
      <c r="M131" s="6">
        <f t="shared" si="27"/>
        <v>0</v>
      </c>
      <c r="N131" s="6">
        <f t="shared" ref="N131:N194" si="30">IF(L131="BON",1,0)</f>
        <v>0</v>
      </c>
      <c r="O131" s="6">
        <f t="shared" ref="O131:O194" si="31">IF(L131="PERDU",1,0)</f>
        <v>1</v>
      </c>
      <c r="P131" s="6">
        <f t="shared" si="29"/>
        <v>0</v>
      </c>
      <c r="Q131" s="6">
        <f t="shared" si="20"/>
        <v>-5</v>
      </c>
      <c r="R131" s="30">
        <f t="shared" ref="R131:R194" si="32">IF(L131=0,K131*-1,M131-K131)</f>
        <v>-5</v>
      </c>
      <c r="S131" s="4">
        <f t="shared" si="28"/>
        <v>91.562499999999957</v>
      </c>
      <c r="T131" s="14">
        <f t="shared" si="21"/>
        <v>-9.9874999999999954</v>
      </c>
      <c r="U131" s="14">
        <f t="shared" si="23"/>
        <v>-49.85</v>
      </c>
      <c r="V131" s="14">
        <f t="shared" si="24"/>
        <v>5.6000000000000059</v>
      </c>
      <c r="W131" s="14">
        <f t="shared" si="26"/>
        <v>-54.199999999999989</v>
      </c>
      <c r="X131" s="13">
        <v>0</v>
      </c>
      <c r="Y131" s="13">
        <v>0</v>
      </c>
      <c r="Z131" s="13">
        <f t="shared" si="22"/>
        <v>-108.43750000000001</v>
      </c>
    </row>
    <row r="132" spans="1:26" ht="11.25" customHeight="1">
      <c r="A132" s="111" t="s">
        <v>2</v>
      </c>
      <c r="B132" s="117">
        <v>41258.833333333336</v>
      </c>
      <c r="D132" s="108" t="s">
        <v>246</v>
      </c>
      <c r="E132" s="109" t="s">
        <v>31</v>
      </c>
      <c r="F132" s="109" t="s">
        <v>247</v>
      </c>
      <c r="H132" s="110" t="s">
        <v>444</v>
      </c>
      <c r="I132" s="112">
        <v>41258.831944444442</v>
      </c>
      <c r="J132" s="109" t="s">
        <v>3</v>
      </c>
      <c r="K132" s="6">
        <v>5</v>
      </c>
      <c r="L132" s="10" t="s">
        <v>7</v>
      </c>
      <c r="M132" s="6">
        <f t="shared" si="27"/>
        <v>9</v>
      </c>
      <c r="N132" s="6">
        <f t="shared" si="30"/>
        <v>1</v>
      </c>
      <c r="O132" s="6">
        <f t="shared" si="31"/>
        <v>0</v>
      </c>
      <c r="P132" s="6">
        <f t="shared" si="29"/>
        <v>0</v>
      </c>
      <c r="Q132" s="6">
        <f t="shared" ref="Q132:Q195" si="33">IF(L132="",0,R132)</f>
        <v>4</v>
      </c>
      <c r="R132" s="30">
        <f t="shared" si="32"/>
        <v>4</v>
      </c>
      <c r="S132" s="4">
        <f t="shared" si="28"/>
        <v>95.562499999999957</v>
      </c>
      <c r="T132" s="14">
        <f t="shared" ref="T132:T195" si="34">IF(A132="YANN",T131+R132,T131)</f>
        <v>-9.9874999999999954</v>
      </c>
      <c r="U132" s="14">
        <f t="shared" si="23"/>
        <v>-45.85</v>
      </c>
      <c r="V132" s="14">
        <f t="shared" si="24"/>
        <v>5.6000000000000059</v>
      </c>
      <c r="W132" s="14">
        <f t="shared" si="26"/>
        <v>-54.199999999999989</v>
      </c>
      <c r="X132" s="13">
        <v>0</v>
      </c>
      <c r="Y132" s="13">
        <v>0</v>
      </c>
      <c r="Z132" s="13">
        <f t="shared" ref="Z132:Z195" si="35">+Z131+R132</f>
        <v>-104.43750000000001</v>
      </c>
    </row>
    <row r="133" spans="1:26" ht="11.25" customHeight="1">
      <c r="A133" s="111" t="s">
        <v>8</v>
      </c>
      <c r="B133" s="117">
        <v>41259.086805555555</v>
      </c>
      <c r="D133" s="108" t="s">
        <v>250</v>
      </c>
      <c r="E133" s="109" t="s">
        <v>157</v>
      </c>
      <c r="F133" s="109" t="s">
        <v>251</v>
      </c>
      <c r="H133" s="110" t="s">
        <v>393</v>
      </c>
      <c r="I133" s="117">
        <v>41258.930555555555</v>
      </c>
      <c r="J133" s="109" t="s">
        <v>9</v>
      </c>
      <c r="K133" s="6">
        <v>5</v>
      </c>
      <c r="L133" s="10" t="s">
        <v>7</v>
      </c>
      <c r="M133" s="6">
        <f t="shared" si="27"/>
        <v>7.1</v>
      </c>
      <c r="N133" s="6">
        <f t="shared" si="30"/>
        <v>1</v>
      </c>
      <c r="O133" s="6">
        <f t="shared" si="31"/>
        <v>0</v>
      </c>
      <c r="P133" s="6">
        <f t="shared" si="29"/>
        <v>0</v>
      </c>
      <c r="Q133" s="6">
        <f t="shared" si="33"/>
        <v>2.0999999999999996</v>
      </c>
      <c r="R133" s="30">
        <f t="shared" si="32"/>
        <v>2.0999999999999996</v>
      </c>
      <c r="S133" s="4">
        <f t="shared" si="28"/>
        <v>97.662499999999952</v>
      </c>
      <c r="T133" s="14">
        <f t="shared" si="34"/>
        <v>-7.8874999999999957</v>
      </c>
      <c r="U133" s="14">
        <f t="shared" si="23"/>
        <v>-45.85</v>
      </c>
      <c r="V133" s="14">
        <f t="shared" si="24"/>
        <v>5.6000000000000059</v>
      </c>
      <c r="W133" s="14">
        <f t="shared" si="26"/>
        <v>-54.199999999999989</v>
      </c>
      <c r="X133" s="13">
        <v>0</v>
      </c>
      <c r="Y133" s="13">
        <v>0</v>
      </c>
      <c r="Z133" s="13">
        <f t="shared" si="35"/>
        <v>-102.33750000000002</v>
      </c>
    </row>
    <row r="134" spans="1:26" ht="11.25" customHeight="1">
      <c r="A134" s="111" t="s">
        <v>8</v>
      </c>
      <c r="B134" s="117">
        <v>41259.128472222219</v>
      </c>
      <c r="D134" s="108" t="s">
        <v>248</v>
      </c>
      <c r="E134" s="109" t="s">
        <v>157</v>
      </c>
      <c r="F134" s="109" t="s">
        <v>249</v>
      </c>
      <c r="H134" s="110">
        <v>2</v>
      </c>
      <c r="I134" s="117">
        <v>41258.931944444441</v>
      </c>
      <c r="J134" s="109" t="s">
        <v>9</v>
      </c>
      <c r="K134" s="6">
        <v>5</v>
      </c>
      <c r="L134" s="10" t="s">
        <v>7</v>
      </c>
      <c r="M134" s="6">
        <f t="shared" si="27"/>
        <v>10</v>
      </c>
      <c r="N134" s="6">
        <f t="shared" si="30"/>
        <v>1</v>
      </c>
      <c r="O134" s="6">
        <f t="shared" si="31"/>
        <v>0</v>
      </c>
      <c r="P134" s="6">
        <f t="shared" si="29"/>
        <v>0</v>
      </c>
      <c r="Q134" s="6">
        <f t="shared" si="33"/>
        <v>5</v>
      </c>
      <c r="R134" s="30">
        <f t="shared" si="32"/>
        <v>5</v>
      </c>
      <c r="S134" s="4">
        <f t="shared" si="28"/>
        <v>102.66249999999995</v>
      </c>
      <c r="T134" s="14">
        <f t="shared" si="34"/>
        <v>-2.8874999999999957</v>
      </c>
      <c r="U134" s="14">
        <f t="shared" si="23"/>
        <v>-45.85</v>
      </c>
      <c r="V134" s="14">
        <f t="shared" si="24"/>
        <v>5.6000000000000059</v>
      </c>
      <c r="W134" s="14">
        <f t="shared" si="26"/>
        <v>-54.199999999999989</v>
      </c>
      <c r="X134" s="13">
        <v>0</v>
      </c>
      <c r="Y134" s="13">
        <v>0</v>
      </c>
      <c r="Z134" s="13">
        <f t="shared" si="35"/>
        <v>-97.33750000000002</v>
      </c>
    </row>
    <row r="135" spans="1:26" ht="11.25" customHeight="1">
      <c r="A135" s="111" t="s">
        <v>58</v>
      </c>
      <c r="B135" s="117">
        <v>41259.708333333336</v>
      </c>
      <c r="D135" s="108" t="s">
        <v>252</v>
      </c>
      <c r="E135" s="109" t="s">
        <v>31</v>
      </c>
      <c r="F135" s="109" t="s">
        <v>253</v>
      </c>
      <c r="H135" s="110" t="s">
        <v>411</v>
      </c>
      <c r="I135" s="117">
        <v>41259.046527777777</v>
      </c>
      <c r="J135" s="109" t="s">
        <v>3</v>
      </c>
      <c r="K135" s="6">
        <v>5</v>
      </c>
      <c r="L135" s="10" t="s">
        <v>5</v>
      </c>
      <c r="M135" s="6">
        <f t="shared" si="27"/>
        <v>0</v>
      </c>
      <c r="N135" s="6">
        <f t="shared" si="30"/>
        <v>0</v>
      </c>
      <c r="O135" s="6">
        <f t="shared" si="31"/>
        <v>1</v>
      </c>
      <c r="P135" s="6">
        <f t="shared" si="29"/>
        <v>0</v>
      </c>
      <c r="Q135" s="6">
        <f t="shared" si="33"/>
        <v>-5</v>
      </c>
      <c r="R135" s="30">
        <f t="shared" si="32"/>
        <v>-5</v>
      </c>
      <c r="S135" s="4">
        <f t="shared" si="28"/>
        <v>97.662499999999952</v>
      </c>
      <c r="T135" s="14">
        <f t="shared" si="34"/>
        <v>-2.8874999999999957</v>
      </c>
      <c r="U135" s="14">
        <f t="shared" ref="U135:U198" si="36">IF(A135="DJO",U134+R135,U134)</f>
        <v>-45.85</v>
      </c>
      <c r="V135" s="14">
        <f t="shared" si="24"/>
        <v>0.60000000000000586</v>
      </c>
      <c r="W135" s="14">
        <f t="shared" si="26"/>
        <v>-54.199999999999989</v>
      </c>
      <c r="X135" s="13">
        <v>0</v>
      </c>
      <c r="Y135" s="13">
        <v>0</v>
      </c>
      <c r="Z135" s="13">
        <f t="shared" si="35"/>
        <v>-102.33750000000002</v>
      </c>
    </row>
    <row r="136" spans="1:26" ht="11.25" customHeight="1">
      <c r="A136" s="111" t="s">
        <v>58</v>
      </c>
      <c r="B136" s="117">
        <v>41259.625</v>
      </c>
      <c r="D136" s="108" t="s">
        <v>254</v>
      </c>
      <c r="E136" s="109" t="s">
        <v>31</v>
      </c>
      <c r="F136" s="109" t="s">
        <v>179</v>
      </c>
      <c r="H136" s="110" t="s">
        <v>426</v>
      </c>
      <c r="I136" s="117">
        <v>41259.050000000003</v>
      </c>
      <c r="J136" s="109" t="s">
        <v>3</v>
      </c>
      <c r="K136" s="6">
        <v>5</v>
      </c>
      <c r="L136" s="10" t="s">
        <v>7</v>
      </c>
      <c r="M136" s="6">
        <f t="shared" si="27"/>
        <v>6.1</v>
      </c>
      <c r="N136" s="6">
        <f t="shared" si="30"/>
        <v>1</v>
      </c>
      <c r="O136" s="6">
        <f t="shared" si="31"/>
        <v>0</v>
      </c>
      <c r="P136" s="6">
        <f t="shared" si="29"/>
        <v>0</v>
      </c>
      <c r="Q136" s="6">
        <f t="shared" si="33"/>
        <v>1.0999999999999996</v>
      </c>
      <c r="R136" s="30">
        <f t="shared" si="32"/>
        <v>1.0999999999999996</v>
      </c>
      <c r="S136" s="4">
        <f t="shared" si="28"/>
        <v>98.762499999999946</v>
      </c>
      <c r="T136" s="14">
        <f t="shared" si="34"/>
        <v>-2.8874999999999957</v>
      </c>
      <c r="U136" s="14">
        <f t="shared" si="36"/>
        <v>-45.85</v>
      </c>
      <c r="V136" s="14">
        <f t="shared" si="24"/>
        <v>1.7000000000000055</v>
      </c>
      <c r="W136" s="14">
        <f t="shared" si="26"/>
        <v>-54.199999999999989</v>
      </c>
      <c r="X136" s="13">
        <v>0</v>
      </c>
      <c r="Y136" s="13">
        <v>0</v>
      </c>
      <c r="Z136" s="13">
        <f t="shared" si="35"/>
        <v>-101.23750000000003</v>
      </c>
    </row>
    <row r="137" spans="1:26" ht="11.25" customHeight="1">
      <c r="A137" s="111" t="s">
        <v>58</v>
      </c>
      <c r="B137" s="117">
        <v>41259.791666666664</v>
      </c>
      <c r="D137" s="108" t="s">
        <v>255</v>
      </c>
      <c r="E137" s="109" t="s">
        <v>150</v>
      </c>
      <c r="F137" s="109" t="s">
        <v>256</v>
      </c>
      <c r="H137" s="110" t="s">
        <v>438</v>
      </c>
      <c r="I137" s="117">
        <v>41259.052083333336</v>
      </c>
      <c r="J137" s="109" t="s">
        <v>3</v>
      </c>
      <c r="K137" s="6">
        <v>5</v>
      </c>
      <c r="L137" s="10" t="s">
        <v>5</v>
      </c>
      <c r="M137" s="6">
        <f t="shared" si="27"/>
        <v>0</v>
      </c>
      <c r="N137" s="6">
        <f t="shared" si="30"/>
        <v>0</v>
      </c>
      <c r="O137" s="6">
        <f t="shared" si="31"/>
        <v>1</v>
      </c>
      <c r="P137" s="6">
        <f t="shared" si="29"/>
        <v>0</v>
      </c>
      <c r="Q137" s="6">
        <f t="shared" si="33"/>
        <v>-5</v>
      </c>
      <c r="R137" s="30">
        <f t="shared" si="32"/>
        <v>-5</v>
      </c>
      <c r="S137" s="4">
        <f t="shared" si="28"/>
        <v>93.762499999999946</v>
      </c>
      <c r="T137" s="14">
        <f t="shared" si="34"/>
        <v>-2.8874999999999957</v>
      </c>
      <c r="U137" s="14">
        <f t="shared" si="36"/>
        <v>-45.85</v>
      </c>
      <c r="V137" s="14">
        <f t="shared" si="24"/>
        <v>-3.2999999999999945</v>
      </c>
      <c r="W137" s="14">
        <f t="shared" si="26"/>
        <v>-54.199999999999989</v>
      </c>
      <c r="X137" s="13">
        <v>0</v>
      </c>
      <c r="Y137" s="13">
        <v>0</v>
      </c>
      <c r="Z137" s="13">
        <f t="shared" si="35"/>
        <v>-106.23750000000003</v>
      </c>
    </row>
    <row r="138" spans="1:26" ht="11.25" customHeight="1">
      <c r="A138" s="111" t="s">
        <v>58</v>
      </c>
      <c r="B138" s="117">
        <v>41259.107638888891</v>
      </c>
      <c r="D138" s="108" t="s">
        <v>264</v>
      </c>
      <c r="E138" s="109" t="s">
        <v>157</v>
      </c>
      <c r="F138" s="109" t="s">
        <v>158</v>
      </c>
      <c r="H138" s="110" t="s">
        <v>448</v>
      </c>
      <c r="I138" s="117">
        <v>41259.060416666667</v>
      </c>
      <c r="J138" s="109" t="s">
        <v>9</v>
      </c>
      <c r="K138" s="6">
        <v>5</v>
      </c>
      <c r="L138" s="10" t="s">
        <v>7</v>
      </c>
      <c r="M138" s="6">
        <f t="shared" si="27"/>
        <v>5.75</v>
      </c>
      <c r="N138" s="6">
        <f t="shared" si="30"/>
        <v>1</v>
      </c>
      <c r="O138" s="6">
        <f t="shared" si="31"/>
        <v>0</v>
      </c>
      <c r="P138" s="6">
        <f t="shared" si="29"/>
        <v>0</v>
      </c>
      <c r="Q138" s="6">
        <f t="shared" si="33"/>
        <v>0.75</v>
      </c>
      <c r="R138" s="30">
        <f t="shared" si="32"/>
        <v>0.75</v>
      </c>
      <c r="S138" s="4">
        <f t="shared" si="28"/>
        <v>94.512499999999946</v>
      </c>
      <c r="T138" s="14">
        <f t="shared" si="34"/>
        <v>-2.8874999999999957</v>
      </c>
      <c r="U138" s="14">
        <f t="shared" si="36"/>
        <v>-45.85</v>
      </c>
      <c r="V138" s="14">
        <f t="shared" si="24"/>
        <v>-2.5499999999999945</v>
      </c>
      <c r="W138" s="14">
        <f t="shared" si="26"/>
        <v>-54.199999999999989</v>
      </c>
      <c r="X138" s="13">
        <v>0</v>
      </c>
      <c r="Y138" s="13">
        <v>0</v>
      </c>
      <c r="Z138" s="13">
        <f t="shared" si="35"/>
        <v>-105.48750000000003</v>
      </c>
    </row>
    <row r="139" spans="1:26" ht="11.25" customHeight="1">
      <c r="A139" s="111" t="s">
        <v>8</v>
      </c>
      <c r="B139" s="117">
        <v>41259.666666666664</v>
      </c>
      <c r="D139" s="108" t="s">
        <v>257</v>
      </c>
      <c r="E139" s="109" t="s">
        <v>29</v>
      </c>
      <c r="F139" s="109" t="s">
        <v>258</v>
      </c>
      <c r="H139" s="110" t="s">
        <v>443</v>
      </c>
      <c r="I139" s="117">
        <v>41259.476388888892</v>
      </c>
      <c r="J139" s="109" t="s">
        <v>53</v>
      </c>
      <c r="K139" s="6">
        <v>5</v>
      </c>
      <c r="L139" s="10" t="s">
        <v>7</v>
      </c>
      <c r="M139" s="6">
        <f t="shared" si="27"/>
        <v>11.5</v>
      </c>
      <c r="N139" s="6">
        <f t="shared" si="30"/>
        <v>1</v>
      </c>
      <c r="O139" s="6">
        <f t="shared" si="31"/>
        <v>0</v>
      </c>
      <c r="P139" s="6">
        <f t="shared" si="29"/>
        <v>0</v>
      </c>
      <c r="Q139" s="6">
        <f t="shared" si="33"/>
        <v>6.5</v>
      </c>
      <c r="R139" s="30">
        <f t="shared" si="32"/>
        <v>6.5</v>
      </c>
      <c r="S139" s="4">
        <f t="shared" si="28"/>
        <v>101.01249999999995</v>
      </c>
      <c r="T139" s="14">
        <f t="shared" si="34"/>
        <v>3.6125000000000043</v>
      </c>
      <c r="U139" s="14">
        <f t="shared" si="36"/>
        <v>-45.85</v>
      </c>
      <c r="V139" s="14">
        <f t="shared" si="24"/>
        <v>-2.5499999999999945</v>
      </c>
      <c r="W139" s="14">
        <f t="shared" si="26"/>
        <v>-54.199999999999989</v>
      </c>
      <c r="X139" s="13">
        <v>0</v>
      </c>
      <c r="Y139" s="13">
        <v>0</v>
      </c>
      <c r="Z139" s="13">
        <f t="shared" si="35"/>
        <v>-98.987500000000026</v>
      </c>
    </row>
    <row r="140" spans="1:26" ht="11.25" customHeight="1">
      <c r="A140" s="111" t="s">
        <v>8</v>
      </c>
      <c r="B140" s="117">
        <v>41259.708333333336</v>
      </c>
      <c r="D140" s="108" t="s">
        <v>259</v>
      </c>
      <c r="E140" s="109" t="s">
        <v>260</v>
      </c>
      <c r="F140" s="109" t="s">
        <v>261</v>
      </c>
      <c r="H140" s="110" t="s">
        <v>390</v>
      </c>
      <c r="I140" s="117">
        <v>41259.486805555556</v>
      </c>
      <c r="J140" s="109" t="s">
        <v>96</v>
      </c>
      <c r="K140" s="6">
        <v>5</v>
      </c>
      <c r="L140" s="10" t="s">
        <v>5</v>
      </c>
      <c r="M140" s="6">
        <f t="shared" si="27"/>
        <v>0</v>
      </c>
      <c r="N140" s="6">
        <f t="shared" si="30"/>
        <v>0</v>
      </c>
      <c r="O140" s="6">
        <f t="shared" si="31"/>
        <v>1</v>
      </c>
      <c r="P140" s="6">
        <f t="shared" si="29"/>
        <v>0</v>
      </c>
      <c r="Q140" s="6">
        <f t="shared" si="33"/>
        <v>-5</v>
      </c>
      <c r="R140" s="30">
        <f t="shared" si="32"/>
        <v>-5</v>
      </c>
      <c r="S140" s="4">
        <f t="shared" si="28"/>
        <v>96.012499999999946</v>
      </c>
      <c r="T140" s="14">
        <f t="shared" si="34"/>
        <v>-1.3874999999999957</v>
      </c>
      <c r="U140" s="14">
        <f t="shared" si="36"/>
        <v>-45.85</v>
      </c>
      <c r="V140" s="14">
        <f t="shared" si="24"/>
        <v>-2.5499999999999945</v>
      </c>
      <c r="W140" s="14">
        <f t="shared" si="26"/>
        <v>-54.199999999999989</v>
      </c>
      <c r="X140" s="13">
        <v>0</v>
      </c>
      <c r="Y140" s="13">
        <v>0</v>
      </c>
      <c r="Z140" s="13">
        <f t="shared" si="35"/>
        <v>-103.98750000000003</v>
      </c>
    </row>
    <row r="141" spans="1:26" ht="11.25" customHeight="1">
      <c r="A141" s="111" t="s">
        <v>8</v>
      </c>
      <c r="B141" s="117">
        <v>41259.708333333336</v>
      </c>
      <c r="D141" s="108" t="s">
        <v>262</v>
      </c>
      <c r="E141" s="109" t="s">
        <v>213</v>
      </c>
      <c r="F141" s="109" t="s">
        <v>263</v>
      </c>
      <c r="H141" s="110" t="s">
        <v>391</v>
      </c>
      <c r="I141" s="117">
        <v>41259.489583333336</v>
      </c>
      <c r="J141" s="109" t="s">
        <v>9</v>
      </c>
      <c r="K141" s="6">
        <v>5</v>
      </c>
      <c r="L141" s="10" t="s">
        <v>7</v>
      </c>
      <c r="M141" s="6">
        <f t="shared" si="27"/>
        <v>8.5</v>
      </c>
      <c r="N141" s="6">
        <f t="shared" si="30"/>
        <v>1</v>
      </c>
      <c r="O141" s="6">
        <f t="shared" si="31"/>
        <v>0</v>
      </c>
      <c r="P141" s="6">
        <f t="shared" si="29"/>
        <v>0</v>
      </c>
      <c r="Q141" s="6">
        <f t="shared" si="33"/>
        <v>3.5</v>
      </c>
      <c r="R141" s="30">
        <f t="shared" si="32"/>
        <v>3.5</v>
      </c>
      <c r="S141" s="4">
        <f t="shared" si="28"/>
        <v>99.512499999999946</v>
      </c>
      <c r="T141" s="14">
        <f t="shared" si="34"/>
        <v>2.1125000000000043</v>
      </c>
      <c r="U141" s="14">
        <f t="shared" si="36"/>
        <v>-45.85</v>
      </c>
      <c r="V141" s="14">
        <f t="shared" si="24"/>
        <v>-2.5499999999999945</v>
      </c>
      <c r="W141" s="14">
        <f t="shared" si="26"/>
        <v>-54.199999999999989</v>
      </c>
      <c r="X141" s="13">
        <v>0</v>
      </c>
      <c r="Y141" s="13">
        <v>0</v>
      </c>
      <c r="Z141" s="13">
        <f t="shared" si="35"/>
        <v>-100.48750000000003</v>
      </c>
    </row>
    <row r="142" spans="1:26" ht="11.25" customHeight="1">
      <c r="A142" s="111" t="s">
        <v>8</v>
      </c>
      <c r="B142" s="117">
        <v>41259.708333333336</v>
      </c>
      <c r="D142" s="108" t="s">
        <v>265</v>
      </c>
      <c r="E142" s="109" t="s">
        <v>29</v>
      </c>
      <c r="F142" s="109" t="s">
        <v>266</v>
      </c>
      <c r="H142" s="110" t="s">
        <v>392</v>
      </c>
      <c r="I142" s="117">
        <v>41259.490972222222</v>
      </c>
      <c r="J142" s="109" t="s">
        <v>9</v>
      </c>
      <c r="K142" s="6">
        <v>5</v>
      </c>
      <c r="L142" s="10" t="s">
        <v>5</v>
      </c>
      <c r="M142" s="6">
        <f t="shared" si="27"/>
        <v>0</v>
      </c>
      <c r="N142" s="6">
        <f t="shared" si="30"/>
        <v>0</v>
      </c>
      <c r="O142" s="6">
        <f t="shared" si="31"/>
        <v>1</v>
      </c>
      <c r="P142" s="6">
        <f t="shared" si="29"/>
        <v>0</v>
      </c>
      <c r="Q142" s="6">
        <f t="shared" si="33"/>
        <v>-5</v>
      </c>
      <c r="R142" s="30">
        <f t="shared" si="32"/>
        <v>-5</v>
      </c>
      <c r="S142" s="4">
        <f t="shared" si="28"/>
        <v>94.512499999999946</v>
      </c>
      <c r="T142" s="14">
        <f t="shared" si="34"/>
        <v>-2.8874999999999957</v>
      </c>
      <c r="U142" s="14">
        <f t="shared" si="36"/>
        <v>-45.85</v>
      </c>
      <c r="V142" s="14">
        <f t="shared" si="24"/>
        <v>-2.5499999999999945</v>
      </c>
      <c r="W142" s="14">
        <f t="shared" si="26"/>
        <v>-54.199999999999989</v>
      </c>
      <c r="X142" s="13">
        <v>0</v>
      </c>
      <c r="Y142" s="13">
        <v>0</v>
      </c>
      <c r="Z142" s="13">
        <f t="shared" si="35"/>
        <v>-105.48750000000003</v>
      </c>
    </row>
    <row r="143" spans="1:26" ht="11.25" customHeight="1">
      <c r="A143" s="111" t="s">
        <v>2</v>
      </c>
      <c r="B143" s="117">
        <v>41259.791666666664</v>
      </c>
      <c r="D143" s="108" t="s">
        <v>255</v>
      </c>
      <c r="E143" s="109" t="s">
        <v>271</v>
      </c>
      <c r="F143" s="109" t="s">
        <v>73</v>
      </c>
      <c r="H143" s="110" t="s">
        <v>415</v>
      </c>
      <c r="I143" s="117">
        <v>41259.513888888891</v>
      </c>
      <c r="J143" s="109" t="s">
        <v>3</v>
      </c>
      <c r="K143" s="6">
        <v>5</v>
      </c>
      <c r="L143" s="10" t="s">
        <v>5</v>
      </c>
      <c r="M143" s="6">
        <f t="shared" si="27"/>
        <v>0</v>
      </c>
      <c r="N143" s="6">
        <f t="shared" si="30"/>
        <v>0</v>
      </c>
      <c r="O143" s="6">
        <f t="shared" si="31"/>
        <v>1</v>
      </c>
      <c r="P143" s="6">
        <f t="shared" si="29"/>
        <v>0</v>
      </c>
      <c r="Q143" s="6">
        <f t="shared" si="33"/>
        <v>-5</v>
      </c>
      <c r="R143" s="30">
        <f t="shared" si="32"/>
        <v>-5</v>
      </c>
      <c r="S143" s="4">
        <f t="shared" si="28"/>
        <v>89.512499999999946</v>
      </c>
      <c r="T143" s="14">
        <f t="shared" si="34"/>
        <v>-2.8874999999999957</v>
      </c>
      <c r="U143" s="14">
        <f t="shared" si="36"/>
        <v>-50.85</v>
      </c>
      <c r="V143" s="14">
        <f t="shared" si="24"/>
        <v>-2.5499999999999945</v>
      </c>
      <c r="W143" s="14">
        <f t="shared" si="26"/>
        <v>-54.199999999999989</v>
      </c>
      <c r="X143" s="13">
        <v>0</v>
      </c>
      <c r="Y143" s="13">
        <v>0</v>
      </c>
      <c r="Z143" s="13">
        <f t="shared" si="35"/>
        <v>-110.48750000000003</v>
      </c>
    </row>
    <row r="144" spans="1:26" ht="11.25" customHeight="1">
      <c r="A144" s="111" t="s">
        <v>8</v>
      </c>
      <c r="B144" s="117">
        <v>41259.625</v>
      </c>
      <c r="D144" s="108" t="s">
        <v>254</v>
      </c>
      <c r="E144" s="109" t="s">
        <v>267</v>
      </c>
      <c r="F144" s="109" t="s">
        <v>268</v>
      </c>
      <c r="H144" s="110" t="s">
        <v>427</v>
      </c>
      <c r="I144" s="117">
        <v>41259.657638888886</v>
      </c>
      <c r="J144" s="109" t="s">
        <v>3</v>
      </c>
      <c r="K144" s="6">
        <v>5</v>
      </c>
      <c r="L144" s="10" t="s">
        <v>5</v>
      </c>
      <c r="M144" s="6">
        <f t="shared" si="27"/>
        <v>0</v>
      </c>
      <c r="N144" s="6">
        <f t="shared" si="30"/>
        <v>0</v>
      </c>
      <c r="O144" s="6">
        <f t="shared" si="31"/>
        <v>1</v>
      </c>
      <c r="P144" s="6">
        <f t="shared" si="29"/>
        <v>0</v>
      </c>
      <c r="Q144" s="6">
        <f t="shared" si="33"/>
        <v>-5</v>
      </c>
      <c r="R144" s="30">
        <f t="shared" si="32"/>
        <v>-5</v>
      </c>
      <c r="S144" s="4">
        <f t="shared" si="28"/>
        <v>84.512499999999946</v>
      </c>
      <c r="T144" s="14">
        <f t="shared" si="34"/>
        <v>-7.8874999999999957</v>
      </c>
      <c r="U144" s="14">
        <f t="shared" si="36"/>
        <v>-50.85</v>
      </c>
      <c r="V144" s="14">
        <f t="shared" si="24"/>
        <v>-2.5499999999999945</v>
      </c>
      <c r="W144" s="14">
        <f t="shared" si="26"/>
        <v>-54.199999999999989</v>
      </c>
      <c r="X144" s="13">
        <v>0</v>
      </c>
      <c r="Y144" s="13">
        <v>0</v>
      </c>
      <c r="Z144" s="13">
        <f t="shared" si="35"/>
        <v>-115.48750000000003</v>
      </c>
    </row>
    <row r="145" spans="1:26" ht="11.25" customHeight="1">
      <c r="A145" s="111" t="s">
        <v>8</v>
      </c>
      <c r="B145" s="117">
        <v>41259.920138888891</v>
      </c>
      <c r="D145" s="108" t="s">
        <v>269</v>
      </c>
      <c r="E145" s="109" t="s">
        <v>150</v>
      </c>
      <c r="F145" s="109" t="s">
        <v>270</v>
      </c>
      <c r="H145" s="110" t="s">
        <v>420</v>
      </c>
      <c r="I145" s="117">
        <v>41259.801388888889</v>
      </c>
      <c r="J145" s="109" t="s">
        <v>153</v>
      </c>
      <c r="K145" s="6">
        <v>5</v>
      </c>
      <c r="L145" s="10" t="s">
        <v>7</v>
      </c>
      <c r="M145" s="6">
        <f t="shared" si="27"/>
        <v>8.1000000000000014</v>
      </c>
      <c r="N145" s="6">
        <f t="shared" si="30"/>
        <v>1</v>
      </c>
      <c r="O145" s="6">
        <f t="shared" si="31"/>
        <v>0</v>
      </c>
      <c r="P145" s="6">
        <f t="shared" si="29"/>
        <v>0</v>
      </c>
      <c r="Q145" s="6">
        <f t="shared" si="33"/>
        <v>3.1000000000000014</v>
      </c>
      <c r="R145" s="30">
        <f t="shared" si="32"/>
        <v>3.1000000000000014</v>
      </c>
      <c r="S145" s="4">
        <f t="shared" si="28"/>
        <v>87.612499999999955</v>
      </c>
      <c r="T145" s="14">
        <f t="shared" si="34"/>
        <v>-4.7874999999999943</v>
      </c>
      <c r="U145" s="14">
        <f t="shared" si="36"/>
        <v>-50.85</v>
      </c>
      <c r="V145" s="14">
        <f t="shared" si="24"/>
        <v>-2.5499999999999945</v>
      </c>
      <c r="W145" s="14">
        <f t="shared" si="26"/>
        <v>-54.199999999999989</v>
      </c>
      <c r="X145" s="13">
        <v>0</v>
      </c>
      <c r="Y145" s="13">
        <v>0</v>
      </c>
      <c r="Z145" s="13">
        <f t="shared" si="35"/>
        <v>-112.38750000000002</v>
      </c>
    </row>
    <row r="146" spans="1:26" ht="11.25" customHeight="1">
      <c r="A146" s="111" t="s">
        <v>8</v>
      </c>
      <c r="B146" s="117">
        <v>41259.791666666664</v>
      </c>
      <c r="D146" s="108" t="s">
        <v>255</v>
      </c>
      <c r="E146" s="109" t="s">
        <v>178</v>
      </c>
      <c r="F146" s="109" t="s">
        <v>73</v>
      </c>
      <c r="H146" s="110" t="s">
        <v>423</v>
      </c>
      <c r="I146" s="117">
        <v>41259.808333333334</v>
      </c>
      <c r="J146" s="109" t="s">
        <v>3</v>
      </c>
      <c r="K146" s="6">
        <v>5</v>
      </c>
      <c r="L146" s="10" t="s">
        <v>5</v>
      </c>
      <c r="M146" s="6">
        <f t="shared" si="27"/>
        <v>0</v>
      </c>
      <c r="N146" s="6">
        <f t="shared" si="30"/>
        <v>0</v>
      </c>
      <c r="O146" s="6">
        <f t="shared" si="31"/>
        <v>1</v>
      </c>
      <c r="P146" s="6">
        <f t="shared" si="29"/>
        <v>0</v>
      </c>
      <c r="Q146" s="6">
        <f t="shared" si="33"/>
        <v>-5</v>
      </c>
      <c r="R146" s="30">
        <f t="shared" si="32"/>
        <v>-5</v>
      </c>
      <c r="S146" s="4">
        <f t="shared" si="28"/>
        <v>82.612499999999955</v>
      </c>
      <c r="T146" s="14">
        <f t="shared" si="34"/>
        <v>-9.7874999999999943</v>
      </c>
      <c r="U146" s="14">
        <f t="shared" si="36"/>
        <v>-50.85</v>
      </c>
      <c r="V146" s="14">
        <f t="shared" si="24"/>
        <v>-2.5499999999999945</v>
      </c>
      <c r="W146" s="14">
        <f t="shared" si="26"/>
        <v>-54.199999999999989</v>
      </c>
      <c r="X146" s="13">
        <v>0</v>
      </c>
      <c r="Y146" s="13">
        <v>0</v>
      </c>
      <c r="Z146" s="13">
        <f t="shared" si="35"/>
        <v>-117.38750000000002</v>
      </c>
    </row>
    <row r="147" spans="1:26" ht="11.25" customHeight="1">
      <c r="A147" s="111" t="s">
        <v>8</v>
      </c>
      <c r="B147" s="117">
        <v>41259.791666666664</v>
      </c>
      <c r="D147" s="108" t="s">
        <v>255</v>
      </c>
      <c r="E147" s="109" t="s">
        <v>272</v>
      </c>
      <c r="F147" s="109" t="s">
        <v>219</v>
      </c>
      <c r="H147" s="110">
        <v>3</v>
      </c>
      <c r="I147" s="117">
        <v>41259.827777777777</v>
      </c>
      <c r="J147" s="109" t="s">
        <v>3</v>
      </c>
      <c r="K147" s="6">
        <v>5</v>
      </c>
      <c r="L147" s="10" t="s">
        <v>5</v>
      </c>
      <c r="M147" s="6">
        <f t="shared" si="27"/>
        <v>0</v>
      </c>
      <c r="N147" s="6">
        <f t="shared" si="30"/>
        <v>0</v>
      </c>
      <c r="O147" s="6">
        <f t="shared" si="31"/>
        <v>1</v>
      </c>
      <c r="P147" s="6">
        <f t="shared" si="29"/>
        <v>0</v>
      </c>
      <c r="Q147" s="6">
        <f t="shared" si="33"/>
        <v>-5</v>
      </c>
      <c r="R147" s="30">
        <f t="shared" si="32"/>
        <v>-5</v>
      </c>
      <c r="S147" s="4">
        <f t="shared" si="28"/>
        <v>77.612499999999955</v>
      </c>
      <c r="T147" s="14">
        <f t="shared" si="34"/>
        <v>-14.787499999999994</v>
      </c>
      <c r="U147" s="14">
        <f t="shared" si="36"/>
        <v>-50.85</v>
      </c>
      <c r="V147" s="14">
        <f t="shared" si="24"/>
        <v>-2.5499999999999945</v>
      </c>
      <c r="W147" s="14">
        <f t="shared" si="26"/>
        <v>-54.199999999999989</v>
      </c>
      <c r="X147" s="13">
        <v>0</v>
      </c>
      <c r="Y147" s="13">
        <v>0</v>
      </c>
      <c r="Z147" s="13">
        <f t="shared" si="35"/>
        <v>-122.38750000000002</v>
      </c>
    </row>
    <row r="148" spans="1:26" ht="11.25" customHeight="1">
      <c r="A148" s="111" t="s">
        <v>2</v>
      </c>
      <c r="B148" s="117">
        <v>41260.875</v>
      </c>
      <c r="D148" s="108" t="s">
        <v>273</v>
      </c>
      <c r="E148" s="109" t="s">
        <v>129</v>
      </c>
      <c r="F148" s="109" t="s">
        <v>225</v>
      </c>
      <c r="H148" s="110" t="s">
        <v>394</v>
      </c>
      <c r="I148" s="117">
        <v>41260.754166666666</v>
      </c>
      <c r="J148" s="109" t="s">
        <v>3</v>
      </c>
      <c r="K148" s="6">
        <v>5</v>
      </c>
      <c r="L148" s="10" t="s">
        <v>7</v>
      </c>
      <c r="M148" s="6">
        <f t="shared" si="27"/>
        <v>11</v>
      </c>
      <c r="N148" s="6">
        <f t="shared" si="30"/>
        <v>1</v>
      </c>
      <c r="O148" s="6">
        <f t="shared" si="31"/>
        <v>0</v>
      </c>
      <c r="P148" s="6">
        <f t="shared" si="29"/>
        <v>0</v>
      </c>
      <c r="Q148" s="6">
        <f t="shared" si="33"/>
        <v>6</v>
      </c>
      <c r="R148" s="30">
        <f t="shared" si="32"/>
        <v>6</v>
      </c>
      <c r="S148" s="4">
        <f t="shared" si="28"/>
        <v>83.612499999999955</v>
      </c>
      <c r="T148" s="14">
        <f t="shared" si="34"/>
        <v>-14.787499999999994</v>
      </c>
      <c r="U148" s="14">
        <f t="shared" si="36"/>
        <v>-44.85</v>
      </c>
      <c r="V148" s="14">
        <f t="shared" si="24"/>
        <v>-2.5499999999999945</v>
      </c>
      <c r="W148" s="14">
        <f t="shared" si="26"/>
        <v>-54.199999999999989</v>
      </c>
      <c r="X148" s="13">
        <v>0</v>
      </c>
      <c r="Y148" s="13">
        <v>0</v>
      </c>
      <c r="Z148" s="13">
        <f t="shared" si="35"/>
        <v>-116.38750000000002</v>
      </c>
    </row>
    <row r="149" spans="1:26" ht="11.25" customHeight="1">
      <c r="A149" s="111" t="s">
        <v>8</v>
      </c>
      <c r="B149" s="117">
        <v>41260.854166666664</v>
      </c>
      <c r="D149" s="108" t="s">
        <v>274</v>
      </c>
      <c r="E149" s="109" t="s">
        <v>31</v>
      </c>
      <c r="F149" s="109" t="s">
        <v>77</v>
      </c>
      <c r="H149" s="110" t="s">
        <v>449</v>
      </c>
      <c r="I149" s="117">
        <v>41260.77847222222</v>
      </c>
      <c r="J149" s="109" t="s">
        <v>3</v>
      </c>
      <c r="K149" s="6">
        <v>5</v>
      </c>
      <c r="L149" s="10" t="s">
        <v>7</v>
      </c>
      <c r="M149" s="6">
        <f t="shared" si="27"/>
        <v>14.5</v>
      </c>
      <c r="N149" s="6">
        <f t="shared" si="30"/>
        <v>1</v>
      </c>
      <c r="O149" s="6">
        <f t="shared" si="31"/>
        <v>0</v>
      </c>
      <c r="P149" s="6">
        <f t="shared" si="29"/>
        <v>0</v>
      </c>
      <c r="Q149" s="6">
        <f t="shared" si="33"/>
        <v>9.5</v>
      </c>
      <c r="R149" s="30">
        <f t="shared" si="32"/>
        <v>9.5</v>
      </c>
      <c r="S149" s="4">
        <f t="shared" si="28"/>
        <v>93.112499999999955</v>
      </c>
      <c r="T149" s="14">
        <f t="shared" si="34"/>
        <v>-5.2874999999999943</v>
      </c>
      <c r="U149" s="14">
        <f t="shared" si="36"/>
        <v>-44.85</v>
      </c>
      <c r="V149" s="14">
        <f t="shared" ref="V149:V212" si="37">IF(A149="PHANE",V148+R149,V148)</f>
        <v>-2.5499999999999945</v>
      </c>
      <c r="W149" s="14">
        <f t="shared" si="26"/>
        <v>-54.199999999999989</v>
      </c>
      <c r="X149" s="13">
        <v>0</v>
      </c>
      <c r="Y149" s="13">
        <v>0</v>
      </c>
      <c r="Z149" s="13">
        <f t="shared" si="35"/>
        <v>-106.88750000000002</v>
      </c>
    </row>
    <row r="150" spans="1:26" ht="11.25" customHeight="1">
      <c r="A150" s="111" t="s">
        <v>8</v>
      </c>
      <c r="B150" s="117">
        <v>41260.84375</v>
      </c>
      <c r="D150" s="108" t="s">
        <v>275</v>
      </c>
      <c r="E150" s="109" t="s">
        <v>129</v>
      </c>
      <c r="F150" s="109" t="s">
        <v>130</v>
      </c>
      <c r="H150" s="110" t="s">
        <v>450</v>
      </c>
      <c r="I150" s="117">
        <v>41260.78402777778</v>
      </c>
      <c r="J150" s="109" t="s">
        <v>3</v>
      </c>
      <c r="K150" s="6">
        <v>5</v>
      </c>
      <c r="L150" s="10" t="s">
        <v>7</v>
      </c>
      <c r="M150" s="6">
        <f t="shared" si="27"/>
        <v>13</v>
      </c>
      <c r="N150" s="6">
        <f t="shared" si="30"/>
        <v>1</v>
      </c>
      <c r="O150" s="6">
        <f t="shared" si="31"/>
        <v>0</v>
      </c>
      <c r="P150" s="6">
        <f t="shared" si="29"/>
        <v>0</v>
      </c>
      <c r="Q150" s="6">
        <f t="shared" si="33"/>
        <v>8</v>
      </c>
      <c r="R150" s="30">
        <f t="shared" si="32"/>
        <v>8</v>
      </c>
      <c r="S150" s="4">
        <f t="shared" si="28"/>
        <v>101.11249999999995</v>
      </c>
      <c r="T150" s="14">
        <f t="shared" si="34"/>
        <v>2.7125000000000057</v>
      </c>
      <c r="U150" s="14">
        <f t="shared" si="36"/>
        <v>-44.85</v>
      </c>
      <c r="V150" s="14">
        <f t="shared" si="37"/>
        <v>-2.5499999999999945</v>
      </c>
      <c r="W150" s="14">
        <f t="shared" si="26"/>
        <v>-54.199999999999989</v>
      </c>
      <c r="X150" s="13">
        <v>0</v>
      </c>
      <c r="Y150" s="13">
        <v>0</v>
      </c>
      <c r="Z150" s="13">
        <f t="shared" si="35"/>
        <v>-98.887500000000017</v>
      </c>
    </row>
    <row r="151" spans="1:26" ht="11.25" customHeight="1">
      <c r="A151" s="111" t="s">
        <v>8</v>
      </c>
      <c r="B151" s="117">
        <v>41260.833333333336</v>
      </c>
      <c r="D151" s="108" t="s">
        <v>276</v>
      </c>
      <c r="E151" s="109" t="s">
        <v>154</v>
      </c>
      <c r="F151" s="109" t="s">
        <v>277</v>
      </c>
      <c r="H151" s="110" t="s">
        <v>421</v>
      </c>
      <c r="I151" s="117">
        <v>41260.785416666666</v>
      </c>
      <c r="J151" s="109" t="s">
        <v>9</v>
      </c>
      <c r="K151" s="6">
        <v>5</v>
      </c>
      <c r="L151" s="10" t="s">
        <v>7</v>
      </c>
      <c r="M151" s="6">
        <f t="shared" si="27"/>
        <v>9.75</v>
      </c>
      <c r="N151" s="6">
        <f t="shared" si="30"/>
        <v>1</v>
      </c>
      <c r="O151" s="6">
        <f t="shared" si="31"/>
        <v>0</v>
      </c>
      <c r="P151" s="6">
        <f t="shared" si="29"/>
        <v>0</v>
      </c>
      <c r="Q151" s="6">
        <f t="shared" si="33"/>
        <v>4.75</v>
      </c>
      <c r="R151" s="30">
        <f t="shared" si="32"/>
        <v>4.75</v>
      </c>
      <c r="S151" s="4">
        <f t="shared" si="28"/>
        <v>105.86249999999995</v>
      </c>
      <c r="T151" s="14">
        <f t="shared" si="34"/>
        <v>7.4625000000000057</v>
      </c>
      <c r="U151" s="14">
        <f t="shared" si="36"/>
        <v>-44.85</v>
      </c>
      <c r="V151" s="14">
        <f t="shared" si="37"/>
        <v>-2.5499999999999945</v>
      </c>
      <c r="W151" s="14">
        <f t="shared" si="26"/>
        <v>-54.199999999999989</v>
      </c>
      <c r="X151" s="13">
        <v>0</v>
      </c>
      <c r="Y151" s="13">
        <v>0</v>
      </c>
      <c r="Z151" s="13">
        <f t="shared" si="35"/>
        <v>-94.137500000000017</v>
      </c>
    </row>
    <row r="152" spans="1:26" ht="11.25" customHeight="1">
      <c r="A152" s="111" t="s">
        <v>8</v>
      </c>
      <c r="B152" s="117">
        <v>41261.111111111109</v>
      </c>
      <c r="D152" s="108" t="s">
        <v>278</v>
      </c>
      <c r="E152" s="109" t="s">
        <v>154</v>
      </c>
      <c r="F152" s="109" t="s">
        <v>279</v>
      </c>
      <c r="H152" s="110" t="s">
        <v>391</v>
      </c>
      <c r="I152" s="117">
        <v>41260.938194444447</v>
      </c>
      <c r="J152" s="109" t="s">
        <v>153</v>
      </c>
      <c r="K152" s="6">
        <v>5</v>
      </c>
      <c r="L152" s="10" t="s">
        <v>7</v>
      </c>
      <c r="M152" s="6">
        <f t="shared" si="27"/>
        <v>8.5</v>
      </c>
      <c r="N152" s="6">
        <f t="shared" si="30"/>
        <v>1</v>
      </c>
      <c r="O152" s="6">
        <f t="shared" si="31"/>
        <v>0</v>
      </c>
      <c r="P152" s="6">
        <f t="shared" si="29"/>
        <v>0</v>
      </c>
      <c r="Q152" s="6">
        <f t="shared" si="33"/>
        <v>3.5</v>
      </c>
      <c r="R152" s="30">
        <f t="shared" si="32"/>
        <v>3.5</v>
      </c>
      <c r="S152" s="4">
        <f t="shared" si="28"/>
        <v>109.36249999999995</v>
      </c>
      <c r="T152" s="14">
        <f t="shared" si="34"/>
        <v>10.962500000000006</v>
      </c>
      <c r="U152" s="14">
        <f t="shared" si="36"/>
        <v>-44.85</v>
      </c>
      <c r="V152" s="14">
        <f t="shared" si="37"/>
        <v>-2.5499999999999945</v>
      </c>
      <c r="W152" s="14">
        <f t="shared" si="26"/>
        <v>-54.199999999999989</v>
      </c>
      <c r="X152" s="13">
        <v>0</v>
      </c>
      <c r="Y152" s="13">
        <v>0</v>
      </c>
      <c r="Z152" s="13">
        <f t="shared" si="35"/>
        <v>-90.637500000000017</v>
      </c>
    </row>
    <row r="153" spans="1:26" ht="11.25" customHeight="1">
      <c r="A153" s="111" t="s">
        <v>8</v>
      </c>
      <c r="B153" s="117">
        <v>41261.065972222219</v>
      </c>
      <c r="D153" s="108" t="s">
        <v>280</v>
      </c>
      <c r="E153" s="109" t="s">
        <v>150</v>
      </c>
      <c r="F153" s="109" t="s">
        <v>281</v>
      </c>
      <c r="H153" s="110" t="s">
        <v>391</v>
      </c>
      <c r="I153" s="117">
        <v>41260.94027777778</v>
      </c>
      <c r="J153" s="109" t="s">
        <v>9</v>
      </c>
      <c r="K153" s="6">
        <v>5</v>
      </c>
      <c r="L153" s="10" t="s">
        <v>7</v>
      </c>
      <c r="M153" s="6">
        <f t="shared" si="27"/>
        <v>8.5</v>
      </c>
      <c r="N153" s="6">
        <f t="shared" si="30"/>
        <v>1</v>
      </c>
      <c r="O153" s="6">
        <f t="shared" si="31"/>
        <v>0</v>
      </c>
      <c r="P153" s="6">
        <f t="shared" si="29"/>
        <v>0</v>
      </c>
      <c r="Q153" s="6">
        <f t="shared" si="33"/>
        <v>3.5</v>
      </c>
      <c r="R153" s="30">
        <f t="shared" si="32"/>
        <v>3.5</v>
      </c>
      <c r="S153" s="4">
        <f t="shared" si="28"/>
        <v>112.86249999999995</v>
      </c>
      <c r="T153" s="14">
        <f t="shared" si="34"/>
        <v>14.462500000000006</v>
      </c>
      <c r="U153" s="14">
        <f t="shared" si="36"/>
        <v>-44.85</v>
      </c>
      <c r="V153" s="14">
        <f t="shared" si="37"/>
        <v>-2.5499999999999945</v>
      </c>
      <c r="W153" s="14">
        <f t="shared" si="26"/>
        <v>-54.199999999999989</v>
      </c>
      <c r="X153" s="13">
        <v>0</v>
      </c>
      <c r="Y153" s="13">
        <v>0</v>
      </c>
      <c r="Z153" s="13">
        <f t="shared" si="35"/>
        <v>-87.137500000000017</v>
      </c>
    </row>
    <row r="154" spans="1:26" ht="11.25" customHeight="1">
      <c r="A154" s="111" t="s">
        <v>8</v>
      </c>
      <c r="B154" s="117">
        <v>41261.833333333336</v>
      </c>
      <c r="D154" s="108" t="s">
        <v>282</v>
      </c>
      <c r="E154" s="109" t="s">
        <v>150</v>
      </c>
      <c r="F154" s="109" t="s">
        <v>283</v>
      </c>
      <c r="H154" s="110" t="s">
        <v>391</v>
      </c>
      <c r="I154" s="117">
        <v>41261.769444444442</v>
      </c>
      <c r="J154" s="109" t="s">
        <v>9</v>
      </c>
      <c r="K154" s="6">
        <v>5</v>
      </c>
      <c r="L154" s="10" t="s">
        <v>5</v>
      </c>
      <c r="M154" s="6">
        <f t="shared" si="27"/>
        <v>0</v>
      </c>
      <c r="N154" s="6">
        <f t="shared" si="30"/>
        <v>0</v>
      </c>
      <c r="O154" s="6">
        <f t="shared" si="31"/>
        <v>1</v>
      </c>
      <c r="P154" s="6">
        <f t="shared" si="29"/>
        <v>0</v>
      </c>
      <c r="Q154" s="6">
        <f t="shared" si="33"/>
        <v>-5</v>
      </c>
      <c r="R154" s="30">
        <f t="shared" si="32"/>
        <v>-5</v>
      </c>
      <c r="S154" s="4">
        <f t="shared" ref="S154:S185" si="38">IF(L154=0,S153-K154,S153+M154-K154)</f>
        <v>107.86249999999995</v>
      </c>
      <c r="T154" s="14">
        <f t="shared" si="34"/>
        <v>9.4625000000000057</v>
      </c>
      <c r="U154" s="14">
        <f t="shared" si="36"/>
        <v>-44.85</v>
      </c>
      <c r="V154" s="14">
        <f t="shared" si="37"/>
        <v>-2.5499999999999945</v>
      </c>
      <c r="W154" s="14">
        <f t="shared" si="26"/>
        <v>-54.199999999999989</v>
      </c>
      <c r="X154" s="13">
        <v>0</v>
      </c>
      <c r="Y154" s="13">
        <v>0</v>
      </c>
      <c r="Z154" s="13">
        <f t="shared" si="35"/>
        <v>-92.137500000000017</v>
      </c>
    </row>
    <row r="155" spans="1:26" ht="11.25" customHeight="1">
      <c r="A155" s="111" t="s">
        <v>8</v>
      </c>
      <c r="B155" s="117">
        <v>41261.833333333336</v>
      </c>
      <c r="D155" s="108" t="s">
        <v>282</v>
      </c>
      <c r="E155" s="109" t="s">
        <v>29</v>
      </c>
      <c r="F155" s="109" t="s">
        <v>284</v>
      </c>
      <c r="H155" s="110">
        <v>5</v>
      </c>
      <c r="I155" s="117">
        <v>41261.770138888889</v>
      </c>
      <c r="J155" s="109" t="s">
        <v>9</v>
      </c>
      <c r="K155" s="6">
        <v>5</v>
      </c>
      <c r="L155" s="10" t="s">
        <v>5</v>
      </c>
      <c r="M155" s="6">
        <f t="shared" si="27"/>
        <v>0</v>
      </c>
      <c r="N155" s="6">
        <f t="shared" si="30"/>
        <v>0</v>
      </c>
      <c r="O155" s="6">
        <f t="shared" si="31"/>
        <v>1</v>
      </c>
      <c r="P155" s="6">
        <f t="shared" si="29"/>
        <v>0</v>
      </c>
      <c r="Q155" s="6">
        <f t="shared" si="33"/>
        <v>-5</v>
      </c>
      <c r="R155" s="30">
        <f t="shared" si="32"/>
        <v>-5</v>
      </c>
      <c r="S155" s="4">
        <f t="shared" si="38"/>
        <v>102.86249999999995</v>
      </c>
      <c r="T155" s="14">
        <f t="shared" si="34"/>
        <v>4.4625000000000057</v>
      </c>
      <c r="U155" s="14">
        <f t="shared" si="36"/>
        <v>-44.85</v>
      </c>
      <c r="V155" s="14">
        <f t="shared" si="37"/>
        <v>-2.5499999999999945</v>
      </c>
      <c r="W155" s="14">
        <f t="shared" ref="W155:W218" si="39">IF(A155="TOF",W154+R155,W154)</f>
        <v>-54.199999999999989</v>
      </c>
      <c r="X155" s="13">
        <v>0</v>
      </c>
      <c r="Y155" s="13">
        <v>0</v>
      </c>
      <c r="Z155" s="13">
        <f t="shared" si="35"/>
        <v>-97.137500000000017</v>
      </c>
    </row>
    <row r="156" spans="1:26" ht="11.25" customHeight="1">
      <c r="A156" s="111" t="s">
        <v>8</v>
      </c>
      <c r="B156" s="117">
        <v>41261.833333333336</v>
      </c>
      <c r="D156" s="108" t="s">
        <v>285</v>
      </c>
      <c r="E156" s="109" t="s">
        <v>154</v>
      </c>
      <c r="F156" s="109" t="s">
        <v>288</v>
      </c>
      <c r="H156" s="110" t="s">
        <v>451</v>
      </c>
      <c r="I156" s="117">
        <v>41261.770138888889</v>
      </c>
      <c r="J156" s="109" t="s">
        <v>96</v>
      </c>
      <c r="K156" s="6">
        <v>5</v>
      </c>
      <c r="L156" s="10" t="s">
        <v>7</v>
      </c>
      <c r="M156" s="6">
        <f t="shared" ref="M156:M208" si="40">IF(L156="PERDU",0,K156*H156)</f>
        <v>14</v>
      </c>
      <c r="N156" s="6">
        <f t="shared" si="30"/>
        <v>1</v>
      </c>
      <c r="O156" s="6">
        <f t="shared" si="31"/>
        <v>0</v>
      </c>
      <c r="P156" s="6">
        <f t="shared" si="29"/>
        <v>0</v>
      </c>
      <c r="Q156" s="6">
        <f t="shared" si="33"/>
        <v>9</v>
      </c>
      <c r="R156" s="30">
        <f t="shared" si="32"/>
        <v>9</v>
      </c>
      <c r="S156" s="4">
        <f t="shared" si="38"/>
        <v>111.86249999999995</v>
      </c>
      <c r="T156" s="14">
        <f t="shared" si="34"/>
        <v>13.462500000000006</v>
      </c>
      <c r="U156" s="14">
        <f t="shared" si="36"/>
        <v>-44.85</v>
      </c>
      <c r="V156" s="14">
        <f t="shared" si="37"/>
        <v>-2.5499999999999945</v>
      </c>
      <c r="W156" s="14">
        <f t="shared" si="39"/>
        <v>-54.199999999999989</v>
      </c>
      <c r="X156" s="13">
        <v>0</v>
      </c>
      <c r="Y156" s="13">
        <v>0</v>
      </c>
      <c r="Z156" s="13">
        <f t="shared" si="35"/>
        <v>-88.137500000000017</v>
      </c>
    </row>
    <row r="157" spans="1:26" ht="11.25" customHeight="1">
      <c r="A157" s="111" t="s">
        <v>8</v>
      </c>
      <c r="B157" s="117">
        <v>41261.833333333336</v>
      </c>
      <c r="D157" s="108" t="s">
        <v>286</v>
      </c>
      <c r="E157" s="109" t="s">
        <v>31</v>
      </c>
      <c r="F157" s="109" t="s">
        <v>287</v>
      </c>
      <c r="H157" s="110" t="s">
        <v>399</v>
      </c>
      <c r="I157" s="117">
        <v>41261.772916666669</v>
      </c>
      <c r="J157" s="109" t="s">
        <v>3</v>
      </c>
      <c r="K157" s="6">
        <v>5</v>
      </c>
      <c r="L157" s="10" t="s">
        <v>5</v>
      </c>
      <c r="M157" s="6">
        <f t="shared" si="40"/>
        <v>0</v>
      </c>
      <c r="N157" s="6">
        <f t="shared" si="30"/>
        <v>0</v>
      </c>
      <c r="O157" s="6">
        <f t="shared" si="31"/>
        <v>1</v>
      </c>
      <c r="P157" s="6">
        <f t="shared" si="29"/>
        <v>0</v>
      </c>
      <c r="Q157" s="6">
        <f t="shared" si="33"/>
        <v>-5</v>
      </c>
      <c r="R157" s="30">
        <f t="shared" si="32"/>
        <v>-5</v>
      </c>
      <c r="S157" s="4">
        <f t="shared" si="38"/>
        <v>106.86249999999995</v>
      </c>
      <c r="T157" s="14">
        <f t="shared" si="34"/>
        <v>8.4625000000000057</v>
      </c>
      <c r="U157" s="14">
        <f t="shared" si="36"/>
        <v>-44.85</v>
      </c>
      <c r="V157" s="14">
        <f t="shared" si="37"/>
        <v>-2.5499999999999945</v>
      </c>
      <c r="W157" s="14">
        <f t="shared" si="39"/>
        <v>-54.199999999999989</v>
      </c>
      <c r="X157" s="13">
        <v>0</v>
      </c>
      <c r="Y157" s="13">
        <v>0</v>
      </c>
      <c r="Z157" s="13">
        <f t="shared" si="35"/>
        <v>-93.137500000000017</v>
      </c>
    </row>
    <row r="158" spans="1:26" ht="11.25" customHeight="1">
      <c r="A158" s="111" t="s">
        <v>2</v>
      </c>
      <c r="B158" s="117">
        <v>41261.854166666664</v>
      </c>
      <c r="D158" s="108" t="s">
        <v>289</v>
      </c>
      <c r="E158" s="109" t="s">
        <v>150</v>
      </c>
      <c r="F158" s="109" t="s">
        <v>290</v>
      </c>
      <c r="H158" s="110" t="s">
        <v>405</v>
      </c>
      <c r="I158" s="117">
        <v>41261.808333333334</v>
      </c>
      <c r="J158" s="109" t="s">
        <v>3</v>
      </c>
      <c r="K158" s="6">
        <v>5</v>
      </c>
      <c r="L158" s="10" t="s">
        <v>5</v>
      </c>
      <c r="M158" s="6">
        <f t="shared" si="40"/>
        <v>0</v>
      </c>
      <c r="N158" s="6">
        <f t="shared" si="30"/>
        <v>0</v>
      </c>
      <c r="O158" s="6">
        <f t="shared" si="31"/>
        <v>1</v>
      </c>
      <c r="P158" s="6">
        <f t="shared" si="29"/>
        <v>0</v>
      </c>
      <c r="Q158" s="6">
        <f t="shared" si="33"/>
        <v>-5</v>
      </c>
      <c r="R158" s="30">
        <f t="shared" si="32"/>
        <v>-5</v>
      </c>
      <c r="S158" s="4">
        <f t="shared" si="38"/>
        <v>101.86249999999995</v>
      </c>
      <c r="T158" s="14">
        <f t="shared" si="34"/>
        <v>8.4625000000000057</v>
      </c>
      <c r="U158" s="14">
        <f t="shared" si="36"/>
        <v>-49.85</v>
      </c>
      <c r="V158" s="14">
        <f t="shared" si="37"/>
        <v>-2.5499999999999945</v>
      </c>
      <c r="W158" s="14">
        <f t="shared" si="39"/>
        <v>-54.199999999999989</v>
      </c>
      <c r="X158" s="13">
        <v>0</v>
      </c>
      <c r="Y158" s="13">
        <v>0</v>
      </c>
      <c r="Z158" s="13">
        <f t="shared" si="35"/>
        <v>-98.137500000000017</v>
      </c>
    </row>
    <row r="159" spans="1:26" ht="11.25" customHeight="1">
      <c r="A159" s="111" t="s">
        <v>2</v>
      </c>
      <c r="B159" s="117">
        <v>41261.833333333336</v>
      </c>
      <c r="D159" s="108" t="s">
        <v>291</v>
      </c>
      <c r="E159" s="109" t="s">
        <v>218</v>
      </c>
      <c r="F159" s="109" t="s">
        <v>219</v>
      </c>
      <c r="H159" s="110" t="s">
        <v>417</v>
      </c>
      <c r="I159" s="117">
        <v>41261.811805555553</v>
      </c>
      <c r="J159" s="109" t="s">
        <v>3</v>
      </c>
      <c r="K159" s="6">
        <v>5</v>
      </c>
      <c r="L159" s="10" t="s">
        <v>5</v>
      </c>
      <c r="M159" s="6">
        <f t="shared" si="40"/>
        <v>0</v>
      </c>
      <c r="N159" s="6">
        <f t="shared" si="30"/>
        <v>0</v>
      </c>
      <c r="O159" s="6">
        <f t="shared" si="31"/>
        <v>1</v>
      </c>
      <c r="P159" s="6">
        <f t="shared" si="29"/>
        <v>0</v>
      </c>
      <c r="Q159" s="6">
        <f t="shared" si="33"/>
        <v>-5</v>
      </c>
      <c r="R159" s="30">
        <f t="shared" si="32"/>
        <v>-5</v>
      </c>
      <c r="S159" s="4">
        <f t="shared" si="38"/>
        <v>96.862499999999955</v>
      </c>
      <c r="T159" s="14">
        <f t="shared" si="34"/>
        <v>8.4625000000000057</v>
      </c>
      <c r="U159" s="14">
        <f t="shared" si="36"/>
        <v>-54.85</v>
      </c>
      <c r="V159" s="14">
        <f t="shared" si="37"/>
        <v>-2.5499999999999945</v>
      </c>
      <c r="W159" s="14">
        <f t="shared" si="39"/>
        <v>-54.199999999999989</v>
      </c>
      <c r="X159" s="13">
        <v>0</v>
      </c>
      <c r="Y159" s="13">
        <v>0</v>
      </c>
      <c r="Z159" s="13">
        <f t="shared" si="35"/>
        <v>-103.13750000000002</v>
      </c>
    </row>
    <row r="160" spans="1:26" ht="11.25" customHeight="1">
      <c r="A160" s="111" t="s">
        <v>8</v>
      </c>
      <c r="B160" s="117">
        <v>41262.045138888891</v>
      </c>
      <c r="D160" s="108" t="s">
        <v>292</v>
      </c>
      <c r="E160" s="109" t="s">
        <v>150</v>
      </c>
      <c r="F160" s="109" t="s">
        <v>293</v>
      </c>
      <c r="H160" s="110" t="s">
        <v>391</v>
      </c>
      <c r="I160" s="117">
        <v>41261.911111111112</v>
      </c>
      <c r="J160" s="109" t="s">
        <v>9</v>
      </c>
      <c r="K160" s="6">
        <v>5</v>
      </c>
      <c r="L160" s="10" t="s">
        <v>5</v>
      </c>
      <c r="M160" s="6">
        <f t="shared" si="40"/>
        <v>0</v>
      </c>
      <c r="N160" s="6">
        <f t="shared" si="30"/>
        <v>0</v>
      </c>
      <c r="O160" s="6">
        <f t="shared" si="31"/>
        <v>1</v>
      </c>
      <c r="P160" s="6">
        <f t="shared" si="29"/>
        <v>0</v>
      </c>
      <c r="Q160" s="6">
        <f t="shared" si="33"/>
        <v>-5</v>
      </c>
      <c r="R160" s="30">
        <f t="shared" si="32"/>
        <v>-5</v>
      </c>
      <c r="S160" s="4">
        <f t="shared" si="38"/>
        <v>91.862499999999955</v>
      </c>
      <c r="T160" s="14">
        <f t="shared" si="34"/>
        <v>3.4625000000000057</v>
      </c>
      <c r="U160" s="14">
        <f t="shared" si="36"/>
        <v>-54.85</v>
      </c>
      <c r="V160" s="14">
        <f t="shared" si="37"/>
        <v>-2.5499999999999945</v>
      </c>
      <c r="W160" s="14">
        <f t="shared" si="39"/>
        <v>-54.199999999999989</v>
      </c>
      <c r="X160" s="13">
        <v>0</v>
      </c>
      <c r="Y160" s="13">
        <v>0</v>
      </c>
      <c r="Z160" s="13">
        <f t="shared" si="35"/>
        <v>-108.13750000000002</v>
      </c>
    </row>
    <row r="161" spans="1:26" ht="11.25" customHeight="1">
      <c r="A161" s="111" t="s">
        <v>8</v>
      </c>
      <c r="B161" s="117">
        <v>41262.086805555555</v>
      </c>
      <c r="D161" s="108" t="s">
        <v>294</v>
      </c>
      <c r="E161" s="109" t="s">
        <v>157</v>
      </c>
      <c r="F161" s="109" t="s">
        <v>295</v>
      </c>
      <c r="H161" s="110" t="s">
        <v>447</v>
      </c>
      <c r="I161" s="117">
        <v>41261.911805555559</v>
      </c>
      <c r="J161" s="109" t="s">
        <v>9</v>
      </c>
      <c r="K161" s="6">
        <v>5</v>
      </c>
      <c r="L161" s="10" t="s">
        <v>5</v>
      </c>
      <c r="M161" s="6">
        <f t="shared" si="40"/>
        <v>0</v>
      </c>
      <c r="N161" s="6">
        <f t="shared" si="30"/>
        <v>0</v>
      </c>
      <c r="O161" s="6">
        <f t="shared" si="31"/>
        <v>1</v>
      </c>
      <c r="P161" s="6">
        <f t="shared" si="29"/>
        <v>0</v>
      </c>
      <c r="Q161" s="6">
        <f t="shared" si="33"/>
        <v>-5</v>
      </c>
      <c r="R161" s="30">
        <f t="shared" si="32"/>
        <v>-5</v>
      </c>
      <c r="S161" s="4">
        <f t="shared" si="38"/>
        <v>86.862499999999955</v>
      </c>
      <c r="T161" s="14">
        <f t="shared" si="34"/>
        <v>-1.5374999999999943</v>
      </c>
      <c r="U161" s="14">
        <f t="shared" si="36"/>
        <v>-54.85</v>
      </c>
      <c r="V161" s="14">
        <f t="shared" si="37"/>
        <v>-2.5499999999999945</v>
      </c>
      <c r="W161" s="14">
        <f t="shared" si="39"/>
        <v>-54.199999999999989</v>
      </c>
      <c r="X161" s="13">
        <v>0</v>
      </c>
      <c r="Y161" s="13">
        <v>0</v>
      </c>
      <c r="Z161" s="13">
        <f t="shared" si="35"/>
        <v>-113.13750000000002</v>
      </c>
    </row>
    <row r="162" spans="1:26" ht="11.25" customHeight="1">
      <c r="A162" s="111" t="s">
        <v>8</v>
      </c>
      <c r="B162" s="117">
        <v>41262.75</v>
      </c>
      <c r="D162" s="108" t="s">
        <v>296</v>
      </c>
      <c r="E162" s="109" t="s">
        <v>154</v>
      </c>
      <c r="F162" s="109" t="s">
        <v>297</v>
      </c>
      <c r="H162" s="110" t="s">
        <v>437</v>
      </c>
      <c r="I162" s="117">
        <v>41262.464583333334</v>
      </c>
      <c r="J162" s="109" t="s">
        <v>9</v>
      </c>
      <c r="K162" s="6">
        <v>5</v>
      </c>
      <c r="L162" s="10" t="s">
        <v>7</v>
      </c>
      <c r="M162" s="6">
        <f t="shared" si="40"/>
        <v>9.15</v>
      </c>
      <c r="N162" s="6">
        <f t="shared" si="30"/>
        <v>1</v>
      </c>
      <c r="O162" s="6">
        <f t="shared" si="31"/>
        <v>0</v>
      </c>
      <c r="P162" s="6">
        <f t="shared" si="29"/>
        <v>0</v>
      </c>
      <c r="Q162" s="6">
        <f t="shared" si="33"/>
        <v>4.1500000000000004</v>
      </c>
      <c r="R162" s="30">
        <f t="shared" si="32"/>
        <v>4.1500000000000004</v>
      </c>
      <c r="S162" s="4">
        <f t="shared" si="38"/>
        <v>91.01249999999996</v>
      </c>
      <c r="T162" s="14">
        <f t="shared" si="34"/>
        <v>2.612500000000006</v>
      </c>
      <c r="U162" s="14">
        <f t="shared" si="36"/>
        <v>-54.85</v>
      </c>
      <c r="V162" s="14">
        <f t="shared" si="37"/>
        <v>-2.5499999999999945</v>
      </c>
      <c r="W162" s="14">
        <f t="shared" si="39"/>
        <v>-54.199999999999989</v>
      </c>
      <c r="X162" s="13">
        <v>0</v>
      </c>
      <c r="Y162" s="13">
        <v>0</v>
      </c>
      <c r="Z162" s="13">
        <f t="shared" si="35"/>
        <v>-108.98750000000001</v>
      </c>
    </row>
    <row r="163" spans="1:26" ht="12" customHeight="1">
      <c r="A163" s="111" t="s">
        <v>8</v>
      </c>
      <c r="B163" s="117">
        <v>41262.854166666664</v>
      </c>
      <c r="D163" s="108" t="s">
        <v>300</v>
      </c>
      <c r="E163" s="109" t="s">
        <v>125</v>
      </c>
      <c r="F163" s="109" t="s">
        <v>142</v>
      </c>
      <c r="H163" s="110" t="s">
        <v>429</v>
      </c>
      <c r="I163" s="117">
        <v>41262.775694444441</v>
      </c>
      <c r="J163" s="109" t="s">
        <v>3</v>
      </c>
      <c r="K163" s="6">
        <v>5</v>
      </c>
      <c r="L163" s="10" t="s">
        <v>7</v>
      </c>
      <c r="M163" s="6">
        <f t="shared" si="40"/>
        <v>9.5499999999999989</v>
      </c>
      <c r="N163" s="6">
        <f t="shared" si="30"/>
        <v>1</v>
      </c>
      <c r="O163" s="6">
        <f t="shared" si="31"/>
        <v>0</v>
      </c>
      <c r="P163" s="6">
        <f t="shared" si="29"/>
        <v>0</v>
      </c>
      <c r="Q163" s="6">
        <f t="shared" si="33"/>
        <v>4.5499999999999989</v>
      </c>
      <c r="R163" s="30">
        <f t="shared" si="32"/>
        <v>4.5499999999999989</v>
      </c>
      <c r="S163" s="4">
        <f t="shared" si="38"/>
        <v>95.562499999999957</v>
      </c>
      <c r="T163" s="14">
        <f t="shared" si="34"/>
        <v>7.162500000000005</v>
      </c>
      <c r="U163" s="14">
        <f t="shared" si="36"/>
        <v>-54.85</v>
      </c>
      <c r="V163" s="14">
        <f t="shared" si="37"/>
        <v>-2.5499999999999945</v>
      </c>
      <c r="W163" s="14">
        <f t="shared" si="39"/>
        <v>-54.199999999999989</v>
      </c>
      <c r="X163" s="13">
        <v>0</v>
      </c>
      <c r="Y163" s="13">
        <v>0</v>
      </c>
      <c r="Z163" s="13">
        <f t="shared" si="35"/>
        <v>-104.43750000000001</v>
      </c>
    </row>
    <row r="164" spans="1:26" ht="12" customHeight="1">
      <c r="A164" s="111" t="s">
        <v>8</v>
      </c>
      <c r="B164" s="117">
        <v>41262.875</v>
      </c>
      <c r="D164" s="108" t="s">
        <v>238</v>
      </c>
      <c r="E164" s="109" t="s">
        <v>216</v>
      </c>
      <c r="F164" s="109" t="s">
        <v>268</v>
      </c>
      <c r="H164" s="110" t="s">
        <v>447</v>
      </c>
      <c r="I164" s="117">
        <v>41262.781944444447</v>
      </c>
      <c r="J164" s="109" t="s">
        <v>3</v>
      </c>
      <c r="K164" s="6">
        <v>10</v>
      </c>
      <c r="L164" s="10" t="s">
        <v>7</v>
      </c>
      <c r="M164" s="6">
        <f t="shared" si="40"/>
        <v>21</v>
      </c>
      <c r="N164" s="6">
        <f t="shared" si="30"/>
        <v>1</v>
      </c>
      <c r="O164" s="6">
        <f t="shared" si="31"/>
        <v>0</v>
      </c>
      <c r="P164" s="6">
        <f t="shared" si="29"/>
        <v>0</v>
      </c>
      <c r="Q164" s="6">
        <f t="shared" si="33"/>
        <v>11</v>
      </c>
      <c r="R164" s="30">
        <f t="shared" si="32"/>
        <v>11</v>
      </c>
      <c r="S164" s="4">
        <f t="shared" si="38"/>
        <v>106.56249999999996</v>
      </c>
      <c r="T164" s="14">
        <f t="shared" si="34"/>
        <v>18.162500000000005</v>
      </c>
      <c r="U164" s="14">
        <f t="shared" si="36"/>
        <v>-54.85</v>
      </c>
      <c r="V164" s="14">
        <f t="shared" si="37"/>
        <v>-2.5499999999999945</v>
      </c>
      <c r="W164" s="14">
        <f t="shared" si="39"/>
        <v>-54.199999999999989</v>
      </c>
      <c r="X164" s="13">
        <v>0</v>
      </c>
      <c r="Y164" s="13">
        <v>0</v>
      </c>
      <c r="Z164" s="13">
        <f t="shared" si="35"/>
        <v>-93.437500000000014</v>
      </c>
    </row>
    <row r="165" spans="1:26" s="3" customFormat="1" ht="12.75" customHeight="1">
      <c r="A165" s="111" t="s">
        <v>8</v>
      </c>
      <c r="B165" s="117">
        <v>41262.875</v>
      </c>
      <c r="C165" s="108"/>
      <c r="D165" s="108" t="s">
        <v>238</v>
      </c>
      <c r="E165" s="109" t="s">
        <v>150</v>
      </c>
      <c r="F165" s="109" t="s">
        <v>298</v>
      </c>
      <c r="G165" s="109"/>
      <c r="H165" s="110" t="s">
        <v>418</v>
      </c>
      <c r="I165" s="117">
        <v>41262.781944444447</v>
      </c>
      <c r="J165" s="109" t="s">
        <v>3</v>
      </c>
      <c r="K165" s="6">
        <v>5</v>
      </c>
      <c r="L165" s="10" t="s">
        <v>5</v>
      </c>
      <c r="M165" s="6">
        <f t="shared" si="40"/>
        <v>0</v>
      </c>
      <c r="N165" s="6">
        <f t="shared" si="30"/>
        <v>0</v>
      </c>
      <c r="O165" s="6">
        <f t="shared" si="31"/>
        <v>1</v>
      </c>
      <c r="P165" s="6">
        <f t="shared" si="29"/>
        <v>0</v>
      </c>
      <c r="Q165" s="6">
        <f t="shared" si="33"/>
        <v>-5</v>
      </c>
      <c r="R165" s="30">
        <f t="shared" si="32"/>
        <v>-5</v>
      </c>
      <c r="S165" s="4">
        <f t="shared" si="38"/>
        <v>101.56249999999996</v>
      </c>
      <c r="T165" s="14">
        <f t="shared" si="34"/>
        <v>13.162500000000005</v>
      </c>
      <c r="U165" s="14">
        <f t="shared" si="36"/>
        <v>-54.85</v>
      </c>
      <c r="V165" s="14">
        <f t="shared" si="37"/>
        <v>-2.5499999999999945</v>
      </c>
      <c r="W165" s="14">
        <f t="shared" si="39"/>
        <v>-54.199999999999989</v>
      </c>
      <c r="X165" s="13">
        <v>0</v>
      </c>
      <c r="Y165" s="13">
        <v>0</v>
      </c>
      <c r="Z165" s="13">
        <f t="shared" si="35"/>
        <v>-98.437500000000014</v>
      </c>
    </row>
    <row r="166" spans="1:26" ht="11.25" customHeight="1">
      <c r="A166" s="111" t="s">
        <v>58</v>
      </c>
      <c r="B166" s="117">
        <v>41262.854166666664</v>
      </c>
      <c r="D166" s="108" t="s">
        <v>300</v>
      </c>
      <c r="E166" s="109" t="s">
        <v>31</v>
      </c>
      <c r="F166" s="109" t="s">
        <v>301</v>
      </c>
      <c r="H166" s="110" t="s">
        <v>426</v>
      </c>
      <c r="I166" s="117">
        <v>41262.818749999999</v>
      </c>
      <c r="J166" s="109" t="s">
        <v>3</v>
      </c>
      <c r="K166" s="6">
        <v>5</v>
      </c>
      <c r="L166" s="10" t="s">
        <v>7</v>
      </c>
      <c r="M166" s="6">
        <f t="shared" si="40"/>
        <v>6.1</v>
      </c>
      <c r="N166" s="6">
        <f t="shared" si="30"/>
        <v>1</v>
      </c>
      <c r="O166" s="6">
        <f t="shared" si="31"/>
        <v>0</v>
      </c>
      <c r="P166" s="6">
        <f t="shared" si="29"/>
        <v>0</v>
      </c>
      <c r="Q166" s="6">
        <f t="shared" si="33"/>
        <v>1.0999999999999996</v>
      </c>
      <c r="R166" s="30">
        <f t="shared" si="32"/>
        <v>1.0999999999999996</v>
      </c>
      <c r="S166" s="4">
        <f t="shared" si="38"/>
        <v>102.66249999999995</v>
      </c>
      <c r="T166" s="14">
        <f t="shared" si="34"/>
        <v>13.162500000000005</v>
      </c>
      <c r="U166" s="14">
        <f t="shared" si="36"/>
        <v>-54.85</v>
      </c>
      <c r="V166" s="14">
        <f t="shared" si="37"/>
        <v>-1.4499999999999948</v>
      </c>
      <c r="W166" s="14">
        <f t="shared" si="39"/>
        <v>-54.199999999999989</v>
      </c>
      <c r="X166" s="13">
        <v>0</v>
      </c>
      <c r="Y166" s="13">
        <v>0</v>
      </c>
      <c r="Z166" s="13">
        <f t="shared" si="35"/>
        <v>-97.33750000000002</v>
      </c>
    </row>
    <row r="167" spans="1:26" ht="11.25" customHeight="1">
      <c r="A167" s="111" t="s">
        <v>58</v>
      </c>
      <c r="B167" s="117">
        <v>41264.864583333336</v>
      </c>
      <c r="D167" s="108" t="s">
        <v>302</v>
      </c>
      <c r="E167" s="109" t="s">
        <v>31</v>
      </c>
      <c r="F167" s="109" t="s">
        <v>15</v>
      </c>
      <c r="H167" s="110" t="s">
        <v>402</v>
      </c>
      <c r="I167" s="117">
        <v>41262.819444444445</v>
      </c>
      <c r="J167" s="109" t="s">
        <v>3</v>
      </c>
      <c r="K167" s="6">
        <v>5</v>
      </c>
      <c r="L167" s="10" t="s">
        <v>7</v>
      </c>
      <c r="M167" s="6">
        <f t="shared" si="40"/>
        <v>7.8500000000000005</v>
      </c>
      <c r="N167" s="6">
        <f t="shared" si="30"/>
        <v>1</v>
      </c>
      <c r="O167" s="6">
        <f t="shared" si="31"/>
        <v>0</v>
      </c>
      <c r="P167" s="6">
        <f t="shared" si="29"/>
        <v>0</v>
      </c>
      <c r="Q167" s="6">
        <f t="shared" si="33"/>
        <v>2.8500000000000005</v>
      </c>
      <c r="R167" s="30">
        <f t="shared" si="32"/>
        <v>2.8500000000000005</v>
      </c>
      <c r="S167" s="4">
        <f t="shared" si="38"/>
        <v>105.51249999999995</v>
      </c>
      <c r="T167" s="14">
        <f t="shared" si="34"/>
        <v>13.162500000000005</v>
      </c>
      <c r="U167" s="14">
        <f t="shared" si="36"/>
        <v>-54.85</v>
      </c>
      <c r="V167" s="14">
        <f t="shared" si="37"/>
        <v>1.4000000000000057</v>
      </c>
      <c r="W167" s="14">
        <f t="shared" si="39"/>
        <v>-54.199999999999989</v>
      </c>
      <c r="X167" s="13">
        <v>0</v>
      </c>
      <c r="Y167" s="13">
        <v>0</v>
      </c>
      <c r="Z167" s="13">
        <f t="shared" si="35"/>
        <v>-94.487500000000026</v>
      </c>
    </row>
    <row r="168" spans="1:26" ht="11.25" customHeight="1">
      <c r="A168" s="111" t="s">
        <v>58</v>
      </c>
      <c r="B168" s="117">
        <v>41264.916666666664</v>
      </c>
      <c r="D168" s="108" t="s">
        <v>303</v>
      </c>
      <c r="E168" s="109" t="s">
        <v>31</v>
      </c>
      <c r="F168" s="109" t="s">
        <v>138</v>
      </c>
      <c r="H168" s="110" t="s">
        <v>426</v>
      </c>
      <c r="I168" s="117">
        <v>41262.824305555558</v>
      </c>
      <c r="J168" s="109" t="s">
        <v>3</v>
      </c>
      <c r="K168" s="6">
        <v>5</v>
      </c>
      <c r="L168" s="10" t="s">
        <v>7</v>
      </c>
      <c r="M168" s="6">
        <f t="shared" si="40"/>
        <v>6.1</v>
      </c>
      <c r="N168" s="6">
        <f t="shared" si="30"/>
        <v>1</v>
      </c>
      <c r="O168" s="6">
        <f t="shared" si="31"/>
        <v>0</v>
      </c>
      <c r="P168" s="6">
        <f t="shared" si="29"/>
        <v>0</v>
      </c>
      <c r="Q168" s="6">
        <f t="shared" si="33"/>
        <v>1.0999999999999996</v>
      </c>
      <c r="R168" s="30">
        <f t="shared" si="32"/>
        <v>1.0999999999999996</v>
      </c>
      <c r="S168" s="4">
        <f t="shared" si="38"/>
        <v>106.61249999999994</v>
      </c>
      <c r="T168" s="14">
        <f t="shared" si="34"/>
        <v>13.162500000000005</v>
      </c>
      <c r="U168" s="14">
        <f t="shared" si="36"/>
        <v>-54.85</v>
      </c>
      <c r="V168" s="14">
        <f t="shared" si="37"/>
        <v>2.5000000000000053</v>
      </c>
      <c r="W168" s="14">
        <f t="shared" si="39"/>
        <v>-54.199999999999989</v>
      </c>
      <c r="X168" s="13">
        <v>0</v>
      </c>
      <c r="Y168" s="13">
        <v>0</v>
      </c>
      <c r="Z168" s="13">
        <f t="shared" si="35"/>
        <v>-93.387500000000031</v>
      </c>
    </row>
    <row r="169" spans="1:26" ht="11.25" customHeight="1">
      <c r="A169" s="111" t="s">
        <v>58</v>
      </c>
      <c r="B169" s="117">
        <v>41265.864583333336</v>
      </c>
      <c r="D169" s="108" t="s">
        <v>304</v>
      </c>
      <c r="E169" s="109" t="s">
        <v>31</v>
      </c>
      <c r="F169" s="109" t="s">
        <v>77</v>
      </c>
      <c r="H169" s="110" t="s">
        <v>452</v>
      </c>
      <c r="I169" s="117">
        <v>41262.824999999997</v>
      </c>
      <c r="J169" s="109" t="s">
        <v>3</v>
      </c>
      <c r="K169" s="6">
        <v>5</v>
      </c>
      <c r="L169" s="10" t="s">
        <v>5</v>
      </c>
      <c r="M169" s="6">
        <f t="shared" si="40"/>
        <v>0</v>
      </c>
      <c r="N169" s="6">
        <f t="shared" si="30"/>
        <v>0</v>
      </c>
      <c r="O169" s="6">
        <f t="shared" si="31"/>
        <v>1</v>
      </c>
      <c r="P169" s="6">
        <f t="shared" si="29"/>
        <v>0</v>
      </c>
      <c r="Q169" s="6">
        <f t="shared" si="33"/>
        <v>-5</v>
      </c>
      <c r="R169" s="30">
        <f t="shared" si="32"/>
        <v>-5</v>
      </c>
      <c r="S169" s="4">
        <f t="shared" si="38"/>
        <v>101.61249999999994</v>
      </c>
      <c r="T169" s="14">
        <f t="shared" si="34"/>
        <v>13.162500000000005</v>
      </c>
      <c r="U169" s="14">
        <f t="shared" si="36"/>
        <v>-54.85</v>
      </c>
      <c r="V169" s="14">
        <f t="shared" si="37"/>
        <v>-2.4999999999999947</v>
      </c>
      <c r="W169" s="14">
        <f t="shared" si="39"/>
        <v>-54.199999999999989</v>
      </c>
      <c r="X169" s="13">
        <v>0</v>
      </c>
      <c r="Y169" s="13">
        <v>0</v>
      </c>
      <c r="Z169" s="13">
        <f t="shared" si="35"/>
        <v>-98.387500000000031</v>
      </c>
    </row>
    <row r="170" spans="1:26" ht="11.25" customHeight="1">
      <c r="A170" s="111" t="s">
        <v>58</v>
      </c>
      <c r="B170" s="114">
        <v>41265.666666666664</v>
      </c>
      <c r="D170" s="108" t="s">
        <v>307</v>
      </c>
      <c r="E170" s="109" t="s">
        <v>31</v>
      </c>
      <c r="F170" s="109" t="s">
        <v>308</v>
      </c>
      <c r="H170" s="110" t="s">
        <v>453</v>
      </c>
      <c r="I170" s="114">
        <v>41262.828472222223</v>
      </c>
      <c r="J170" s="109" t="s">
        <v>3</v>
      </c>
      <c r="K170" s="6">
        <v>5</v>
      </c>
      <c r="L170" s="10" t="s">
        <v>7</v>
      </c>
      <c r="M170" s="6">
        <f t="shared" si="40"/>
        <v>11.299999999999999</v>
      </c>
      <c r="N170" s="6">
        <f t="shared" si="30"/>
        <v>1</v>
      </c>
      <c r="O170" s="6">
        <f t="shared" si="31"/>
        <v>0</v>
      </c>
      <c r="P170" s="6">
        <f t="shared" si="29"/>
        <v>0</v>
      </c>
      <c r="Q170" s="6">
        <f t="shared" si="33"/>
        <v>6.2999999999999989</v>
      </c>
      <c r="R170" s="30">
        <f t="shared" si="32"/>
        <v>6.2999999999999989</v>
      </c>
      <c r="S170" s="4">
        <f t="shared" si="38"/>
        <v>107.91249999999994</v>
      </c>
      <c r="T170" s="14">
        <f t="shared" si="34"/>
        <v>13.162500000000005</v>
      </c>
      <c r="U170" s="14">
        <f t="shared" si="36"/>
        <v>-54.85</v>
      </c>
      <c r="V170" s="14">
        <f t="shared" si="37"/>
        <v>3.8000000000000043</v>
      </c>
      <c r="W170" s="14">
        <f t="shared" si="39"/>
        <v>-54.199999999999989</v>
      </c>
      <c r="X170" s="13">
        <v>0</v>
      </c>
      <c r="Y170" s="13">
        <v>0</v>
      </c>
      <c r="Z170" s="13">
        <f t="shared" si="35"/>
        <v>-92.087500000000034</v>
      </c>
    </row>
    <row r="171" spans="1:26" ht="11.25" customHeight="1">
      <c r="A171" s="111" t="s">
        <v>67</v>
      </c>
      <c r="B171" s="118">
        <v>41265.708333333336</v>
      </c>
      <c r="D171" s="108" t="s">
        <v>299</v>
      </c>
      <c r="E171" s="109" t="s">
        <v>31</v>
      </c>
      <c r="F171" s="109" t="s">
        <v>46</v>
      </c>
      <c r="H171" s="55">
        <v>2</v>
      </c>
      <c r="I171" s="119">
        <v>41262.856944444444</v>
      </c>
      <c r="J171" s="108" t="s">
        <v>3</v>
      </c>
      <c r="K171" s="6">
        <v>5</v>
      </c>
      <c r="L171" s="3" t="s">
        <v>7</v>
      </c>
      <c r="M171" s="6">
        <f t="shared" si="40"/>
        <v>10</v>
      </c>
      <c r="N171" s="6">
        <f t="shared" si="30"/>
        <v>1</v>
      </c>
      <c r="O171" s="6">
        <f t="shared" si="31"/>
        <v>0</v>
      </c>
      <c r="P171" s="6">
        <f t="shared" si="29"/>
        <v>0</v>
      </c>
      <c r="Q171" s="6">
        <f t="shared" si="33"/>
        <v>5</v>
      </c>
      <c r="R171" s="30">
        <f t="shared" si="32"/>
        <v>5</v>
      </c>
      <c r="S171" s="4">
        <f t="shared" si="38"/>
        <v>112.91249999999994</v>
      </c>
      <c r="T171" s="14">
        <f t="shared" si="34"/>
        <v>13.162500000000005</v>
      </c>
      <c r="U171" s="14">
        <f t="shared" si="36"/>
        <v>-54.85</v>
      </c>
      <c r="V171" s="14">
        <f t="shared" si="37"/>
        <v>3.8000000000000043</v>
      </c>
      <c r="W171" s="14">
        <f t="shared" si="39"/>
        <v>-49.199999999999989</v>
      </c>
      <c r="X171" s="13">
        <v>0</v>
      </c>
      <c r="Y171" s="13">
        <v>0</v>
      </c>
      <c r="Z171" s="13">
        <f t="shared" si="35"/>
        <v>-87.087500000000034</v>
      </c>
    </row>
    <row r="172" spans="1:26" ht="12" customHeight="1">
      <c r="A172" s="111" t="s">
        <v>8</v>
      </c>
      <c r="B172" s="117">
        <v>41263.045138888891</v>
      </c>
      <c r="D172" s="108" t="s">
        <v>305</v>
      </c>
      <c r="E172" s="109" t="s">
        <v>29</v>
      </c>
      <c r="F172" s="109" t="s">
        <v>306</v>
      </c>
      <c r="H172" s="110" t="s">
        <v>433</v>
      </c>
      <c r="I172" s="117">
        <v>41262.961805555555</v>
      </c>
      <c r="J172" s="109" t="s">
        <v>9</v>
      </c>
      <c r="K172" s="6">
        <v>5</v>
      </c>
      <c r="L172" s="10" t="s">
        <v>5</v>
      </c>
      <c r="M172" s="6">
        <f t="shared" si="40"/>
        <v>0</v>
      </c>
      <c r="N172" s="6">
        <f t="shared" si="30"/>
        <v>0</v>
      </c>
      <c r="O172" s="6">
        <f t="shared" si="31"/>
        <v>1</v>
      </c>
      <c r="P172" s="6">
        <f t="shared" si="29"/>
        <v>0</v>
      </c>
      <c r="Q172" s="6">
        <f t="shared" si="33"/>
        <v>-5</v>
      </c>
      <c r="R172" s="30">
        <f t="shared" si="32"/>
        <v>-5</v>
      </c>
      <c r="S172" s="4">
        <f t="shared" si="38"/>
        <v>107.91249999999994</v>
      </c>
      <c r="T172" s="14">
        <f t="shared" si="34"/>
        <v>8.162500000000005</v>
      </c>
      <c r="U172" s="14">
        <f t="shared" si="36"/>
        <v>-54.85</v>
      </c>
      <c r="V172" s="14">
        <f t="shared" si="37"/>
        <v>3.8000000000000043</v>
      </c>
      <c r="W172" s="14">
        <f t="shared" si="39"/>
        <v>-49.199999999999989</v>
      </c>
      <c r="X172" s="13">
        <v>0</v>
      </c>
      <c r="Y172" s="13">
        <v>0</v>
      </c>
      <c r="Z172" s="13">
        <f t="shared" si="35"/>
        <v>-92.087500000000034</v>
      </c>
    </row>
    <row r="173" spans="1:26" ht="11.25" customHeight="1">
      <c r="A173" s="111" t="s">
        <v>2</v>
      </c>
      <c r="B173" s="117">
        <v>41263.916666666664</v>
      </c>
      <c r="D173" s="108" t="s">
        <v>309</v>
      </c>
      <c r="E173" s="109" t="s">
        <v>117</v>
      </c>
      <c r="F173" s="109" t="s">
        <v>227</v>
      </c>
      <c r="H173" s="110" t="s">
        <v>446</v>
      </c>
      <c r="I173" s="117">
        <v>41263.755555555559</v>
      </c>
      <c r="J173" s="109" t="s">
        <v>3</v>
      </c>
      <c r="K173" s="6">
        <v>5</v>
      </c>
      <c r="L173" s="10" t="s">
        <v>5</v>
      </c>
      <c r="M173" s="6">
        <f t="shared" si="40"/>
        <v>0</v>
      </c>
      <c r="N173" s="6">
        <f t="shared" si="30"/>
        <v>0</v>
      </c>
      <c r="O173" s="6">
        <f t="shared" si="31"/>
        <v>1</v>
      </c>
      <c r="P173" s="6">
        <f t="shared" si="29"/>
        <v>0</v>
      </c>
      <c r="Q173" s="6">
        <f t="shared" si="33"/>
        <v>-5</v>
      </c>
      <c r="R173" s="30">
        <f t="shared" si="32"/>
        <v>-5</v>
      </c>
      <c r="S173" s="4">
        <f t="shared" si="38"/>
        <v>102.91249999999994</v>
      </c>
      <c r="T173" s="14">
        <f t="shared" si="34"/>
        <v>8.162500000000005</v>
      </c>
      <c r="U173" s="14">
        <f t="shared" si="36"/>
        <v>-59.85</v>
      </c>
      <c r="V173" s="14">
        <f t="shared" si="37"/>
        <v>3.8000000000000043</v>
      </c>
      <c r="W173" s="14">
        <f t="shared" si="39"/>
        <v>-49.199999999999989</v>
      </c>
      <c r="X173" s="13">
        <v>0</v>
      </c>
      <c r="Y173" s="13">
        <v>0</v>
      </c>
      <c r="Z173" s="13">
        <f t="shared" si="35"/>
        <v>-97.087500000000034</v>
      </c>
    </row>
    <row r="174" spans="1:26" ht="11.25" customHeight="1">
      <c r="A174" s="111" t="s">
        <v>8</v>
      </c>
      <c r="B174" s="117">
        <v>41263.833333333336</v>
      </c>
      <c r="D174" s="108" t="s">
        <v>310</v>
      </c>
      <c r="E174" s="109" t="s">
        <v>216</v>
      </c>
      <c r="F174" s="109" t="s">
        <v>268</v>
      </c>
      <c r="H174" s="110" t="s">
        <v>451</v>
      </c>
      <c r="I174" s="117">
        <v>41263.799305555556</v>
      </c>
      <c r="J174" s="109" t="s">
        <v>3</v>
      </c>
      <c r="K174" s="6">
        <v>5</v>
      </c>
      <c r="L174" s="10" t="s">
        <v>5</v>
      </c>
      <c r="M174" s="6">
        <f t="shared" si="40"/>
        <v>0</v>
      </c>
      <c r="N174" s="6">
        <f t="shared" si="30"/>
        <v>0</v>
      </c>
      <c r="O174" s="6">
        <f t="shared" si="31"/>
        <v>1</v>
      </c>
      <c r="P174" s="6">
        <f t="shared" si="29"/>
        <v>0</v>
      </c>
      <c r="Q174" s="6">
        <f t="shared" si="33"/>
        <v>-5</v>
      </c>
      <c r="R174" s="30">
        <f t="shared" si="32"/>
        <v>-5</v>
      </c>
      <c r="S174" s="4">
        <f t="shared" si="38"/>
        <v>97.912499999999937</v>
      </c>
      <c r="T174" s="14">
        <f t="shared" si="34"/>
        <v>3.162500000000005</v>
      </c>
      <c r="U174" s="14">
        <f t="shared" si="36"/>
        <v>-59.85</v>
      </c>
      <c r="V174" s="14">
        <f t="shared" si="37"/>
        <v>3.8000000000000043</v>
      </c>
      <c r="W174" s="14">
        <f t="shared" si="39"/>
        <v>-49.199999999999989</v>
      </c>
      <c r="X174" s="13">
        <v>0</v>
      </c>
      <c r="Y174" s="13">
        <v>0</v>
      </c>
      <c r="Z174" s="13">
        <f t="shared" si="35"/>
        <v>-102.08750000000003</v>
      </c>
    </row>
    <row r="175" spans="1:26" ht="11.25" customHeight="1">
      <c r="A175" s="111" t="s">
        <v>8</v>
      </c>
      <c r="B175" s="117">
        <v>41263.833333333336</v>
      </c>
      <c r="D175" s="108" t="s">
        <v>310</v>
      </c>
      <c r="E175" s="109" t="s">
        <v>311</v>
      </c>
      <c r="F175" s="109" t="s">
        <v>312</v>
      </c>
      <c r="H175" s="110" t="s">
        <v>392</v>
      </c>
      <c r="I175" s="117">
        <v>41263.800000000003</v>
      </c>
      <c r="J175" s="109" t="s">
        <v>3</v>
      </c>
      <c r="K175" s="6">
        <v>5</v>
      </c>
      <c r="L175" s="10" t="s">
        <v>5</v>
      </c>
      <c r="M175" s="6">
        <f t="shared" si="40"/>
        <v>0</v>
      </c>
      <c r="N175" s="6">
        <f t="shared" si="30"/>
        <v>0</v>
      </c>
      <c r="O175" s="6">
        <f t="shared" si="31"/>
        <v>1</v>
      </c>
      <c r="P175" s="6">
        <f t="shared" si="29"/>
        <v>0</v>
      </c>
      <c r="Q175" s="6">
        <f t="shared" si="33"/>
        <v>-5</v>
      </c>
      <c r="R175" s="30">
        <f t="shared" si="32"/>
        <v>-5</v>
      </c>
      <c r="S175" s="4">
        <f t="shared" si="38"/>
        <v>92.912499999999937</v>
      </c>
      <c r="T175" s="14">
        <f t="shared" si="34"/>
        <v>-1.837499999999995</v>
      </c>
      <c r="U175" s="14">
        <f t="shared" si="36"/>
        <v>-59.85</v>
      </c>
      <c r="V175" s="14">
        <f t="shared" si="37"/>
        <v>3.8000000000000043</v>
      </c>
      <c r="W175" s="14">
        <f t="shared" si="39"/>
        <v>-49.199999999999989</v>
      </c>
      <c r="X175" s="13">
        <v>0</v>
      </c>
      <c r="Y175" s="13">
        <v>0</v>
      </c>
      <c r="Z175" s="13">
        <f t="shared" si="35"/>
        <v>-107.08750000000003</v>
      </c>
    </row>
    <row r="176" spans="1:26" ht="13.5" customHeight="1">
      <c r="A176" s="111" t="s">
        <v>8</v>
      </c>
      <c r="B176" s="117">
        <v>41265.833333333336</v>
      </c>
      <c r="D176" s="108" t="s">
        <v>313</v>
      </c>
      <c r="E176" s="109" t="s">
        <v>216</v>
      </c>
      <c r="F176" s="109" t="s">
        <v>268</v>
      </c>
      <c r="H176" s="110">
        <v>2</v>
      </c>
      <c r="I176" s="117">
        <v>41263.803472222222</v>
      </c>
      <c r="J176" s="109" t="s">
        <v>3</v>
      </c>
      <c r="K176" s="6">
        <v>5</v>
      </c>
      <c r="L176" s="10" t="s">
        <v>5</v>
      </c>
      <c r="M176" s="6">
        <f t="shared" si="40"/>
        <v>0</v>
      </c>
      <c r="N176" s="6">
        <f t="shared" si="30"/>
        <v>0</v>
      </c>
      <c r="O176" s="6">
        <f t="shared" si="31"/>
        <v>1</v>
      </c>
      <c r="P176" s="6">
        <f t="shared" si="29"/>
        <v>0</v>
      </c>
      <c r="Q176" s="6">
        <f t="shared" si="33"/>
        <v>-5</v>
      </c>
      <c r="R176" s="30">
        <f t="shared" si="32"/>
        <v>-5</v>
      </c>
      <c r="S176" s="4">
        <f t="shared" si="38"/>
        <v>87.912499999999937</v>
      </c>
      <c r="T176" s="14">
        <f t="shared" si="34"/>
        <v>-6.837499999999995</v>
      </c>
      <c r="U176" s="14">
        <f t="shared" si="36"/>
        <v>-59.85</v>
      </c>
      <c r="V176" s="14">
        <f t="shared" si="37"/>
        <v>3.8000000000000043</v>
      </c>
      <c r="W176" s="14">
        <f t="shared" si="39"/>
        <v>-49.199999999999989</v>
      </c>
      <c r="X176" s="13">
        <v>0</v>
      </c>
      <c r="Y176" s="13">
        <v>0</v>
      </c>
      <c r="Z176" s="13">
        <f t="shared" si="35"/>
        <v>-112.08750000000003</v>
      </c>
    </row>
    <row r="177" spans="1:26" ht="11.25" customHeight="1">
      <c r="A177" s="111" t="s">
        <v>8</v>
      </c>
      <c r="B177" s="117">
        <v>41263.916666666664</v>
      </c>
      <c r="D177" s="108" t="s">
        <v>314</v>
      </c>
      <c r="E177" s="109" t="s">
        <v>117</v>
      </c>
      <c r="F177" s="109" t="s">
        <v>219</v>
      </c>
      <c r="H177" s="110" t="s">
        <v>415</v>
      </c>
      <c r="I177" s="117">
        <v>41263.851388888892</v>
      </c>
      <c r="J177" s="109" t="s">
        <v>3</v>
      </c>
      <c r="K177" s="6">
        <v>5</v>
      </c>
      <c r="L177" s="10" t="s">
        <v>7</v>
      </c>
      <c r="M177" s="6">
        <f t="shared" si="40"/>
        <v>8.35</v>
      </c>
      <c r="N177" s="6">
        <f t="shared" si="30"/>
        <v>1</v>
      </c>
      <c r="O177" s="6">
        <f t="shared" si="31"/>
        <v>0</v>
      </c>
      <c r="P177" s="6">
        <f t="shared" si="29"/>
        <v>0</v>
      </c>
      <c r="Q177" s="6">
        <f t="shared" si="33"/>
        <v>3.3499999999999996</v>
      </c>
      <c r="R177" s="30">
        <f t="shared" si="32"/>
        <v>3.3499999999999996</v>
      </c>
      <c r="S177" s="4">
        <f t="shared" si="38"/>
        <v>91.262499999999932</v>
      </c>
      <c r="T177" s="14">
        <f t="shared" si="34"/>
        <v>-3.4874999999999954</v>
      </c>
      <c r="U177" s="14">
        <f t="shared" si="36"/>
        <v>-59.85</v>
      </c>
      <c r="V177" s="14">
        <f t="shared" si="37"/>
        <v>3.8000000000000043</v>
      </c>
      <c r="W177" s="14">
        <f t="shared" si="39"/>
        <v>-49.199999999999989</v>
      </c>
      <c r="X177" s="13">
        <v>0</v>
      </c>
      <c r="Y177" s="13">
        <v>0</v>
      </c>
      <c r="Z177" s="13">
        <f t="shared" si="35"/>
        <v>-108.73750000000004</v>
      </c>
    </row>
    <row r="178" spans="1:26" ht="11.25" customHeight="1">
      <c r="A178" s="111" t="s">
        <v>8</v>
      </c>
      <c r="B178" s="117">
        <v>41263.916666666664</v>
      </c>
      <c r="D178" s="108" t="s">
        <v>309</v>
      </c>
      <c r="E178" s="109" t="s">
        <v>31</v>
      </c>
      <c r="F178" s="109" t="s">
        <v>315</v>
      </c>
      <c r="H178" s="110" t="s">
        <v>390</v>
      </c>
      <c r="I178" s="117">
        <v>41263.857638888891</v>
      </c>
      <c r="J178" s="109" t="s">
        <v>3</v>
      </c>
      <c r="K178" s="6">
        <v>5</v>
      </c>
      <c r="L178" s="10" t="s">
        <v>7</v>
      </c>
      <c r="M178" s="6">
        <f t="shared" si="40"/>
        <v>8.75</v>
      </c>
      <c r="N178" s="6">
        <f t="shared" si="30"/>
        <v>1</v>
      </c>
      <c r="O178" s="6">
        <f t="shared" si="31"/>
        <v>0</v>
      </c>
      <c r="P178" s="6">
        <f t="shared" si="29"/>
        <v>0</v>
      </c>
      <c r="Q178" s="6">
        <f t="shared" si="33"/>
        <v>3.75</v>
      </c>
      <c r="R178" s="30">
        <f t="shared" si="32"/>
        <v>3.75</v>
      </c>
      <c r="S178" s="4">
        <f t="shared" si="38"/>
        <v>95.012499999999932</v>
      </c>
      <c r="T178" s="14">
        <f t="shared" si="34"/>
        <v>0.26250000000000462</v>
      </c>
      <c r="U178" s="14">
        <f t="shared" si="36"/>
        <v>-59.85</v>
      </c>
      <c r="V178" s="14">
        <f t="shared" si="37"/>
        <v>3.8000000000000043</v>
      </c>
      <c r="W178" s="14">
        <f t="shared" si="39"/>
        <v>-49.199999999999989</v>
      </c>
      <c r="X178" s="13">
        <v>0</v>
      </c>
      <c r="Y178" s="13">
        <v>0</v>
      </c>
      <c r="Z178" s="13">
        <f t="shared" si="35"/>
        <v>-104.98750000000004</v>
      </c>
    </row>
    <row r="179" spans="1:26" ht="11.25" customHeight="1">
      <c r="A179" s="111" t="s">
        <v>8</v>
      </c>
      <c r="B179" s="117">
        <v>41264.045138888891</v>
      </c>
      <c r="D179" s="108" t="s">
        <v>316</v>
      </c>
      <c r="E179" s="109" t="s">
        <v>150</v>
      </c>
      <c r="F179" s="109" t="s">
        <v>317</v>
      </c>
      <c r="H179" s="110" t="s">
        <v>415</v>
      </c>
      <c r="I179" s="117">
        <v>41263.859027777777</v>
      </c>
      <c r="J179" s="109" t="s">
        <v>9</v>
      </c>
      <c r="K179" s="6">
        <v>5</v>
      </c>
      <c r="L179" s="10" t="s">
        <v>5</v>
      </c>
      <c r="M179" s="6">
        <f t="shared" si="40"/>
        <v>0</v>
      </c>
      <c r="N179" s="6">
        <f t="shared" si="30"/>
        <v>0</v>
      </c>
      <c r="O179" s="6">
        <f t="shared" si="31"/>
        <v>1</v>
      </c>
      <c r="P179" s="6">
        <f t="shared" si="29"/>
        <v>0</v>
      </c>
      <c r="Q179" s="6">
        <f t="shared" si="33"/>
        <v>-5</v>
      </c>
      <c r="R179" s="30">
        <f t="shared" si="32"/>
        <v>-5</v>
      </c>
      <c r="S179" s="4">
        <f t="shared" si="38"/>
        <v>90.012499999999932</v>
      </c>
      <c r="T179" s="14">
        <f t="shared" si="34"/>
        <v>-4.7374999999999954</v>
      </c>
      <c r="U179" s="14">
        <f t="shared" si="36"/>
        <v>-59.85</v>
      </c>
      <c r="V179" s="14">
        <f t="shared" si="37"/>
        <v>3.8000000000000043</v>
      </c>
      <c r="W179" s="14">
        <f t="shared" si="39"/>
        <v>-49.199999999999989</v>
      </c>
      <c r="X179" s="13">
        <v>0</v>
      </c>
      <c r="Y179" s="13">
        <v>0</v>
      </c>
      <c r="Z179" s="13">
        <f t="shared" si="35"/>
        <v>-109.98750000000004</v>
      </c>
    </row>
    <row r="180" spans="1:26" ht="11.25" customHeight="1">
      <c r="A180" s="111" t="s">
        <v>8</v>
      </c>
      <c r="B180" s="117">
        <v>41264.78125</v>
      </c>
      <c r="D180" s="108" t="s">
        <v>321</v>
      </c>
      <c r="E180" s="109" t="s">
        <v>31</v>
      </c>
      <c r="F180" s="109" t="s">
        <v>322</v>
      </c>
      <c r="H180" s="110" t="s">
        <v>423</v>
      </c>
      <c r="I180" s="117">
        <v>41264.732638888891</v>
      </c>
      <c r="J180" s="109" t="s">
        <v>3</v>
      </c>
      <c r="K180" s="6">
        <v>5</v>
      </c>
      <c r="L180" s="10" t="s">
        <v>7</v>
      </c>
      <c r="M180" s="6">
        <f t="shared" si="40"/>
        <v>8</v>
      </c>
      <c r="N180" s="6">
        <f t="shared" si="30"/>
        <v>1</v>
      </c>
      <c r="O180" s="6">
        <f t="shared" si="31"/>
        <v>0</v>
      </c>
      <c r="P180" s="6">
        <f t="shared" si="29"/>
        <v>0</v>
      </c>
      <c r="Q180" s="6">
        <f t="shared" si="33"/>
        <v>3</v>
      </c>
      <c r="R180" s="30">
        <f t="shared" si="32"/>
        <v>3</v>
      </c>
      <c r="S180" s="4">
        <f t="shared" si="38"/>
        <v>93.012499999999932</v>
      </c>
      <c r="T180" s="14">
        <f t="shared" si="34"/>
        <v>-1.7374999999999954</v>
      </c>
      <c r="U180" s="14">
        <f t="shared" si="36"/>
        <v>-59.85</v>
      </c>
      <c r="V180" s="14">
        <f t="shared" si="37"/>
        <v>3.8000000000000043</v>
      </c>
      <c r="W180" s="14">
        <f t="shared" si="39"/>
        <v>-49.199999999999989</v>
      </c>
      <c r="X180" s="13">
        <v>0</v>
      </c>
      <c r="Y180" s="13">
        <v>0</v>
      </c>
      <c r="Z180" s="13">
        <f t="shared" si="35"/>
        <v>-106.98750000000004</v>
      </c>
    </row>
    <row r="181" spans="1:26" ht="11.25" customHeight="1">
      <c r="A181" s="111" t="s">
        <v>8</v>
      </c>
      <c r="B181" s="117">
        <v>41264.78125</v>
      </c>
      <c r="D181" s="108" t="s">
        <v>323</v>
      </c>
      <c r="E181" s="109" t="s">
        <v>311</v>
      </c>
      <c r="F181" s="109" t="s">
        <v>324</v>
      </c>
      <c r="H181" s="110" t="s">
        <v>394</v>
      </c>
      <c r="I181" s="117">
        <v>41264.73333333333</v>
      </c>
      <c r="J181" s="109" t="s">
        <v>3</v>
      </c>
      <c r="K181" s="6">
        <v>5</v>
      </c>
      <c r="L181" s="10" t="s">
        <v>5</v>
      </c>
      <c r="M181" s="6">
        <f t="shared" si="40"/>
        <v>0</v>
      </c>
      <c r="N181" s="6">
        <f t="shared" si="30"/>
        <v>0</v>
      </c>
      <c r="O181" s="6">
        <f t="shared" si="31"/>
        <v>1</v>
      </c>
      <c r="P181" s="6">
        <f t="shared" si="29"/>
        <v>0</v>
      </c>
      <c r="Q181" s="6">
        <f t="shared" si="33"/>
        <v>-5</v>
      </c>
      <c r="R181" s="30">
        <f t="shared" si="32"/>
        <v>-5</v>
      </c>
      <c r="S181" s="4">
        <f t="shared" si="38"/>
        <v>88.012499999999932</v>
      </c>
      <c r="T181" s="14">
        <f t="shared" si="34"/>
        <v>-6.7374999999999954</v>
      </c>
      <c r="U181" s="14">
        <f t="shared" si="36"/>
        <v>-59.85</v>
      </c>
      <c r="V181" s="14">
        <f t="shared" si="37"/>
        <v>3.8000000000000043</v>
      </c>
      <c r="W181" s="14">
        <f t="shared" si="39"/>
        <v>-49.199999999999989</v>
      </c>
      <c r="X181" s="13">
        <v>0</v>
      </c>
      <c r="Y181" s="13">
        <v>0</v>
      </c>
      <c r="Z181" s="13">
        <f t="shared" si="35"/>
        <v>-111.98750000000004</v>
      </c>
    </row>
    <row r="182" spans="1:26" ht="11.25" customHeight="1">
      <c r="A182" s="111" t="s">
        <v>8</v>
      </c>
      <c r="B182" s="117">
        <v>41264.864583333336</v>
      </c>
      <c r="D182" s="108" t="s">
        <v>302</v>
      </c>
      <c r="E182" s="109" t="s">
        <v>271</v>
      </c>
      <c r="F182" s="109" t="s">
        <v>15</v>
      </c>
      <c r="H182" s="110" t="s">
        <v>440</v>
      </c>
      <c r="I182" s="117">
        <v>41264.734722222223</v>
      </c>
      <c r="J182" s="109" t="s">
        <v>3</v>
      </c>
      <c r="K182" s="6">
        <v>5</v>
      </c>
      <c r="L182" s="10" t="s">
        <v>5</v>
      </c>
      <c r="M182" s="6">
        <f t="shared" si="40"/>
        <v>0</v>
      </c>
      <c r="N182" s="6">
        <f t="shared" si="30"/>
        <v>0</v>
      </c>
      <c r="O182" s="6">
        <f t="shared" si="31"/>
        <v>1</v>
      </c>
      <c r="P182" s="6">
        <f t="shared" si="29"/>
        <v>0</v>
      </c>
      <c r="Q182" s="6">
        <f t="shared" si="33"/>
        <v>-5</v>
      </c>
      <c r="R182" s="30">
        <f t="shared" si="32"/>
        <v>-5</v>
      </c>
      <c r="S182" s="4">
        <f t="shared" si="38"/>
        <v>83.012499999999932</v>
      </c>
      <c r="T182" s="14">
        <f t="shared" si="34"/>
        <v>-11.737499999999995</v>
      </c>
      <c r="U182" s="14">
        <f t="shared" si="36"/>
        <v>-59.85</v>
      </c>
      <c r="V182" s="14">
        <f t="shared" si="37"/>
        <v>3.8000000000000043</v>
      </c>
      <c r="W182" s="14">
        <f t="shared" si="39"/>
        <v>-49.199999999999989</v>
      </c>
      <c r="X182" s="13">
        <v>0</v>
      </c>
      <c r="Y182" s="13">
        <v>0</v>
      </c>
      <c r="Z182" s="13">
        <f t="shared" si="35"/>
        <v>-116.98750000000004</v>
      </c>
    </row>
    <row r="183" spans="1:26" ht="11.25" customHeight="1">
      <c r="A183" s="111" t="s">
        <v>8</v>
      </c>
      <c r="B183" s="117">
        <v>41264.78125</v>
      </c>
      <c r="D183" s="108" t="s">
        <v>325</v>
      </c>
      <c r="E183" s="109" t="s">
        <v>326</v>
      </c>
      <c r="F183" s="109" t="s">
        <v>327</v>
      </c>
      <c r="H183" s="110" t="s">
        <v>445</v>
      </c>
      <c r="I183" s="117">
        <v>41264.73541666667</v>
      </c>
      <c r="J183" s="109" t="s">
        <v>3</v>
      </c>
      <c r="K183" s="6">
        <v>5</v>
      </c>
      <c r="L183" s="10" t="s">
        <v>7</v>
      </c>
      <c r="M183" s="6">
        <f t="shared" si="40"/>
        <v>9.5</v>
      </c>
      <c r="N183" s="6">
        <f t="shared" si="30"/>
        <v>1</v>
      </c>
      <c r="O183" s="6">
        <f t="shared" si="31"/>
        <v>0</v>
      </c>
      <c r="P183" s="6">
        <f t="shared" si="29"/>
        <v>0</v>
      </c>
      <c r="Q183" s="6">
        <f t="shared" si="33"/>
        <v>4.5</v>
      </c>
      <c r="R183" s="30">
        <f t="shared" si="32"/>
        <v>4.5</v>
      </c>
      <c r="S183" s="4">
        <f t="shared" si="38"/>
        <v>87.512499999999932</v>
      </c>
      <c r="T183" s="14">
        <f t="shared" si="34"/>
        <v>-7.2374999999999954</v>
      </c>
      <c r="U183" s="14">
        <f t="shared" si="36"/>
        <v>-59.85</v>
      </c>
      <c r="V183" s="14">
        <f t="shared" si="37"/>
        <v>3.8000000000000043</v>
      </c>
      <c r="W183" s="14">
        <f t="shared" si="39"/>
        <v>-49.199999999999989</v>
      </c>
      <c r="X183" s="13">
        <v>0</v>
      </c>
      <c r="Y183" s="13">
        <v>0</v>
      </c>
      <c r="Z183" s="13">
        <f t="shared" si="35"/>
        <v>-112.48750000000004</v>
      </c>
    </row>
    <row r="184" spans="1:26" ht="11.25" customHeight="1">
      <c r="A184" s="111" t="s">
        <v>8</v>
      </c>
      <c r="B184" s="117">
        <v>41264.836805555555</v>
      </c>
      <c r="D184" s="108" t="s">
        <v>328</v>
      </c>
      <c r="E184" s="109" t="s">
        <v>29</v>
      </c>
      <c r="F184" s="109" t="s">
        <v>329</v>
      </c>
      <c r="H184" s="110" t="s">
        <v>454</v>
      </c>
      <c r="I184" s="117">
        <v>41264.736111111109</v>
      </c>
      <c r="J184" s="109" t="s">
        <v>53</v>
      </c>
      <c r="K184" s="6">
        <v>5</v>
      </c>
      <c r="L184" s="10" t="s">
        <v>7</v>
      </c>
      <c r="M184" s="6">
        <f t="shared" si="40"/>
        <v>10.25</v>
      </c>
      <c r="N184" s="6">
        <f t="shared" si="30"/>
        <v>1</v>
      </c>
      <c r="O184" s="6">
        <f t="shared" si="31"/>
        <v>0</v>
      </c>
      <c r="P184" s="6">
        <f t="shared" si="29"/>
        <v>0</v>
      </c>
      <c r="Q184" s="6">
        <f t="shared" si="33"/>
        <v>5.25</v>
      </c>
      <c r="R184" s="30">
        <f t="shared" si="32"/>
        <v>5.25</v>
      </c>
      <c r="S184" s="4">
        <f t="shared" si="38"/>
        <v>92.762499999999932</v>
      </c>
      <c r="T184" s="14">
        <f t="shared" si="34"/>
        <v>-1.9874999999999954</v>
      </c>
      <c r="U184" s="14">
        <f t="shared" si="36"/>
        <v>-59.85</v>
      </c>
      <c r="V184" s="14">
        <f t="shared" si="37"/>
        <v>3.8000000000000043</v>
      </c>
      <c r="W184" s="14">
        <f t="shared" si="39"/>
        <v>-49.199999999999989</v>
      </c>
      <c r="X184" s="13">
        <v>0</v>
      </c>
      <c r="Y184" s="13">
        <v>0</v>
      </c>
      <c r="Z184" s="13">
        <f t="shared" si="35"/>
        <v>-107.23750000000004</v>
      </c>
    </row>
    <row r="185" spans="1:26" ht="11.25" customHeight="1">
      <c r="A185" s="111" t="s">
        <v>8</v>
      </c>
      <c r="B185" s="117">
        <v>41264.836805555555</v>
      </c>
      <c r="D185" s="108" t="s">
        <v>320</v>
      </c>
      <c r="E185" s="109" t="s">
        <v>318</v>
      </c>
      <c r="F185" s="109" t="s">
        <v>319</v>
      </c>
      <c r="H185" s="110" t="s">
        <v>446</v>
      </c>
      <c r="I185" s="117">
        <v>41264.737500000003</v>
      </c>
      <c r="J185" s="109" t="s">
        <v>53</v>
      </c>
      <c r="K185" s="6">
        <v>5</v>
      </c>
      <c r="L185" s="10" t="s">
        <v>5</v>
      </c>
      <c r="M185" s="6">
        <f t="shared" si="40"/>
        <v>0</v>
      </c>
      <c r="N185" s="6">
        <f t="shared" si="30"/>
        <v>0</v>
      </c>
      <c r="O185" s="6">
        <f t="shared" si="31"/>
        <v>1</v>
      </c>
      <c r="P185" s="6">
        <f t="shared" si="29"/>
        <v>0</v>
      </c>
      <c r="Q185" s="6">
        <f t="shared" si="33"/>
        <v>-5</v>
      </c>
      <c r="R185" s="30">
        <f t="shared" si="32"/>
        <v>-5</v>
      </c>
      <c r="S185" s="4">
        <f t="shared" si="38"/>
        <v>87.762499999999932</v>
      </c>
      <c r="T185" s="14">
        <f t="shared" si="34"/>
        <v>-6.9874999999999954</v>
      </c>
      <c r="U185" s="14">
        <f t="shared" si="36"/>
        <v>-59.85</v>
      </c>
      <c r="V185" s="14">
        <f t="shared" si="37"/>
        <v>3.8000000000000043</v>
      </c>
      <c r="W185" s="14">
        <f t="shared" si="39"/>
        <v>-49.199999999999989</v>
      </c>
      <c r="X185" s="13">
        <v>0</v>
      </c>
      <c r="Y185" s="13">
        <v>0</v>
      </c>
      <c r="Z185" s="13">
        <f t="shared" si="35"/>
        <v>-112.23750000000004</v>
      </c>
    </row>
    <row r="186" spans="1:26" ht="11.25" customHeight="1">
      <c r="A186" s="111" t="s">
        <v>8</v>
      </c>
      <c r="B186" s="117">
        <v>41265.045138888891</v>
      </c>
      <c r="D186" s="108" t="s">
        <v>330</v>
      </c>
      <c r="E186" s="109" t="s">
        <v>150</v>
      </c>
      <c r="F186" s="109" t="s">
        <v>331</v>
      </c>
      <c r="H186" s="110" t="s">
        <v>444</v>
      </c>
      <c r="I186" s="117">
        <v>41264.90347222222</v>
      </c>
      <c r="J186" s="109" t="s">
        <v>9</v>
      </c>
      <c r="K186" s="6">
        <v>5</v>
      </c>
      <c r="L186" s="10" t="s">
        <v>5</v>
      </c>
      <c r="M186" s="6">
        <f t="shared" si="40"/>
        <v>0</v>
      </c>
      <c r="N186" s="6">
        <f t="shared" si="30"/>
        <v>0</v>
      </c>
      <c r="O186" s="6">
        <f t="shared" si="31"/>
        <v>1</v>
      </c>
      <c r="P186" s="6">
        <f t="shared" si="29"/>
        <v>0</v>
      </c>
      <c r="Q186" s="6">
        <f t="shared" si="33"/>
        <v>-5</v>
      </c>
      <c r="R186" s="30">
        <f t="shared" si="32"/>
        <v>-5</v>
      </c>
      <c r="S186" s="4">
        <f t="shared" ref="S186:S215" si="41">IF(L186=0,S185-K186,S185+M186-K186)</f>
        <v>82.762499999999932</v>
      </c>
      <c r="T186" s="14">
        <f t="shared" si="34"/>
        <v>-11.987499999999995</v>
      </c>
      <c r="U186" s="14">
        <f t="shared" si="36"/>
        <v>-59.85</v>
      </c>
      <c r="V186" s="14">
        <f t="shared" si="37"/>
        <v>3.8000000000000043</v>
      </c>
      <c r="W186" s="14">
        <f t="shared" si="39"/>
        <v>-49.199999999999989</v>
      </c>
      <c r="X186" s="13">
        <v>0</v>
      </c>
      <c r="Y186" s="13">
        <v>0</v>
      </c>
      <c r="Z186" s="13">
        <f t="shared" si="35"/>
        <v>-117.23750000000004</v>
      </c>
    </row>
    <row r="187" spans="1:26" ht="11.25" customHeight="1">
      <c r="A187" s="111" t="s">
        <v>58</v>
      </c>
      <c r="B187" s="117">
        <v>41265.583333333336</v>
      </c>
      <c r="D187" s="108" t="s">
        <v>332</v>
      </c>
      <c r="E187" s="109" t="s">
        <v>31</v>
      </c>
      <c r="F187" s="109" t="s">
        <v>42</v>
      </c>
      <c r="H187" s="110" t="s">
        <v>425</v>
      </c>
      <c r="I187" s="117">
        <v>41264.948611111111</v>
      </c>
      <c r="J187" s="109" t="s">
        <v>3</v>
      </c>
      <c r="K187" s="6">
        <v>5</v>
      </c>
      <c r="L187" s="10" t="s">
        <v>7</v>
      </c>
      <c r="M187" s="6">
        <f t="shared" si="40"/>
        <v>11.25</v>
      </c>
      <c r="N187" s="6">
        <f t="shared" si="30"/>
        <v>1</v>
      </c>
      <c r="O187" s="6">
        <f t="shared" si="31"/>
        <v>0</v>
      </c>
      <c r="P187" s="6">
        <f t="shared" si="29"/>
        <v>0</v>
      </c>
      <c r="Q187" s="6">
        <f t="shared" si="33"/>
        <v>6.25</v>
      </c>
      <c r="R187" s="30">
        <f t="shared" si="32"/>
        <v>6.25</v>
      </c>
      <c r="S187" s="4">
        <f t="shared" si="41"/>
        <v>89.012499999999932</v>
      </c>
      <c r="T187" s="14">
        <f t="shared" si="34"/>
        <v>-11.987499999999995</v>
      </c>
      <c r="U187" s="14">
        <f t="shared" si="36"/>
        <v>-59.85</v>
      </c>
      <c r="V187" s="14">
        <f t="shared" si="37"/>
        <v>10.050000000000004</v>
      </c>
      <c r="W187" s="14">
        <f t="shared" si="39"/>
        <v>-49.199999999999989</v>
      </c>
      <c r="X187" s="13">
        <v>0</v>
      </c>
      <c r="Y187" s="13">
        <v>0</v>
      </c>
      <c r="Z187" s="13">
        <f t="shared" si="35"/>
        <v>-110.98750000000004</v>
      </c>
    </row>
    <row r="188" spans="1:26" ht="11.25" customHeight="1">
      <c r="A188" s="111" t="s">
        <v>58</v>
      </c>
      <c r="B188" s="117">
        <v>41265.572916666664</v>
      </c>
      <c r="D188" s="108" t="s">
        <v>333</v>
      </c>
      <c r="E188" s="109" t="s">
        <v>31</v>
      </c>
      <c r="F188" s="109" t="s">
        <v>171</v>
      </c>
      <c r="H188" s="110" t="s">
        <v>412</v>
      </c>
      <c r="I188" s="117">
        <v>41264.950694444444</v>
      </c>
      <c r="J188" s="109" t="s">
        <v>3</v>
      </c>
      <c r="K188" s="6">
        <v>5</v>
      </c>
      <c r="L188" s="10" t="s">
        <v>7</v>
      </c>
      <c r="M188" s="6">
        <f t="shared" si="40"/>
        <v>8.25</v>
      </c>
      <c r="N188" s="6">
        <f t="shared" si="30"/>
        <v>1</v>
      </c>
      <c r="O188" s="6">
        <f t="shared" si="31"/>
        <v>0</v>
      </c>
      <c r="P188" s="6">
        <f t="shared" si="29"/>
        <v>0</v>
      </c>
      <c r="Q188" s="6">
        <f t="shared" si="33"/>
        <v>3.25</v>
      </c>
      <c r="R188" s="30">
        <f t="shared" si="32"/>
        <v>3.25</v>
      </c>
      <c r="S188" s="4">
        <f t="shared" si="41"/>
        <v>92.262499999999932</v>
      </c>
      <c r="T188" s="14">
        <f t="shared" si="34"/>
        <v>-11.987499999999995</v>
      </c>
      <c r="U188" s="14">
        <f t="shared" si="36"/>
        <v>-59.85</v>
      </c>
      <c r="V188" s="14">
        <f t="shared" si="37"/>
        <v>13.300000000000004</v>
      </c>
      <c r="W188" s="14">
        <f t="shared" si="39"/>
        <v>-49.199999999999989</v>
      </c>
      <c r="X188" s="13">
        <v>0</v>
      </c>
      <c r="Y188" s="13">
        <v>0</v>
      </c>
      <c r="Z188" s="13">
        <f t="shared" si="35"/>
        <v>-107.73750000000004</v>
      </c>
    </row>
    <row r="189" spans="1:26" ht="11.25" customHeight="1">
      <c r="A189" s="111" t="s">
        <v>58</v>
      </c>
      <c r="B189" s="117">
        <v>41265.520833333336</v>
      </c>
      <c r="D189" s="108" t="s">
        <v>334</v>
      </c>
      <c r="E189" s="109" t="s">
        <v>31</v>
      </c>
      <c r="F189" s="109" t="s">
        <v>136</v>
      </c>
      <c r="H189" s="110" t="s">
        <v>406</v>
      </c>
      <c r="I189" s="117">
        <v>41264.952777777777</v>
      </c>
      <c r="J189" s="109" t="s">
        <v>3</v>
      </c>
      <c r="K189" s="6">
        <v>5</v>
      </c>
      <c r="L189" s="10" t="s">
        <v>5</v>
      </c>
      <c r="M189" s="6">
        <f t="shared" si="40"/>
        <v>0</v>
      </c>
      <c r="N189" s="6">
        <f t="shared" si="30"/>
        <v>0</v>
      </c>
      <c r="O189" s="6">
        <f t="shared" si="31"/>
        <v>1</v>
      </c>
      <c r="P189" s="6">
        <f t="shared" si="29"/>
        <v>0</v>
      </c>
      <c r="Q189" s="6">
        <f t="shared" si="33"/>
        <v>-5</v>
      </c>
      <c r="R189" s="30">
        <f t="shared" si="32"/>
        <v>-5</v>
      </c>
      <c r="S189" s="4">
        <f t="shared" si="41"/>
        <v>87.262499999999932</v>
      </c>
      <c r="T189" s="14">
        <f t="shared" si="34"/>
        <v>-11.987499999999995</v>
      </c>
      <c r="U189" s="14">
        <f t="shared" si="36"/>
        <v>-59.85</v>
      </c>
      <c r="V189" s="14">
        <f t="shared" si="37"/>
        <v>8.3000000000000043</v>
      </c>
      <c r="W189" s="14">
        <f t="shared" si="39"/>
        <v>-49.199999999999989</v>
      </c>
      <c r="X189" s="13">
        <v>0</v>
      </c>
      <c r="Y189" s="13">
        <v>0</v>
      </c>
      <c r="Z189" s="13">
        <f t="shared" si="35"/>
        <v>-112.73750000000004</v>
      </c>
    </row>
    <row r="190" spans="1:26" ht="11.25" customHeight="1">
      <c r="A190" s="111" t="s">
        <v>58</v>
      </c>
      <c r="B190" s="117">
        <v>41265.770833333336</v>
      </c>
      <c r="D190" s="108" t="s">
        <v>335</v>
      </c>
      <c r="E190" s="109" t="s">
        <v>31</v>
      </c>
      <c r="F190" s="109" t="s">
        <v>336</v>
      </c>
      <c r="H190" s="110" t="s">
        <v>414</v>
      </c>
      <c r="I190" s="117">
        <v>41264.953472222223</v>
      </c>
      <c r="J190" s="109" t="s">
        <v>3</v>
      </c>
      <c r="K190" s="6">
        <v>5</v>
      </c>
      <c r="L190" s="10" t="s">
        <v>7</v>
      </c>
      <c r="M190" s="6">
        <f t="shared" si="40"/>
        <v>7.65</v>
      </c>
      <c r="N190" s="6">
        <f t="shared" si="30"/>
        <v>1</v>
      </c>
      <c r="O190" s="6">
        <f t="shared" si="31"/>
        <v>0</v>
      </c>
      <c r="P190" s="6">
        <f t="shared" si="29"/>
        <v>0</v>
      </c>
      <c r="Q190" s="6">
        <f t="shared" si="33"/>
        <v>2.6500000000000004</v>
      </c>
      <c r="R190" s="30">
        <f t="shared" si="32"/>
        <v>2.6500000000000004</v>
      </c>
      <c r="S190" s="4">
        <f t="shared" si="41"/>
        <v>89.912499999999937</v>
      </c>
      <c r="T190" s="14">
        <f t="shared" si="34"/>
        <v>-11.987499999999995</v>
      </c>
      <c r="U190" s="14">
        <f t="shared" si="36"/>
        <v>-59.85</v>
      </c>
      <c r="V190" s="14">
        <f t="shared" si="37"/>
        <v>10.950000000000005</v>
      </c>
      <c r="W190" s="14">
        <f t="shared" si="39"/>
        <v>-49.199999999999989</v>
      </c>
      <c r="X190" s="13">
        <v>0</v>
      </c>
      <c r="Y190" s="13">
        <v>0</v>
      </c>
      <c r="Z190" s="13">
        <f t="shared" si="35"/>
        <v>-110.08750000000003</v>
      </c>
    </row>
    <row r="191" spans="1:26" ht="12" customHeight="1">
      <c r="A191" s="111" t="s">
        <v>58</v>
      </c>
      <c r="B191" s="117">
        <v>41266.59375</v>
      </c>
      <c r="D191" s="108" t="s">
        <v>337</v>
      </c>
      <c r="E191" s="109" t="s">
        <v>338</v>
      </c>
      <c r="F191" s="109" t="s">
        <v>164</v>
      </c>
      <c r="H191" s="110" t="s">
        <v>405</v>
      </c>
      <c r="I191" s="117">
        <v>41264.994444444441</v>
      </c>
      <c r="J191" s="109" t="s">
        <v>3</v>
      </c>
      <c r="K191" s="6">
        <v>5</v>
      </c>
      <c r="L191" s="10" t="s">
        <v>5</v>
      </c>
      <c r="M191" s="6">
        <f t="shared" si="40"/>
        <v>0</v>
      </c>
      <c r="N191" s="6">
        <f t="shared" si="30"/>
        <v>0</v>
      </c>
      <c r="O191" s="6">
        <f t="shared" si="31"/>
        <v>1</v>
      </c>
      <c r="P191" s="6">
        <f t="shared" si="29"/>
        <v>0</v>
      </c>
      <c r="Q191" s="6">
        <f t="shared" si="33"/>
        <v>-5</v>
      </c>
      <c r="R191" s="30">
        <f t="shared" si="32"/>
        <v>-5</v>
      </c>
      <c r="S191" s="4">
        <f t="shared" si="41"/>
        <v>84.912499999999937</v>
      </c>
      <c r="T191" s="14">
        <f t="shared" si="34"/>
        <v>-11.987499999999995</v>
      </c>
      <c r="U191" s="14">
        <f t="shared" si="36"/>
        <v>-59.85</v>
      </c>
      <c r="V191" s="14">
        <f t="shared" si="37"/>
        <v>5.9500000000000046</v>
      </c>
      <c r="W191" s="14">
        <f t="shared" si="39"/>
        <v>-49.199999999999989</v>
      </c>
      <c r="X191" s="13">
        <v>0</v>
      </c>
      <c r="Y191" s="13">
        <v>0</v>
      </c>
      <c r="Z191" s="13">
        <f t="shared" si="35"/>
        <v>-115.08750000000003</v>
      </c>
    </row>
    <row r="192" spans="1:26" ht="11.25" customHeight="1">
      <c r="A192" s="111" t="s">
        <v>8</v>
      </c>
      <c r="B192" s="117">
        <v>41265.045138888891</v>
      </c>
      <c r="D192" s="108" t="s">
        <v>339</v>
      </c>
      <c r="E192" s="109" t="s">
        <v>157</v>
      </c>
      <c r="F192" s="109" t="s">
        <v>340</v>
      </c>
      <c r="H192" s="110" t="s">
        <v>415</v>
      </c>
      <c r="I192" s="117">
        <v>41265.018750000003</v>
      </c>
      <c r="J192" s="109" t="s">
        <v>9</v>
      </c>
      <c r="K192" s="6">
        <v>5</v>
      </c>
      <c r="L192" s="10" t="s">
        <v>5</v>
      </c>
      <c r="M192" s="6">
        <f t="shared" si="40"/>
        <v>0</v>
      </c>
      <c r="N192" s="6">
        <f t="shared" si="30"/>
        <v>0</v>
      </c>
      <c r="O192" s="6">
        <f t="shared" si="31"/>
        <v>1</v>
      </c>
      <c r="P192" s="6">
        <f t="shared" si="29"/>
        <v>0</v>
      </c>
      <c r="Q192" s="6">
        <f t="shared" si="33"/>
        <v>-5</v>
      </c>
      <c r="R192" s="30">
        <f t="shared" si="32"/>
        <v>-5</v>
      </c>
      <c r="S192" s="4">
        <f t="shared" si="41"/>
        <v>79.912499999999937</v>
      </c>
      <c r="T192" s="14">
        <f t="shared" si="34"/>
        <v>-16.987499999999997</v>
      </c>
      <c r="U192" s="14">
        <f t="shared" si="36"/>
        <v>-59.85</v>
      </c>
      <c r="V192" s="14">
        <f t="shared" si="37"/>
        <v>5.9500000000000046</v>
      </c>
      <c r="W192" s="14">
        <f t="shared" si="39"/>
        <v>-49.199999999999989</v>
      </c>
      <c r="X192" s="13">
        <v>0</v>
      </c>
      <c r="Y192" s="13">
        <v>0</v>
      </c>
      <c r="Z192" s="13">
        <f t="shared" si="35"/>
        <v>-120.08750000000003</v>
      </c>
    </row>
    <row r="193" spans="1:26" ht="11.25" customHeight="1">
      <c r="A193" s="111" t="s">
        <v>8</v>
      </c>
      <c r="B193" s="117">
        <v>41265.625</v>
      </c>
      <c r="D193" s="108" t="s">
        <v>341</v>
      </c>
      <c r="E193" s="109" t="s">
        <v>31</v>
      </c>
      <c r="F193" s="109" t="s">
        <v>236</v>
      </c>
      <c r="H193" s="110" t="s">
        <v>436</v>
      </c>
      <c r="I193" s="117">
        <v>41265.022222222222</v>
      </c>
      <c r="J193" s="109" t="s">
        <v>53</v>
      </c>
      <c r="K193" s="6">
        <v>5</v>
      </c>
      <c r="L193" s="10" t="s">
        <v>7</v>
      </c>
      <c r="M193" s="6">
        <f t="shared" si="40"/>
        <v>10.75</v>
      </c>
      <c r="N193" s="6">
        <f t="shared" si="30"/>
        <v>1</v>
      </c>
      <c r="O193" s="6">
        <f t="shared" si="31"/>
        <v>0</v>
      </c>
      <c r="P193" s="6">
        <f t="shared" si="29"/>
        <v>0</v>
      </c>
      <c r="Q193" s="6">
        <f t="shared" si="33"/>
        <v>5.75</v>
      </c>
      <c r="R193" s="30">
        <f t="shared" si="32"/>
        <v>5.75</v>
      </c>
      <c r="S193" s="4">
        <f t="shared" si="41"/>
        <v>85.662499999999937</v>
      </c>
      <c r="T193" s="14">
        <f t="shared" si="34"/>
        <v>-11.237499999999997</v>
      </c>
      <c r="U193" s="14">
        <f t="shared" si="36"/>
        <v>-59.85</v>
      </c>
      <c r="V193" s="14">
        <f t="shared" si="37"/>
        <v>5.9500000000000046</v>
      </c>
      <c r="W193" s="14">
        <f t="shared" si="39"/>
        <v>-49.199999999999989</v>
      </c>
      <c r="X193" s="13">
        <v>0</v>
      </c>
      <c r="Y193" s="13">
        <v>0</v>
      </c>
      <c r="Z193" s="13">
        <f t="shared" si="35"/>
        <v>-114.33750000000003</v>
      </c>
    </row>
    <row r="194" spans="1:26" ht="12.75" customHeight="1">
      <c r="A194" s="111" t="s">
        <v>8</v>
      </c>
      <c r="B194" s="117">
        <v>41265.572916666664</v>
      </c>
      <c r="D194" s="108" t="s">
        <v>333</v>
      </c>
      <c r="E194" s="109" t="s">
        <v>129</v>
      </c>
      <c r="F194" s="109" t="s">
        <v>225</v>
      </c>
      <c r="H194" s="110" t="s">
        <v>443</v>
      </c>
      <c r="I194" s="117">
        <v>41265.513888888891</v>
      </c>
      <c r="J194" s="109" t="s">
        <v>3</v>
      </c>
      <c r="K194" s="6">
        <v>5</v>
      </c>
      <c r="L194" s="10" t="s">
        <v>5</v>
      </c>
      <c r="M194" s="6">
        <f t="shared" si="40"/>
        <v>0</v>
      </c>
      <c r="N194" s="6">
        <f t="shared" si="30"/>
        <v>0</v>
      </c>
      <c r="O194" s="6">
        <f t="shared" si="31"/>
        <v>1</v>
      </c>
      <c r="P194" s="6">
        <f t="shared" ref="P194:P257" si="42">IF(M194&gt;L194,1,0)</f>
        <v>0</v>
      </c>
      <c r="Q194" s="6">
        <f t="shared" si="33"/>
        <v>-5</v>
      </c>
      <c r="R194" s="30">
        <f t="shared" si="32"/>
        <v>-5</v>
      </c>
      <c r="S194" s="4">
        <f t="shared" si="41"/>
        <v>80.662499999999937</v>
      </c>
      <c r="T194" s="14">
        <f t="shared" si="34"/>
        <v>-16.237499999999997</v>
      </c>
      <c r="U194" s="14">
        <f t="shared" si="36"/>
        <v>-59.85</v>
      </c>
      <c r="V194" s="14">
        <f t="shared" si="37"/>
        <v>5.9500000000000046</v>
      </c>
      <c r="W194" s="14">
        <f t="shared" si="39"/>
        <v>-49.199999999999989</v>
      </c>
      <c r="X194" s="13">
        <v>0</v>
      </c>
      <c r="Y194" s="13">
        <v>0</v>
      </c>
      <c r="Z194" s="13">
        <f t="shared" si="35"/>
        <v>-119.33750000000003</v>
      </c>
    </row>
    <row r="195" spans="1:26" ht="11.25" customHeight="1">
      <c r="A195" s="111" t="s">
        <v>8</v>
      </c>
      <c r="B195" s="117">
        <v>41265.833333333336</v>
      </c>
      <c r="D195" s="108" t="s">
        <v>342</v>
      </c>
      <c r="E195" s="109" t="s">
        <v>150</v>
      </c>
      <c r="F195" s="109" t="s">
        <v>343</v>
      </c>
      <c r="H195" s="110" t="s">
        <v>391</v>
      </c>
      <c r="I195" s="117">
        <v>41265.755555555559</v>
      </c>
      <c r="J195" s="109" t="s">
        <v>9</v>
      </c>
      <c r="K195" s="6">
        <v>5</v>
      </c>
      <c r="L195" s="10" t="s">
        <v>7</v>
      </c>
      <c r="M195" s="6">
        <f t="shared" si="40"/>
        <v>8.5</v>
      </c>
      <c r="N195" s="6">
        <f t="shared" ref="N195:N258" si="43">IF(L195="BON",1,0)</f>
        <v>1</v>
      </c>
      <c r="O195" s="6">
        <f t="shared" ref="O195:O258" si="44">IF(L195="PERDU",1,0)</f>
        <v>0</v>
      </c>
      <c r="P195" s="6">
        <f t="shared" si="42"/>
        <v>0</v>
      </c>
      <c r="Q195" s="6">
        <f t="shared" si="33"/>
        <v>3.5</v>
      </c>
      <c r="R195" s="30">
        <f t="shared" ref="R195:R258" si="45">IF(L195=0,K195*-1,M195-K195)</f>
        <v>3.5</v>
      </c>
      <c r="S195" s="4">
        <f t="shared" si="41"/>
        <v>84.162499999999937</v>
      </c>
      <c r="T195" s="14">
        <f t="shared" si="34"/>
        <v>-12.737499999999997</v>
      </c>
      <c r="U195" s="14">
        <f t="shared" si="36"/>
        <v>-59.85</v>
      </c>
      <c r="V195" s="14">
        <f t="shared" si="37"/>
        <v>5.9500000000000046</v>
      </c>
      <c r="W195" s="14">
        <f t="shared" si="39"/>
        <v>-49.199999999999989</v>
      </c>
      <c r="X195" s="13">
        <v>0</v>
      </c>
      <c r="Y195" s="13">
        <v>0</v>
      </c>
      <c r="Z195" s="13">
        <f t="shared" si="35"/>
        <v>-115.83750000000003</v>
      </c>
    </row>
    <row r="196" spans="1:26" ht="11.25" customHeight="1">
      <c r="A196" s="111" t="s">
        <v>8</v>
      </c>
      <c r="B196" s="117">
        <v>41265.833333333336</v>
      </c>
      <c r="D196" s="108" t="s">
        <v>344</v>
      </c>
      <c r="E196" s="109" t="s">
        <v>31</v>
      </c>
      <c r="F196" s="109" t="s">
        <v>345</v>
      </c>
      <c r="H196" s="110" t="s">
        <v>428</v>
      </c>
      <c r="I196" s="117">
        <v>41265.759722222225</v>
      </c>
      <c r="J196" s="109" t="s">
        <v>53</v>
      </c>
      <c r="K196" s="6">
        <v>5</v>
      </c>
      <c r="L196" s="10" t="s">
        <v>5</v>
      </c>
      <c r="M196" s="6">
        <f t="shared" si="40"/>
        <v>0</v>
      </c>
      <c r="N196" s="6">
        <f t="shared" si="43"/>
        <v>0</v>
      </c>
      <c r="O196" s="6">
        <f t="shared" si="44"/>
        <v>1</v>
      </c>
      <c r="P196" s="6">
        <f t="shared" si="42"/>
        <v>0</v>
      </c>
      <c r="Q196" s="6">
        <f t="shared" ref="Q196:Q259" si="46">IF(L196="",0,R196)</f>
        <v>-5</v>
      </c>
      <c r="R196" s="30">
        <f t="shared" si="45"/>
        <v>-5</v>
      </c>
      <c r="S196" s="4">
        <f t="shared" si="41"/>
        <v>79.162499999999937</v>
      </c>
      <c r="T196" s="14">
        <f t="shared" ref="T196:T259" si="47">IF(A196="YANN",T195+R196,T195)</f>
        <v>-17.737499999999997</v>
      </c>
      <c r="U196" s="14">
        <f t="shared" si="36"/>
        <v>-59.85</v>
      </c>
      <c r="V196" s="14">
        <f t="shared" si="37"/>
        <v>5.9500000000000046</v>
      </c>
      <c r="W196" s="14">
        <f t="shared" si="39"/>
        <v>-49.199999999999989</v>
      </c>
      <c r="X196" s="13">
        <v>0</v>
      </c>
      <c r="Y196" s="13">
        <v>0</v>
      </c>
      <c r="Z196" s="13">
        <f t="shared" ref="Z196:Z259" si="48">+Z195+R196</f>
        <v>-120.83750000000003</v>
      </c>
    </row>
    <row r="197" spans="1:26" ht="11.25" customHeight="1">
      <c r="A197" s="111" t="s">
        <v>8</v>
      </c>
      <c r="B197" s="117">
        <v>41266.104166666664</v>
      </c>
      <c r="D197" s="108" t="s">
        <v>346</v>
      </c>
      <c r="E197" s="109" t="s">
        <v>150</v>
      </c>
      <c r="F197" s="109" t="s">
        <v>347</v>
      </c>
      <c r="H197" s="110" t="s">
        <v>412</v>
      </c>
      <c r="I197" s="117">
        <v>41265.905555555553</v>
      </c>
      <c r="J197" s="109" t="s">
        <v>153</v>
      </c>
      <c r="K197" s="6">
        <v>5</v>
      </c>
      <c r="L197" s="10" t="s">
        <v>7</v>
      </c>
      <c r="M197" s="6">
        <f t="shared" si="40"/>
        <v>8.25</v>
      </c>
      <c r="N197" s="6">
        <f t="shared" si="43"/>
        <v>1</v>
      </c>
      <c r="O197" s="6">
        <f t="shared" si="44"/>
        <v>0</v>
      </c>
      <c r="P197" s="6">
        <f t="shared" si="42"/>
        <v>0</v>
      </c>
      <c r="Q197" s="6">
        <f t="shared" si="46"/>
        <v>3.25</v>
      </c>
      <c r="R197" s="30">
        <f t="shared" si="45"/>
        <v>3.25</v>
      </c>
      <c r="S197" s="4">
        <f t="shared" si="41"/>
        <v>82.412499999999937</v>
      </c>
      <c r="T197" s="14">
        <f t="shared" si="47"/>
        <v>-14.487499999999997</v>
      </c>
      <c r="U197" s="14">
        <f t="shared" si="36"/>
        <v>-59.85</v>
      </c>
      <c r="V197" s="14">
        <f t="shared" si="37"/>
        <v>5.9500000000000046</v>
      </c>
      <c r="W197" s="14">
        <f t="shared" si="39"/>
        <v>-49.199999999999989</v>
      </c>
      <c r="X197" s="13">
        <v>0</v>
      </c>
      <c r="Y197" s="13">
        <v>0</v>
      </c>
      <c r="Z197" s="13">
        <f t="shared" si="48"/>
        <v>-117.58750000000003</v>
      </c>
    </row>
    <row r="198" spans="1:26" ht="11.25" customHeight="1">
      <c r="A198" s="111" t="s">
        <v>8</v>
      </c>
      <c r="B198" s="117">
        <v>41266.510416666664</v>
      </c>
      <c r="D198" s="108" t="s">
        <v>352</v>
      </c>
      <c r="E198" s="109" t="s">
        <v>154</v>
      </c>
      <c r="F198" s="109" t="s">
        <v>353</v>
      </c>
      <c r="H198" s="110">
        <v>2</v>
      </c>
      <c r="I198" s="117">
        <v>41266.508333333331</v>
      </c>
      <c r="J198" s="109" t="s">
        <v>9</v>
      </c>
      <c r="K198" s="6">
        <v>5</v>
      </c>
      <c r="L198" s="10" t="s">
        <v>5</v>
      </c>
      <c r="M198" s="6">
        <f t="shared" si="40"/>
        <v>0</v>
      </c>
      <c r="N198" s="6">
        <f t="shared" si="43"/>
        <v>0</v>
      </c>
      <c r="O198" s="6">
        <f t="shared" si="44"/>
        <v>1</v>
      </c>
      <c r="P198" s="6">
        <f t="shared" si="42"/>
        <v>0</v>
      </c>
      <c r="Q198" s="6">
        <f t="shared" si="46"/>
        <v>-5</v>
      </c>
      <c r="R198" s="30">
        <f t="shared" si="45"/>
        <v>-5</v>
      </c>
      <c r="S198" s="4">
        <f t="shared" si="41"/>
        <v>77.412499999999937</v>
      </c>
      <c r="T198" s="14">
        <f t="shared" si="47"/>
        <v>-19.487499999999997</v>
      </c>
      <c r="U198" s="14">
        <f t="shared" si="36"/>
        <v>-59.85</v>
      </c>
      <c r="V198" s="14">
        <f t="shared" si="37"/>
        <v>5.9500000000000046</v>
      </c>
      <c r="W198" s="14">
        <f t="shared" si="39"/>
        <v>-49.199999999999989</v>
      </c>
      <c r="X198" s="13">
        <v>0</v>
      </c>
      <c r="Y198" s="13">
        <v>0</v>
      </c>
      <c r="Z198" s="13">
        <f t="shared" si="48"/>
        <v>-122.58750000000003</v>
      </c>
    </row>
    <row r="199" spans="1:26" ht="11.25" customHeight="1">
      <c r="A199" s="111" t="s">
        <v>8</v>
      </c>
      <c r="B199" s="117">
        <v>41266.520833333336</v>
      </c>
      <c r="D199" s="108" t="s">
        <v>354</v>
      </c>
      <c r="E199" s="109" t="s">
        <v>29</v>
      </c>
      <c r="F199" s="109" t="s">
        <v>355</v>
      </c>
      <c r="H199" s="110" t="s">
        <v>455</v>
      </c>
      <c r="I199" s="117">
        <v>41266.509027777778</v>
      </c>
      <c r="J199" s="109" t="s">
        <v>9</v>
      </c>
      <c r="K199" s="6">
        <v>5</v>
      </c>
      <c r="L199" s="10" t="s">
        <v>5</v>
      </c>
      <c r="M199" s="6">
        <f t="shared" si="40"/>
        <v>0</v>
      </c>
      <c r="N199" s="6">
        <f t="shared" si="43"/>
        <v>0</v>
      </c>
      <c r="O199" s="6">
        <f t="shared" si="44"/>
        <v>1</v>
      </c>
      <c r="P199" s="6">
        <f t="shared" si="42"/>
        <v>0</v>
      </c>
      <c r="Q199" s="6">
        <f t="shared" si="46"/>
        <v>-5</v>
      </c>
      <c r="R199" s="30">
        <f t="shared" si="45"/>
        <v>-5</v>
      </c>
      <c r="S199" s="4">
        <f t="shared" si="41"/>
        <v>72.412499999999937</v>
      </c>
      <c r="T199" s="14">
        <f t="shared" si="47"/>
        <v>-24.487499999999997</v>
      </c>
      <c r="U199" s="14">
        <f t="shared" ref="U199:U262" si="49">IF(A199="DJO",U198+R199,U198)</f>
        <v>-59.85</v>
      </c>
      <c r="V199" s="14">
        <f t="shared" si="37"/>
        <v>5.9500000000000046</v>
      </c>
      <c r="W199" s="14">
        <f t="shared" si="39"/>
        <v>-49.199999999999989</v>
      </c>
      <c r="X199" s="13">
        <v>0</v>
      </c>
      <c r="Y199" s="13">
        <v>0</v>
      </c>
      <c r="Z199" s="13">
        <f t="shared" si="48"/>
        <v>-127.58750000000003</v>
      </c>
    </row>
    <row r="200" spans="1:26" ht="11.25" customHeight="1">
      <c r="A200" s="111" t="s">
        <v>8</v>
      </c>
      <c r="B200" s="117">
        <v>41266.59375</v>
      </c>
      <c r="D200" s="108" t="s">
        <v>337</v>
      </c>
      <c r="E200" s="109" t="s">
        <v>150</v>
      </c>
      <c r="F200" s="109" t="s">
        <v>358</v>
      </c>
      <c r="H200" s="110" t="s">
        <v>456</v>
      </c>
      <c r="I200" s="117">
        <v>41266.510416666664</v>
      </c>
      <c r="J200" s="109" t="s">
        <v>3</v>
      </c>
      <c r="K200" s="6">
        <v>5</v>
      </c>
      <c r="L200" s="10" t="s">
        <v>5</v>
      </c>
      <c r="M200" s="6">
        <f t="shared" si="40"/>
        <v>0</v>
      </c>
      <c r="N200" s="6">
        <f t="shared" si="43"/>
        <v>0</v>
      </c>
      <c r="O200" s="6">
        <f t="shared" si="44"/>
        <v>1</v>
      </c>
      <c r="P200" s="6">
        <f t="shared" si="42"/>
        <v>0</v>
      </c>
      <c r="Q200" s="6">
        <f t="shared" si="46"/>
        <v>-5</v>
      </c>
      <c r="R200" s="30">
        <f t="shared" si="45"/>
        <v>-5</v>
      </c>
      <c r="S200" s="4">
        <f t="shared" si="41"/>
        <v>67.412499999999937</v>
      </c>
      <c r="T200" s="14">
        <f t="shared" si="47"/>
        <v>-29.487499999999997</v>
      </c>
      <c r="U200" s="14">
        <f t="shared" si="49"/>
        <v>-59.85</v>
      </c>
      <c r="V200" s="14">
        <f t="shared" si="37"/>
        <v>5.9500000000000046</v>
      </c>
      <c r="W200" s="14">
        <f t="shared" si="39"/>
        <v>-49.199999999999989</v>
      </c>
      <c r="X200" s="13">
        <v>0</v>
      </c>
      <c r="Y200" s="13">
        <v>0</v>
      </c>
      <c r="Z200" s="13">
        <f t="shared" si="48"/>
        <v>-132.58750000000003</v>
      </c>
    </row>
    <row r="201" spans="1:26" ht="11.25" customHeight="1">
      <c r="A201" s="111" t="s">
        <v>8</v>
      </c>
      <c r="B201" s="117">
        <v>41266.604166666664</v>
      </c>
      <c r="D201" s="108" t="s">
        <v>356</v>
      </c>
      <c r="E201" s="109" t="s">
        <v>150</v>
      </c>
      <c r="F201" s="109" t="s">
        <v>357</v>
      </c>
      <c r="H201" s="110" t="s">
        <v>405</v>
      </c>
      <c r="I201" s="117">
        <v>41266.511111111111</v>
      </c>
      <c r="J201" s="109" t="s">
        <v>3</v>
      </c>
      <c r="K201" s="6">
        <v>5</v>
      </c>
      <c r="L201" s="10" t="s">
        <v>5</v>
      </c>
      <c r="M201" s="6">
        <f t="shared" si="40"/>
        <v>0</v>
      </c>
      <c r="N201" s="6">
        <f t="shared" si="43"/>
        <v>0</v>
      </c>
      <c r="O201" s="6">
        <f t="shared" si="44"/>
        <v>1</v>
      </c>
      <c r="P201" s="6">
        <f t="shared" si="42"/>
        <v>0</v>
      </c>
      <c r="Q201" s="6">
        <f t="shared" si="46"/>
        <v>-5</v>
      </c>
      <c r="R201" s="30">
        <f t="shared" si="45"/>
        <v>-5</v>
      </c>
      <c r="S201" s="4">
        <f t="shared" si="41"/>
        <v>62.412499999999937</v>
      </c>
      <c r="T201" s="14">
        <f t="shared" si="47"/>
        <v>-34.487499999999997</v>
      </c>
      <c r="U201" s="14">
        <f t="shared" si="49"/>
        <v>-59.85</v>
      </c>
      <c r="V201" s="14">
        <f t="shared" si="37"/>
        <v>5.9500000000000046</v>
      </c>
      <c r="W201" s="14">
        <f t="shared" si="39"/>
        <v>-49.199999999999989</v>
      </c>
      <c r="X201" s="13">
        <v>0</v>
      </c>
      <c r="Y201" s="13">
        <v>0</v>
      </c>
      <c r="Z201" s="13">
        <f t="shared" si="48"/>
        <v>-137.58750000000003</v>
      </c>
    </row>
    <row r="202" spans="1:26" ht="12.75" customHeight="1">
      <c r="A202" s="111" t="s">
        <v>8</v>
      </c>
      <c r="B202" s="117">
        <v>41265.864583333336</v>
      </c>
      <c r="D202" s="108" t="s">
        <v>304</v>
      </c>
      <c r="E202" s="109" t="s">
        <v>125</v>
      </c>
      <c r="F202" s="109" t="s">
        <v>142</v>
      </c>
      <c r="H202" s="110" t="s">
        <v>421</v>
      </c>
      <c r="I202" s="117">
        <v>41266.513888888891</v>
      </c>
      <c r="J202" s="109" t="s">
        <v>3</v>
      </c>
      <c r="K202" s="6">
        <v>5</v>
      </c>
      <c r="L202" s="10" t="s">
        <v>7</v>
      </c>
      <c r="M202" s="6">
        <f t="shared" si="40"/>
        <v>9.75</v>
      </c>
      <c r="N202" s="6">
        <f t="shared" si="43"/>
        <v>1</v>
      </c>
      <c r="O202" s="6">
        <f t="shared" si="44"/>
        <v>0</v>
      </c>
      <c r="P202" s="6">
        <f t="shared" si="42"/>
        <v>0</v>
      </c>
      <c r="Q202" s="6">
        <f t="shared" si="46"/>
        <v>4.75</v>
      </c>
      <c r="R202" s="30">
        <f t="shared" si="45"/>
        <v>4.75</v>
      </c>
      <c r="S202" s="4">
        <f t="shared" si="41"/>
        <v>67.162499999999937</v>
      </c>
      <c r="T202" s="14">
        <f t="shared" si="47"/>
        <v>-29.737499999999997</v>
      </c>
      <c r="U202" s="14">
        <f t="shared" si="49"/>
        <v>-59.85</v>
      </c>
      <c r="V202" s="14">
        <f t="shared" si="37"/>
        <v>5.9500000000000046</v>
      </c>
      <c r="W202" s="14">
        <f t="shared" si="39"/>
        <v>-49.199999999999989</v>
      </c>
      <c r="X202" s="13">
        <v>0</v>
      </c>
      <c r="Y202" s="13">
        <v>0</v>
      </c>
      <c r="Z202" s="13">
        <f t="shared" si="48"/>
        <v>-132.83750000000003</v>
      </c>
    </row>
    <row r="203" spans="1:26" ht="10.5" customHeight="1">
      <c r="A203" s="111" t="s">
        <v>58</v>
      </c>
      <c r="B203" s="117">
        <v>41266.708333333336</v>
      </c>
      <c r="D203" s="108" t="s">
        <v>359</v>
      </c>
      <c r="E203" s="109" t="s">
        <v>150</v>
      </c>
      <c r="F203" s="109" t="s">
        <v>360</v>
      </c>
      <c r="H203" s="110" t="s">
        <v>457</v>
      </c>
      <c r="I203" s="117">
        <v>41266.706250000003</v>
      </c>
      <c r="J203" s="109" t="s">
        <v>3</v>
      </c>
      <c r="K203" s="6">
        <v>10</v>
      </c>
      <c r="L203" s="10" t="s">
        <v>7</v>
      </c>
      <c r="M203" s="6">
        <f t="shared" si="40"/>
        <v>18.5</v>
      </c>
      <c r="N203" s="6">
        <f t="shared" si="43"/>
        <v>1</v>
      </c>
      <c r="O203" s="6">
        <f t="shared" si="44"/>
        <v>0</v>
      </c>
      <c r="P203" s="6">
        <f t="shared" si="42"/>
        <v>0</v>
      </c>
      <c r="Q203" s="6">
        <f t="shared" si="46"/>
        <v>8.5</v>
      </c>
      <c r="R203" s="30">
        <f t="shared" si="45"/>
        <v>8.5</v>
      </c>
      <c r="S203" s="4">
        <f t="shared" si="41"/>
        <v>75.662499999999937</v>
      </c>
      <c r="T203" s="14">
        <f t="shared" si="47"/>
        <v>-29.737499999999997</v>
      </c>
      <c r="U203" s="14">
        <f t="shared" si="49"/>
        <v>-59.85</v>
      </c>
      <c r="V203" s="14">
        <f t="shared" si="37"/>
        <v>14.450000000000005</v>
      </c>
      <c r="W203" s="14">
        <f t="shared" si="39"/>
        <v>-49.199999999999989</v>
      </c>
      <c r="X203" s="13">
        <v>0</v>
      </c>
      <c r="Y203" s="13">
        <v>0</v>
      </c>
      <c r="Z203" s="13">
        <f t="shared" si="48"/>
        <v>-124.33750000000003</v>
      </c>
    </row>
    <row r="204" spans="1:26" ht="12" customHeight="1">
      <c r="A204" s="111" t="s">
        <v>67</v>
      </c>
      <c r="B204" s="117">
        <v>41266.875</v>
      </c>
      <c r="D204" s="108" t="s">
        <v>349</v>
      </c>
      <c r="E204" s="109" t="s">
        <v>31</v>
      </c>
      <c r="F204" s="109" t="s">
        <v>350</v>
      </c>
      <c r="H204" s="110" t="s">
        <v>455</v>
      </c>
      <c r="I204" s="117">
        <v>41266.72152777778</v>
      </c>
      <c r="J204" s="109" t="s">
        <v>3</v>
      </c>
      <c r="K204" s="6">
        <v>5</v>
      </c>
      <c r="L204" s="10" t="s">
        <v>5</v>
      </c>
      <c r="M204" s="6">
        <f t="shared" si="40"/>
        <v>0</v>
      </c>
      <c r="N204" s="6">
        <f t="shared" si="43"/>
        <v>0</v>
      </c>
      <c r="O204" s="6">
        <f t="shared" si="44"/>
        <v>1</v>
      </c>
      <c r="P204" s="6">
        <f t="shared" si="42"/>
        <v>0</v>
      </c>
      <c r="Q204" s="6">
        <f t="shared" si="46"/>
        <v>-5</v>
      </c>
      <c r="R204" s="30">
        <f t="shared" si="45"/>
        <v>-5</v>
      </c>
      <c r="S204" s="4">
        <f t="shared" si="41"/>
        <v>70.662499999999937</v>
      </c>
      <c r="T204" s="14">
        <f t="shared" si="47"/>
        <v>-29.737499999999997</v>
      </c>
      <c r="U204" s="14">
        <f t="shared" si="49"/>
        <v>-59.85</v>
      </c>
      <c r="V204" s="14">
        <f t="shared" si="37"/>
        <v>14.450000000000005</v>
      </c>
      <c r="W204" s="14">
        <f t="shared" si="39"/>
        <v>-54.199999999999989</v>
      </c>
      <c r="X204" s="13">
        <v>0</v>
      </c>
      <c r="Y204" s="13">
        <v>0</v>
      </c>
      <c r="Z204" s="13">
        <f t="shared" si="48"/>
        <v>-129.33750000000003</v>
      </c>
    </row>
    <row r="205" spans="1:26" ht="14.25" customHeight="1">
      <c r="A205" s="111" t="s">
        <v>67</v>
      </c>
      <c r="B205" s="117">
        <v>41266.729166666664</v>
      </c>
      <c r="D205" s="108" t="s">
        <v>348</v>
      </c>
      <c r="E205" s="109" t="s">
        <v>31</v>
      </c>
      <c r="F205" s="109" t="s">
        <v>351</v>
      </c>
      <c r="H205" s="110" t="s">
        <v>439</v>
      </c>
      <c r="I205" s="117">
        <v>41266.722916666666</v>
      </c>
      <c r="J205" s="109" t="s">
        <v>119</v>
      </c>
      <c r="K205" s="6">
        <v>5</v>
      </c>
      <c r="L205" s="10" t="s">
        <v>7</v>
      </c>
      <c r="M205" s="6">
        <f t="shared" si="40"/>
        <v>7</v>
      </c>
      <c r="N205" s="6">
        <f t="shared" si="43"/>
        <v>1</v>
      </c>
      <c r="O205" s="6">
        <f t="shared" si="44"/>
        <v>0</v>
      </c>
      <c r="P205" s="6">
        <f t="shared" si="42"/>
        <v>0</v>
      </c>
      <c r="Q205" s="6">
        <f t="shared" si="46"/>
        <v>2</v>
      </c>
      <c r="R205" s="30">
        <f t="shared" si="45"/>
        <v>2</v>
      </c>
      <c r="S205" s="4">
        <f t="shared" si="41"/>
        <v>72.662499999999937</v>
      </c>
      <c r="T205" s="14">
        <f t="shared" si="47"/>
        <v>-29.737499999999997</v>
      </c>
      <c r="U205" s="14">
        <f t="shared" si="49"/>
        <v>-59.85</v>
      </c>
      <c r="V205" s="14">
        <f t="shared" si="37"/>
        <v>14.450000000000005</v>
      </c>
      <c r="W205" s="14">
        <f t="shared" si="39"/>
        <v>-52.199999999999989</v>
      </c>
      <c r="X205" s="13">
        <v>0</v>
      </c>
      <c r="Y205" s="13">
        <v>0</v>
      </c>
      <c r="Z205" s="13">
        <f t="shared" si="48"/>
        <v>-127.33750000000003</v>
      </c>
    </row>
    <row r="206" spans="1:26" ht="12.75" customHeight="1">
      <c r="A206" s="111" t="s">
        <v>58</v>
      </c>
      <c r="B206" s="117">
        <v>41266.708333333336</v>
      </c>
      <c r="D206" s="108" t="s">
        <v>361</v>
      </c>
      <c r="E206" s="109" t="s">
        <v>362</v>
      </c>
      <c r="F206" s="109" t="s">
        <v>363</v>
      </c>
      <c r="H206" s="110" t="s">
        <v>440</v>
      </c>
      <c r="I206" s="117">
        <v>41266.754166666666</v>
      </c>
      <c r="J206" s="109" t="s">
        <v>3</v>
      </c>
      <c r="K206" s="6">
        <v>5</v>
      </c>
      <c r="L206" s="10" t="s">
        <v>5</v>
      </c>
      <c r="M206" s="6">
        <f t="shared" si="40"/>
        <v>0</v>
      </c>
      <c r="N206" s="6">
        <f t="shared" si="43"/>
        <v>0</v>
      </c>
      <c r="O206" s="6">
        <f t="shared" si="44"/>
        <v>1</v>
      </c>
      <c r="P206" s="6">
        <f t="shared" si="42"/>
        <v>0</v>
      </c>
      <c r="Q206" s="6">
        <f t="shared" si="46"/>
        <v>-5</v>
      </c>
      <c r="R206" s="30">
        <f t="shared" si="45"/>
        <v>-5</v>
      </c>
      <c r="S206" s="4">
        <f t="shared" si="41"/>
        <v>67.662499999999937</v>
      </c>
      <c r="T206" s="14">
        <f t="shared" si="47"/>
        <v>-29.737499999999997</v>
      </c>
      <c r="U206" s="14">
        <f t="shared" si="49"/>
        <v>-59.85</v>
      </c>
      <c r="V206" s="14">
        <f t="shared" si="37"/>
        <v>9.4500000000000046</v>
      </c>
      <c r="W206" s="14">
        <f t="shared" si="39"/>
        <v>-52.199999999999989</v>
      </c>
      <c r="X206" s="13">
        <v>0</v>
      </c>
      <c r="Y206" s="13">
        <v>0</v>
      </c>
      <c r="Z206" s="13">
        <f t="shared" si="48"/>
        <v>-132.33750000000003</v>
      </c>
    </row>
    <row r="207" spans="1:26" ht="12" customHeight="1">
      <c r="A207" s="111" t="s">
        <v>8</v>
      </c>
      <c r="B207" s="117">
        <v>41266.791666666664</v>
      </c>
      <c r="D207" s="108" t="s">
        <v>364</v>
      </c>
      <c r="E207" s="109" t="s">
        <v>365</v>
      </c>
      <c r="F207" s="109" t="s">
        <v>366</v>
      </c>
      <c r="H207" s="110" t="s">
        <v>391</v>
      </c>
      <c r="I207" s="117">
        <v>41266.761805555558</v>
      </c>
      <c r="J207" s="109" t="s">
        <v>153</v>
      </c>
      <c r="K207" s="6">
        <v>10</v>
      </c>
      <c r="L207" s="10" t="s">
        <v>5</v>
      </c>
      <c r="M207" s="6">
        <f t="shared" si="40"/>
        <v>0</v>
      </c>
      <c r="N207" s="6">
        <f t="shared" si="43"/>
        <v>0</v>
      </c>
      <c r="O207" s="6">
        <f t="shared" si="44"/>
        <v>1</v>
      </c>
      <c r="P207" s="6">
        <f t="shared" si="42"/>
        <v>0</v>
      </c>
      <c r="Q207" s="6">
        <f t="shared" si="46"/>
        <v>-10</v>
      </c>
      <c r="R207" s="30">
        <f t="shared" si="45"/>
        <v>-10</v>
      </c>
      <c r="S207" s="4">
        <f t="shared" si="41"/>
        <v>57.662499999999937</v>
      </c>
      <c r="T207" s="14">
        <f t="shared" si="47"/>
        <v>-39.737499999999997</v>
      </c>
      <c r="U207" s="14">
        <f t="shared" si="49"/>
        <v>-59.85</v>
      </c>
      <c r="V207" s="14">
        <f t="shared" si="37"/>
        <v>9.4500000000000046</v>
      </c>
      <c r="W207" s="14">
        <f t="shared" si="39"/>
        <v>-52.199999999999989</v>
      </c>
      <c r="X207" s="13">
        <v>0</v>
      </c>
      <c r="Y207" s="13">
        <v>0</v>
      </c>
      <c r="Z207" s="13">
        <f t="shared" si="48"/>
        <v>-142.33750000000003</v>
      </c>
    </row>
    <row r="208" spans="1:26" ht="12.75" customHeight="1">
      <c r="A208" s="111" t="s">
        <v>58</v>
      </c>
      <c r="B208" s="117">
        <v>41269.666666666664</v>
      </c>
      <c r="D208" s="108" t="s">
        <v>367</v>
      </c>
      <c r="E208" s="109" t="s">
        <v>271</v>
      </c>
      <c r="F208" s="109" t="s">
        <v>368</v>
      </c>
      <c r="H208" s="110" t="s">
        <v>435</v>
      </c>
      <c r="I208" s="117">
        <v>41266.799305555556</v>
      </c>
      <c r="J208" s="109" t="s">
        <v>3</v>
      </c>
      <c r="K208" s="6">
        <v>5</v>
      </c>
      <c r="L208" s="10" t="s">
        <v>5</v>
      </c>
      <c r="M208" s="6">
        <f t="shared" si="40"/>
        <v>0</v>
      </c>
      <c r="N208" s="6">
        <f t="shared" si="43"/>
        <v>0</v>
      </c>
      <c r="O208" s="6">
        <f t="shared" si="44"/>
        <v>1</v>
      </c>
      <c r="P208" s="6">
        <f t="shared" si="42"/>
        <v>0</v>
      </c>
      <c r="Q208" s="6">
        <f t="shared" si="46"/>
        <v>-5</v>
      </c>
      <c r="R208" s="30">
        <f t="shared" si="45"/>
        <v>-5</v>
      </c>
      <c r="S208" s="16">
        <f t="shared" si="41"/>
        <v>52.662499999999937</v>
      </c>
      <c r="T208" s="14">
        <f t="shared" si="47"/>
        <v>-39.737499999999997</v>
      </c>
      <c r="U208" s="14">
        <f t="shared" si="49"/>
        <v>-59.85</v>
      </c>
      <c r="V208" s="14">
        <f t="shared" si="37"/>
        <v>4.4500000000000046</v>
      </c>
      <c r="W208" s="14">
        <f t="shared" si="39"/>
        <v>-52.199999999999989</v>
      </c>
      <c r="X208" s="13">
        <v>0</v>
      </c>
      <c r="Y208" s="13">
        <v>0</v>
      </c>
      <c r="Z208" s="13">
        <f t="shared" si="48"/>
        <v>-147.33750000000003</v>
      </c>
    </row>
    <row r="209" spans="1:26" ht="12.75" customHeight="1">
      <c r="A209" s="111" t="s">
        <v>8</v>
      </c>
      <c r="B209" s="117">
        <v>41269.666666666664</v>
      </c>
      <c r="C209" s="120"/>
      <c r="D209" s="120" t="s">
        <v>369</v>
      </c>
      <c r="E209" s="121" t="s">
        <v>129</v>
      </c>
      <c r="F209" s="121" t="s">
        <v>130</v>
      </c>
      <c r="G209" s="121"/>
      <c r="H209" s="110" t="s">
        <v>402</v>
      </c>
      <c r="I209" s="117">
        <v>41268.745138888888</v>
      </c>
      <c r="J209" s="109" t="s">
        <v>3</v>
      </c>
      <c r="K209" s="6">
        <v>5</v>
      </c>
      <c r="L209" s="10" t="s">
        <v>7</v>
      </c>
      <c r="M209" s="6">
        <f t="shared" ref="M209:M217" si="50">IF(L209="PERDU",0,K209*H209)</f>
        <v>7.8500000000000005</v>
      </c>
      <c r="N209" s="6">
        <f t="shared" si="43"/>
        <v>1</v>
      </c>
      <c r="O209" s="6">
        <f t="shared" si="44"/>
        <v>0</v>
      </c>
      <c r="P209" s="6">
        <f t="shared" si="42"/>
        <v>0</v>
      </c>
      <c r="Q209" s="6">
        <f t="shared" si="46"/>
        <v>2.8500000000000005</v>
      </c>
      <c r="R209" s="30">
        <f t="shared" si="45"/>
        <v>2.8500000000000005</v>
      </c>
      <c r="S209" s="16">
        <f t="shared" si="41"/>
        <v>55.512499999999939</v>
      </c>
      <c r="T209" s="14">
        <f t="shared" si="47"/>
        <v>-36.887499999999996</v>
      </c>
      <c r="U209" s="14">
        <f t="shared" si="49"/>
        <v>-59.85</v>
      </c>
      <c r="V209" s="14">
        <f t="shared" si="37"/>
        <v>4.4500000000000046</v>
      </c>
      <c r="W209" s="14">
        <f t="shared" si="39"/>
        <v>-52.199999999999989</v>
      </c>
      <c r="X209" s="13">
        <v>0</v>
      </c>
      <c r="Y209" s="13">
        <v>0</v>
      </c>
      <c r="Z209" s="13">
        <f t="shared" si="48"/>
        <v>-144.48750000000004</v>
      </c>
    </row>
    <row r="210" spans="1:26" ht="11.25" customHeight="1">
      <c r="A210" s="111" t="s">
        <v>8</v>
      </c>
      <c r="B210" s="117">
        <v>41269.75</v>
      </c>
      <c r="C210" s="120"/>
      <c r="D210" s="120" t="s">
        <v>370</v>
      </c>
      <c r="E210" s="121" t="s">
        <v>125</v>
      </c>
      <c r="F210" s="121" t="s">
        <v>20</v>
      </c>
      <c r="G210" s="121"/>
      <c r="H210" s="110" t="s">
        <v>423</v>
      </c>
      <c r="I210" s="117">
        <v>41268.746527777781</v>
      </c>
      <c r="J210" s="109" t="s">
        <v>3</v>
      </c>
      <c r="K210" s="6">
        <v>5</v>
      </c>
      <c r="L210" s="10" t="s">
        <v>5</v>
      </c>
      <c r="M210" s="6">
        <f t="shared" si="50"/>
        <v>0</v>
      </c>
      <c r="N210" s="6">
        <f t="shared" si="43"/>
        <v>0</v>
      </c>
      <c r="O210" s="6">
        <f t="shared" si="44"/>
        <v>1</v>
      </c>
      <c r="P210" s="6">
        <f t="shared" si="42"/>
        <v>0</v>
      </c>
      <c r="Q210" s="6">
        <f t="shared" si="46"/>
        <v>-5</v>
      </c>
      <c r="R210" s="30">
        <f t="shared" si="45"/>
        <v>-5</v>
      </c>
      <c r="S210" s="16">
        <f t="shared" si="41"/>
        <v>50.512499999999939</v>
      </c>
      <c r="T210" s="14">
        <f t="shared" si="47"/>
        <v>-41.887499999999996</v>
      </c>
      <c r="U210" s="14">
        <f t="shared" si="49"/>
        <v>-59.85</v>
      </c>
      <c r="V210" s="14">
        <f t="shared" si="37"/>
        <v>4.4500000000000046</v>
      </c>
      <c r="W210" s="14">
        <f t="shared" si="39"/>
        <v>-52.199999999999989</v>
      </c>
      <c r="X210" s="13">
        <v>0</v>
      </c>
      <c r="Y210" s="13">
        <v>0</v>
      </c>
      <c r="Z210" s="13">
        <f t="shared" si="48"/>
        <v>-149.48750000000004</v>
      </c>
    </row>
    <row r="211" spans="1:26" ht="11.25" customHeight="1">
      <c r="A211" s="111" t="s">
        <v>58</v>
      </c>
      <c r="B211" s="117">
        <v>41269.666666666664</v>
      </c>
      <c r="C211" s="120"/>
      <c r="D211" s="120" t="s">
        <v>371</v>
      </c>
      <c r="E211" s="121" t="s">
        <v>31</v>
      </c>
      <c r="F211" s="121" t="s">
        <v>199</v>
      </c>
      <c r="G211" s="121"/>
      <c r="H211" s="110" t="s">
        <v>458</v>
      </c>
      <c r="I211" s="117">
        <v>41269.534722222219</v>
      </c>
      <c r="J211" s="109" t="s">
        <v>3</v>
      </c>
      <c r="K211" s="6">
        <v>5</v>
      </c>
      <c r="L211" s="10" t="s">
        <v>7</v>
      </c>
      <c r="M211" s="6">
        <f t="shared" si="50"/>
        <v>7.75</v>
      </c>
      <c r="N211" s="6">
        <f t="shared" si="43"/>
        <v>1</v>
      </c>
      <c r="O211" s="6">
        <f t="shared" si="44"/>
        <v>0</v>
      </c>
      <c r="P211" s="6">
        <f t="shared" si="42"/>
        <v>0</v>
      </c>
      <c r="Q211" s="6">
        <f t="shared" si="46"/>
        <v>2.75</v>
      </c>
      <c r="R211" s="30">
        <f t="shared" si="45"/>
        <v>2.75</v>
      </c>
      <c r="S211" s="16">
        <f t="shared" si="41"/>
        <v>53.262499999999939</v>
      </c>
      <c r="T211" s="14">
        <f t="shared" si="47"/>
        <v>-41.887499999999996</v>
      </c>
      <c r="U211" s="14">
        <f t="shared" si="49"/>
        <v>-59.85</v>
      </c>
      <c r="V211" s="14">
        <f t="shared" si="37"/>
        <v>7.2000000000000046</v>
      </c>
      <c r="W211" s="14">
        <f t="shared" si="39"/>
        <v>-52.199999999999989</v>
      </c>
      <c r="X211" s="13">
        <v>0</v>
      </c>
      <c r="Y211" s="13">
        <v>0</v>
      </c>
      <c r="Z211" s="13">
        <f t="shared" si="48"/>
        <v>-146.73750000000004</v>
      </c>
    </row>
    <row r="212" spans="1:26" ht="11.25" customHeight="1">
      <c r="A212" s="111" t="s">
        <v>58</v>
      </c>
      <c r="B212" s="117">
        <v>41269.864583333336</v>
      </c>
      <c r="C212" s="120"/>
      <c r="D212" s="120" t="s">
        <v>372</v>
      </c>
      <c r="E212" s="121" t="s">
        <v>31</v>
      </c>
      <c r="F212" s="121" t="s">
        <v>336</v>
      </c>
      <c r="G212" s="121"/>
      <c r="H212" s="110">
        <v>2</v>
      </c>
      <c r="I212" s="117">
        <v>41269.537499999999</v>
      </c>
      <c r="J212" s="109" t="s">
        <v>3</v>
      </c>
      <c r="K212" s="6">
        <v>5</v>
      </c>
      <c r="L212" s="10" t="s">
        <v>5</v>
      </c>
      <c r="M212" s="6">
        <f t="shared" si="50"/>
        <v>0</v>
      </c>
      <c r="N212" s="6">
        <f t="shared" si="43"/>
        <v>0</v>
      </c>
      <c r="O212" s="6">
        <f t="shared" si="44"/>
        <v>1</v>
      </c>
      <c r="P212" s="6">
        <f t="shared" si="42"/>
        <v>0</v>
      </c>
      <c r="Q212" s="6">
        <f t="shared" si="46"/>
        <v>-5</v>
      </c>
      <c r="R212" s="30">
        <f t="shared" si="45"/>
        <v>-5</v>
      </c>
      <c r="S212" s="16">
        <f t="shared" si="41"/>
        <v>48.262499999999939</v>
      </c>
      <c r="T212" s="14">
        <f t="shared" si="47"/>
        <v>-41.887499999999996</v>
      </c>
      <c r="U212" s="14">
        <f t="shared" si="49"/>
        <v>-59.85</v>
      </c>
      <c r="V212" s="14">
        <f t="shared" si="37"/>
        <v>2.2000000000000046</v>
      </c>
      <c r="W212" s="14">
        <f t="shared" si="39"/>
        <v>-52.199999999999989</v>
      </c>
      <c r="X212" s="13">
        <v>0</v>
      </c>
      <c r="Y212" s="13">
        <v>0</v>
      </c>
      <c r="Z212" s="13">
        <f t="shared" si="48"/>
        <v>-151.73750000000004</v>
      </c>
    </row>
    <row r="213" spans="1:26" ht="11.25" customHeight="1">
      <c r="A213" s="111" t="s">
        <v>8</v>
      </c>
      <c r="B213" s="117">
        <v>41269.833333333336</v>
      </c>
      <c r="C213" s="120"/>
      <c r="D213" s="120" t="s">
        <v>373</v>
      </c>
      <c r="E213" s="121" t="s">
        <v>154</v>
      </c>
      <c r="F213" s="121" t="s">
        <v>374</v>
      </c>
      <c r="G213" s="121"/>
      <c r="H213" s="110" t="s">
        <v>439</v>
      </c>
      <c r="I213" s="117">
        <v>41269.763194444444</v>
      </c>
      <c r="J213" s="109" t="s">
        <v>9</v>
      </c>
      <c r="K213" s="6">
        <v>5</v>
      </c>
      <c r="L213" s="10" t="s">
        <v>5</v>
      </c>
      <c r="M213" s="6">
        <f t="shared" si="50"/>
        <v>0</v>
      </c>
      <c r="N213" s="6">
        <f t="shared" si="43"/>
        <v>0</v>
      </c>
      <c r="O213" s="6">
        <f t="shared" si="44"/>
        <v>1</v>
      </c>
      <c r="P213" s="6">
        <f t="shared" si="42"/>
        <v>0</v>
      </c>
      <c r="Q213" s="6">
        <f t="shared" si="46"/>
        <v>-5</v>
      </c>
      <c r="R213" s="30">
        <f t="shared" si="45"/>
        <v>-5</v>
      </c>
      <c r="S213" s="16">
        <f t="shared" si="41"/>
        <v>43.262499999999939</v>
      </c>
      <c r="T213" s="14">
        <f t="shared" si="47"/>
        <v>-46.887499999999996</v>
      </c>
      <c r="U213" s="14">
        <f t="shared" si="49"/>
        <v>-59.85</v>
      </c>
      <c r="V213" s="14">
        <f t="shared" ref="V213:V276" si="51">IF(A213="PHANE",V212+R213,V212)</f>
        <v>2.2000000000000046</v>
      </c>
      <c r="W213" s="14">
        <f t="shared" si="39"/>
        <v>-52.199999999999989</v>
      </c>
      <c r="X213" s="13">
        <v>0</v>
      </c>
      <c r="Y213" s="13">
        <v>0</v>
      </c>
      <c r="Z213" s="13">
        <f t="shared" si="48"/>
        <v>-156.73750000000004</v>
      </c>
    </row>
    <row r="214" spans="1:26" ht="11.25" customHeight="1">
      <c r="A214" s="111" t="s">
        <v>8</v>
      </c>
      <c r="B214" s="117">
        <v>41269.833333333336</v>
      </c>
      <c r="C214" s="120"/>
      <c r="D214" s="120" t="s">
        <v>375</v>
      </c>
      <c r="E214" s="121" t="s">
        <v>154</v>
      </c>
      <c r="F214" s="121" t="s">
        <v>376</v>
      </c>
      <c r="G214" s="121"/>
      <c r="H214" s="110" t="s">
        <v>404</v>
      </c>
      <c r="I214" s="117">
        <v>41269.824305555558</v>
      </c>
      <c r="J214" s="109" t="s">
        <v>9</v>
      </c>
      <c r="K214" s="6">
        <v>3.11</v>
      </c>
      <c r="L214" s="10" t="s">
        <v>7</v>
      </c>
      <c r="M214" s="6">
        <f t="shared" si="50"/>
        <v>4.665</v>
      </c>
      <c r="N214" s="6">
        <f t="shared" si="43"/>
        <v>1</v>
      </c>
      <c r="O214" s="6">
        <f t="shared" si="44"/>
        <v>0</v>
      </c>
      <c r="P214" s="6">
        <f t="shared" si="42"/>
        <v>0</v>
      </c>
      <c r="Q214" s="6">
        <f t="shared" si="46"/>
        <v>1.5550000000000002</v>
      </c>
      <c r="R214" s="30">
        <f t="shared" si="45"/>
        <v>1.5550000000000002</v>
      </c>
      <c r="S214" s="16">
        <f t="shared" si="41"/>
        <v>44.817499999999939</v>
      </c>
      <c r="T214" s="14">
        <f t="shared" si="47"/>
        <v>-45.332499999999996</v>
      </c>
      <c r="U214" s="14">
        <f t="shared" si="49"/>
        <v>-59.85</v>
      </c>
      <c r="V214" s="14">
        <f t="shared" si="51"/>
        <v>2.2000000000000046</v>
      </c>
      <c r="W214" s="14">
        <f t="shared" si="39"/>
        <v>-52.199999999999989</v>
      </c>
      <c r="X214" s="13">
        <v>0</v>
      </c>
      <c r="Y214" s="13">
        <v>0</v>
      </c>
      <c r="Z214" s="13">
        <f t="shared" si="48"/>
        <v>-155.18250000000003</v>
      </c>
    </row>
    <row r="215" spans="1:26" ht="12" customHeight="1">
      <c r="A215" s="111" t="s">
        <v>8</v>
      </c>
      <c r="B215" s="117">
        <v>41269.864583333336</v>
      </c>
      <c r="C215" s="120"/>
      <c r="D215" s="120" t="s">
        <v>372</v>
      </c>
      <c r="E215" s="121" t="s">
        <v>216</v>
      </c>
      <c r="F215" s="121" t="s">
        <v>142</v>
      </c>
      <c r="G215" s="121"/>
      <c r="H215" s="110" t="s">
        <v>454</v>
      </c>
      <c r="I215" s="117">
        <v>41269.885416666664</v>
      </c>
      <c r="J215" s="109" t="s">
        <v>3</v>
      </c>
      <c r="K215" s="6">
        <v>5</v>
      </c>
      <c r="L215" s="10" t="s">
        <v>5</v>
      </c>
      <c r="M215" s="6">
        <f t="shared" si="50"/>
        <v>0</v>
      </c>
      <c r="N215" s="6">
        <f t="shared" si="43"/>
        <v>0</v>
      </c>
      <c r="O215" s="6">
        <f t="shared" si="44"/>
        <v>1</v>
      </c>
      <c r="P215" s="6">
        <f t="shared" si="42"/>
        <v>0</v>
      </c>
      <c r="Q215" s="6">
        <f t="shared" si="46"/>
        <v>-5</v>
      </c>
      <c r="R215" s="30">
        <f t="shared" si="45"/>
        <v>-5</v>
      </c>
      <c r="S215" s="17">
        <f t="shared" si="41"/>
        <v>39.817499999999939</v>
      </c>
      <c r="T215" s="14">
        <f t="shared" si="47"/>
        <v>-50.332499999999996</v>
      </c>
      <c r="U215" s="14">
        <f t="shared" si="49"/>
        <v>-59.85</v>
      </c>
      <c r="V215" s="14">
        <f t="shared" si="51"/>
        <v>2.2000000000000046</v>
      </c>
      <c r="W215" s="14">
        <f t="shared" si="39"/>
        <v>-52.199999999999989</v>
      </c>
      <c r="X215" s="13">
        <v>0</v>
      </c>
      <c r="Y215" s="13">
        <v>0</v>
      </c>
      <c r="Z215" s="13">
        <f t="shared" si="48"/>
        <v>-160.18250000000003</v>
      </c>
    </row>
    <row r="216" spans="1:26" ht="11.25" customHeight="1">
      <c r="A216" s="111"/>
      <c r="D216" s="108" t="s">
        <v>64</v>
      </c>
      <c r="I216" s="112">
        <v>41270.770833333336</v>
      </c>
      <c r="M216" s="6">
        <f t="shared" si="50"/>
        <v>0</v>
      </c>
      <c r="N216" s="6">
        <f t="shared" si="43"/>
        <v>0</v>
      </c>
      <c r="O216" s="6">
        <f t="shared" si="44"/>
        <v>0</v>
      </c>
      <c r="P216" s="6">
        <f t="shared" si="42"/>
        <v>0</v>
      </c>
      <c r="Q216" s="6">
        <f t="shared" si="46"/>
        <v>0</v>
      </c>
      <c r="R216" s="30">
        <f t="shared" si="45"/>
        <v>0</v>
      </c>
      <c r="S216" s="16">
        <f>IF(L216=0,S215-K216,S215+M216-K216)+30</f>
        <v>69.817499999999939</v>
      </c>
      <c r="T216" s="14">
        <f t="shared" si="47"/>
        <v>-50.332499999999996</v>
      </c>
      <c r="U216" s="14">
        <f t="shared" si="49"/>
        <v>-59.85</v>
      </c>
      <c r="V216" s="14">
        <f t="shared" si="51"/>
        <v>2.2000000000000046</v>
      </c>
      <c r="W216" s="14">
        <f t="shared" si="39"/>
        <v>-52.199999999999989</v>
      </c>
      <c r="X216" s="13">
        <v>0</v>
      </c>
      <c r="Y216" s="13">
        <v>0</v>
      </c>
      <c r="Z216" s="13">
        <f t="shared" si="48"/>
        <v>-160.18250000000003</v>
      </c>
    </row>
    <row r="217" spans="1:26" ht="11.25" customHeight="1">
      <c r="A217" s="111" t="s">
        <v>8</v>
      </c>
      <c r="B217" s="117">
        <v>41270.833333333336</v>
      </c>
      <c r="C217" s="120"/>
      <c r="D217" s="120" t="s">
        <v>377</v>
      </c>
      <c r="E217" s="121" t="s">
        <v>154</v>
      </c>
      <c r="F217" s="121" t="s">
        <v>378</v>
      </c>
      <c r="G217" s="121"/>
      <c r="H217" s="110" t="s">
        <v>396</v>
      </c>
      <c r="I217" s="117">
        <v>41270.754861111112</v>
      </c>
      <c r="J217" s="109" t="s">
        <v>9</v>
      </c>
      <c r="K217" s="6">
        <v>3.37</v>
      </c>
      <c r="L217" s="10" t="s">
        <v>5</v>
      </c>
      <c r="M217" s="6">
        <f t="shared" si="50"/>
        <v>0</v>
      </c>
      <c r="N217" s="6">
        <f t="shared" si="43"/>
        <v>0</v>
      </c>
      <c r="O217" s="6">
        <f t="shared" si="44"/>
        <v>1</v>
      </c>
      <c r="P217" s="6">
        <f t="shared" si="42"/>
        <v>0</v>
      </c>
      <c r="Q217" s="6">
        <f t="shared" si="46"/>
        <v>-3.37</v>
      </c>
      <c r="R217" s="30">
        <f t="shared" si="45"/>
        <v>-3.37</v>
      </c>
      <c r="S217" s="16">
        <f t="shared" ref="S217:S223" si="52">IF(L217=0,S216-K217,S216+M217-K217)</f>
        <v>66.447499999999934</v>
      </c>
      <c r="T217" s="14">
        <f t="shared" si="47"/>
        <v>-53.702499999999993</v>
      </c>
      <c r="U217" s="14">
        <f t="shared" si="49"/>
        <v>-59.85</v>
      </c>
      <c r="V217" s="14">
        <f t="shared" si="51"/>
        <v>2.2000000000000046</v>
      </c>
      <c r="W217" s="14">
        <f t="shared" si="39"/>
        <v>-52.199999999999989</v>
      </c>
      <c r="X217" s="13">
        <v>0</v>
      </c>
      <c r="Y217" s="13">
        <v>0</v>
      </c>
      <c r="Z217" s="13">
        <f t="shared" si="48"/>
        <v>-163.55250000000004</v>
      </c>
    </row>
    <row r="218" spans="1:26" ht="22.5" customHeight="1">
      <c r="A218" s="111" t="s">
        <v>8</v>
      </c>
      <c r="B218" s="114">
        <v>41270.864583333336</v>
      </c>
      <c r="C218" s="121"/>
      <c r="D218" s="121" t="s">
        <v>379</v>
      </c>
      <c r="E218" s="121" t="s">
        <v>154</v>
      </c>
      <c r="F218" s="121" t="s">
        <v>380</v>
      </c>
      <c r="G218" s="121" t="s">
        <v>459</v>
      </c>
      <c r="H218" s="122" t="s">
        <v>390</v>
      </c>
      <c r="I218" s="117">
        <v>41270.756249999999</v>
      </c>
      <c r="J218" s="109" t="s">
        <v>9</v>
      </c>
      <c r="K218" s="6">
        <v>2.62</v>
      </c>
      <c r="L218" s="10" t="s">
        <v>7</v>
      </c>
      <c r="M218" s="6">
        <f t="shared" ref="M218" si="53">IF(L218="PERDU",0,K218*H218)</f>
        <v>4.585</v>
      </c>
      <c r="N218" s="6">
        <f t="shared" si="43"/>
        <v>1</v>
      </c>
      <c r="O218" s="6">
        <f t="shared" si="44"/>
        <v>0</v>
      </c>
      <c r="P218" s="6">
        <f t="shared" si="42"/>
        <v>0</v>
      </c>
      <c r="Q218" s="6">
        <f t="shared" si="46"/>
        <v>1.9649999999999999</v>
      </c>
      <c r="R218" s="30">
        <f t="shared" si="45"/>
        <v>1.9649999999999999</v>
      </c>
      <c r="S218" s="16">
        <f t="shared" si="52"/>
        <v>68.412499999999923</v>
      </c>
      <c r="T218" s="14">
        <f t="shared" si="47"/>
        <v>-51.737499999999997</v>
      </c>
      <c r="U218" s="14">
        <f t="shared" si="49"/>
        <v>-59.85</v>
      </c>
      <c r="V218" s="14">
        <f t="shared" si="51"/>
        <v>2.2000000000000046</v>
      </c>
      <c r="W218" s="14">
        <f t="shared" si="39"/>
        <v>-52.199999999999989</v>
      </c>
      <c r="X218" s="13">
        <v>0</v>
      </c>
      <c r="Y218" s="13">
        <v>0</v>
      </c>
      <c r="Z218" s="13">
        <f t="shared" si="48"/>
        <v>-161.58750000000003</v>
      </c>
    </row>
    <row r="219" spans="1:26" ht="13.5" customHeight="1">
      <c r="A219" s="111" t="s">
        <v>8</v>
      </c>
      <c r="B219" s="117">
        <v>41270.833333333336</v>
      </c>
      <c r="C219" s="120"/>
      <c r="D219" s="120" t="s">
        <v>381</v>
      </c>
      <c r="E219" s="121" t="s">
        <v>216</v>
      </c>
      <c r="F219" s="121" t="s">
        <v>268</v>
      </c>
      <c r="G219" s="121"/>
      <c r="H219" s="110" t="s">
        <v>444</v>
      </c>
      <c r="I219" s="117">
        <v>41270.76458333333</v>
      </c>
      <c r="J219" s="109" t="s">
        <v>3</v>
      </c>
      <c r="K219" s="6">
        <v>2</v>
      </c>
      <c r="L219" s="10" t="s">
        <v>7</v>
      </c>
      <c r="M219" s="6">
        <f t="shared" ref="M219" si="54">IF(L219="PERDU",0,K219*H219)</f>
        <v>3.6</v>
      </c>
      <c r="N219" s="6">
        <f t="shared" si="43"/>
        <v>1</v>
      </c>
      <c r="O219" s="6">
        <f t="shared" si="44"/>
        <v>0</v>
      </c>
      <c r="P219" s="6">
        <f t="shared" si="42"/>
        <v>0</v>
      </c>
      <c r="Q219" s="6">
        <f t="shared" si="46"/>
        <v>1.6</v>
      </c>
      <c r="R219" s="30">
        <f t="shared" si="45"/>
        <v>1.6</v>
      </c>
      <c r="S219" s="16">
        <f t="shared" si="52"/>
        <v>70.012499999999918</v>
      </c>
      <c r="T219" s="14">
        <f t="shared" si="47"/>
        <v>-50.137499999999996</v>
      </c>
      <c r="U219" s="14">
        <f t="shared" si="49"/>
        <v>-59.85</v>
      </c>
      <c r="V219" s="14">
        <f t="shared" si="51"/>
        <v>2.2000000000000046</v>
      </c>
      <c r="W219" s="14">
        <f t="shared" ref="W219:W282" si="55">IF(A219="TOF",W218+R219,W218)</f>
        <v>-52.199999999999989</v>
      </c>
      <c r="X219" s="13">
        <v>0</v>
      </c>
      <c r="Y219" s="13">
        <v>0</v>
      </c>
      <c r="Z219" s="13">
        <f t="shared" si="48"/>
        <v>-159.98750000000004</v>
      </c>
    </row>
    <row r="220" spans="1:26" ht="13.5" customHeight="1">
      <c r="A220" s="111" t="s">
        <v>8</v>
      </c>
      <c r="B220" s="117">
        <v>41270.833333333336</v>
      </c>
      <c r="C220" s="120"/>
      <c r="D220" s="120" t="s">
        <v>381</v>
      </c>
      <c r="E220" s="121" t="s">
        <v>150</v>
      </c>
      <c r="F220" s="121" t="s">
        <v>382</v>
      </c>
      <c r="G220" s="121"/>
      <c r="H220" s="110" t="s">
        <v>396</v>
      </c>
      <c r="I220" s="117">
        <v>41270.76458333333</v>
      </c>
      <c r="J220" s="109" t="s">
        <v>3</v>
      </c>
      <c r="K220" s="6">
        <v>3</v>
      </c>
      <c r="L220" s="10" t="s">
        <v>7</v>
      </c>
      <c r="M220" s="6">
        <f t="shared" ref="M220:M238" si="56">IF(L220="PERDU",0,K220*H220)</f>
        <v>4.4399999999999995</v>
      </c>
      <c r="N220" s="6">
        <f t="shared" si="43"/>
        <v>1</v>
      </c>
      <c r="O220" s="6">
        <f t="shared" si="44"/>
        <v>0</v>
      </c>
      <c r="P220" s="6">
        <f t="shared" si="42"/>
        <v>0</v>
      </c>
      <c r="Q220" s="6">
        <f t="shared" si="46"/>
        <v>1.4399999999999995</v>
      </c>
      <c r="R220" s="30">
        <f t="shared" si="45"/>
        <v>1.4399999999999995</v>
      </c>
      <c r="S220" s="16">
        <f t="shared" si="52"/>
        <v>71.452499999999915</v>
      </c>
      <c r="T220" s="14">
        <f t="shared" si="47"/>
        <v>-48.697499999999998</v>
      </c>
      <c r="U220" s="14">
        <f t="shared" si="49"/>
        <v>-59.85</v>
      </c>
      <c r="V220" s="14">
        <f t="shared" si="51"/>
        <v>2.2000000000000046</v>
      </c>
      <c r="W220" s="14">
        <f t="shared" si="55"/>
        <v>-52.199999999999989</v>
      </c>
      <c r="X220" s="13">
        <v>0</v>
      </c>
      <c r="Y220" s="13">
        <v>0</v>
      </c>
      <c r="Z220" s="13">
        <f t="shared" si="48"/>
        <v>-158.54750000000004</v>
      </c>
    </row>
    <row r="221" spans="1:26" ht="11.25" customHeight="1">
      <c r="A221" s="108" t="s">
        <v>383</v>
      </c>
      <c r="B221" s="117">
        <v>41272.666666666664</v>
      </c>
      <c r="C221" s="120"/>
      <c r="D221" s="120" t="s">
        <v>384</v>
      </c>
      <c r="E221" s="121" t="s">
        <v>125</v>
      </c>
      <c r="F221" s="121" t="s">
        <v>385</v>
      </c>
      <c r="G221" s="121"/>
      <c r="H221" s="110" t="s">
        <v>399</v>
      </c>
      <c r="I221" s="117">
        <v>41270.768055555556</v>
      </c>
      <c r="J221" s="109" t="s">
        <v>3</v>
      </c>
      <c r="K221" s="6">
        <v>1</v>
      </c>
      <c r="L221" s="10" t="s">
        <v>5</v>
      </c>
      <c r="M221" s="6">
        <f t="shared" si="56"/>
        <v>0</v>
      </c>
      <c r="N221" s="6">
        <f t="shared" si="43"/>
        <v>0</v>
      </c>
      <c r="O221" s="6">
        <f t="shared" si="44"/>
        <v>1</v>
      </c>
      <c r="P221" s="6">
        <f t="shared" si="42"/>
        <v>0</v>
      </c>
      <c r="Q221" s="6">
        <f t="shared" si="46"/>
        <v>-1</v>
      </c>
      <c r="R221" s="30">
        <f t="shared" si="45"/>
        <v>-1</v>
      </c>
      <c r="S221" s="16">
        <f t="shared" si="52"/>
        <v>70.452499999999915</v>
      </c>
      <c r="T221" s="14">
        <f t="shared" si="47"/>
        <v>-48.697499999999998</v>
      </c>
      <c r="U221" s="14">
        <f t="shared" si="49"/>
        <v>-59.85</v>
      </c>
      <c r="V221" s="14">
        <f t="shared" si="51"/>
        <v>2.2000000000000046</v>
      </c>
      <c r="W221" s="14">
        <f t="shared" si="55"/>
        <v>-52.199999999999989</v>
      </c>
      <c r="X221" s="13">
        <f>+R221</f>
        <v>-1</v>
      </c>
      <c r="Y221" s="13">
        <v>0</v>
      </c>
      <c r="Z221" s="13">
        <f t="shared" si="48"/>
        <v>-159.54750000000004</v>
      </c>
    </row>
    <row r="222" spans="1:26" ht="11.25" customHeight="1">
      <c r="A222" s="108" t="s">
        <v>383</v>
      </c>
      <c r="B222" s="117">
        <v>41272.770833333336</v>
      </c>
      <c r="C222" s="120"/>
      <c r="D222" s="120" t="s">
        <v>386</v>
      </c>
      <c r="E222" s="121" t="s">
        <v>31</v>
      </c>
      <c r="F222" s="121" t="s">
        <v>387</v>
      </c>
      <c r="G222" s="121"/>
      <c r="H222" s="110">
        <v>6</v>
      </c>
      <c r="I222" s="117">
        <v>41270.769444444442</v>
      </c>
      <c r="J222" s="109" t="s">
        <v>3</v>
      </c>
      <c r="K222" s="6">
        <v>1</v>
      </c>
      <c r="L222" s="10" t="s">
        <v>5</v>
      </c>
      <c r="M222" s="6">
        <f t="shared" si="56"/>
        <v>0</v>
      </c>
      <c r="N222" s="6">
        <f t="shared" si="43"/>
        <v>0</v>
      </c>
      <c r="O222" s="6">
        <f t="shared" si="44"/>
        <v>1</v>
      </c>
      <c r="P222" s="6">
        <f t="shared" si="42"/>
        <v>0</v>
      </c>
      <c r="Q222" s="6">
        <f t="shared" si="46"/>
        <v>-1</v>
      </c>
      <c r="R222" s="30">
        <f t="shared" si="45"/>
        <v>-1</v>
      </c>
      <c r="S222" s="16">
        <f t="shared" si="52"/>
        <v>69.452499999999915</v>
      </c>
      <c r="T222" s="14">
        <f t="shared" si="47"/>
        <v>-48.697499999999998</v>
      </c>
      <c r="U222" s="14">
        <f t="shared" si="49"/>
        <v>-59.85</v>
      </c>
      <c r="V222" s="14">
        <f t="shared" si="51"/>
        <v>2.2000000000000046</v>
      </c>
      <c r="W222" s="14">
        <f t="shared" si="55"/>
        <v>-52.199999999999989</v>
      </c>
      <c r="X222" s="13">
        <f t="shared" ref="X222:X253" si="57">IF(A222="YOAN",X221+R222,X221)</f>
        <v>-2</v>
      </c>
      <c r="Y222" s="13">
        <v>0</v>
      </c>
      <c r="Z222" s="13">
        <f t="shared" si="48"/>
        <v>-160.54750000000004</v>
      </c>
    </row>
    <row r="223" spans="1:26" s="33" customFormat="1" ht="11.25" customHeight="1">
      <c r="A223" s="113" t="s">
        <v>8</v>
      </c>
      <c r="B223" s="117">
        <v>41272.666666666664</v>
      </c>
      <c r="C223" s="120"/>
      <c r="D223" s="120" t="s">
        <v>384</v>
      </c>
      <c r="E223" s="120" t="s">
        <v>125</v>
      </c>
      <c r="F223" s="120" t="s">
        <v>142</v>
      </c>
      <c r="G223" s="117"/>
      <c r="H223" s="110" t="s">
        <v>466</v>
      </c>
      <c r="I223" s="117">
        <v>41271.549305555556</v>
      </c>
      <c r="J223" s="108" t="s">
        <v>3</v>
      </c>
      <c r="K223" s="6" t="s">
        <v>467</v>
      </c>
      <c r="L223" s="10" t="s">
        <v>5</v>
      </c>
      <c r="M223" s="26">
        <f>IF(L223="PERDU",0,K223*H223)</f>
        <v>0</v>
      </c>
      <c r="N223" s="6">
        <f t="shared" si="43"/>
        <v>0</v>
      </c>
      <c r="O223" s="6">
        <f t="shared" si="44"/>
        <v>1</v>
      </c>
      <c r="P223" s="6">
        <f t="shared" si="42"/>
        <v>0</v>
      </c>
      <c r="Q223" s="26">
        <f t="shared" si="46"/>
        <v>-5</v>
      </c>
      <c r="R223" s="29">
        <f t="shared" si="45"/>
        <v>-5</v>
      </c>
      <c r="S223" s="16">
        <f t="shared" si="52"/>
        <v>64.452499999999915</v>
      </c>
      <c r="T223" s="35">
        <f t="shared" si="47"/>
        <v>-53.697499999999998</v>
      </c>
      <c r="U223" s="35">
        <f t="shared" si="49"/>
        <v>-59.85</v>
      </c>
      <c r="V223" s="35">
        <f t="shared" si="51"/>
        <v>2.2000000000000046</v>
      </c>
      <c r="W223" s="35">
        <f t="shared" si="55"/>
        <v>-52.199999999999989</v>
      </c>
      <c r="X223" s="13">
        <f t="shared" si="57"/>
        <v>-2</v>
      </c>
      <c r="Y223" s="13">
        <v>0</v>
      </c>
      <c r="Z223" s="36">
        <f t="shared" si="48"/>
        <v>-165.54750000000004</v>
      </c>
    </row>
    <row r="224" spans="1:26" ht="11.25" customHeight="1">
      <c r="B224" s="114"/>
      <c r="C224" s="121"/>
      <c r="D224" s="121" t="s">
        <v>471</v>
      </c>
      <c r="E224" s="121"/>
      <c r="F224" s="121"/>
      <c r="G224" s="121"/>
      <c r="H224" s="122"/>
      <c r="I224" s="117"/>
      <c r="M224" s="6">
        <f t="shared" si="56"/>
        <v>0</v>
      </c>
      <c r="N224" s="6">
        <f t="shared" si="43"/>
        <v>0</v>
      </c>
      <c r="O224" s="6">
        <f t="shared" si="44"/>
        <v>0</v>
      </c>
      <c r="P224" s="6">
        <f t="shared" si="42"/>
        <v>0</v>
      </c>
      <c r="Q224" s="6">
        <f t="shared" si="46"/>
        <v>0</v>
      </c>
      <c r="R224" s="30">
        <f t="shared" si="45"/>
        <v>0</v>
      </c>
      <c r="S224" s="16">
        <f>IF(L224=0,S223-K224,S223+M224-K224)+25</f>
        <v>89.452499999999915</v>
      </c>
      <c r="T224" s="14">
        <f t="shared" si="47"/>
        <v>-53.697499999999998</v>
      </c>
      <c r="U224" s="14">
        <f t="shared" si="49"/>
        <v>-59.85</v>
      </c>
      <c r="V224" s="14">
        <f t="shared" si="51"/>
        <v>2.2000000000000046</v>
      </c>
      <c r="W224" s="14">
        <f t="shared" si="55"/>
        <v>-52.199999999999989</v>
      </c>
      <c r="X224" s="13">
        <f t="shared" si="57"/>
        <v>-2</v>
      </c>
      <c r="Y224" s="13">
        <v>0</v>
      </c>
      <c r="Z224" s="13">
        <f t="shared" si="48"/>
        <v>-165.54750000000004</v>
      </c>
    </row>
    <row r="225" spans="1:26" ht="11.25" customHeight="1">
      <c r="A225" s="108" t="s">
        <v>468</v>
      </c>
      <c r="B225" s="114">
        <v>41275.666666666664</v>
      </c>
      <c r="C225" s="121"/>
      <c r="D225" s="121" t="s">
        <v>469</v>
      </c>
      <c r="E225" s="121" t="s">
        <v>31</v>
      </c>
      <c r="F225" s="121" t="s">
        <v>470</v>
      </c>
      <c r="G225" s="121"/>
      <c r="H225" s="122" t="s">
        <v>397</v>
      </c>
      <c r="I225" s="117">
        <v>41271.703472222223</v>
      </c>
      <c r="J225" s="108" t="s">
        <v>3</v>
      </c>
      <c r="K225" s="6">
        <v>5</v>
      </c>
      <c r="L225" s="10" t="s">
        <v>7</v>
      </c>
      <c r="M225" s="6">
        <f t="shared" si="56"/>
        <v>7.1999999999999993</v>
      </c>
      <c r="N225" s="6">
        <f t="shared" si="43"/>
        <v>1</v>
      </c>
      <c r="O225" s="6">
        <f t="shared" si="44"/>
        <v>0</v>
      </c>
      <c r="P225" s="6">
        <f t="shared" si="42"/>
        <v>0</v>
      </c>
      <c r="Q225" s="6">
        <f t="shared" si="46"/>
        <v>2.1999999999999993</v>
      </c>
      <c r="R225" s="30">
        <f t="shared" si="45"/>
        <v>2.1999999999999993</v>
      </c>
      <c r="S225" s="16">
        <f t="shared" ref="S225:S236" si="58">IF(L225=0,S224-K225,S224+M225-K225)</f>
        <v>91.652499999999918</v>
      </c>
      <c r="T225" s="14">
        <f t="shared" si="47"/>
        <v>-53.697499999999998</v>
      </c>
      <c r="U225" s="14">
        <f t="shared" si="49"/>
        <v>-59.85</v>
      </c>
      <c r="V225" s="14">
        <f t="shared" si="51"/>
        <v>2.2000000000000046</v>
      </c>
      <c r="W225" s="14">
        <f t="shared" si="55"/>
        <v>-52.199999999999989</v>
      </c>
      <c r="X225" s="13">
        <f t="shared" si="57"/>
        <v>-2</v>
      </c>
      <c r="Y225" s="13">
        <f t="shared" ref="Y225:Y256" si="59">IF(A225="JEAN",Y224+R225,Y224)</f>
        <v>2.1999999999999993</v>
      </c>
      <c r="Z225" s="13">
        <f t="shared" si="48"/>
        <v>-163.34750000000005</v>
      </c>
    </row>
    <row r="226" spans="1:26" ht="11.25" customHeight="1">
      <c r="A226" s="108" t="s">
        <v>468</v>
      </c>
      <c r="B226" s="114">
        <v>41273.708333333336</v>
      </c>
      <c r="C226" s="121"/>
      <c r="D226" s="121" t="s">
        <v>472</v>
      </c>
      <c r="E226" s="121" t="s">
        <v>31</v>
      </c>
      <c r="F226" s="121" t="s">
        <v>336</v>
      </c>
      <c r="G226" s="121"/>
      <c r="H226" s="122" t="s">
        <v>437</v>
      </c>
      <c r="I226" s="117">
        <v>41271.730555555558</v>
      </c>
      <c r="J226" s="108" t="s">
        <v>3</v>
      </c>
      <c r="K226" s="6" t="s">
        <v>467</v>
      </c>
      <c r="L226" s="10" t="s">
        <v>7</v>
      </c>
      <c r="M226" s="6">
        <f t="shared" si="56"/>
        <v>9.15</v>
      </c>
      <c r="N226" s="6">
        <f t="shared" si="43"/>
        <v>1</v>
      </c>
      <c r="O226" s="6">
        <f t="shared" si="44"/>
        <v>0</v>
      </c>
      <c r="P226" s="6">
        <f t="shared" si="42"/>
        <v>0</v>
      </c>
      <c r="Q226" s="6">
        <f t="shared" si="46"/>
        <v>4.1500000000000004</v>
      </c>
      <c r="R226" s="30">
        <f t="shared" si="45"/>
        <v>4.1500000000000004</v>
      </c>
      <c r="S226" s="16">
        <f t="shared" si="58"/>
        <v>95.802499999999924</v>
      </c>
      <c r="T226" s="14">
        <f t="shared" si="47"/>
        <v>-53.697499999999998</v>
      </c>
      <c r="U226" s="14">
        <f t="shared" si="49"/>
        <v>-59.85</v>
      </c>
      <c r="V226" s="14">
        <f t="shared" si="51"/>
        <v>2.2000000000000046</v>
      </c>
      <c r="W226" s="14">
        <f t="shared" si="55"/>
        <v>-52.199999999999989</v>
      </c>
      <c r="X226" s="13">
        <f t="shared" si="57"/>
        <v>-2</v>
      </c>
      <c r="Y226" s="13">
        <f t="shared" si="59"/>
        <v>6.35</v>
      </c>
      <c r="Z226" s="13">
        <f t="shared" si="48"/>
        <v>-159.19750000000005</v>
      </c>
    </row>
    <row r="227" spans="1:26" ht="11.25" customHeight="1">
      <c r="A227" s="108" t="s">
        <v>8</v>
      </c>
      <c r="B227" s="114">
        <v>41271.791666666664</v>
      </c>
      <c r="C227" s="121"/>
      <c r="D227" s="121" t="s">
        <v>473</v>
      </c>
      <c r="E227" s="121" t="s">
        <v>154</v>
      </c>
      <c r="F227" s="121" t="s">
        <v>75</v>
      </c>
      <c r="G227" s="121"/>
      <c r="H227" s="122" t="s">
        <v>434</v>
      </c>
      <c r="I227" s="117">
        <v>41271.75277777778</v>
      </c>
      <c r="J227" s="109" t="s">
        <v>9</v>
      </c>
      <c r="K227" s="6">
        <v>2</v>
      </c>
      <c r="L227" s="10" t="s">
        <v>5</v>
      </c>
      <c r="M227" s="6">
        <f t="shared" si="56"/>
        <v>0</v>
      </c>
      <c r="N227" s="6">
        <f t="shared" si="43"/>
        <v>0</v>
      </c>
      <c r="O227" s="6">
        <f t="shared" si="44"/>
        <v>1</v>
      </c>
      <c r="P227" s="6">
        <f t="shared" si="42"/>
        <v>0</v>
      </c>
      <c r="Q227" s="6">
        <f t="shared" si="46"/>
        <v>-2</v>
      </c>
      <c r="R227" s="30">
        <f t="shared" si="45"/>
        <v>-2</v>
      </c>
      <c r="S227" s="16">
        <f t="shared" si="58"/>
        <v>93.802499999999924</v>
      </c>
      <c r="T227" s="14">
        <f t="shared" si="47"/>
        <v>-55.697499999999998</v>
      </c>
      <c r="U227" s="14">
        <f t="shared" si="49"/>
        <v>-59.85</v>
      </c>
      <c r="V227" s="14">
        <f t="shared" si="51"/>
        <v>2.2000000000000046</v>
      </c>
      <c r="W227" s="14">
        <f t="shared" si="55"/>
        <v>-52.199999999999989</v>
      </c>
      <c r="X227" s="13">
        <f t="shared" si="57"/>
        <v>-2</v>
      </c>
      <c r="Y227" s="13">
        <f t="shared" si="59"/>
        <v>6.35</v>
      </c>
      <c r="Z227" s="13">
        <f t="shared" si="48"/>
        <v>-161.19750000000005</v>
      </c>
    </row>
    <row r="228" spans="1:26" ht="11.25" customHeight="1">
      <c r="A228" s="108" t="s">
        <v>8</v>
      </c>
      <c r="B228" s="117">
        <v>41271.833333333336</v>
      </c>
      <c r="C228" s="120"/>
      <c r="D228" s="56" t="s">
        <v>474</v>
      </c>
      <c r="E228" s="120" t="s">
        <v>154</v>
      </c>
      <c r="F228" s="120" t="s">
        <v>475</v>
      </c>
      <c r="G228" s="120"/>
      <c r="H228" s="110" t="s">
        <v>412</v>
      </c>
      <c r="I228" s="117">
        <v>41271.754166666666</v>
      </c>
      <c r="J228" s="109" t="s">
        <v>9</v>
      </c>
      <c r="K228" s="6" t="s">
        <v>476</v>
      </c>
      <c r="L228" s="10" t="s">
        <v>7</v>
      </c>
      <c r="M228" s="6">
        <f t="shared" si="56"/>
        <v>4.9499999999999993</v>
      </c>
      <c r="N228" s="6">
        <f t="shared" si="43"/>
        <v>1</v>
      </c>
      <c r="O228" s="6">
        <f t="shared" si="44"/>
        <v>0</v>
      </c>
      <c r="P228" s="6">
        <f t="shared" si="42"/>
        <v>0</v>
      </c>
      <c r="Q228" s="6">
        <f t="shared" si="46"/>
        <v>1.9499999999999993</v>
      </c>
      <c r="R228" s="30">
        <f t="shared" si="45"/>
        <v>1.9499999999999993</v>
      </c>
      <c r="S228" s="16">
        <f t="shared" si="58"/>
        <v>95.752499999999927</v>
      </c>
      <c r="T228" s="14">
        <f t="shared" si="47"/>
        <v>-53.747500000000002</v>
      </c>
      <c r="U228" s="14">
        <f t="shared" si="49"/>
        <v>-59.85</v>
      </c>
      <c r="V228" s="14">
        <f t="shared" si="51"/>
        <v>2.2000000000000046</v>
      </c>
      <c r="W228" s="14">
        <f t="shared" si="55"/>
        <v>-52.199999999999989</v>
      </c>
      <c r="X228" s="13">
        <f t="shared" si="57"/>
        <v>-2</v>
      </c>
      <c r="Y228" s="13">
        <f t="shared" si="59"/>
        <v>6.35</v>
      </c>
      <c r="Z228" s="13">
        <f t="shared" si="48"/>
        <v>-159.24750000000006</v>
      </c>
    </row>
    <row r="229" spans="1:26" ht="11.25" customHeight="1">
      <c r="A229" s="108" t="s">
        <v>8</v>
      </c>
      <c r="B229" s="117">
        <v>41271.833333333336</v>
      </c>
      <c r="C229" s="120"/>
      <c r="D229" s="56" t="s">
        <v>477</v>
      </c>
      <c r="E229" s="120" t="s">
        <v>154</v>
      </c>
      <c r="F229" s="120" t="s">
        <v>478</v>
      </c>
      <c r="G229" s="120"/>
      <c r="H229" s="110" t="s">
        <v>457</v>
      </c>
      <c r="I229" s="117">
        <v>41271.755555555559</v>
      </c>
      <c r="J229" s="109" t="s">
        <v>9</v>
      </c>
      <c r="K229" s="6" t="s">
        <v>479</v>
      </c>
      <c r="L229" s="10" t="s">
        <v>7</v>
      </c>
      <c r="M229" s="6">
        <f t="shared" si="56"/>
        <v>4.625</v>
      </c>
      <c r="N229" s="6">
        <f t="shared" si="43"/>
        <v>1</v>
      </c>
      <c r="O229" s="6">
        <f t="shared" si="44"/>
        <v>0</v>
      </c>
      <c r="P229" s="6">
        <f t="shared" si="42"/>
        <v>0</v>
      </c>
      <c r="Q229" s="6">
        <f t="shared" si="46"/>
        <v>2.125</v>
      </c>
      <c r="R229" s="30">
        <f t="shared" si="45"/>
        <v>2.125</v>
      </c>
      <c r="S229" s="16">
        <f t="shared" si="58"/>
        <v>97.877499999999927</v>
      </c>
      <c r="T229" s="14">
        <f t="shared" si="47"/>
        <v>-51.622500000000002</v>
      </c>
      <c r="U229" s="14">
        <f t="shared" si="49"/>
        <v>-59.85</v>
      </c>
      <c r="V229" s="14">
        <f t="shared" si="51"/>
        <v>2.2000000000000046</v>
      </c>
      <c r="W229" s="14">
        <f t="shared" si="55"/>
        <v>-52.199999999999989</v>
      </c>
      <c r="X229" s="13">
        <f t="shared" si="57"/>
        <v>-2</v>
      </c>
      <c r="Y229" s="13">
        <f t="shared" si="59"/>
        <v>6.35</v>
      </c>
      <c r="Z229" s="13">
        <f t="shared" si="48"/>
        <v>-157.12250000000006</v>
      </c>
    </row>
    <row r="230" spans="1:26" ht="11.25" customHeight="1">
      <c r="A230" s="108" t="s">
        <v>8</v>
      </c>
      <c r="B230" s="117">
        <v>41271.833333333336</v>
      </c>
      <c r="C230" s="120"/>
      <c r="D230" s="56" t="s">
        <v>480</v>
      </c>
      <c r="E230" s="120" t="s">
        <v>150</v>
      </c>
      <c r="F230" s="120" t="s">
        <v>481</v>
      </c>
      <c r="G230" s="120"/>
      <c r="H230" s="110" t="s">
        <v>412</v>
      </c>
      <c r="I230" s="117">
        <v>41271.756944444445</v>
      </c>
      <c r="J230" s="109" t="s">
        <v>9</v>
      </c>
      <c r="K230" s="6" t="s">
        <v>479</v>
      </c>
      <c r="L230" s="10" t="s">
        <v>5</v>
      </c>
      <c r="M230" s="6">
        <f t="shared" si="56"/>
        <v>0</v>
      </c>
      <c r="N230" s="6">
        <f t="shared" si="43"/>
        <v>0</v>
      </c>
      <c r="O230" s="6">
        <f t="shared" si="44"/>
        <v>1</v>
      </c>
      <c r="P230" s="6">
        <f t="shared" si="42"/>
        <v>0</v>
      </c>
      <c r="Q230" s="6">
        <f t="shared" si="46"/>
        <v>-2.5</v>
      </c>
      <c r="R230" s="30">
        <f t="shared" si="45"/>
        <v>-2.5</v>
      </c>
      <c r="S230" s="16">
        <f t="shared" si="58"/>
        <v>95.377499999999927</v>
      </c>
      <c r="T230" s="14">
        <f t="shared" si="47"/>
        <v>-54.122500000000002</v>
      </c>
      <c r="U230" s="14">
        <f t="shared" si="49"/>
        <v>-59.85</v>
      </c>
      <c r="V230" s="14">
        <f t="shared" si="51"/>
        <v>2.2000000000000046</v>
      </c>
      <c r="W230" s="14">
        <f t="shared" si="55"/>
        <v>-52.199999999999989</v>
      </c>
      <c r="X230" s="13">
        <f t="shared" si="57"/>
        <v>-2</v>
      </c>
      <c r="Y230" s="13">
        <f t="shared" si="59"/>
        <v>6.35</v>
      </c>
      <c r="Z230" s="13">
        <f t="shared" si="48"/>
        <v>-159.62250000000006</v>
      </c>
    </row>
    <row r="231" spans="1:26" ht="11.25" customHeight="1">
      <c r="A231" s="108" t="s">
        <v>8</v>
      </c>
      <c r="B231" s="117">
        <v>41271.854166666664</v>
      </c>
      <c r="C231" s="120"/>
      <c r="D231" s="56" t="s">
        <v>482</v>
      </c>
      <c r="E231" s="120" t="s">
        <v>31</v>
      </c>
      <c r="F231" s="120" t="s">
        <v>483</v>
      </c>
      <c r="G231" s="120"/>
      <c r="H231" s="110" t="s">
        <v>414</v>
      </c>
      <c r="I231" s="117">
        <v>41271.806944444441</v>
      </c>
      <c r="J231" s="109" t="s">
        <v>3</v>
      </c>
      <c r="K231" s="6" t="s">
        <v>476</v>
      </c>
      <c r="L231" s="10" t="s">
        <v>5</v>
      </c>
      <c r="M231" s="6">
        <f t="shared" si="56"/>
        <v>0</v>
      </c>
      <c r="N231" s="6">
        <f t="shared" si="43"/>
        <v>0</v>
      </c>
      <c r="O231" s="6">
        <f t="shared" si="44"/>
        <v>1</v>
      </c>
      <c r="P231" s="6">
        <f t="shared" si="42"/>
        <v>0</v>
      </c>
      <c r="Q231" s="6">
        <f t="shared" si="46"/>
        <v>-3</v>
      </c>
      <c r="R231" s="30">
        <f t="shared" si="45"/>
        <v>-3</v>
      </c>
      <c r="S231" s="16">
        <f t="shared" si="58"/>
        <v>92.377499999999927</v>
      </c>
      <c r="T231" s="14">
        <f t="shared" si="47"/>
        <v>-57.122500000000002</v>
      </c>
      <c r="U231" s="14">
        <f t="shared" si="49"/>
        <v>-59.85</v>
      </c>
      <c r="V231" s="14">
        <f t="shared" si="51"/>
        <v>2.2000000000000046</v>
      </c>
      <c r="W231" s="14">
        <f t="shared" si="55"/>
        <v>-52.199999999999989</v>
      </c>
      <c r="X231" s="13">
        <f t="shared" si="57"/>
        <v>-2</v>
      </c>
      <c r="Y231" s="13">
        <f t="shared" si="59"/>
        <v>6.35</v>
      </c>
      <c r="Z231" s="13">
        <f t="shared" si="48"/>
        <v>-162.62250000000006</v>
      </c>
    </row>
    <row r="232" spans="1:26" ht="11.25" customHeight="1">
      <c r="A232" s="108" t="s">
        <v>8</v>
      </c>
      <c r="B232" s="117">
        <v>41271.854166666664</v>
      </c>
      <c r="C232" s="120"/>
      <c r="D232" s="56" t="s">
        <v>482</v>
      </c>
      <c r="E232" s="120" t="s">
        <v>311</v>
      </c>
      <c r="F232" s="120" t="s">
        <v>484</v>
      </c>
      <c r="G232" s="120"/>
      <c r="H232" s="110" t="s">
        <v>485</v>
      </c>
      <c r="I232" s="117">
        <v>41271.807638888888</v>
      </c>
      <c r="J232" s="109" t="s">
        <v>3</v>
      </c>
      <c r="K232" s="6" t="s">
        <v>486</v>
      </c>
      <c r="L232" s="10" t="s">
        <v>5</v>
      </c>
      <c r="M232" s="6">
        <f t="shared" si="56"/>
        <v>0</v>
      </c>
      <c r="N232" s="6">
        <f t="shared" si="43"/>
        <v>0</v>
      </c>
      <c r="O232" s="6">
        <f t="shared" si="44"/>
        <v>1</v>
      </c>
      <c r="P232" s="6">
        <f t="shared" si="42"/>
        <v>0</v>
      </c>
      <c r="Q232" s="6">
        <f t="shared" si="46"/>
        <v>-2</v>
      </c>
      <c r="R232" s="30">
        <f t="shared" si="45"/>
        <v>-2</v>
      </c>
      <c r="S232" s="16">
        <f t="shared" si="58"/>
        <v>90.377499999999927</v>
      </c>
      <c r="T232" s="14">
        <f t="shared" si="47"/>
        <v>-59.122500000000002</v>
      </c>
      <c r="U232" s="14">
        <f t="shared" si="49"/>
        <v>-59.85</v>
      </c>
      <c r="V232" s="14">
        <f t="shared" si="51"/>
        <v>2.2000000000000046</v>
      </c>
      <c r="W232" s="14">
        <f t="shared" si="55"/>
        <v>-52.199999999999989</v>
      </c>
      <c r="X232" s="13">
        <f t="shared" si="57"/>
        <v>-2</v>
      </c>
      <c r="Y232" s="13">
        <f t="shared" si="59"/>
        <v>6.35</v>
      </c>
      <c r="Z232" s="13">
        <f t="shared" si="48"/>
        <v>-164.62250000000006</v>
      </c>
    </row>
    <row r="233" spans="1:26" ht="11.25" customHeight="1">
      <c r="A233" s="108" t="s">
        <v>58</v>
      </c>
      <c r="B233" s="117">
        <v>41272.770833333336</v>
      </c>
      <c r="C233" s="120"/>
      <c r="D233" s="120" t="s">
        <v>386</v>
      </c>
      <c r="E233" s="120" t="s">
        <v>488</v>
      </c>
      <c r="F233" s="120" t="s">
        <v>268</v>
      </c>
      <c r="G233" s="120"/>
      <c r="H233" s="110" t="s">
        <v>407</v>
      </c>
      <c r="I233" s="117">
        <v>41271.820138888892</v>
      </c>
      <c r="J233" s="109" t="s">
        <v>3</v>
      </c>
      <c r="K233" s="6">
        <v>5</v>
      </c>
      <c r="L233" s="10" t="s">
        <v>7</v>
      </c>
      <c r="M233" s="6">
        <f t="shared" si="56"/>
        <v>17.5</v>
      </c>
      <c r="N233" s="6">
        <f t="shared" si="43"/>
        <v>1</v>
      </c>
      <c r="O233" s="6">
        <f t="shared" si="44"/>
        <v>0</v>
      </c>
      <c r="P233" s="6">
        <f t="shared" si="42"/>
        <v>0</v>
      </c>
      <c r="Q233" s="6">
        <f t="shared" si="46"/>
        <v>12.5</v>
      </c>
      <c r="R233" s="30">
        <f t="shared" si="45"/>
        <v>12.5</v>
      </c>
      <c r="S233" s="16">
        <f t="shared" si="58"/>
        <v>102.87749999999993</v>
      </c>
      <c r="T233" s="14">
        <f t="shared" si="47"/>
        <v>-59.122500000000002</v>
      </c>
      <c r="U233" s="14">
        <f t="shared" si="49"/>
        <v>-59.85</v>
      </c>
      <c r="V233" s="14">
        <f t="shared" si="51"/>
        <v>14.700000000000005</v>
      </c>
      <c r="W233" s="14">
        <f t="shared" si="55"/>
        <v>-52.199999999999989</v>
      </c>
      <c r="X233" s="13">
        <f t="shared" si="57"/>
        <v>-2</v>
      </c>
      <c r="Y233" s="13">
        <f t="shared" si="59"/>
        <v>6.35</v>
      </c>
      <c r="Z233" s="13">
        <f t="shared" si="48"/>
        <v>-152.12250000000006</v>
      </c>
    </row>
    <row r="234" spans="1:26" ht="11.25" customHeight="1">
      <c r="A234" s="108" t="s">
        <v>58</v>
      </c>
      <c r="B234" s="117">
        <v>41273.604166666664</v>
      </c>
      <c r="C234" s="120"/>
      <c r="D234" s="120" t="s">
        <v>489</v>
      </c>
      <c r="E234" s="120" t="s">
        <v>31</v>
      </c>
      <c r="F234" s="120" t="s">
        <v>199</v>
      </c>
      <c r="G234" s="120"/>
      <c r="H234" s="110" t="s">
        <v>490</v>
      </c>
      <c r="I234" s="117">
        <v>41271.820833333331</v>
      </c>
      <c r="J234" s="109" t="s">
        <v>3</v>
      </c>
      <c r="K234" s="6" t="s">
        <v>467</v>
      </c>
      <c r="L234" s="10" t="s">
        <v>7</v>
      </c>
      <c r="M234" s="6">
        <f t="shared" si="56"/>
        <v>11.75</v>
      </c>
      <c r="N234" s="6">
        <f t="shared" si="43"/>
        <v>1</v>
      </c>
      <c r="O234" s="6">
        <f t="shared" si="44"/>
        <v>0</v>
      </c>
      <c r="P234" s="6">
        <f t="shared" si="42"/>
        <v>0</v>
      </c>
      <c r="Q234" s="6">
        <f t="shared" si="46"/>
        <v>6.75</v>
      </c>
      <c r="R234" s="30">
        <f t="shared" si="45"/>
        <v>6.75</v>
      </c>
      <c r="S234" s="16">
        <f t="shared" si="58"/>
        <v>109.62749999999993</v>
      </c>
      <c r="T234" s="14">
        <f t="shared" si="47"/>
        <v>-59.122500000000002</v>
      </c>
      <c r="U234" s="14">
        <f t="shared" si="49"/>
        <v>-59.85</v>
      </c>
      <c r="V234" s="14">
        <f t="shared" si="51"/>
        <v>21.450000000000003</v>
      </c>
      <c r="W234" s="14">
        <f t="shared" si="55"/>
        <v>-52.199999999999989</v>
      </c>
      <c r="X234" s="13">
        <f t="shared" si="57"/>
        <v>-2</v>
      </c>
      <c r="Y234" s="13">
        <f t="shared" si="59"/>
        <v>6.35</v>
      </c>
      <c r="Z234" s="13">
        <f t="shared" si="48"/>
        <v>-145.37250000000006</v>
      </c>
    </row>
    <row r="235" spans="1:26" ht="11.25" customHeight="1">
      <c r="A235" s="108" t="s">
        <v>58</v>
      </c>
      <c r="B235" s="117">
        <v>41272.666666666664</v>
      </c>
      <c r="C235" s="120"/>
      <c r="D235" s="120" t="s">
        <v>384</v>
      </c>
      <c r="E235" s="120" t="s">
        <v>31</v>
      </c>
      <c r="F235" s="120" t="s">
        <v>470</v>
      </c>
      <c r="G235" s="120"/>
      <c r="H235" s="110" t="s">
        <v>409</v>
      </c>
      <c r="I235" s="117">
        <v>41271.822222222225</v>
      </c>
      <c r="J235" s="109" t="s">
        <v>3</v>
      </c>
      <c r="K235" s="6">
        <v>5</v>
      </c>
      <c r="L235" s="10" t="s">
        <v>7</v>
      </c>
      <c r="M235" s="6">
        <f t="shared" si="56"/>
        <v>6.4</v>
      </c>
      <c r="N235" s="6">
        <f t="shared" si="43"/>
        <v>1</v>
      </c>
      <c r="O235" s="6">
        <f t="shared" si="44"/>
        <v>0</v>
      </c>
      <c r="P235" s="6">
        <f t="shared" si="42"/>
        <v>0</v>
      </c>
      <c r="Q235" s="6">
        <f t="shared" si="46"/>
        <v>1.4000000000000004</v>
      </c>
      <c r="R235" s="30">
        <f t="shared" si="45"/>
        <v>1.4000000000000004</v>
      </c>
      <c r="S235" s="16">
        <f t="shared" si="58"/>
        <v>111.02749999999993</v>
      </c>
      <c r="T235" s="14">
        <f t="shared" si="47"/>
        <v>-59.122500000000002</v>
      </c>
      <c r="U235" s="14">
        <f t="shared" si="49"/>
        <v>-59.85</v>
      </c>
      <c r="V235" s="14">
        <f t="shared" si="51"/>
        <v>22.85</v>
      </c>
      <c r="W235" s="14">
        <f t="shared" si="55"/>
        <v>-52.199999999999989</v>
      </c>
      <c r="X235" s="13">
        <f t="shared" si="57"/>
        <v>-2</v>
      </c>
      <c r="Y235" s="13">
        <f t="shared" si="59"/>
        <v>6.35</v>
      </c>
      <c r="Z235" s="13">
        <f t="shared" si="48"/>
        <v>-143.97250000000005</v>
      </c>
    </row>
    <row r="236" spans="1:26" ht="11.25" customHeight="1">
      <c r="A236" s="108" t="s">
        <v>58</v>
      </c>
      <c r="B236" s="117">
        <v>41272.666666666664</v>
      </c>
      <c r="C236" s="120"/>
      <c r="D236" s="120" t="s">
        <v>491</v>
      </c>
      <c r="E236" s="120" t="s">
        <v>150</v>
      </c>
      <c r="F236" s="120" t="s">
        <v>492</v>
      </c>
      <c r="G236" s="120"/>
      <c r="H236" s="110" t="s">
        <v>493</v>
      </c>
      <c r="I236" s="117">
        <v>41271.824305555558</v>
      </c>
      <c r="J236" s="109" t="s">
        <v>3</v>
      </c>
      <c r="K236" s="6" t="s">
        <v>467</v>
      </c>
      <c r="L236" s="10" t="s">
        <v>5</v>
      </c>
      <c r="M236" s="6">
        <f t="shared" si="56"/>
        <v>0</v>
      </c>
      <c r="N236" s="6">
        <f t="shared" si="43"/>
        <v>0</v>
      </c>
      <c r="O236" s="6">
        <f t="shared" si="44"/>
        <v>1</v>
      </c>
      <c r="P236" s="6">
        <f t="shared" si="42"/>
        <v>0</v>
      </c>
      <c r="Q236" s="6">
        <f t="shared" si="46"/>
        <v>-5</v>
      </c>
      <c r="R236" s="30">
        <f t="shared" si="45"/>
        <v>-5</v>
      </c>
      <c r="S236" s="16">
        <f t="shared" si="58"/>
        <v>106.02749999999993</v>
      </c>
      <c r="T236" s="14">
        <f t="shared" si="47"/>
        <v>-59.122500000000002</v>
      </c>
      <c r="U236" s="14">
        <f t="shared" si="49"/>
        <v>-59.85</v>
      </c>
      <c r="V236" s="14">
        <f t="shared" si="51"/>
        <v>17.850000000000001</v>
      </c>
      <c r="W236" s="14">
        <f t="shared" si="55"/>
        <v>-52.199999999999989</v>
      </c>
      <c r="X236" s="13">
        <f t="shared" si="57"/>
        <v>-2</v>
      </c>
      <c r="Y236" s="13">
        <f t="shared" si="59"/>
        <v>6.35</v>
      </c>
      <c r="Z236" s="13">
        <f t="shared" si="48"/>
        <v>-148.97250000000005</v>
      </c>
    </row>
    <row r="237" spans="1:26" ht="11.25" customHeight="1">
      <c r="A237" s="108" t="s">
        <v>8</v>
      </c>
      <c r="B237" s="117">
        <v>41271.875</v>
      </c>
      <c r="C237" s="120"/>
      <c r="D237" s="120" t="s">
        <v>500</v>
      </c>
      <c r="E237" s="120" t="s">
        <v>29</v>
      </c>
      <c r="F237" s="120" t="s">
        <v>501</v>
      </c>
      <c r="G237" s="120"/>
      <c r="H237" s="110" t="s">
        <v>425</v>
      </c>
      <c r="I237" s="117">
        <v>41271.852777777778</v>
      </c>
      <c r="J237" s="109" t="s">
        <v>53</v>
      </c>
      <c r="K237" s="6" t="s">
        <v>479</v>
      </c>
      <c r="L237" s="10" t="s">
        <v>7</v>
      </c>
      <c r="M237" s="6">
        <f t="shared" si="56"/>
        <v>5.625</v>
      </c>
      <c r="N237" s="6">
        <f t="shared" si="43"/>
        <v>1</v>
      </c>
      <c r="O237" s="6">
        <f t="shared" si="44"/>
        <v>0</v>
      </c>
      <c r="P237" s="6">
        <f t="shared" si="42"/>
        <v>0</v>
      </c>
      <c r="Q237" s="6">
        <f t="shared" si="46"/>
        <v>3.125</v>
      </c>
      <c r="R237" s="30">
        <f t="shared" si="45"/>
        <v>3.125</v>
      </c>
      <c r="S237" s="16">
        <f>IF(L237=0,S236-K237,S236+M237-K237)+0.01</f>
        <v>109.16249999999994</v>
      </c>
      <c r="T237" s="14">
        <f t="shared" si="47"/>
        <v>-55.997500000000002</v>
      </c>
      <c r="U237" s="14">
        <f t="shared" si="49"/>
        <v>-59.85</v>
      </c>
      <c r="V237" s="14">
        <f t="shared" si="51"/>
        <v>17.850000000000001</v>
      </c>
      <c r="W237" s="14">
        <f t="shared" si="55"/>
        <v>-52.199999999999989</v>
      </c>
      <c r="X237" s="13">
        <f t="shared" si="57"/>
        <v>-2</v>
      </c>
      <c r="Y237" s="13">
        <f t="shared" si="59"/>
        <v>6.35</v>
      </c>
      <c r="Z237" s="13">
        <f t="shared" si="48"/>
        <v>-145.84750000000005</v>
      </c>
    </row>
    <row r="238" spans="1:26" ht="11.25" customHeight="1">
      <c r="A238" s="108" t="s">
        <v>8</v>
      </c>
      <c r="B238" s="117">
        <v>41272.107638888891</v>
      </c>
      <c r="C238" s="120"/>
      <c r="D238" s="120" t="s">
        <v>502</v>
      </c>
      <c r="E238" s="120" t="s">
        <v>503</v>
      </c>
      <c r="F238" s="120" t="s">
        <v>504</v>
      </c>
      <c r="G238" s="120"/>
      <c r="H238" s="110" t="s">
        <v>505</v>
      </c>
      <c r="I238" s="117">
        <v>41271.950694444444</v>
      </c>
      <c r="J238" s="109" t="s">
        <v>9</v>
      </c>
      <c r="K238" s="6" t="s">
        <v>476</v>
      </c>
      <c r="L238" s="10" t="s">
        <v>7</v>
      </c>
      <c r="M238" s="6">
        <f t="shared" si="56"/>
        <v>5.4</v>
      </c>
      <c r="N238" s="6">
        <f t="shared" si="43"/>
        <v>1</v>
      </c>
      <c r="O238" s="6">
        <f t="shared" si="44"/>
        <v>0</v>
      </c>
      <c r="P238" s="6">
        <f t="shared" si="42"/>
        <v>0</v>
      </c>
      <c r="Q238" s="6">
        <f t="shared" si="46"/>
        <v>2.4000000000000004</v>
      </c>
      <c r="R238" s="30">
        <f t="shared" si="45"/>
        <v>2.4000000000000004</v>
      </c>
      <c r="S238" s="16">
        <f t="shared" ref="S238:S264" si="60">IF(L238=0,S237-K238,S237+M238-K238)</f>
        <v>111.56249999999994</v>
      </c>
      <c r="T238" s="14">
        <f t="shared" si="47"/>
        <v>-53.597500000000004</v>
      </c>
      <c r="U238" s="14">
        <f t="shared" si="49"/>
        <v>-59.85</v>
      </c>
      <c r="V238" s="14">
        <f t="shared" si="51"/>
        <v>17.850000000000001</v>
      </c>
      <c r="W238" s="14">
        <f t="shared" si="55"/>
        <v>-52.199999999999989</v>
      </c>
      <c r="X238" s="13">
        <f t="shared" si="57"/>
        <v>-2</v>
      </c>
      <c r="Y238" s="13">
        <f t="shared" si="59"/>
        <v>6.35</v>
      </c>
      <c r="Z238" s="13">
        <f t="shared" si="48"/>
        <v>-143.44750000000005</v>
      </c>
    </row>
    <row r="239" spans="1:26" ht="11.25" customHeight="1">
      <c r="A239" s="108" t="s">
        <v>8</v>
      </c>
      <c r="B239" s="117">
        <v>41272.065972222219</v>
      </c>
      <c r="C239" s="120"/>
      <c r="D239" s="120" t="s">
        <v>506</v>
      </c>
      <c r="E239" s="120" t="s">
        <v>150</v>
      </c>
      <c r="F239" s="120" t="s">
        <v>507</v>
      </c>
      <c r="G239" s="120"/>
      <c r="H239" s="110" t="s">
        <v>508</v>
      </c>
      <c r="I239" s="117">
        <v>41271.956250000003</v>
      </c>
      <c r="J239" s="109" t="s">
        <v>9</v>
      </c>
      <c r="K239" s="6" t="s">
        <v>486</v>
      </c>
      <c r="L239" s="10" t="s">
        <v>7</v>
      </c>
      <c r="M239" s="6">
        <f t="shared" ref="M239:M240" si="61">IF(L239="PERDU",0,K239*H239)</f>
        <v>3.4</v>
      </c>
      <c r="N239" s="6">
        <f t="shared" si="43"/>
        <v>1</v>
      </c>
      <c r="O239" s="6">
        <f t="shared" si="44"/>
        <v>0</v>
      </c>
      <c r="P239" s="6">
        <f t="shared" si="42"/>
        <v>0</v>
      </c>
      <c r="Q239" s="6">
        <f t="shared" si="46"/>
        <v>1.4</v>
      </c>
      <c r="R239" s="30">
        <f t="shared" si="45"/>
        <v>1.4</v>
      </c>
      <c r="S239" s="16">
        <f t="shared" si="60"/>
        <v>112.96249999999995</v>
      </c>
      <c r="T239" s="14">
        <f t="shared" si="47"/>
        <v>-52.197500000000005</v>
      </c>
      <c r="U239" s="14">
        <f t="shared" si="49"/>
        <v>-59.85</v>
      </c>
      <c r="V239" s="14">
        <f t="shared" si="51"/>
        <v>17.850000000000001</v>
      </c>
      <c r="W239" s="14">
        <f t="shared" si="55"/>
        <v>-52.199999999999989</v>
      </c>
      <c r="X239" s="13">
        <f t="shared" si="57"/>
        <v>-2</v>
      </c>
      <c r="Y239" s="13">
        <f t="shared" si="59"/>
        <v>6.35</v>
      </c>
      <c r="Z239" s="13">
        <f t="shared" si="48"/>
        <v>-142.04750000000004</v>
      </c>
    </row>
    <row r="240" spans="1:26" ht="11.25" customHeight="1">
      <c r="A240" s="108" t="s">
        <v>8</v>
      </c>
      <c r="B240" s="117">
        <v>41272.635416666664</v>
      </c>
      <c r="C240" s="120"/>
      <c r="D240" s="120" t="s">
        <v>509</v>
      </c>
      <c r="E240" s="120" t="s">
        <v>29</v>
      </c>
      <c r="F240" s="120" t="s">
        <v>510</v>
      </c>
      <c r="G240" s="120"/>
      <c r="H240" s="110" t="s">
        <v>511</v>
      </c>
      <c r="I240" s="117">
        <v>41272.491666666669</v>
      </c>
      <c r="J240" s="109" t="s">
        <v>53</v>
      </c>
      <c r="K240" s="6" t="s">
        <v>486</v>
      </c>
      <c r="L240" s="10" t="s">
        <v>7</v>
      </c>
      <c r="M240" s="6">
        <f t="shared" si="61"/>
        <v>10.5</v>
      </c>
      <c r="N240" s="6">
        <f t="shared" si="43"/>
        <v>1</v>
      </c>
      <c r="O240" s="6">
        <f t="shared" si="44"/>
        <v>0</v>
      </c>
      <c r="P240" s="6">
        <f t="shared" si="42"/>
        <v>0</v>
      </c>
      <c r="Q240" s="6">
        <f t="shared" si="46"/>
        <v>8.5</v>
      </c>
      <c r="R240" s="30">
        <f t="shared" si="45"/>
        <v>8.5</v>
      </c>
      <c r="S240" s="16">
        <f t="shared" si="60"/>
        <v>121.46249999999995</v>
      </c>
      <c r="T240" s="14">
        <f t="shared" si="47"/>
        <v>-43.697500000000005</v>
      </c>
      <c r="U240" s="14">
        <f t="shared" si="49"/>
        <v>-59.85</v>
      </c>
      <c r="V240" s="14">
        <f t="shared" si="51"/>
        <v>17.850000000000001</v>
      </c>
      <c r="W240" s="14">
        <f t="shared" si="55"/>
        <v>-52.199999999999989</v>
      </c>
      <c r="X240" s="13">
        <f t="shared" si="57"/>
        <v>-2</v>
      </c>
      <c r="Y240" s="13">
        <f t="shared" si="59"/>
        <v>6.35</v>
      </c>
      <c r="Z240" s="13">
        <f t="shared" si="48"/>
        <v>-133.54750000000004</v>
      </c>
    </row>
    <row r="241" spans="1:26" ht="11.25" customHeight="1">
      <c r="A241" s="108" t="s">
        <v>8</v>
      </c>
      <c r="B241" s="117">
        <v>41272.635416666664</v>
      </c>
      <c r="C241" s="120"/>
      <c r="D241" s="120" t="s">
        <v>509</v>
      </c>
      <c r="E241" s="120" t="s">
        <v>29</v>
      </c>
      <c r="F241" s="120" t="s">
        <v>512</v>
      </c>
      <c r="G241" s="120"/>
      <c r="H241" s="110" t="s">
        <v>513</v>
      </c>
      <c r="I241" s="117">
        <v>41272.492361111108</v>
      </c>
      <c r="J241" s="109" t="s">
        <v>53</v>
      </c>
      <c r="K241" s="6" t="s">
        <v>486</v>
      </c>
      <c r="L241" s="10" t="s">
        <v>5</v>
      </c>
      <c r="M241" s="6">
        <f t="shared" ref="M241:M268" si="62">IF(L241="PERDU",0,K241*H241)</f>
        <v>0</v>
      </c>
      <c r="N241" s="6">
        <f t="shared" si="43"/>
        <v>0</v>
      </c>
      <c r="O241" s="6">
        <f t="shared" si="44"/>
        <v>1</v>
      </c>
      <c r="P241" s="6">
        <f t="shared" si="42"/>
        <v>0</v>
      </c>
      <c r="Q241" s="6">
        <f t="shared" si="46"/>
        <v>-2</v>
      </c>
      <c r="R241" s="30">
        <f t="shared" si="45"/>
        <v>-2</v>
      </c>
      <c r="S241" s="16">
        <f t="shared" si="60"/>
        <v>119.46249999999995</v>
      </c>
      <c r="T241" s="14">
        <f t="shared" si="47"/>
        <v>-45.697500000000005</v>
      </c>
      <c r="U241" s="14">
        <f t="shared" si="49"/>
        <v>-59.85</v>
      </c>
      <c r="V241" s="14">
        <f t="shared" si="51"/>
        <v>17.850000000000001</v>
      </c>
      <c r="W241" s="14">
        <f t="shared" si="55"/>
        <v>-52.199999999999989</v>
      </c>
      <c r="X241" s="13">
        <f t="shared" si="57"/>
        <v>-2</v>
      </c>
      <c r="Y241" s="13">
        <f t="shared" si="59"/>
        <v>6.35</v>
      </c>
      <c r="Z241" s="13">
        <f t="shared" si="48"/>
        <v>-135.54750000000004</v>
      </c>
    </row>
    <row r="242" spans="1:26" ht="11.25" customHeight="1">
      <c r="A242" s="108" t="s">
        <v>8</v>
      </c>
      <c r="B242" s="117">
        <v>41272.666666666664</v>
      </c>
      <c r="C242" s="120"/>
      <c r="D242" s="120" t="s">
        <v>514</v>
      </c>
      <c r="E242" s="120" t="s">
        <v>31</v>
      </c>
      <c r="F242" s="120" t="s">
        <v>515</v>
      </c>
      <c r="G242" s="120"/>
      <c r="H242" s="110" t="s">
        <v>437</v>
      </c>
      <c r="I242" s="117">
        <v>41272.493055555555</v>
      </c>
      <c r="J242" s="109" t="s">
        <v>3</v>
      </c>
      <c r="K242" s="6" t="s">
        <v>467</v>
      </c>
      <c r="L242" s="10" t="s">
        <v>7</v>
      </c>
      <c r="M242" s="6">
        <f t="shared" si="62"/>
        <v>9.15</v>
      </c>
      <c r="N242" s="6">
        <f t="shared" si="43"/>
        <v>1</v>
      </c>
      <c r="O242" s="6">
        <f t="shared" si="44"/>
        <v>0</v>
      </c>
      <c r="P242" s="6">
        <f t="shared" si="42"/>
        <v>0</v>
      </c>
      <c r="Q242" s="6">
        <f t="shared" si="46"/>
        <v>4.1500000000000004</v>
      </c>
      <c r="R242" s="30">
        <f t="shared" si="45"/>
        <v>4.1500000000000004</v>
      </c>
      <c r="S242" s="16">
        <f t="shared" si="60"/>
        <v>123.61249999999995</v>
      </c>
      <c r="T242" s="14">
        <f t="shared" si="47"/>
        <v>-41.547500000000007</v>
      </c>
      <c r="U242" s="14">
        <f t="shared" si="49"/>
        <v>-59.85</v>
      </c>
      <c r="V242" s="14">
        <f t="shared" si="51"/>
        <v>17.850000000000001</v>
      </c>
      <c r="W242" s="14">
        <f t="shared" si="55"/>
        <v>-52.199999999999989</v>
      </c>
      <c r="X242" s="13">
        <f t="shared" si="57"/>
        <v>-2</v>
      </c>
      <c r="Y242" s="13">
        <f t="shared" si="59"/>
        <v>6.35</v>
      </c>
      <c r="Z242" s="13">
        <f t="shared" si="48"/>
        <v>-131.39750000000004</v>
      </c>
    </row>
    <row r="243" spans="1:26" ht="11.25" customHeight="1">
      <c r="A243" s="108" t="s">
        <v>8</v>
      </c>
      <c r="B243" s="117">
        <v>41272.833333333336</v>
      </c>
      <c r="C243" s="120"/>
      <c r="D243" s="120" t="s">
        <v>516</v>
      </c>
      <c r="E243" s="120" t="s">
        <v>150</v>
      </c>
      <c r="F243" s="120" t="s">
        <v>517</v>
      </c>
      <c r="G243" s="120"/>
      <c r="H243" s="110" t="s">
        <v>436</v>
      </c>
      <c r="I243" s="117">
        <v>41272.494444444441</v>
      </c>
      <c r="J243" s="109" t="s">
        <v>3</v>
      </c>
      <c r="K243" s="6" t="s">
        <v>479</v>
      </c>
      <c r="L243" s="10" t="s">
        <v>5</v>
      </c>
      <c r="M243" s="6">
        <f t="shared" si="62"/>
        <v>0</v>
      </c>
      <c r="N243" s="6">
        <f t="shared" si="43"/>
        <v>0</v>
      </c>
      <c r="O243" s="6">
        <f t="shared" si="44"/>
        <v>1</v>
      </c>
      <c r="P243" s="6">
        <f t="shared" si="42"/>
        <v>0</v>
      </c>
      <c r="Q243" s="6">
        <f t="shared" si="46"/>
        <v>-2.5</v>
      </c>
      <c r="R243" s="30">
        <f t="shared" si="45"/>
        <v>-2.5</v>
      </c>
      <c r="S243" s="16">
        <f t="shared" si="60"/>
        <v>121.11249999999995</v>
      </c>
      <c r="T243" s="14">
        <f t="shared" si="47"/>
        <v>-44.047500000000007</v>
      </c>
      <c r="U243" s="14">
        <f t="shared" si="49"/>
        <v>-59.85</v>
      </c>
      <c r="V243" s="14">
        <f t="shared" si="51"/>
        <v>17.850000000000001</v>
      </c>
      <c r="W243" s="14">
        <f t="shared" si="55"/>
        <v>-52.199999999999989</v>
      </c>
      <c r="X243" s="13">
        <f t="shared" si="57"/>
        <v>-2</v>
      </c>
      <c r="Y243" s="13">
        <f t="shared" si="59"/>
        <v>6.35</v>
      </c>
      <c r="Z243" s="13">
        <f t="shared" si="48"/>
        <v>-133.89750000000004</v>
      </c>
    </row>
    <row r="244" spans="1:26" ht="11.25" customHeight="1">
      <c r="A244" s="108" t="s">
        <v>8</v>
      </c>
      <c r="B244" s="117">
        <v>41272.666666666664</v>
      </c>
      <c r="C244" s="120"/>
      <c r="D244" s="120" t="s">
        <v>518</v>
      </c>
      <c r="E244" s="120" t="s">
        <v>29</v>
      </c>
      <c r="F244" s="120" t="s">
        <v>519</v>
      </c>
      <c r="G244" s="120"/>
      <c r="H244" s="110" t="s">
        <v>434</v>
      </c>
      <c r="I244" s="117">
        <v>41272.566666666666</v>
      </c>
      <c r="J244" s="109" t="s">
        <v>53</v>
      </c>
      <c r="K244" s="6" t="s">
        <v>486</v>
      </c>
      <c r="L244" s="10" t="s">
        <v>5</v>
      </c>
      <c r="M244" s="6">
        <f t="shared" si="62"/>
        <v>0</v>
      </c>
      <c r="N244" s="6">
        <f t="shared" si="43"/>
        <v>0</v>
      </c>
      <c r="O244" s="6">
        <f t="shared" si="44"/>
        <v>1</v>
      </c>
      <c r="P244" s="6">
        <f t="shared" si="42"/>
        <v>0</v>
      </c>
      <c r="Q244" s="6">
        <f t="shared" si="46"/>
        <v>-2</v>
      </c>
      <c r="R244" s="30">
        <f t="shared" si="45"/>
        <v>-2</v>
      </c>
      <c r="S244" s="16">
        <f t="shared" si="60"/>
        <v>119.11249999999995</v>
      </c>
      <c r="T244" s="14">
        <f t="shared" si="47"/>
        <v>-46.047500000000007</v>
      </c>
      <c r="U244" s="14">
        <f t="shared" si="49"/>
        <v>-59.85</v>
      </c>
      <c r="V244" s="14">
        <f t="shared" si="51"/>
        <v>17.850000000000001</v>
      </c>
      <c r="W244" s="14">
        <f t="shared" si="55"/>
        <v>-52.199999999999989</v>
      </c>
      <c r="X244" s="13">
        <f t="shared" si="57"/>
        <v>-2</v>
      </c>
      <c r="Y244" s="13">
        <f t="shared" si="59"/>
        <v>6.35</v>
      </c>
      <c r="Z244" s="13">
        <f t="shared" si="48"/>
        <v>-135.89750000000004</v>
      </c>
    </row>
    <row r="245" spans="1:26" ht="11.25" customHeight="1">
      <c r="A245" s="108" t="s">
        <v>8</v>
      </c>
      <c r="B245" s="117">
        <v>41272.75</v>
      </c>
      <c r="C245" s="120"/>
      <c r="D245" s="120" t="s">
        <v>520</v>
      </c>
      <c r="E245" s="120" t="s">
        <v>29</v>
      </c>
      <c r="F245" s="120" t="s">
        <v>521</v>
      </c>
      <c r="G245" s="120"/>
      <c r="H245" s="110" t="s">
        <v>466</v>
      </c>
      <c r="I245" s="117">
        <v>41272.583333333336</v>
      </c>
      <c r="J245" s="109" t="s">
        <v>53</v>
      </c>
      <c r="K245" s="6" t="s">
        <v>479</v>
      </c>
      <c r="L245" s="10" t="s">
        <v>7</v>
      </c>
      <c r="M245" s="6">
        <f t="shared" si="62"/>
        <v>5.25</v>
      </c>
      <c r="N245" s="6">
        <f t="shared" si="43"/>
        <v>1</v>
      </c>
      <c r="O245" s="6">
        <f t="shared" si="44"/>
        <v>0</v>
      </c>
      <c r="P245" s="6">
        <f t="shared" si="42"/>
        <v>0</v>
      </c>
      <c r="Q245" s="6">
        <f t="shared" si="46"/>
        <v>2.75</v>
      </c>
      <c r="R245" s="30">
        <f t="shared" si="45"/>
        <v>2.75</v>
      </c>
      <c r="S245" s="16">
        <f t="shared" si="60"/>
        <v>121.86249999999995</v>
      </c>
      <c r="T245" s="14">
        <f t="shared" si="47"/>
        <v>-43.297500000000007</v>
      </c>
      <c r="U245" s="14">
        <f t="shared" si="49"/>
        <v>-59.85</v>
      </c>
      <c r="V245" s="14">
        <f t="shared" si="51"/>
        <v>17.850000000000001</v>
      </c>
      <c r="W245" s="14">
        <f t="shared" si="55"/>
        <v>-52.199999999999989</v>
      </c>
      <c r="X245" s="13">
        <f t="shared" si="57"/>
        <v>-2</v>
      </c>
      <c r="Y245" s="13">
        <f t="shared" si="59"/>
        <v>6.35</v>
      </c>
      <c r="Z245" s="13">
        <f t="shared" si="48"/>
        <v>-133.14750000000004</v>
      </c>
    </row>
    <row r="246" spans="1:26" ht="11.25" customHeight="1">
      <c r="A246" s="108" t="s">
        <v>8</v>
      </c>
      <c r="B246" s="117">
        <v>41272.666666666664</v>
      </c>
      <c r="C246" s="120"/>
      <c r="D246" s="120" t="s">
        <v>491</v>
      </c>
      <c r="E246" s="120" t="s">
        <v>31</v>
      </c>
      <c r="F246" s="120" t="s">
        <v>522</v>
      </c>
      <c r="G246" s="120"/>
      <c r="H246" s="110" t="s">
        <v>457</v>
      </c>
      <c r="I246" s="117">
        <v>41272.630555555559</v>
      </c>
      <c r="J246" s="109" t="s">
        <v>3</v>
      </c>
      <c r="K246" s="6" t="s">
        <v>479</v>
      </c>
      <c r="L246" s="10" t="s">
        <v>5</v>
      </c>
      <c r="M246" s="6">
        <f t="shared" si="62"/>
        <v>0</v>
      </c>
      <c r="N246" s="6">
        <f t="shared" si="43"/>
        <v>0</v>
      </c>
      <c r="O246" s="6">
        <f t="shared" si="44"/>
        <v>1</v>
      </c>
      <c r="P246" s="6">
        <f t="shared" si="42"/>
        <v>0</v>
      </c>
      <c r="Q246" s="6">
        <f t="shared" si="46"/>
        <v>-2.5</v>
      </c>
      <c r="R246" s="30">
        <f t="shared" si="45"/>
        <v>-2.5</v>
      </c>
      <c r="S246" s="16">
        <f t="shared" si="60"/>
        <v>119.36249999999995</v>
      </c>
      <c r="T246" s="14">
        <f t="shared" si="47"/>
        <v>-45.797500000000007</v>
      </c>
      <c r="U246" s="14">
        <f t="shared" si="49"/>
        <v>-59.85</v>
      </c>
      <c r="V246" s="14">
        <f t="shared" si="51"/>
        <v>17.850000000000001</v>
      </c>
      <c r="W246" s="14">
        <f t="shared" si="55"/>
        <v>-52.199999999999989</v>
      </c>
      <c r="X246" s="13">
        <f t="shared" si="57"/>
        <v>-2</v>
      </c>
      <c r="Y246" s="13">
        <f t="shared" si="59"/>
        <v>6.35</v>
      </c>
      <c r="Z246" s="13">
        <f t="shared" si="48"/>
        <v>-135.64750000000004</v>
      </c>
    </row>
    <row r="247" spans="1:26" ht="11.25" customHeight="1">
      <c r="A247" s="108" t="s">
        <v>468</v>
      </c>
      <c r="B247" s="117">
        <v>41276.864583333336</v>
      </c>
      <c r="C247" s="120"/>
      <c r="D247" s="120" t="s">
        <v>523</v>
      </c>
      <c r="E247" s="120" t="s">
        <v>150</v>
      </c>
      <c r="F247" s="120" t="s">
        <v>360</v>
      </c>
      <c r="G247" s="120"/>
      <c r="H247" s="110" t="s">
        <v>524</v>
      </c>
      <c r="I247" s="117">
        <v>41272.759722222225</v>
      </c>
      <c r="J247" s="109" t="s">
        <v>3</v>
      </c>
      <c r="K247" s="6" t="s">
        <v>467</v>
      </c>
      <c r="L247" s="10" t="s">
        <v>5</v>
      </c>
      <c r="M247" s="6">
        <f t="shared" si="62"/>
        <v>0</v>
      </c>
      <c r="N247" s="6">
        <f t="shared" si="43"/>
        <v>0</v>
      </c>
      <c r="O247" s="6">
        <f t="shared" si="44"/>
        <v>1</v>
      </c>
      <c r="P247" s="6">
        <f t="shared" si="42"/>
        <v>0</v>
      </c>
      <c r="Q247" s="6">
        <f t="shared" si="46"/>
        <v>-5</v>
      </c>
      <c r="R247" s="30">
        <f t="shared" si="45"/>
        <v>-5</v>
      </c>
      <c r="S247" s="16">
        <f t="shared" si="60"/>
        <v>114.36249999999995</v>
      </c>
      <c r="T247" s="14">
        <f t="shared" si="47"/>
        <v>-45.797500000000007</v>
      </c>
      <c r="U247" s="14">
        <f t="shared" si="49"/>
        <v>-59.85</v>
      </c>
      <c r="V247" s="14">
        <f t="shared" si="51"/>
        <v>17.850000000000001</v>
      </c>
      <c r="W247" s="14">
        <f t="shared" si="55"/>
        <v>-52.199999999999989</v>
      </c>
      <c r="X247" s="13">
        <f t="shared" si="57"/>
        <v>-2</v>
      </c>
      <c r="Y247" s="13">
        <f t="shared" si="59"/>
        <v>1.3499999999999996</v>
      </c>
      <c r="Z247" s="13">
        <f t="shared" si="48"/>
        <v>-140.64750000000004</v>
      </c>
    </row>
    <row r="248" spans="1:26" ht="11.25" customHeight="1">
      <c r="A248" s="108" t="s">
        <v>8</v>
      </c>
      <c r="B248" s="117">
        <v>41273.086805555555</v>
      </c>
      <c r="C248" s="120"/>
      <c r="D248" s="120" t="s">
        <v>525</v>
      </c>
      <c r="E248" s="120" t="s">
        <v>157</v>
      </c>
      <c r="F248" s="120" t="s">
        <v>526</v>
      </c>
      <c r="G248" s="120"/>
      <c r="H248" s="110" t="s">
        <v>434</v>
      </c>
      <c r="I248" s="117">
        <v>41272.935416666667</v>
      </c>
      <c r="J248" s="109" t="s">
        <v>9</v>
      </c>
      <c r="K248" s="6" t="s">
        <v>486</v>
      </c>
      <c r="L248" s="10" t="s">
        <v>5</v>
      </c>
      <c r="M248" s="6">
        <f t="shared" si="62"/>
        <v>0</v>
      </c>
      <c r="N248" s="6">
        <f t="shared" si="43"/>
        <v>0</v>
      </c>
      <c r="O248" s="6">
        <f t="shared" si="44"/>
        <v>1</v>
      </c>
      <c r="P248" s="6">
        <f t="shared" si="42"/>
        <v>0</v>
      </c>
      <c r="Q248" s="6">
        <f t="shared" si="46"/>
        <v>-2</v>
      </c>
      <c r="R248" s="30">
        <f t="shared" si="45"/>
        <v>-2</v>
      </c>
      <c r="S248" s="16">
        <f t="shared" si="60"/>
        <v>112.36249999999995</v>
      </c>
      <c r="T248" s="14">
        <f t="shared" si="47"/>
        <v>-47.797500000000007</v>
      </c>
      <c r="U248" s="14">
        <f t="shared" si="49"/>
        <v>-59.85</v>
      </c>
      <c r="V248" s="14">
        <f t="shared" si="51"/>
        <v>17.850000000000001</v>
      </c>
      <c r="W248" s="14">
        <f t="shared" si="55"/>
        <v>-52.199999999999989</v>
      </c>
      <c r="X248" s="13">
        <f t="shared" si="57"/>
        <v>-2</v>
      </c>
      <c r="Y248" s="13">
        <f t="shared" si="59"/>
        <v>1.3499999999999996</v>
      </c>
      <c r="Z248" s="13">
        <f t="shared" si="48"/>
        <v>-142.64750000000004</v>
      </c>
    </row>
    <row r="249" spans="1:26" ht="11.25" customHeight="1">
      <c r="A249" s="108" t="s">
        <v>8</v>
      </c>
      <c r="B249" s="117">
        <v>41273.145833333336</v>
      </c>
      <c r="C249" s="120"/>
      <c r="D249" s="120" t="s">
        <v>527</v>
      </c>
      <c r="E249" s="120" t="s">
        <v>528</v>
      </c>
      <c r="F249" s="120" t="s">
        <v>529</v>
      </c>
      <c r="G249" s="120"/>
      <c r="H249" s="110" t="s">
        <v>421</v>
      </c>
      <c r="I249" s="117">
        <v>41272.938194444447</v>
      </c>
      <c r="J249" s="109" t="s">
        <v>531</v>
      </c>
      <c r="K249" s="6" t="s">
        <v>530</v>
      </c>
      <c r="L249" s="10" t="s">
        <v>7</v>
      </c>
      <c r="M249" s="6">
        <f t="shared" si="62"/>
        <v>5.0309999999999997</v>
      </c>
      <c r="N249" s="6">
        <f t="shared" si="43"/>
        <v>1</v>
      </c>
      <c r="O249" s="6">
        <f t="shared" si="44"/>
        <v>0</v>
      </c>
      <c r="P249" s="6">
        <f t="shared" si="42"/>
        <v>0</v>
      </c>
      <c r="Q249" s="6">
        <f t="shared" si="46"/>
        <v>2.4509999999999996</v>
      </c>
      <c r="R249" s="30">
        <f t="shared" si="45"/>
        <v>2.4509999999999996</v>
      </c>
      <c r="S249" s="16">
        <f t="shared" si="60"/>
        <v>114.81349999999996</v>
      </c>
      <c r="T249" s="14">
        <f t="shared" si="47"/>
        <v>-45.346500000000006</v>
      </c>
      <c r="U249" s="14">
        <f t="shared" si="49"/>
        <v>-59.85</v>
      </c>
      <c r="V249" s="14">
        <f t="shared" si="51"/>
        <v>17.850000000000001</v>
      </c>
      <c r="W249" s="14">
        <f t="shared" si="55"/>
        <v>-52.199999999999989</v>
      </c>
      <c r="X249" s="13">
        <f t="shared" si="57"/>
        <v>-2</v>
      </c>
      <c r="Y249" s="13">
        <f t="shared" si="59"/>
        <v>1.3499999999999996</v>
      </c>
      <c r="Z249" s="13">
        <f t="shared" si="48"/>
        <v>-140.19650000000004</v>
      </c>
    </row>
    <row r="250" spans="1:26" ht="11.25" customHeight="1">
      <c r="A250" s="108" t="s">
        <v>8</v>
      </c>
      <c r="B250" s="117">
        <v>41276.864583333336</v>
      </c>
      <c r="C250" s="120"/>
      <c r="D250" s="120" t="s">
        <v>523</v>
      </c>
      <c r="E250" s="120" t="s">
        <v>125</v>
      </c>
      <c r="F250" s="120" t="s">
        <v>532</v>
      </c>
      <c r="G250" s="120"/>
      <c r="H250" s="110" t="s">
        <v>533</v>
      </c>
      <c r="I250" s="117">
        <v>41273.433333333334</v>
      </c>
      <c r="J250" s="109" t="s">
        <v>3</v>
      </c>
      <c r="K250" s="6" t="s">
        <v>486</v>
      </c>
      <c r="L250" s="10" t="s">
        <v>5</v>
      </c>
      <c r="M250" s="6">
        <f t="shared" si="62"/>
        <v>0</v>
      </c>
      <c r="N250" s="6">
        <f t="shared" si="43"/>
        <v>0</v>
      </c>
      <c r="O250" s="6">
        <f t="shared" si="44"/>
        <v>1</v>
      </c>
      <c r="P250" s="6">
        <f t="shared" si="42"/>
        <v>0</v>
      </c>
      <c r="Q250" s="6">
        <f t="shared" si="46"/>
        <v>-2</v>
      </c>
      <c r="R250" s="30">
        <f t="shared" si="45"/>
        <v>-2</v>
      </c>
      <c r="S250" s="16">
        <f t="shared" si="60"/>
        <v>112.81349999999996</v>
      </c>
      <c r="T250" s="14">
        <f t="shared" si="47"/>
        <v>-47.346500000000006</v>
      </c>
      <c r="U250" s="14">
        <f t="shared" si="49"/>
        <v>-59.85</v>
      </c>
      <c r="V250" s="14">
        <f t="shared" si="51"/>
        <v>17.850000000000001</v>
      </c>
      <c r="W250" s="14">
        <f t="shared" si="55"/>
        <v>-52.199999999999989</v>
      </c>
      <c r="X250" s="13">
        <f t="shared" si="57"/>
        <v>-2</v>
      </c>
      <c r="Y250" s="13">
        <f t="shared" si="59"/>
        <v>1.3499999999999996</v>
      </c>
      <c r="Z250" s="13">
        <f t="shared" si="48"/>
        <v>-142.19650000000004</v>
      </c>
    </row>
    <row r="251" spans="1:26" ht="11.25" customHeight="1">
      <c r="A251" s="108" t="s">
        <v>8</v>
      </c>
      <c r="B251" s="117">
        <v>41273.753472222219</v>
      </c>
      <c r="C251" s="120"/>
      <c r="D251" s="120" t="s">
        <v>534</v>
      </c>
      <c r="E251" s="120" t="s">
        <v>29</v>
      </c>
      <c r="F251" s="120" t="s">
        <v>535</v>
      </c>
      <c r="G251" s="120"/>
      <c r="H251" s="110" t="s">
        <v>536</v>
      </c>
      <c r="I251" s="117">
        <v>41273.435416666667</v>
      </c>
      <c r="J251" s="109" t="s">
        <v>53</v>
      </c>
      <c r="K251" s="6" t="s">
        <v>486</v>
      </c>
      <c r="L251" s="10" t="s">
        <v>5</v>
      </c>
      <c r="M251" s="6">
        <f t="shared" si="62"/>
        <v>0</v>
      </c>
      <c r="N251" s="6">
        <f t="shared" si="43"/>
        <v>0</v>
      </c>
      <c r="O251" s="6">
        <f t="shared" si="44"/>
        <v>1</v>
      </c>
      <c r="P251" s="6">
        <f t="shared" si="42"/>
        <v>0</v>
      </c>
      <c r="Q251" s="6">
        <f t="shared" si="46"/>
        <v>-2</v>
      </c>
      <c r="R251" s="30">
        <f t="shared" si="45"/>
        <v>-2</v>
      </c>
      <c r="S251" s="16">
        <f t="shared" si="60"/>
        <v>110.81349999999996</v>
      </c>
      <c r="T251" s="14">
        <f t="shared" si="47"/>
        <v>-49.346500000000006</v>
      </c>
      <c r="U251" s="14">
        <f t="shared" si="49"/>
        <v>-59.85</v>
      </c>
      <c r="V251" s="14">
        <f t="shared" si="51"/>
        <v>17.850000000000001</v>
      </c>
      <c r="W251" s="14">
        <f t="shared" si="55"/>
        <v>-52.199999999999989</v>
      </c>
      <c r="X251" s="13">
        <f t="shared" si="57"/>
        <v>-2</v>
      </c>
      <c r="Y251" s="13">
        <f t="shared" si="59"/>
        <v>1.3499999999999996</v>
      </c>
      <c r="Z251" s="13">
        <f t="shared" si="48"/>
        <v>-144.19650000000004</v>
      </c>
    </row>
    <row r="252" spans="1:26" ht="11.25" customHeight="1">
      <c r="A252" s="108" t="s">
        <v>8</v>
      </c>
      <c r="B252" s="117">
        <v>41273.753472222219</v>
      </c>
      <c r="C252" s="120"/>
      <c r="D252" s="120" t="s">
        <v>534</v>
      </c>
      <c r="E252" s="120" t="s">
        <v>29</v>
      </c>
      <c r="F252" s="120" t="s">
        <v>537</v>
      </c>
      <c r="G252" s="120"/>
      <c r="H252" s="110" t="s">
        <v>424</v>
      </c>
      <c r="I252" s="117">
        <v>41273.436111111114</v>
      </c>
      <c r="J252" s="109" t="s">
        <v>53</v>
      </c>
      <c r="K252" s="6" t="s">
        <v>486</v>
      </c>
      <c r="L252" s="10" t="s">
        <v>5</v>
      </c>
      <c r="M252" s="6">
        <f t="shared" si="62"/>
        <v>0</v>
      </c>
      <c r="N252" s="6">
        <f t="shared" si="43"/>
        <v>0</v>
      </c>
      <c r="O252" s="6">
        <f t="shared" si="44"/>
        <v>1</v>
      </c>
      <c r="P252" s="6">
        <f t="shared" si="42"/>
        <v>0</v>
      </c>
      <c r="Q252" s="6">
        <f t="shared" si="46"/>
        <v>-2</v>
      </c>
      <c r="R252" s="30">
        <f t="shared" si="45"/>
        <v>-2</v>
      </c>
      <c r="S252" s="16">
        <f t="shared" si="60"/>
        <v>108.81349999999996</v>
      </c>
      <c r="T252" s="14">
        <f t="shared" si="47"/>
        <v>-51.346500000000006</v>
      </c>
      <c r="U252" s="14">
        <f t="shared" si="49"/>
        <v>-59.85</v>
      </c>
      <c r="V252" s="14">
        <f t="shared" si="51"/>
        <v>17.850000000000001</v>
      </c>
      <c r="W252" s="14">
        <f t="shared" si="55"/>
        <v>-52.199999999999989</v>
      </c>
      <c r="X252" s="13">
        <f t="shared" si="57"/>
        <v>-2</v>
      </c>
      <c r="Y252" s="13">
        <f t="shared" si="59"/>
        <v>1.3499999999999996</v>
      </c>
      <c r="Z252" s="13">
        <f t="shared" si="48"/>
        <v>-146.19650000000004</v>
      </c>
    </row>
    <row r="253" spans="1:26" ht="11.25" customHeight="1">
      <c r="A253" s="108" t="s">
        <v>8</v>
      </c>
      <c r="B253" s="117">
        <v>41273.753472222219</v>
      </c>
      <c r="C253" s="120"/>
      <c r="D253" s="120" t="s">
        <v>534</v>
      </c>
      <c r="E253" s="120" t="s">
        <v>29</v>
      </c>
      <c r="F253" s="120" t="s">
        <v>538</v>
      </c>
      <c r="G253" s="120"/>
      <c r="H253" s="110" t="s">
        <v>513</v>
      </c>
      <c r="I253" s="117">
        <v>41273.436805555553</v>
      </c>
      <c r="J253" s="109" t="s">
        <v>53</v>
      </c>
      <c r="K253" s="6" t="s">
        <v>486</v>
      </c>
      <c r="L253" s="10" t="s">
        <v>5</v>
      </c>
      <c r="M253" s="6">
        <f t="shared" si="62"/>
        <v>0</v>
      </c>
      <c r="N253" s="6">
        <f t="shared" si="43"/>
        <v>0</v>
      </c>
      <c r="O253" s="6">
        <f t="shared" si="44"/>
        <v>1</v>
      </c>
      <c r="P253" s="6">
        <f t="shared" si="42"/>
        <v>0</v>
      </c>
      <c r="Q253" s="6">
        <f t="shared" si="46"/>
        <v>-2</v>
      </c>
      <c r="R253" s="30">
        <f t="shared" si="45"/>
        <v>-2</v>
      </c>
      <c r="S253" s="16">
        <f t="shared" si="60"/>
        <v>106.81349999999996</v>
      </c>
      <c r="T253" s="14">
        <f t="shared" si="47"/>
        <v>-53.346500000000006</v>
      </c>
      <c r="U253" s="14">
        <f t="shared" si="49"/>
        <v>-59.85</v>
      </c>
      <c r="V253" s="14">
        <f t="shared" si="51"/>
        <v>17.850000000000001</v>
      </c>
      <c r="W253" s="14">
        <f t="shared" si="55"/>
        <v>-52.199999999999989</v>
      </c>
      <c r="X253" s="13">
        <f t="shared" si="57"/>
        <v>-2</v>
      </c>
      <c r="Y253" s="13">
        <f t="shared" si="59"/>
        <v>1.3499999999999996</v>
      </c>
      <c r="Z253" s="13">
        <f t="shared" si="48"/>
        <v>-148.19650000000004</v>
      </c>
    </row>
    <row r="254" spans="1:26" ht="11.25" customHeight="1">
      <c r="A254" s="108" t="s">
        <v>468</v>
      </c>
      <c r="B254" s="117">
        <v>41274.065972222219</v>
      </c>
      <c r="C254" s="120"/>
      <c r="D254" s="120" t="s">
        <v>539</v>
      </c>
      <c r="E254" s="120" t="s">
        <v>157</v>
      </c>
      <c r="F254" s="120" t="s">
        <v>158</v>
      </c>
      <c r="G254" s="120"/>
      <c r="H254" s="110" t="s">
        <v>419</v>
      </c>
      <c r="I254" s="117">
        <v>41273.652777777781</v>
      </c>
      <c r="J254" s="109" t="s">
        <v>9</v>
      </c>
      <c r="K254" s="6" t="s">
        <v>467</v>
      </c>
      <c r="L254" s="10" t="s">
        <v>7</v>
      </c>
      <c r="M254" s="6">
        <f t="shared" si="62"/>
        <v>6.75</v>
      </c>
      <c r="N254" s="6">
        <f t="shared" si="43"/>
        <v>1</v>
      </c>
      <c r="O254" s="6">
        <f t="shared" si="44"/>
        <v>0</v>
      </c>
      <c r="P254" s="6">
        <f t="shared" si="42"/>
        <v>0</v>
      </c>
      <c r="Q254" s="6">
        <f t="shared" si="46"/>
        <v>1.75</v>
      </c>
      <c r="R254" s="30">
        <f t="shared" si="45"/>
        <v>1.75</v>
      </c>
      <c r="S254" s="16">
        <f t="shared" si="60"/>
        <v>108.56349999999996</v>
      </c>
      <c r="T254" s="14">
        <f t="shared" si="47"/>
        <v>-53.346500000000006</v>
      </c>
      <c r="U254" s="14">
        <f t="shared" si="49"/>
        <v>-59.85</v>
      </c>
      <c r="V254" s="14">
        <f t="shared" si="51"/>
        <v>17.850000000000001</v>
      </c>
      <c r="W254" s="14">
        <f t="shared" si="55"/>
        <v>-52.199999999999989</v>
      </c>
      <c r="X254" s="13">
        <f t="shared" ref="X254:X285" si="63">IF(A254="YOAN",X253+R254,X253)</f>
        <v>-2</v>
      </c>
      <c r="Y254" s="13">
        <f t="shared" si="59"/>
        <v>3.0999999999999996</v>
      </c>
      <c r="Z254" s="13">
        <f t="shared" si="48"/>
        <v>-146.44650000000004</v>
      </c>
    </row>
    <row r="255" spans="1:26">
      <c r="A255" s="109" t="s">
        <v>468</v>
      </c>
      <c r="B255" s="117">
        <v>41274.166666666664</v>
      </c>
      <c r="C255" s="120"/>
      <c r="D255" s="120" t="s">
        <v>544</v>
      </c>
      <c r="E255" s="120" t="s">
        <v>545</v>
      </c>
      <c r="F255" s="120" t="s">
        <v>546</v>
      </c>
      <c r="G255" s="120"/>
      <c r="H255" s="110" t="s">
        <v>437</v>
      </c>
      <c r="I255" s="117">
        <v>41273.842361111114</v>
      </c>
      <c r="J255" s="109" t="s">
        <v>531</v>
      </c>
      <c r="K255" s="6" t="s">
        <v>467</v>
      </c>
      <c r="L255" s="10" t="s">
        <v>5</v>
      </c>
      <c r="M255" s="6">
        <f t="shared" si="62"/>
        <v>0</v>
      </c>
      <c r="N255" s="6">
        <f t="shared" si="43"/>
        <v>0</v>
      </c>
      <c r="O255" s="6">
        <f t="shared" si="44"/>
        <v>1</v>
      </c>
      <c r="P255" s="6">
        <f t="shared" si="42"/>
        <v>0</v>
      </c>
      <c r="Q255" s="6">
        <f t="shared" si="46"/>
        <v>-5</v>
      </c>
      <c r="R255" s="30">
        <f t="shared" si="45"/>
        <v>-5</v>
      </c>
      <c r="S255" s="16">
        <f t="shared" si="60"/>
        <v>103.56349999999996</v>
      </c>
      <c r="T255" s="14">
        <f t="shared" si="47"/>
        <v>-53.346500000000006</v>
      </c>
      <c r="U255" s="14">
        <f t="shared" si="49"/>
        <v>-59.85</v>
      </c>
      <c r="V255" s="14">
        <f t="shared" si="51"/>
        <v>17.850000000000001</v>
      </c>
      <c r="W255" s="14">
        <f t="shared" si="55"/>
        <v>-52.199999999999989</v>
      </c>
      <c r="X255" s="13">
        <f t="shared" si="63"/>
        <v>-2</v>
      </c>
      <c r="Y255" s="13">
        <f t="shared" si="59"/>
        <v>-1.9000000000000004</v>
      </c>
      <c r="Z255" s="13">
        <f t="shared" si="48"/>
        <v>-151.44650000000004</v>
      </c>
    </row>
    <row r="256" spans="1:26" ht="11.25" customHeight="1">
      <c r="A256" s="109" t="s">
        <v>58</v>
      </c>
      <c r="B256" s="117">
        <v>41274.166666666664</v>
      </c>
      <c r="C256" s="120"/>
      <c r="D256" s="120" t="s">
        <v>544</v>
      </c>
      <c r="E256" s="120" t="s">
        <v>550</v>
      </c>
      <c r="F256" s="120" t="s">
        <v>551</v>
      </c>
      <c r="G256" s="120"/>
      <c r="H256" s="110" t="s">
        <v>552</v>
      </c>
      <c r="I256" s="117">
        <v>41273.862500000003</v>
      </c>
      <c r="J256" s="109" t="s">
        <v>531</v>
      </c>
      <c r="K256" s="6" t="s">
        <v>467</v>
      </c>
      <c r="L256" s="10" t="s">
        <v>5</v>
      </c>
      <c r="M256" s="6">
        <f t="shared" si="62"/>
        <v>0</v>
      </c>
      <c r="N256" s="6">
        <f t="shared" si="43"/>
        <v>0</v>
      </c>
      <c r="O256" s="6">
        <f t="shared" si="44"/>
        <v>1</v>
      </c>
      <c r="P256" s="6">
        <f t="shared" si="42"/>
        <v>0</v>
      </c>
      <c r="Q256" s="6">
        <f t="shared" si="46"/>
        <v>-5</v>
      </c>
      <c r="R256" s="30">
        <f t="shared" si="45"/>
        <v>-5</v>
      </c>
      <c r="S256" s="16">
        <f t="shared" si="60"/>
        <v>98.563499999999962</v>
      </c>
      <c r="T256" s="14">
        <f t="shared" si="47"/>
        <v>-53.346500000000006</v>
      </c>
      <c r="U256" s="14">
        <f t="shared" si="49"/>
        <v>-59.85</v>
      </c>
      <c r="V256" s="14">
        <f t="shared" si="51"/>
        <v>12.850000000000001</v>
      </c>
      <c r="W256" s="14">
        <f t="shared" si="55"/>
        <v>-52.199999999999989</v>
      </c>
      <c r="X256" s="13">
        <f t="shared" si="63"/>
        <v>-2</v>
      </c>
      <c r="Y256" s="13">
        <f t="shared" si="59"/>
        <v>-1.9000000000000004</v>
      </c>
      <c r="Z256" s="13">
        <f t="shared" si="48"/>
        <v>-156.44650000000004</v>
      </c>
    </row>
    <row r="257" spans="1:26" ht="11.25" customHeight="1">
      <c r="A257" s="109" t="s">
        <v>58</v>
      </c>
      <c r="B257" s="117">
        <v>41274.166666666664</v>
      </c>
      <c r="C257" s="120"/>
      <c r="D257" s="120" t="s">
        <v>544</v>
      </c>
      <c r="E257" s="120" t="s">
        <v>545</v>
      </c>
      <c r="F257" s="120" t="s">
        <v>546</v>
      </c>
      <c r="G257" s="120"/>
      <c r="H257" s="110" t="s">
        <v>437</v>
      </c>
      <c r="I257" s="117">
        <v>41273.872916666667</v>
      </c>
      <c r="J257" s="109" t="s">
        <v>531</v>
      </c>
      <c r="K257" s="6" t="s">
        <v>467</v>
      </c>
      <c r="L257" s="10" t="s">
        <v>5</v>
      </c>
      <c r="M257" s="6">
        <f t="shared" si="62"/>
        <v>0</v>
      </c>
      <c r="N257" s="6">
        <f t="shared" si="43"/>
        <v>0</v>
      </c>
      <c r="O257" s="6">
        <f t="shared" si="44"/>
        <v>1</v>
      </c>
      <c r="P257" s="6">
        <f t="shared" si="42"/>
        <v>0</v>
      </c>
      <c r="Q257" s="6">
        <f t="shared" si="46"/>
        <v>-5</v>
      </c>
      <c r="R257" s="30">
        <f t="shared" si="45"/>
        <v>-5</v>
      </c>
      <c r="S257" s="16">
        <f t="shared" si="60"/>
        <v>93.563499999999962</v>
      </c>
      <c r="T257" s="14">
        <f t="shared" si="47"/>
        <v>-53.346500000000006</v>
      </c>
      <c r="U257" s="14">
        <f t="shared" si="49"/>
        <v>-59.85</v>
      </c>
      <c r="V257" s="14">
        <f t="shared" si="51"/>
        <v>7.8500000000000014</v>
      </c>
      <c r="W257" s="14">
        <f t="shared" si="55"/>
        <v>-52.199999999999989</v>
      </c>
      <c r="X257" s="13">
        <f t="shared" si="63"/>
        <v>-2</v>
      </c>
      <c r="Y257" s="13">
        <f t="shared" ref="Y257:Y288" si="64">IF(A257="JEAN",Y256+R257,Y256)</f>
        <v>-1.9000000000000004</v>
      </c>
      <c r="Z257" s="13">
        <f t="shared" si="48"/>
        <v>-161.44650000000004</v>
      </c>
    </row>
    <row r="258" spans="1:26" ht="11.25" customHeight="1">
      <c r="A258" s="108" t="s">
        <v>8</v>
      </c>
      <c r="B258" s="117">
        <v>41274.145833333336</v>
      </c>
      <c r="C258" s="120"/>
      <c r="D258" s="120" t="s">
        <v>540</v>
      </c>
      <c r="E258" s="120" t="s">
        <v>528</v>
      </c>
      <c r="F258" s="120" t="s">
        <v>541</v>
      </c>
      <c r="G258" s="120"/>
      <c r="H258" s="110" t="s">
        <v>446</v>
      </c>
      <c r="I258" s="117">
        <v>41273.884722222225</v>
      </c>
      <c r="J258" s="109" t="s">
        <v>531</v>
      </c>
      <c r="K258" s="6" t="s">
        <v>467</v>
      </c>
      <c r="L258" s="10" t="s">
        <v>5</v>
      </c>
      <c r="M258" s="6">
        <f t="shared" si="62"/>
        <v>0</v>
      </c>
      <c r="N258" s="6">
        <f t="shared" si="43"/>
        <v>0</v>
      </c>
      <c r="O258" s="6">
        <f t="shared" si="44"/>
        <v>1</v>
      </c>
      <c r="P258" s="6">
        <f t="shared" ref="P258:P269" si="65">IF(M258&gt;L258,1,0)</f>
        <v>0</v>
      </c>
      <c r="Q258" s="6">
        <f t="shared" si="46"/>
        <v>-5</v>
      </c>
      <c r="R258" s="30">
        <f t="shared" si="45"/>
        <v>-5</v>
      </c>
      <c r="S258" s="16">
        <f t="shared" si="60"/>
        <v>88.563499999999962</v>
      </c>
      <c r="T258" s="14">
        <f t="shared" si="47"/>
        <v>-58.346500000000006</v>
      </c>
      <c r="U258" s="14">
        <f t="shared" si="49"/>
        <v>-59.85</v>
      </c>
      <c r="V258" s="14">
        <f t="shared" si="51"/>
        <v>7.8500000000000014</v>
      </c>
      <c r="W258" s="14">
        <f t="shared" si="55"/>
        <v>-52.199999999999989</v>
      </c>
      <c r="X258" s="13">
        <f t="shared" si="63"/>
        <v>-2</v>
      </c>
      <c r="Y258" s="13">
        <f t="shared" si="64"/>
        <v>-1.9000000000000004</v>
      </c>
      <c r="Z258" s="13">
        <f t="shared" si="48"/>
        <v>-166.44650000000004</v>
      </c>
    </row>
    <row r="259" spans="1:26" ht="11.25" customHeight="1">
      <c r="A259" s="108" t="s">
        <v>8</v>
      </c>
      <c r="B259" s="117">
        <v>41274.1875</v>
      </c>
      <c r="C259" s="120"/>
      <c r="D259" s="120" t="s">
        <v>542</v>
      </c>
      <c r="E259" s="120" t="s">
        <v>528</v>
      </c>
      <c r="F259" s="120" t="s">
        <v>543</v>
      </c>
      <c r="G259" s="120"/>
      <c r="H259" s="110" t="s">
        <v>390</v>
      </c>
      <c r="I259" s="117">
        <v>41273.885416666664</v>
      </c>
      <c r="J259" s="109" t="s">
        <v>531</v>
      </c>
      <c r="K259" s="6" t="s">
        <v>467</v>
      </c>
      <c r="L259" s="10" t="s">
        <v>7</v>
      </c>
      <c r="M259" s="6">
        <f t="shared" si="62"/>
        <v>8.75</v>
      </c>
      <c r="N259" s="6">
        <f t="shared" ref="N259:N268" si="66">IF(L259="BON",1,0)</f>
        <v>1</v>
      </c>
      <c r="O259" s="6">
        <f t="shared" ref="O259:O268" si="67">IF(L259="PERDU",1,0)</f>
        <v>0</v>
      </c>
      <c r="P259" s="6">
        <f t="shared" si="65"/>
        <v>0</v>
      </c>
      <c r="Q259" s="6">
        <f t="shared" si="46"/>
        <v>3.75</v>
      </c>
      <c r="R259" s="30">
        <f t="shared" ref="R259:R269" si="68">IF(L259=0,K259*-1,M259-K259)</f>
        <v>3.75</v>
      </c>
      <c r="S259" s="16">
        <f t="shared" si="60"/>
        <v>92.313499999999962</v>
      </c>
      <c r="T259" s="14">
        <f t="shared" si="47"/>
        <v>-54.596500000000006</v>
      </c>
      <c r="U259" s="14">
        <f t="shared" si="49"/>
        <v>-59.85</v>
      </c>
      <c r="V259" s="14">
        <f t="shared" si="51"/>
        <v>7.8500000000000014</v>
      </c>
      <c r="W259" s="14">
        <f t="shared" si="55"/>
        <v>-52.199999999999989</v>
      </c>
      <c r="X259" s="13">
        <f t="shared" si="63"/>
        <v>-2</v>
      </c>
      <c r="Y259" s="13">
        <f t="shared" si="64"/>
        <v>-1.9000000000000004</v>
      </c>
      <c r="Z259" s="13">
        <f t="shared" si="48"/>
        <v>-162.69650000000004</v>
      </c>
    </row>
    <row r="260" spans="1:26" ht="11.25" customHeight="1">
      <c r="A260" s="108" t="s">
        <v>8</v>
      </c>
      <c r="B260" s="117">
        <v>41274.166666666664</v>
      </c>
      <c r="C260" s="120"/>
      <c r="D260" s="120" t="s">
        <v>544</v>
      </c>
      <c r="E260" s="120" t="s">
        <v>545</v>
      </c>
      <c r="F260" s="120" t="s">
        <v>546</v>
      </c>
      <c r="G260" s="120"/>
      <c r="H260" s="110" t="s">
        <v>437</v>
      </c>
      <c r="I260" s="117">
        <v>41273.886111111111</v>
      </c>
      <c r="J260" s="109" t="s">
        <v>531</v>
      </c>
      <c r="K260" s="6" t="s">
        <v>467</v>
      </c>
      <c r="L260" s="10" t="s">
        <v>5</v>
      </c>
      <c r="M260" s="6">
        <f t="shared" si="62"/>
        <v>0</v>
      </c>
      <c r="N260" s="6">
        <f t="shared" si="66"/>
        <v>0</v>
      </c>
      <c r="O260" s="6">
        <f t="shared" si="67"/>
        <v>1</v>
      </c>
      <c r="P260" s="6">
        <f t="shared" si="65"/>
        <v>0</v>
      </c>
      <c r="Q260" s="6">
        <f t="shared" ref="Q260:Q269" si="69">IF(L260="",0,R260)</f>
        <v>-5</v>
      </c>
      <c r="R260" s="30">
        <f t="shared" si="68"/>
        <v>-5</v>
      </c>
      <c r="S260" s="16">
        <f t="shared" si="60"/>
        <v>87.313499999999962</v>
      </c>
      <c r="T260" s="14">
        <f t="shared" ref="T260:T323" si="70">IF(A260="YANN",T259+R260,T259)</f>
        <v>-59.596500000000006</v>
      </c>
      <c r="U260" s="14">
        <f t="shared" si="49"/>
        <v>-59.85</v>
      </c>
      <c r="V260" s="14">
        <f t="shared" si="51"/>
        <v>7.8500000000000014</v>
      </c>
      <c r="W260" s="14">
        <f t="shared" si="55"/>
        <v>-52.199999999999989</v>
      </c>
      <c r="X260" s="13">
        <f t="shared" si="63"/>
        <v>-2</v>
      </c>
      <c r="Y260" s="13">
        <f t="shared" si="64"/>
        <v>-1.9000000000000004</v>
      </c>
      <c r="Z260" s="13">
        <f t="shared" ref="Z260:Z323" si="71">+Z259+R260</f>
        <v>-167.69650000000004</v>
      </c>
    </row>
    <row r="261" spans="1:26" ht="11.25" customHeight="1">
      <c r="A261" s="108" t="s">
        <v>8</v>
      </c>
      <c r="B261" s="117">
        <v>41275.770833333336</v>
      </c>
      <c r="C261" s="120"/>
      <c r="D261" s="120" t="s">
        <v>547</v>
      </c>
      <c r="E261" s="120" t="s">
        <v>125</v>
      </c>
      <c r="F261" s="120" t="s">
        <v>532</v>
      </c>
      <c r="G261" s="120"/>
      <c r="H261" s="110" t="s">
        <v>548</v>
      </c>
      <c r="I261" s="117">
        <v>41274.552777777775</v>
      </c>
      <c r="J261" s="109" t="s">
        <v>3</v>
      </c>
      <c r="K261" s="6" t="s">
        <v>467</v>
      </c>
      <c r="L261" s="10" t="s">
        <v>5</v>
      </c>
      <c r="M261" s="6">
        <f t="shared" si="62"/>
        <v>0</v>
      </c>
      <c r="N261" s="6">
        <f t="shared" si="66"/>
        <v>0</v>
      </c>
      <c r="O261" s="6">
        <f t="shared" si="67"/>
        <v>1</v>
      </c>
      <c r="P261" s="6">
        <f t="shared" si="65"/>
        <v>0</v>
      </c>
      <c r="Q261" s="6">
        <f t="shared" si="69"/>
        <v>-5</v>
      </c>
      <c r="R261" s="30">
        <f t="shared" si="68"/>
        <v>-5</v>
      </c>
      <c r="S261" s="16">
        <f t="shared" si="60"/>
        <v>82.313499999999962</v>
      </c>
      <c r="T261" s="14">
        <f t="shared" si="70"/>
        <v>-64.596500000000006</v>
      </c>
      <c r="U261" s="14">
        <f t="shared" si="49"/>
        <v>-59.85</v>
      </c>
      <c r="V261" s="14">
        <f t="shared" si="51"/>
        <v>7.8500000000000014</v>
      </c>
      <c r="W261" s="14">
        <f t="shared" si="55"/>
        <v>-52.199999999999989</v>
      </c>
      <c r="X261" s="13">
        <f t="shared" si="63"/>
        <v>-2</v>
      </c>
      <c r="Y261" s="13">
        <f t="shared" si="64"/>
        <v>-1.9000000000000004</v>
      </c>
      <c r="Z261" s="13">
        <f t="shared" si="71"/>
        <v>-172.69650000000004</v>
      </c>
    </row>
    <row r="262" spans="1:26" ht="11.25" customHeight="1">
      <c r="A262" s="108" t="s">
        <v>468</v>
      </c>
      <c r="B262" s="117">
        <v>41275.045138888891</v>
      </c>
      <c r="C262" s="120"/>
      <c r="D262" s="120" t="s">
        <v>549</v>
      </c>
      <c r="E262" s="120" t="s">
        <v>157</v>
      </c>
      <c r="F262" s="120" t="s">
        <v>158</v>
      </c>
      <c r="G262" s="120"/>
      <c r="H262" s="110" t="s">
        <v>448</v>
      </c>
      <c r="I262" s="117">
        <v>41274.655555555553</v>
      </c>
      <c r="J262" s="109" t="s">
        <v>9</v>
      </c>
      <c r="K262" s="6" t="s">
        <v>467</v>
      </c>
      <c r="L262" s="10" t="s">
        <v>7</v>
      </c>
      <c r="M262" s="6">
        <f t="shared" si="62"/>
        <v>5.75</v>
      </c>
      <c r="N262" s="6">
        <f t="shared" si="66"/>
        <v>1</v>
      </c>
      <c r="O262" s="6">
        <f t="shared" si="67"/>
        <v>0</v>
      </c>
      <c r="P262" s="6">
        <f t="shared" si="65"/>
        <v>0</v>
      </c>
      <c r="Q262" s="6">
        <f t="shared" si="69"/>
        <v>0.75</v>
      </c>
      <c r="R262" s="30">
        <f t="shared" si="68"/>
        <v>0.75</v>
      </c>
      <c r="S262" s="16">
        <f t="shared" si="60"/>
        <v>83.063499999999962</v>
      </c>
      <c r="T262" s="14">
        <f t="shared" si="70"/>
        <v>-64.596500000000006</v>
      </c>
      <c r="U262" s="14">
        <f t="shared" si="49"/>
        <v>-59.85</v>
      </c>
      <c r="V262" s="14">
        <f t="shared" si="51"/>
        <v>7.8500000000000014</v>
      </c>
      <c r="W262" s="14">
        <f t="shared" si="55"/>
        <v>-52.199999999999989</v>
      </c>
      <c r="X262" s="13">
        <f t="shared" si="63"/>
        <v>-2</v>
      </c>
      <c r="Y262" s="13">
        <f t="shared" si="64"/>
        <v>-1.1500000000000004</v>
      </c>
      <c r="Z262" s="13">
        <f t="shared" si="71"/>
        <v>-171.94650000000004</v>
      </c>
    </row>
    <row r="263" spans="1:26">
      <c r="A263" s="108" t="s">
        <v>468</v>
      </c>
      <c r="B263" s="117">
        <v>41275.770833333336</v>
      </c>
      <c r="C263" s="120"/>
      <c r="D263" s="120" t="s">
        <v>547</v>
      </c>
      <c r="E263" s="120" t="s">
        <v>31</v>
      </c>
      <c r="F263" s="120" t="s">
        <v>171</v>
      </c>
      <c r="G263" s="120"/>
      <c r="H263" s="110" t="s">
        <v>412</v>
      </c>
      <c r="I263" s="117">
        <v>41275.693055555559</v>
      </c>
      <c r="J263" s="109" t="s">
        <v>3</v>
      </c>
      <c r="K263" s="6" t="s">
        <v>467</v>
      </c>
      <c r="L263" s="10" t="s">
        <v>5</v>
      </c>
      <c r="M263" s="6">
        <f t="shared" si="62"/>
        <v>0</v>
      </c>
      <c r="N263" s="6">
        <f t="shared" si="66"/>
        <v>0</v>
      </c>
      <c r="O263" s="6">
        <f t="shared" si="67"/>
        <v>1</v>
      </c>
      <c r="P263" s="6">
        <f t="shared" si="65"/>
        <v>0</v>
      </c>
      <c r="Q263" s="6">
        <f t="shared" si="69"/>
        <v>-5</v>
      </c>
      <c r="R263" s="30">
        <f t="shared" si="68"/>
        <v>-5</v>
      </c>
      <c r="S263" s="16">
        <f t="shared" si="60"/>
        <v>78.063499999999962</v>
      </c>
      <c r="T263" s="14">
        <f t="shared" si="70"/>
        <v>-64.596500000000006</v>
      </c>
      <c r="U263" s="14">
        <f t="shared" ref="U263:U326" si="72">IF(A263="DJO",U262+R263,U262)</f>
        <v>-59.85</v>
      </c>
      <c r="V263" s="14">
        <f t="shared" si="51"/>
        <v>7.8500000000000014</v>
      </c>
      <c r="W263" s="14">
        <f t="shared" si="55"/>
        <v>-52.199999999999989</v>
      </c>
      <c r="X263" s="13">
        <f t="shared" si="63"/>
        <v>-2</v>
      </c>
      <c r="Y263" s="13">
        <f t="shared" si="64"/>
        <v>-6.15</v>
      </c>
      <c r="Z263" s="13">
        <f t="shared" si="71"/>
        <v>-176.94650000000004</v>
      </c>
    </row>
    <row r="264" spans="1:26">
      <c r="A264" s="108" t="s">
        <v>468</v>
      </c>
      <c r="B264" s="117">
        <v>41275.791666666664</v>
      </c>
      <c r="C264" s="120"/>
      <c r="D264" s="120" t="s">
        <v>553</v>
      </c>
      <c r="E264" s="120" t="s">
        <v>545</v>
      </c>
      <c r="F264" s="120" t="s">
        <v>554</v>
      </c>
      <c r="G264" s="120"/>
      <c r="H264" s="110" t="s">
        <v>395</v>
      </c>
      <c r="I264" s="117">
        <v>41275.706944444442</v>
      </c>
      <c r="J264" s="109" t="s">
        <v>531</v>
      </c>
      <c r="K264" s="6" t="s">
        <v>467</v>
      </c>
      <c r="L264" s="10" t="s">
        <v>5</v>
      </c>
      <c r="M264" s="6">
        <f t="shared" si="62"/>
        <v>0</v>
      </c>
      <c r="N264" s="6">
        <f t="shared" si="66"/>
        <v>0</v>
      </c>
      <c r="O264" s="6">
        <f t="shared" si="67"/>
        <v>1</v>
      </c>
      <c r="P264" s="6">
        <f t="shared" si="65"/>
        <v>0</v>
      </c>
      <c r="Q264" s="6">
        <f t="shared" si="69"/>
        <v>-5</v>
      </c>
      <c r="R264" s="30">
        <f t="shared" si="68"/>
        <v>-5</v>
      </c>
      <c r="S264" s="16">
        <f t="shared" si="60"/>
        <v>73.063499999999962</v>
      </c>
      <c r="T264" s="14">
        <f t="shared" si="70"/>
        <v>-64.596500000000006</v>
      </c>
      <c r="U264" s="14">
        <f t="shared" si="72"/>
        <v>-59.85</v>
      </c>
      <c r="V264" s="14">
        <f t="shared" si="51"/>
        <v>7.8500000000000014</v>
      </c>
      <c r="W264" s="14">
        <f t="shared" si="55"/>
        <v>-52.199999999999989</v>
      </c>
      <c r="X264" s="13">
        <f t="shared" si="63"/>
        <v>-2</v>
      </c>
      <c r="Y264" s="13">
        <f t="shared" si="64"/>
        <v>-11.15</v>
      </c>
      <c r="Z264" s="13">
        <f t="shared" si="71"/>
        <v>-181.94650000000004</v>
      </c>
    </row>
    <row r="265" spans="1:26" ht="11.25" customHeight="1">
      <c r="B265" s="114"/>
      <c r="C265" s="121"/>
      <c r="D265" s="121" t="s">
        <v>471</v>
      </c>
      <c r="E265" s="121"/>
      <c r="F265" s="121"/>
      <c r="G265" s="121"/>
      <c r="H265" s="122"/>
      <c r="I265" s="117"/>
      <c r="M265" s="6">
        <f t="shared" si="62"/>
        <v>0</v>
      </c>
      <c r="N265" s="6">
        <f t="shared" si="66"/>
        <v>0</v>
      </c>
      <c r="O265" s="6">
        <f t="shared" si="67"/>
        <v>0</v>
      </c>
      <c r="P265" s="6">
        <f t="shared" si="65"/>
        <v>0</v>
      </c>
      <c r="Q265" s="6">
        <f t="shared" si="69"/>
        <v>0</v>
      </c>
      <c r="R265" s="30">
        <f t="shared" si="68"/>
        <v>0</v>
      </c>
      <c r="S265" s="16">
        <f>IF(L265=0,S264-K265,S264+M265-K265)+25</f>
        <v>98.063499999999962</v>
      </c>
      <c r="T265" s="14">
        <f t="shared" si="70"/>
        <v>-64.596500000000006</v>
      </c>
      <c r="U265" s="14">
        <f t="shared" si="72"/>
        <v>-59.85</v>
      </c>
      <c r="V265" s="14">
        <f t="shared" si="51"/>
        <v>7.8500000000000014</v>
      </c>
      <c r="W265" s="14">
        <f t="shared" si="55"/>
        <v>-52.199999999999989</v>
      </c>
      <c r="X265" s="13">
        <f t="shared" si="63"/>
        <v>-2</v>
      </c>
      <c r="Y265" s="13">
        <f t="shared" si="64"/>
        <v>-11.15</v>
      </c>
      <c r="Z265" s="13">
        <f t="shared" si="71"/>
        <v>-181.94650000000004</v>
      </c>
    </row>
    <row r="266" spans="1:26" ht="11.25" customHeight="1">
      <c r="B266" s="114"/>
      <c r="C266" s="121"/>
      <c r="D266" s="121" t="s">
        <v>555</v>
      </c>
      <c r="E266" s="121"/>
      <c r="F266" s="121"/>
      <c r="G266" s="121"/>
      <c r="H266" s="122"/>
      <c r="I266" s="117"/>
      <c r="M266" s="6">
        <f t="shared" si="62"/>
        <v>0</v>
      </c>
      <c r="N266" s="6">
        <f t="shared" si="66"/>
        <v>0</v>
      </c>
      <c r="O266" s="6">
        <f t="shared" si="67"/>
        <v>0</v>
      </c>
      <c r="P266" s="6">
        <f t="shared" si="65"/>
        <v>0</v>
      </c>
      <c r="Q266" s="6">
        <f t="shared" si="69"/>
        <v>0</v>
      </c>
      <c r="R266" s="30">
        <f t="shared" si="68"/>
        <v>0</v>
      </c>
      <c r="S266" s="16">
        <f>IF(L266=0,S265-K266,S265+M266-K266)+65</f>
        <v>163.06349999999998</v>
      </c>
      <c r="T266" s="14">
        <f t="shared" si="70"/>
        <v>-64.596500000000006</v>
      </c>
      <c r="U266" s="14">
        <f t="shared" si="72"/>
        <v>-59.85</v>
      </c>
      <c r="V266" s="14">
        <f t="shared" si="51"/>
        <v>7.8500000000000014</v>
      </c>
      <c r="W266" s="14">
        <f t="shared" si="55"/>
        <v>-52.199999999999989</v>
      </c>
      <c r="X266" s="13">
        <f t="shared" si="63"/>
        <v>-2</v>
      </c>
      <c r="Y266" s="13">
        <f t="shared" si="64"/>
        <v>-11.15</v>
      </c>
      <c r="Z266" s="13">
        <f t="shared" si="71"/>
        <v>-181.94650000000004</v>
      </c>
    </row>
    <row r="267" spans="1:26" ht="10.5" customHeight="1">
      <c r="A267" s="109" t="s">
        <v>468</v>
      </c>
      <c r="B267" s="114">
        <v>41276.864583333336</v>
      </c>
      <c r="C267" s="120"/>
      <c r="D267" s="121" t="s">
        <v>523</v>
      </c>
      <c r="E267" s="120" t="s">
        <v>31</v>
      </c>
      <c r="F267" s="121" t="s">
        <v>199</v>
      </c>
      <c r="G267" s="120"/>
      <c r="H267" s="110">
        <v>1.18</v>
      </c>
      <c r="I267" s="114">
        <v>41275.857638888891</v>
      </c>
      <c r="J267" s="109" t="s">
        <v>3</v>
      </c>
      <c r="K267" s="6" t="s">
        <v>467</v>
      </c>
      <c r="L267" s="10" t="s">
        <v>5</v>
      </c>
      <c r="M267" s="6">
        <f t="shared" si="62"/>
        <v>0</v>
      </c>
      <c r="N267" s="6">
        <f t="shared" si="66"/>
        <v>0</v>
      </c>
      <c r="O267" s="6">
        <f t="shared" si="67"/>
        <v>1</v>
      </c>
      <c r="P267" s="6">
        <f t="shared" si="65"/>
        <v>0</v>
      </c>
      <c r="Q267" s="6">
        <f t="shared" si="69"/>
        <v>-5</v>
      </c>
      <c r="R267" s="30">
        <f t="shared" si="68"/>
        <v>-5</v>
      </c>
      <c r="S267" s="16">
        <f t="shared" ref="S267:S298" si="73">IF(L267=0,S266-K267,S266+M267-K267)</f>
        <v>158.06349999999998</v>
      </c>
      <c r="T267" s="14">
        <f t="shared" si="70"/>
        <v>-64.596500000000006</v>
      </c>
      <c r="U267" s="14">
        <f t="shared" si="72"/>
        <v>-59.85</v>
      </c>
      <c r="V267" s="14">
        <f t="shared" si="51"/>
        <v>7.8500000000000014</v>
      </c>
      <c r="W267" s="14">
        <f t="shared" si="55"/>
        <v>-52.199999999999989</v>
      </c>
      <c r="X267" s="13">
        <f t="shared" si="63"/>
        <v>-2</v>
      </c>
      <c r="Y267" s="13">
        <f t="shared" si="64"/>
        <v>-16.149999999999999</v>
      </c>
      <c r="Z267" s="13">
        <f t="shared" si="71"/>
        <v>-186.94650000000004</v>
      </c>
    </row>
    <row r="268" spans="1:26" ht="11.25" customHeight="1">
      <c r="A268" s="109" t="s">
        <v>468</v>
      </c>
      <c r="B268" s="114">
        <v>41276.864583333336</v>
      </c>
      <c r="C268" s="120"/>
      <c r="D268" s="121" t="s">
        <v>556</v>
      </c>
      <c r="E268" s="120" t="s">
        <v>31</v>
      </c>
      <c r="F268" s="121" t="s">
        <v>336</v>
      </c>
      <c r="G268" s="120"/>
      <c r="H268" s="110">
        <v>1.36</v>
      </c>
      <c r="I268" s="114">
        <v>41275.857638888891</v>
      </c>
      <c r="J268" s="109" t="s">
        <v>3</v>
      </c>
      <c r="K268" s="6" t="s">
        <v>467</v>
      </c>
      <c r="L268" s="10" t="s">
        <v>7</v>
      </c>
      <c r="M268" s="6">
        <f t="shared" si="62"/>
        <v>6.8000000000000007</v>
      </c>
      <c r="N268" s="6">
        <f t="shared" si="66"/>
        <v>1</v>
      </c>
      <c r="O268" s="6">
        <f t="shared" si="67"/>
        <v>0</v>
      </c>
      <c r="P268" s="6">
        <f t="shared" si="65"/>
        <v>0</v>
      </c>
      <c r="Q268" s="6">
        <f t="shared" si="69"/>
        <v>1.8000000000000007</v>
      </c>
      <c r="R268" s="30">
        <f t="shared" si="68"/>
        <v>1.8000000000000007</v>
      </c>
      <c r="S268" s="16">
        <f t="shared" si="73"/>
        <v>159.86349999999999</v>
      </c>
      <c r="T268" s="14">
        <f t="shared" si="70"/>
        <v>-64.596500000000006</v>
      </c>
      <c r="U268" s="14">
        <f t="shared" si="72"/>
        <v>-59.85</v>
      </c>
      <c r="V268" s="14">
        <f t="shared" si="51"/>
        <v>7.8500000000000014</v>
      </c>
      <c r="W268" s="14">
        <f t="shared" si="55"/>
        <v>-52.199999999999989</v>
      </c>
      <c r="X268" s="13">
        <f t="shared" si="63"/>
        <v>-2</v>
      </c>
      <c r="Y268" s="13">
        <f t="shared" si="64"/>
        <v>-14.349999999999998</v>
      </c>
      <c r="Z268" s="13">
        <f t="shared" si="71"/>
        <v>-185.14650000000003</v>
      </c>
    </row>
    <row r="269" spans="1:26" ht="14.25" customHeight="1">
      <c r="A269" s="109" t="s">
        <v>468</v>
      </c>
      <c r="B269" s="114">
        <v>41280.708333333336</v>
      </c>
      <c r="C269" s="120"/>
      <c r="D269" s="121" t="s">
        <v>557</v>
      </c>
      <c r="E269" s="120" t="s">
        <v>31</v>
      </c>
      <c r="F269" s="121" t="s">
        <v>256</v>
      </c>
      <c r="G269" s="120"/>
      <c r="H269" s="110">
        <v>1.42</v>
      </c>
      <c r="I269" s="114">
        <v>41275.864583333336</v>
      </c>
      <c r="J269" s="109" t="s">
        <v>3</v>
      </c>
      <c r="K269" s="6" t="s">
        <v>467</v>
      </c>
      <c r="L269" s="10" t="s">
        <v>5</v>
      </c>
      <c r="M269" s="6">
        <f t="shared" ref="M269" si="74">IF(L269="PERDU",0,K269*H269)</f>
        <v>0</v>
      </c>
      <c r="N269" s="6">
        <f t="shared" ref="N269" si="75">IF(L269="BON",1,0)</f>
        <v>0</v>
      </c>
      <c r="O269" s="6">
        <f t="shared" ref="O269" si="76">IF(L269="PERDU",1,0)</f>
        <v>1</v>
      </c>
      <c r="P269" s="6">
        <f t="shared" si="65"/>
        <v>0</v>
      </c>
      <c r="Q269" s="6">
        <f t="shared" si="69"/>
        <v>-5</v>
      </c>
      <c r="R269" s="30">
        <f t="shared" si="68"/>
        <v>-5</v>
      </c>
      <c r="S269" s="16">
        <f t="shared" si="73"/>
        <v>154.86349999999999</v>
      </c>
      <c r="T269" s="14">
        <f t="shared" si="70"/>
        <v>-64.596500000000006</v>
      </c>
      <c r="U269" s="14">
        <f t="shared" si="72"/>
        <v>-59.85</v>
      </c>
      <c r="V269" s="14">
        <f t="shared" si="51"/>
        <v>7.8500000000000014</v>
      </c>
      <c r="W269" s="14">
        <f t="shared" si="55"/>
        <v>-52.199999999999989</v>
      </c>
      <c r="X269" s="13">
        <f t="shared" si="63"/>
        <v>-2</v>
      </c>
      <c r="Y269" s="13">
        <f t="shared" si="64"/>
        <v>-19.349999999999998</v>
      </c>
      <c r="Z269" s="13">
        <f t="shared" si="71"/>
        <v>-190.14650000000003</v>
      </c>
    </row>
    <row r="270" spans="1:26" ht="11.25" customHeight="1">
      <c r="A270" s="109" t="s">
        <v>468</v>
      </c>
      <c r="B270" s="114">
        <v>41277.086805555555</v>
      </c>
      <c r="C270" s="120"/>
      <c r="D270" s="120" t="s">
        <v>558</v>
      </c>
      <c r="E270" s="120" t="s">
        <v>157</v>
      </c>
      <c r="F270" s="120" t="s">
        <v>158</v>
      </c>
      <c r="G270" s="120"/>
      <c r="H270" s="110">
        <v>1.44</v>
      </c>
      <c r="I270" s="117">
        <v>41275.87222222222</v>
      </c>
      <c r="J270" s="109" t="s">
        <v>9</v>
      </c>
      <c r="K270" s="6" t="s">
        <v>467</v>
      </c>
      <c r="L270" s="10" t="s">
        <v>7</v>
      </c>
      <c r="M270" s="6">
        <f t="shared" ref="M270:M333" si="77">IF(L270="PERDU",0,K270*H270)</f>
        <v>7.1999999999999993</v>
      </c>
      <c r="N270" s="6">
        <f t="shared" ref="N270:N333" si="78">IF(L270="BON",1,0)</f>
        <v>1</v>
      </c>
      <c r="O270" s="6">
        <f t="shared" ref="O270:O333" si="79">IF(L270="PERDU",1,0)</f>
        <v>0</v>
      </c>
      <c r="P270" s="6">
        <f t="shared" ref="P270:P333" si="80">IF(M270&gt;L270,1,0)</f>
        <v>0</v>
      </c>
      <c r="Q270" s="6">
        <f t="shared" ref="Q270:Q333" si="81">IF(L270="",0,R270)</f>
        <v>2.1999999999999993</v>
      </c>
      <c r="R270" s="30">
        <f t="shared" ref="R270:R333" si="82">IF(L270=0,K270*-1,M270-K270)</f>
        <v>2.1999999999999993</v>
      </c>
      <c r="S270" s="16">
        <f t="shared" si="73"/>
        <v>157.06349999999998</v>
      </c>
      <c r="T270" s="14">
        <f t="shared" si="70"/>
        <v>-64.596500000000006</v>
      </c>
      <c r="U270" s="14">
        <f t="shared" si="72"/>
        <v>-59.85</v>
      </c>
      <c r="V270" s="14">
        <f t="shared" si="51"/>
        <v>7.8500000000000014</v>
      </c>
      <c r="W270" s="14">
        <f t="shared" si="55"/>
        <v>-52.199999999999989</v>
      </c>
      <c r="X270" s="13">
        <f t="shared" si="63"/>
        <v>-2</v>
      </c>
      <c r="Y270" s="13">
        <f t="shared" si="64"/>
        <v>-17.149999999999999</v>
      </c>
      <c r="Z270" s="13">
        <f t="shared" si="71"/>
        <v>-187.94650000000004</v>
      </c>
    </row>
    <row r="271" spans="1:26" ht="11.25" customHeight="1">
      <c r="A271" s="109" t="s">
        <v>468</v>
      </c>
      <c r="B271" s="114">
        <v>41276.003472222219</v>
      </c>
      <c r="C271" s="120"/>
      <c r="D271" s="120" t="s">
        <v>559</v>
      </c>
      <c r="E271" s="120" t="s">
        <v>157</v>
      </c>
      <c r="F271" s="120" t="s">
        <v>560</v>
      </c>
      <c r="G271" s="120"/>
      <c r="H271" s="110">
        <v>1.48</v>
      </c>
      <c r="I271" s="114">
        <v>41275.942361111112</v>
      </c>
      <c r="J271" s="109" t="s">
        <v>9</v>
      </c>
      <c r="K271" s="6">
        <v>5</v>
      </c>
      <c r="L271" s="10" t="s">
        <v>7</v>
      </c>
      <c r="M271" s="6">
        <f t="shared" si="77"/>
        <v>7.4</v>
      </c>
      <c r="N271" s="6">
        <f t="shared" si="78"/>
        <v>1</v>
      </c>
      <c r="O271" s="6">
        <f t="shared" si="79"/>
        <v>0</v>
      </c>
      <c r="P271" s="6">
        <f t="shared" si="80"/>
        <v>0</v>
      </c>
      <c r="Q271" s="6">
        <f t="shared" si="81"/>
        <v>2.4000000000000004</v>
      </c>
      <c r="R271" s="30">
        <f t="shared" si="82"/>
        <v>2.4000000000000004</v>
      </c>
      <c r="S271" s="16">
        <f t="shared" si="73"/>
        <v>159.46349999999998</v>
      </c>
      <c r="T271" s="14">
        <f t="shared" si="70"/>
        <v>-64.596500000000006</v>
      </c>
      <c r="U271" s="14">
        <f t="shared" si="72"/>
        <v>-59.85</v>
      </c>
      <c r="V271" s="14">
        <f t="shared" si="51"/>
        <v>7.8500000000000014</v>
      </c>
      <c r="W271" s="14">
        <f t="shared" si="55"/>
        <v>-52.199999999999989</v>
      </c>
      <c r="X271" s="13">
        <f t="shared" si="63"/>
        <v>-2</v>
      </c>
      <c r="Y271" s="13">
        <f t="shared" si="64"/>
        <v>-14.749999999999998</v>
      </c>
      <c r="Z271" s="13">
        <f t="shared" si="71"/>
        <v>-185.54650000000004</v>
      </c>
    </row>
    <row r="272" spans="1:26" ht="11.25" customHeight="1">
      <c r="A272" s="109" t="s">
        <v>468</v>
      </c>
      <c r="B272" s="117">
        <v>41277.208333333336</v>
      </c>
      <c r="C272" s="120"/>
      <c r="D272" s="120" t="s">
        <v>580</v>
      </c>
      <c r="E272" s="120" t="s">
        <v>545</v>
      </c>
      <c r="F272" s="120" t="s">
        <v>581</v>
      </c>
      <c r="G272" s="120"/>
      <c r="H272" s="110" t="s">
        <v>415</v>
      </c>
      <c r="I272" s="117">
        <v>41276.976388888892</v>
      </c>
      <c r="J272" s="109" t="s">
        <v>531</v>
      </c>
      <c r="K272" s="6" t="s">
        <v>467</v>
      </c>
      <c r="L272" s="10" t="s">
        <v>5</v>
      </c>
      <c r="M272" s="6">
        <f t="shared" si="77"/>
        <v>0</v>
      </c>
      <c r="N272" s="6">
        <f t="shared" si="78"/>
        <v>0</v>
      </c>
      <c r="O272" s="6">
        <f t="shared" si="79"/>
        <v>1</v>
      </c>
      <c r="P272" s="6">
        <f t="shared" si="80"/>
        <v>0</v>
      </c>
      <c r="Q272" s="6">
        <f t="shared" si="81"/>
        <v>-5</v>
      </c>
      <c r="R272" s="30">
        <f t="shared" si="82"/>
        <v>-5</v>
      </c>
      <c r="S272" s="16">
        <f t="shared" si="73"/>
        <v>154.46349999999998</v>
      </c>
      <c r="T272" s="14">
        <f t="shared" si="70"/>
        <v>-64.596500000000006</v>
      </c>
      <c r="U272" s="14">
        <f t="shared" si="72"/>
        <v>-59.85</v>
      </c>
      <c r="V272" s="14">
        <f t="shared" si="51"/>
        <v>7.8500000000000014</v>
      </c>
      <c r="W272" s="14">
        <f t="shared" si="55"/>
        <v>-52.199999999999989</v>
      </c>
      <c r="X272" s="13">
        <f t="shared" si="63"/>
        <v>-2</v>
      </c>
      <c r="Y272" s="13">
        <f t="shared" si="64"/>
        <v>-19.75</v>
      </c>
      <c r="Z272" s="13">
        <f t="shared" si="71"/>
        <v>-190.54650000000004</v>
      </c>
    </row>
    <row r="273" spans="1:26" ht="11.25" customHeight="1">
      <c r="A273" s="108" t="s">
        <v>58</v>
      </c>
      <c r="B273" s="117">
        <v>41280.604166666664</v>
      </c>
      <c r="C273" s="120"/>
      <c r="D273" s="120" t="s">
        <v>570</v>
      </c>
      <c r="E273" s="120" t="s">
        <v>31</v>
      </c>
      <c r="F273" s="120" t="s">
        <v>171</v>
      </c>
      <c r="G273" s="120"/>
      <c r="H273" s="110">
        <v>2</v>
      </c>
      <c r="I273" s="118">
        <v>41277.044444444444</v>
      </c>
      <c r="J273" s="109" t="s">
        <v>3</v>
      </c>
      <c r="K273" s="6">
        <v>5</v>
      </c>
      <c r="L273" s="10" t="s">
        <v>5</v>
      </c>
      <c r="M273" s="6">
        <f t="shared" si="77"/>
        <v>0</v>
      </c>
      <c r="N273" s="6">
        <f t="shared" si="78"/>
        <v>0</v>
      </c>
      <c r="O273" s="6">
        <f t="shared" si="79"/>
        <v>1</v>
      </c>
      <c r="P273" s="6">
        <f t="shared" si="80"/>
        <v>0</v>
      </c>
      <c r="Q273" s="6">
        <f t="shared" si="81"/>
        <v>-5</v>
      </c>
      <c r="R273" s="30">
        <f t="shared" si="82"/>
        <v>-5</v>
      </c>
      <c r="S273" s="16">
        <f t="shared" si="73"/>
        <v>149.46349999999998</v>
      </c>
      <c r="T273" s="14">
        <f t="shared" si="70"/>
        <v>-64.596500000000006</v>
      </c>
      <c r="U273" s="14">
        <f t="shared" si="72"/>
        <v>-59.85</v>
      </c>
      <c r="V273" s="14">
        <f t="shared" si="51"/>
        <v>2.8500000000000014</v>
      </c>
      <c r="W273" s="14">
        <f t="shared" si="55"/>
        <v>-52.199999999999989</v>
      </c>
      <c r="X273" s="13">
        <f t="shared" si="63"/>
        <v>-2</v>
      </c>
      <c r="Y273" s="13">
        <f t="shared" si="64"/>
        <v>-19.75</v>
      </c>
      <c r="Z273" s="13">
        <f t="shared" si="71"/>
        <v>-195.54650000000004</v>
      </c>
    </row>
    <row r="274" spans="1:26" ht="11.25" customHeight="1">
      <c r="A274" s="108" t="s">
        <v>58</v>
      </c>
      <c r="B274" s="117">
        <v>41280.625</v>
      </c>
      <c r="C274" s="120"/>
      <c r="D274" s="120" t="s">
        <v>568</v>
      </c>
      <c r="E274" s="120" t="s">
        <v>150</v>
      </c>
      <c r="F274" s="120" t="s">
        <v>569</v>
      </c>
      <c r="G274" s="120"/>
      <c r="H274" s="110">
        <v>1.72</v>
      </c>
      <c r="I274" s="118">
        <v>41277.047222222223</v>
      </c>
      <c r="J274" s="109" t="s">
        <v>3</v>
      </c>
      <c r="K274" s="6">
        <v>5</v>
      </c>
      <c r="L274" s="10" t="s">
        <v>5</v>
      </c>
      <c r="M274" s="6">
        <f t="shared" si="77"/>
        <v>0</v>
      </c>
      <c r="N274" s="6">
        <f t="shared" si="78"/>
        <v>0</v>
      </c>
      <c r="O274" s="6">
        <f t="shared" si="79"/>
        <v>1</v>
      </c>
      <c r="P274" s="6">
        <f t="shared" si="80"/>
        <v>0</v>
      </c>
      <c r="Q274" s="6">
        <f t="shared" si="81"/>
        <v>-5</v>
      </c>
      <c r="R274" s="30">
        <f t="shared" si="82"/>
        <v>-5</v>
      </c>
      <c r="S274" s="16">
        <f t="shared" si="73"/>
        <v>144.46349999999998</v>
      </c>
      <c r="T274" s="14">
        <f t="shared" si="70"/>
        <v>-64.596500000000006</v>
      </c>
      <c r="U274" s="14">
        <f t="shared" si="72"/>
        <v>-59.85</v>
      </c>
      <c r="V274" s="14">
        <f t="shared" si="51"/>
        <v>-2.1499999999999986</v>
      </c>
      <c r="W274" s="14">
        <f t="shared" si="55"/>
        <v>-52.199999999999989</v>
      </c>
      <c r="X274" s="13">
        <f t="shared" si="63"/>
        <v>-2</v>
      </c>
      <c r="Y274" s="13">
        <f t="shared" si="64"/>
        <v>-19.75</v>
      </c>
      <c r="Z274" s="13">
        <f t="shared" si="71"/>
        <v>-200.54650000000004</v>
      </c>
    </row>
    <row r="275" spans="1:26" ht="10.5" customHeight="1">
      <c r="A275" s="108" t="s">
        <v>58</v>
      </c>
      <c r="B275" s="117">
        <v>41293.645833333336</v>
      </c>
      <c r="C275" s="120"/>
      <c r="D275" s="120" t="s">
        <v>567</v>
      </c>
      <c r="E275" s="120" t="s">
        <v>150</v>
      </c>
      <c r="F275" s="120" t="s">
        <v>208</v>
      </c>
      <c r="G275" s="120"/>
      <c r="H275" s="110">
        <v>1.3</v>
      </c>
      <c r="I275" s="118">
        <v>41277.050000000003</v>
      </c>
      <c r="J275" s="109" t="s">
        <v>3</v>
      </c>
      <c r="K275" s="6">
        <v>5</v>
      </c>
      <c r="M275" s="6">
        <f t="shared" si="77"/>
        <v>6.5</v>
      </c>
      <c r="N275" s="6">
        <f t="shared" si="78"/>
        <v>0</v>
      </c>
      <c r="O275" s="6">
        <f t="shared" si="79"/>
        <v>0</v>
      </c>
      <c r="P275" s="6">
        <f t="shared" si="80"/>
        <v>1</v>
      </c>
      <c r="Q275" s="6">
        <f t="shared" si="81"/>
        <v>0</v>
      </c>
      <c r="R275" s="30">
        <f t="shared" si="82"/>
        <v>-5</v>
      </c>
      <c r="S275" s="16">
        <f t="shared" si="73"/>
        <v>139.46349999999998</v>
      </c>
      <c r="T275" s="14">
        <f t="shared" si="70"/>
        <v>-64.596500000000006</v>
      </c>
      <c r="U275" s="14">
        <f t="shared" si="72"/>
        <v>-59.85</v>
      </c>
      <c r="V275" s="14">
        <f t="shared" si="51"/>
        <v>-7.1499999999999986</v>
      </c>
      <c r="W275" s="14">
        <f t="shared" si="55"/>
        <v>-52.199999999999989</v>
      </c>
      <c r="X275" s="13">
        <f t="shared" si="63"/>
        <v>-2</v>
      </c>
      <c r="Y275" s="13">
        <f t="shared" si="64"/>
        <v>-19.75</v>
      </c>
      <c r="Z275" s="13">
        <f t="shared" si="71"/>
        <v>-205.54650000000004</v>
      </c>
    </row>
    <row r="276" spans="1:26" ht="11.25" customHeight="1">
      <c r="A276" s="108" t="s">
        <v>58</v>
      </c>
      <c r="B276" s="117">
        <v>41280.520833333336</v>
      </c>
      <c r="C276" s="120"/>
      <c r="D276" s="120" t="s">
        <v>566</v>
      </c>
      <c r="E276" s="120" t="s">
        <v>178</v>
      </c>
      <c r="F276" s="120" t="s">
        <v>77</v>
      </c>
      <c r="G276" s="120"/>
      <c r="H276" s="110">
        <v>2.1</v>
      </c>
      <c r="I276" s="117">
        <v>41277.054861111108</v>
      </c>
      <c r="J276" s="109" t="s">
        <v>3</v>
      </c>
      <c r="K276" s="6">
        <v>5</v>
      </c>
      <c r="L276" s="10" t="s">
        <v>7</v>
      </c>
      <c r="M276" s="6">
        <f t="shared" si="77"/>
        <v>10.5</v>
      </c>
      <c r="N276" s="6">
        <f t="shared" si="78"/>
        <v>1</v>
      </c>
      <c r="O276" s="6">
        <f t="shared" si="79"/>
        <v>0</v>
      </c>
      <c r="P276" s="6">
        <f t="shared" si="80"/>
        <v>0</v>
      </c>
      <c r="Q276" s="6">
        <f t="shared" si="81"/>
        <v>5.5</v>
      </c>
      <c r="R276" s="30">
        <f t="shared" si="82"/>
        <v>5.5</v>
      </c>
      <c r="S276" s="16">
        <f t="shared" si="73"/>
        <v>144.96349999999998</v>
      </c>
      <c r="T276" s="14">
        <f t="shared" si="70"/>
        <v>-64.596500000000006</v>
      </c>
      <c r="U276" s="14">
        <f t="shared" si="72"/>
        <v>-59.85</v>
      </c>
      <c r="V276" s="14">
        <f t="shared" si="51"/>
        <v>-1.6499999999999986</v>
      </c>
      <c r="W276" s="14">
        <f t="shared" si="55"/>
        <v>-52.199999999999989</v>
      </c>
      <c r="X276" s="13">
        <f t="shared" si="63"/>
        <v>-2</v>
      </c>
      <c r="Y276" s="13">
        <f t="shared" si="64"/>
        <v>-19.75</v>
      </c>
      <c r="Z276" s="13">
        <f t="shared" si="71"/>
        <v>-200.04650000000004</v>
      </c>
    </row>
    <row r="277" spans="1:26" ht="11.25" customHeight="1">
      <c r="A277" s="109" t="s">
        <v>8</v>
      </c>
      <c r="B277" s="117">
        <v>41277.479166666664</v>
      </c>
      <c r="C277" s="120"/>
      <c r="D277" s="120" t="s">
        <v>571</v>
      </c>
      <c r="E277" s="120" t="s">
        <v>550</v>
      </c>
      <c r="F277" s="120" t="s">
        <v>572</v>
      </c>
      <c r="G277" s="120"/>
      <c r="H277" s="110" t="s">
        <v>486</v>
      </c>
      <c r="I277" s="117">
        <v>41277.460416666669</v>
      </c>
      <c r="J277" s="109" t="s">
        <v>531</v>
      </c>
      <c r="K277" s="6" t="s">
        <v>467</v>
      </c>
      <c r="L277" s="10" t="s">
        <v>5</v>
      </c>
      <c r="M277" s="6">
        <f t="shared" si="77"/>
        <v>0</v>
      </c>
      <c r="N277" s="6">
        <f t="shared" si="78"/>
        <v>0</v>
      </c>
      <c r="O277" s="6">
        <f t="shared" si="79"/>
        <v>1</v>
      </c>
      <c r="P277" s="6">
        <f t="shared" si="80"/>
        <v>0</v>
      </c>
      <c r="Q277" s="6">
        <f t="shared" si="81"/>
        <v>-5</v>
      </c>
      <c r="R277" s="30">
        <f t="shared" si="82"/>
        <v>-5</v>
      </c>
      <c r="S277" s="16">
        <f t="shared" si="73"/>
        <v>139.96349999999998</v>
      </c>
      <c r="T277" s="14">
        <f t="shared" si="70"/>
        <v>-69.596500000000006</v>
      </c>
      <c r="U277" s="14">
        <f t="shared" si="72"/>
        <v>-59.85</v>
      </c>
      <c r="V277" s="14">
        <f t="shared" ref="V277:V340" si="83">IF(A277="PHANE",V276+R277,V276)</f>
        <v>-1.6499999999999986</v>
      </c>
      <c r="W277" s="14">
        <f t="shared" si="55"/>
        <v>-52.199999999999989</v>
      </c>
      <c r="X277" s="13">
        <f t="shared" si="63"/>
        <v>-2</v>
      </c>
      <c r="Y277" s="13">
        <f t="shared" si="64"/>
        <v>-19.75</v>
      </c>
      <c r="Z277" s="13">
        <f t="shared" si="71"/>
        <v>-205.04650000000004</v>
      </c>
    </row>
    <row r="278" spans="1:26" ht="11.25" customHeight="1">
      <c r="A278" s="109" t="s">
        <v>8</v>
      </c>
      <c r="B278" s="117">
        <v>41278.104166666664</v>
      </c>
      <c r="C278" s="120"/>
      <c r="D278" s="120" t="s">
        <v>573</v>
      </c>
      <c r="E278" s="120" t="s">
        <v>564</v>
      </c>
      <c r="F278" s="127" t="s">
        <v>577</v>
      </c>
      <c r="G278" s="120"/>
      <c r="H278" s="110" t="s">
        <v>574</v>
      </c>
      <c r="I278" s="117">
        <v>41277.515277777777</v>
      </c>
      <c r="J278" s="109" t="s">
        <v>531</v>
      </c>
      <c r="K278" s="6" t="s">
        <v>467</v>
      </c>
      <c r="L278" s="10" t="s">
        <v>5</v>
      </c>
      <c r="M278" s="6">
        <f t="shared" si="77"/>
        <v>0</v>
      </c>
      <c r="N278" s="6">
        <f t="shared" si="78"/>
        <v>0</v>
      </c>
      <c r="O278" s="6">
        <f t="shared" si="79"/>
        <v>1</v>
      </c>
      <c r="P278" s="6">
        <f t="shared" si="80"/>
        <v>0</v>
      </c>
      <c r="Q278" s="6">
        <f t="shared" si="81"/>
        <v>-5</v>
      </c>
      <c r="R278" s="30">
        <f t="shared" si="82"/>
        <v>-5</v>
      </c>
      <c r="S278" s="16">
        <f t="shared" si="73"/>
        <v>134.96349999999998</v>
      </c>
      <c r="T278" s="14">
        <f t="shared" si="70"/>
        <v>-74.596500000000006</v>
      </c>
      <c r="U278" s="14">
        <f t="shared" si="72"/>
        <v>-59.85</v>
      </c>
      <c r="V278" s="14">
        <f t="shared" si="83"/>
        <v>-1.6499999999999986</v>
      </c>
      <c r="W278" s="14">
        <f t="shared" si="55"/>
        <v>-52.199999999999989</v>
      </c>
      <c r="X278" s="13">
        <f t="shared" si="63"/>
        <v>-2</v>
      </c>
      <c r="Y278" s="13">
        <f t="shared" si="64"/>
        <v>-19.75</v>
      </c>
      <c r="Z278" s="13">
        <f t="shared" si="71"/>
        <v>-210.04650000000004</v>
      </c>
    </row>
    <row r="279" spans="1:26" ht="11.25" customHeight="1">
      <c r="A279" s="109" t="s">
        <v>8</v>
      </c>
      <c r="B279" s="117">
        <v>41277.708333333336</v>
      </c>
      <c r="C279" s="120"/>
      <c r="D279" s="120" t="s">
        <v>575</v>
      </c>
      <c r="E279" s="120" t="s">
        <v>154</v>
      </c>
      <c r="F279" s="120" t="s">
        <v>576</v>
      </c>
      <c r="G279" s="120"/>
      <c r="H279" s="110" t="s">
        <v>485</v>
      </c>
      <c r="I279" s="117">
        <v>41277.533333333333</v>
      </c>
      <c r="J279" s="109" t="s">
        <v>531</v>
      </c>
      <c r="K279" s="6" t="s">
        <v>467</v>
      </c>
      <c r="L279" s="10" t="s">
        <v>7</v>
      </c>
      <c r="M279" s="6">
        <f t="shared" si="77"/>
        <v>11</v>
      </c>
      <c r="N279" s="6">
        <f t="shared" si="78"/>
        <v>1</v>
      </c>
      <c r="O279" s="6">
        <f t="shared" si="79"/>
        <v>0</v>
      </c>
      <c r="P279" s="6">
        <f t="shared" si="80"/>
        <v>0</v>
      </c>
      <c r="Q279" s="6">
        <f t="shared" si="81"/>
        <v>6</v>
      </c>
      <c r="R279" s="30">
        <f t="shared" si="82"/>
        <v>6</v>
      </c>
      <c r="S279" s="16">
        <f t="shared" si="73"/>
        <v>140.96349999999998</v>
      </c>
      <c r="T279" s="14">
        <f t="shared" si="70"/>
        <v>-68.596500000000006</v>
      </c>
      <c r="U279" s="14">
        <f t="shared" si="72"/>
        <v>-59.85</v>
      </c>
      <c r="V279" s="14">
        <f t="shared" si="83"/>
        <v>-1.6499999999999986</v>
      </c>
      <c r="W279" s="14">
        <f t="shared" si="55"/>
        <v>-52.199999999999989</v>
      </c>
      <c r="X279" s="13">
        <f t="shared" si="63"/>
        <v>-2</v>
      </c>
      <c r="Y279" s="13">
        <f t="shared" si="64"/>
        <v>-19.75</v>
      </c>
      <c r="Z279" s="13">
        <f t="shared" si="71"/>
        <v>-204.04650000000004</v>
      </c>
    </row>
    <row r="280" spans="1:26" ht="11.25" customHeight="1">
      <c r="A280" s="109" t="s">
        <v>468</v>
      </c>
      <c r="B280" s="117">
        <v>41277.864583333336</v>
      </c>
      <c r="C280" s="120"/>
      <c r="D280" s="120" t="s">
        <v>578</v>
      </c>
      <c r="E280" s="120" t="s">
        <v>31</v>
      </c>
      <c r="F280" s="120" t="s">
        <v>579</v>
      </c>
      <c r="G280" s="120"/>
      <c r="H280" s="110" t="s">
        <v>418</v>
      </c>
      <c r="I280" s="117">
        <v>41277.702777777777</v>
      </c>
      <c r="J280" s="109" t="s">
        <v>3</v>
      </c>
      <c r="K280" s="6" t="s">
        <v>467</v>
      </c>
      <c r="L280" s="10" t="s">
        <v>5</v>
      </c>
      <c r="M280" s="6">
        <f t="shared" si="77"/>
        <v>0</v>
      </c>
      <c r="N280" s="6">
        <f t="shared" si="78"/>
        <v>0</v>
      </c>
      <c r="O280" s="6">
        <f t="shared" si="79"/>
        <v>1</v>
      </c>
      <c r="P280" s="6">
        <f t="shared" si="80"/>
        <v>0</v>
      </c>
      <c r="Q280" s="6">
        <f t="shared" si="81"/>
        <v>-5</v>
      </c>
      <c r="R280" s="30">
        <f t="shared" si="82"/>
        <v>-5</v>
      </c>
      <c r="S280" s="16">
        <f t="shared" si="73"/>
        <v>135.96349999999998</v>
      </c>
      <c r="T280" s="14">
        <f t="shared" si="70"/>
        <v>-68.596500000000006</v>
      </c>
      <c r="U280" s="14">
        <f t="shared" si="72"/>
        <v>-59.85</v>
      </c>
      <c r="V280" s="14">
        <f t="shared" si="83"/>
        <v>-1.6499999999999986</v>
      </c>
      <c r="W280" s="14">
        <f t="shared" si="55"/>
        <v>-52.199999999999989</v>
      </c>
      <c r="X280" s="13">
        <f t="shared" si="63"/>
        <v>-2</v>
      </c>
      <c r="Y280" s="13">
        <f t="shared" si="64"/>
        <v>-24.75</v>
      </c>
      <c r="Z280" s="13">
        <f t="shared" si="71"/>
        <v>-209.04650000000004</v>
      </c>
    </row>
    <row r="281" spans="1:26" ht="11.25" customHeight="1">
      <c r="A281" s="108" t="s">
        <v>8</v>
      </c>
      <c r="B281" s="117">
        <v>41277.864583333336</v>
      </c>
      <c r="C281" s="120"/>
      <c r="D281" s="120" t="s">
        <v>582</v>
      </c>
      <c r="E281" s="120" t="s">
        <v>583</v>
      </c>
      <c r="F281" s="120" t="s">
        <v>584</v>
      </c>
      <c r="G281" s="120"/>
      <c r="H281" s="110" t="s">
        <v>585</v>
      </c>
      <c r="I281" s="117">
        <v>41277.793055555558</v>
      </c>
      <c r="J281" s="109" t="s">
        <v>9</v>
      </c>
      <c r="K281" s="6" t="s">
        <v>467</v>
      </c>
      <c r="L281" s="10" t="s">
        <v>7</v>
      </c>
      <c r="M281" s="6">
        <f t="shared" si="77"/>
        <v>7</v>
      </c>
      <c r="N281" s="6">
        <f t="shared" si="78"/>
        <v>1</v>
      </c>
      <c r="O281" s="6">
        <f t="shared" si="79"/>
        <v>0</v>
      </c>
      <c r="P281" s="6">
        <f t="shared" si="80"/>
        <v>0</v>
      </c>
      <c r="Q281" s="6">
        <f t="shared" si="81"/>
        <v>2</v>
      </c>
      <c r="R281" s="30">
        <f t="shared" si="82"/>
        <v>2</v>
      </c>
      <c r="S281" s="16">
        <f t="shared" si="73"/>
        <v>137.96349999999998</v>
      </c>
      <c r="T281" s="14">
        <f t="shared" si="70"/>
        <v>-66.596500000000006</v>
      </c>
      <c r="U281" s="14">
        <f t="shared" si="72"/>
        <v>-59.85</v>
      </c>
      <c r="V281" s="14">
        <f t="shared" si="83"/>
        <v>-1.6499999999999986</v>
      </c>
      <c r="W281" s="14">
        <f t="shared" si="55"/>
        <v>-52.199999999999989</v>
      </c>
      <c r="X281" s="13">
        <f t="shared" si="63"/>
        <v>-2</v>
      </c>
      <c r="Y281" s="13">
        <f t="shared" si="64"/>
        <v>-24.75</v>
      </c>
      <c r="Z281" s="13">
        <f t="shared" si="71"/>
        <v>-207.04650000000004</v>
      </c>
    </row>
    <row r="282" spans="1:26" ht="11.25" customHeight="1">
      <c r="A282" s="108" t="s">
        <v>8</v>
      </c>
      <c r="B282" s="117">
        <v>41277.864583333336</v>
      </c>
      <c r="C282" s="120"/>
      <c r="D282" s="120" t="s">
        <v>582</v>
      </c>
      <c r="E282" s="120" t="s">
        <v>29</v>
      </c>
      <c r="F282" s="120" t="s">
        <v>586</v>
      </c>
      <c r="G282" s="120"/>
      <c r="H282" s="110" t="s">
        <v>467</v>
      </c>
      <c r="I282" s="117">
        <v>41277.793749999997</v>
      </c>
      <c r="J282" s="109" t="s">
        <v>9</v>
      </c>
      <c r="K282" s="6" t="s">
        <v>486</v>
      </c>
      <c r="L282" s="10" t="s">
        <v>7</v>
      </c>
      <c r="M282" s="6">
        <f t="shared" si="77"/>
        <v>10</v>
      </c>
      <c r="N282" s="6">
        <f t="shared" si="78"/>
        <v>1</v>
      </c>
      <c r="O282" s="6">
        <f t="shared" si="79"/>
        <v>0</v>
      </c>
      <c r="P282" s="6">
        <f t="shared" si="80"/>
        <v>0</v>
      </c>
      <c r="Q282" s="6">
        <f t="shared" si="81"/>
        <v>8</v>
      </c>
      <c r="R282" s="30">
        <f t="shared" si="82"/>
        <v>8</v>
      </c>
      <c r="S282" s="16">
        <f t="shared" si="73"/>
        <v>145.96349999999998</v>
      </c>
      <c r="T282" s="14">
        <f t="shared" si="70"/>
        <v>-58.596500000000006</v>
      </c>
      <c r="U282" s="14">
        <f t="shared" si="72"/>
        <v>-59.85</v>
      </c>
      <c r="V282" s="14">
        <f t="shared" si="83"/>
        <v>-1.6499999999999986</v>
      </c>
      <c r="W282" s="14">
        <f t="shared" si="55"/>
        <v>-52.199999999999989</v>
      </c>
      <c r="X282" s="13">
        <f t="shared" si="63"/>
        <v>-2</v>
      </c>
      <c r="Y282" s="13">
        <f t="shared" si="64"/>
        <v>-24.75</v>
      </c>
      <c r="Z282" s="13">
        <f t="shared" si="71"/>
        <v>-199.04650000000004</v>
      </c>
    </row>
    <row r="283" spans="1:26" ht="11.25" customHeight="1">
      <c r="A283" s="108" t="s">
        <v>8</v>
      </c>
      <c r="B283" s="117">
        <v>41277.885416666664</v>
      </c>
      <c r="C283" s="120"/>
      <c r="D283" s="120" t="s">
        <v>587</v>
      </c>
      <c r="E283" s="120" t="s">
        <v>178</v>
      </c>
      <c r="F283" s="120" t="s">
        <v>588</v>
      </c>
      <c r="G283" s="120"/>
      <c r="H283" s="110" t="s">
        <v>486</v>
      </c>
      <c r="I283" s="117">
        <v>41277.818749999999</v>
      </c>
      <c r="J283" s="109" t="s">
        <v>3</v>
      </c>
      <c r="K283" s="6" t="s">
        <v>479</v>
      </c>
      <c r="L283" s="10" t="s">
        <v>5</v>
      </c>
      <c r="M283" s="6">
        <f t="shared" si="77"/>
        <v>0</v>
      </c>
      <c r="N283" s="6">
        <f t="shared" si="78"/>
        <v>0</v>
      </c>
      <c r="O283" s="6">
        <f t="shared" si="79"/>
        <v>1</v>
      </c>
      <c r="P283" s="6">
        <f t="shared" si="80"/>
        <v>0</v>
      </c>
      <c r="Q283" s="6">
        <f t="shared" si="81"/>
        <v>-2.5</v>
      </c>
      <c r="R283" s="30">
        <f t="shared" si="82"/>
        <v>-2.5</v>
      </c>
      <c r="S283" s="16">
        <f t="shared" si="73"/>
        <v>143.46349999999998</v>
      </c>
      <c r="T283" s="14">
        <f t="shared" si="70"/>
        <v>-61.096500000000006</v>
      </c>
      <c r="U283" s="14">
        <f t="shared" si="72"/>
        <v>-59.85</v>
      </c>
      <c r="V283" s="14">
        <f t="shared" si="83"/>
        <v>-1.6499999999999986</v>
      </c>
      <c r="W283" s="14">
        <f t="shared" ref="W283:W346" si="84">IF(A283="TOF",W282+R283,W282)</f>
        <v>-52.199999999999989</v>
      </c>
      <c r="X283" s="13">
        <f t="shared" si="63"/>
        <v>-2</v>
      </c>
      <c r="Y283" s="13">
        <f t="shared" si="64"/>
        <v>-24.75</v>
      </c>
      <c r="Z283" s="13">
        <f t="shared" si="71"/>
        <v>-201.54650000000004</v>
      </c>
    </row>
    <row r="284" spans="1:26" ht="11.25" customHeight="1">
      <c r="A284" s="108" t="s">
        <v>468</v>
      </c>
      <c r="B284" s="117">
        <v>41277.996527777781</v>
      </c>
      <c r="C284" s="120"/>
      <c r="D284" s="120" t="s">
        <v>589</v>
      </c>
      <c r="E284" s="120" t="s">
        <v>545</v>
      </c>
      <c r="F284" s="120" t="s">
        <v>602</v>
      </c>
      <c r="G284" s="120"/>
      <c r="H284" s="110" t="s">
        <v>429</v>
      </c>
      <c r="I284" s="118">
        <v>41277.939583333333</v>
      </c>
      <c r="J284" s="109" t="s">
        <v>531</v>
      </c>
      <c r="K284" s="6" t="s">
        <v>467</v>
      </c>
      <c r="L284" s="10" t="s">
        <v>7</v>
      </c>
      <c r="M284" s="6">
        <f t="shared" si="77"/>
        <v>9.5499999999999989</v>
      </c>
      <c r="N284" s="6">
        <f t="shared" si="78"/>
        <v>1</v>
      </c>
      <c r="O284" s="6">
        <f t="shared" si="79"/>
        <v>0</v>
      </c>
      <c r="P284" s="6">
        <f t="shared" si="80"/>
        <v>0</v>
      </c>
      <c r="Q284" s="6">
        <f t="shared" si="81"/>
        <v>4.5499999999999989</v>
      </c>
      <c r="R284" s="30">
        <f t="shared" si="82"/>
        <v>4.5499999999999989</v>
      </c>
      <c r="S284" s="16">
        <f t="shared" si="73"/>
        <v>148.01349999999999</v>
      </c>
      <c r="T284" s="14">
        <f t="shared" si="70"/>
        <v>-61.096500000000006</v>
      </c>
      <c r="U284" s="14">
        <f t="shared" si="72"/>
        <v>-59.85</v>
      </c>
      <c r="V284" s="14">
        <f t="shared" si="83"/>
        <v>-1.6499999999999986</v>
      </c>
      <c r="W284" s="14">
        <f t="shared" si="84"/>
        <v>-52.199999999999989</v>
      </c>
      <c r="X284" s="13">
        <f t="shared" si="63"/>
        <v>-2</v>
      </c>
      <c r="Y284" s="13">
        <f t="shared" si="64"/>
        <v>-20.200000000000003</v>
      </c>
      <c r="Z284" s="13">
        <f t="shared" si="71"/>
        <v>-196.99650000000003</v>
      </c>
    </row>
    <row r="285" spans="1:26" ht="11.25" customHeight="1">
      <c r="A285" s="108" t="s">
        <v>468</v>
      </c>
      <c r="B285" s="117">
        <v>41277.996527777781</v>
      </c>
      <c r="C285" s="120"/>
      <c r="D285" s="120" t="s">
        <v>589</v>
      </c>
      <c r="E285" s="120" t="s">
        <v>545</v>
      </c>
      <c r="F285" s="120" t="s">
        <v>601</v>
      </c>
      <c r="G285" s="120"/>
      <c r="H285" s="110" t="s">
        <v>415</v>
      </c>
      <c r="I285" s="118">
        <v>41277.94027777778</v>
      </c>
      <c r="J285" s="109" t="s">
        <v>531</v>
      </c>
      <c r="K285" s="6" t="s">
        <v>476</v>
      </c>
      <c r="L285" s="10" t="s">
        <v>5</v>
      </c>
      <c r="M285" s="6">
        <f t="shared" si="77"/>
        <v>0</v>
      </c>
      <c r="N285" s="6">
        <f t="shared" si="78"/>
        <v>0</v>
      </c>
      <c r="O285" s="6">
        <f t="shared" si="79"/>
        <v>1</v>
      </c>
      <c r="P285" s="6">
        <f t="shared" si="80"/>
        <v>0</v>
      </c>
      <c r="Q285" s="6">
        <f t="shared" si="81"/>
        <v>-3</v>
      </c>
      <c r="R285" s="30">
        <f t="shared" si="82"/>
        <v>-3</v>
      </c>
      <c r="S285" s="16">
        <f t="shared" si="73"/>
        <v>145.01349999999999</v>
      </c>
      <c r="T285" s="14">
        <f t="shared" si="70"/>
        <v>-61.096500000000006</v>
      </c>
      <c r="U285" s="14">
        <f t="shared" si="72"/>
        <v>-59.85</v>
      </c>
      <c r="V285" s="14">
        <f t="shared" si="83"/>
        <v>-1.6499999999999986</v>
      </c>
      <c r="W285" s="14">
        <f t="shared" si="84"/>
        <v>-52.199999999999989</v>
      </c>
      <c r="X285" s="13">
        <f t="shared" si="63"/>
        <v>-2</v>
      </c>
      <c r="Y285" s="13">
        <f t="shared" si="64"/>
        <v>-23.200000000000003</v>
      </c>
      <c r="Z285" s="13">
        <f t="shared" si="71"/>
        <v>-199.99650000000003</v>
      </c>
    </row>
    <row r="286" spans="1:26" ht="11.25" customHeight="1">
      <c r="A286" s="108" t="s">
        <v>8</v>
      </c>
      <c r="B286" s="117">
        <v>41277.996527777781</v>
      </c>
      <c r="C286" s="120"/>
      <c r="D286" s="120" t="s">
        <v>589</v>
      </c>
      <c r="E286" s="120" t="s">
        <v>528</v>
      </c>
      <c r="F286" s="120" t="s">
        <v>590</v>
      </c>
      <c r="G286" s="120"/>
      <c r="H286" s="110" t="s">
        <v>390</v>
      </c>
      <c r="I286" s="118">
        <v>41277.955555555556</v>
      </c>
      <c r="J286" s="109" t="s">
        <v>531</v>
      </c>
      <c r="K286" s="6" t="s">
        <v>467</v>
      </c>
      <c r="L286" s="10" t="s">
        <v>7</v>
      </c>
      <c r="M286" s="6">
        <f t="shared" si="77"/>
        <v>8.75</v>
      </c>
      <c r="N286" s="6">
        <f t="shared" si="78"/>
        <v>1</v>
      </c>
      <c r="O286" s="6">
        <f t="shared" si="79"/>
        <v>0</v>
      </c>
      <c r="P286" s="6">
        <f t="shared" si="80"/>
        <v>0</v>
      </c>
      <c r="Q286" s="6">
        <f t="shared" si="81"/>
        <v>3.75</v>
      </c>
      <c r="R286" s="30">
        <f t="shared" si="82"/>
        <v>3.75</v>
      </c>
      <c r="S286" s="16">
        <f t="shared" si="73"/>
        <v>148.76349999999999</v>
      </c>
      <c r="T286" s="14">
        <f t="shared" si="70"/>
        <v>-57.346500000000006</v>
      </c>
      <c r="U286" s="14">
        <f t="shared" si="72"/>
        <v>-59.85</v>
      </c>
      <c r="V286" s="14">
        <f t="shared" si="83"/>
        <v>-1.6499999999999986</v>
      </c>
      <c r="W286" s="14">
        <f t="shared" si="84"/>
        <v>-52.199999999999989</v>
      </c>
      <c r="X286" s="13">
        <f t="shared" ref="X286:X317" si="85">IF(A286="YOAN",X285+R286,X285)</f>
        <v>-2</v>
      </c>
      <c r="Y286" s="13">
        <f t="shared" si="64"/>
        <v>-23.200000000000003</v>
      </c>
      <c r="Z286" s="13">
        <f t="shared" si="71"/>
        <v>-196.24650000000003</v>
      </c>
    </row>
    <row r="287" spans="1:26" ht="11.25" customHeight="1">
      <c r="A287" s="108" t="s">
        <v>8</v>
      </c>
      <c r="B287" s="117">
        <v>41278.208333333336</v>
      </c>
      <c r="C287" s="120"/>
      <c r="D287" s="120" t="s">
        <v>591</v>
      </c>
      <c r="E287" s="120" t="s">
        <v>564</v>
      </c>
      <c r="F287" s="120" t="s">
        <v>592</v>
      </c>
      <c r="G287" s="120"/>
      <c r="H287" s="110" t="s">
        <v>486</v>
      </c>
      <c r="I287" s="118">
        <v>41277.961805555555</v>
      </c>
      <c r="J287" s="109" t="s">
        <v>531</v>
      </c>
      <c r="K287" s="6" t="s">
        <v>467</v>
      </c>
      <c r="L287" s="10" t="s">
        <v>7</v>
      </c>
      <c r="M287" s="6">
        <f t="shared" si="77"/>
        <v>10</v>
      </c>
      <c r="N287" s="6">
        <f t="shared" si="78"/>
        <v>1</v>
      </c>
      <c r="O287" s="6">
        <f t="shared" si="79"/>
        <v>0</v>
      </c>
      <c r="P287" s="6">
        <f t="shared" si="80"/>
        <v>0</v>
      </c>
      <c r="Q287" s="6">
        <f t="shared" si="81"/>
        <v>5</v>
      </c>
      <c r="R287" s="30">
        <f t="shared" si="82"/>
        <v>5</v>
      </c>
      <c r="S287" s="16">
        <f t="shared" si="73"/>
        <v>153.76349999999999</v>
      </c>
      <c r="T287" s="14">
        <f t="shared" si="70"/>
        <v>-52.346500000000006</v>
      </c>
      <c r="U287" s="14">
        <f t="shared" si="72"/>
        <v>-59.85</v>
      </c>
      <c r="V287" s="14">
        <f t="shared" si="83"/>
        <v>-1.6499999999999986</v>
      </c>
      <c r="W287" s="14">
        <f t="shared" si="84"/>
        <v>-52.199999999999989</v>
      </c>
      <c r="X287" s="13">
        <f t="shared" si="85"/>
        <v>-2</v>
      </c>
      <c r="Y287" s="13">
        <f t="shared" si="64"/>
        <v>-23.200000000000003</v>
      </c>
      <c r="Z287" s="13">
        <f t="shared" si="71"/>
        <v>-191.24650000000003</v>
      </c>
    </row>
    <row r="288" spans="1:26" ht="11.25" customHeight="1">
      <c r="A288" s="108" t="s">
        <v>8</v>
      </c>
      <c r="B288" s="117">
        <v>41278.128472222219</v>
      </c>
      <c r="C288" s="120"/>
      <c r="D288" s="120" t="s">
        <v>593</v>
      </c>
      <c r="E288" s="120" t="s">
        <v>150</v>
      </c>
      <c r="F288" s="120" t="s">
        <v>594</v>
      </c>
      <c r="G288" s="120"/>
      <c r="H288" s="110" t="s">
        <v>508</v>
      </c>
      <c r="I288" s="118">
        <v>41277.963888888888</v>
      </c>
      <c r="J288" s="109" t="s">
        <v>9</v>
      </c>
      <c r="K288" s="6" t="s">
        <v>467</v>
      </c>
      <c r="L288" s="10" t="s">
        <v>5</v>
      </c>
      <c r="M288" s="6">
        <f t="shared" si="77"/>
        <v>0</v>
      </c>
      <c r="N288" s="6">
        <f t="shared" si="78"/>
        <v>0</v>
      </c>
      <c r="O288" s="6">
        <f t="shared" si="79"/>
        <v>1</v>
      </c>
      <c r="P288" s="6">
        <f t="shared" si="80"/>
        <v>0</v>
      </c>
      <c r="Q288" s="6">
        <f t="shared" si="81"/>
        <v>-5</v>
      </c>
      <c r="R288" s="30">
        <f t="shared" si="82"/>
        <v>-5</v>
      </c>
      <c r="S288" s="16">
        <f t="shared" si="73"/>
        <v>148.76349999999999</v>
      </c>
      <c r="T288" s="14">
        <f t="shared" si="70"/>
        <v>-57.346500000000006</v>
      </c>
      <c r="U288" s="14">
        <f t="shared" si="72"/>
        <v>-59.85</v>
      </c>
      <c r="V288" s="14">
        <f t="shared" si="83"/>
        <v>-1.6499999999999986</v>
      </c>
      <c r="W288" s="14">
        <f t="shared" si="84"/>
        <v>-52.199999999999989</v>
      </c>
      <c r="X288" s="13">
        <f t="shared" si="85"/>
        <v>-2</v>
      </c>
      <c r="Y288" s="13">
        <f t="shared" si="64"/>
        <v>-23.200000000000003</v>
      </c>
      <c r="Z288" s="13">
        <f t="shared" si="71"/>
        <v>-196.24650000000003</v>
      </c>
    </row>
    <row r="289" spans="1:26" ht="11.25" customHeight="1">
      <c r="A289" s="108" t="s">
        <v>468</v>
      </c>
      <c r="B289" s="117">
        <v>41278.128472222219</v>
      </c>
      <c r="C289" s="120"/>
      <c r="D289" s="120" t="s">
        <v>593</v>
      </c>
      <c r="E289" s="120" t="s">
        <v>157</v>
      </c>
      <c r="F289" s="120" t="s">
        <v>526</v>
      </c>
      <c r="G289" s="120"/>
      <c r="H289" s="110" t="s">
        <v>426</v>
      </c>
      <c r="I289" s="118">
        <v>41277.972222222219</v>
      </c>
      <c r="J289" s="109" t="s">
        <v>9</v>
      </c>
      <c r="K289" s="6" t="s">
        <v>467</v>
      </c>
      <c r="L289" s="10" t="s">
        <v>5</v>
      </c>
      <c r="M289" s="6">
        <f t="shared" si="77"/>
        <v>0</v>
      </c>
      <c r="N289" s="6">
        <f t="shared" si="78"/>
        <v>0</v>
      </c>
      <c r="O289" s="6">
        <f t="shared" si="79"/>
        <v>1</v>
      </c>
      <c r="P289" s="6">
        <f t="shared" si="80"/>
        <v>0</v>
      </c>
      <c r="Q289" s="6">
        <f t="shared" si="81"/>
        <v>-5</v>
      </c>
      <c r="R289" s="30">
        <f t="shared" si="82"/>
        <v>-5</v>
      </c>
      <c r="S289" s="16">
        <f t="shared" si="73"/>
        <v>143.76349999999999</v>
      </c>
      <c r="T289" s="14">
        <f t="shared" si="70"/>
        <v>-57.346500000000006</v>
      </c>
      <c r="U289" s="14">
        <f t="shared" si="72"/>
        <v>-59.85</v>
      </c>
      <c r="V289" s="14">
        <f t="shared" si="83"/>
        <v>-1.6499999999999986</v>
      </c>
      <c r="W289" s="14">
        <f t="shared" si="84"/>
        <v>-52.199999999999989</v>
      </c>
      <c r="X289" s="13">
        <f t="shared" si="85"/>
        <v>-2</v>
      </c>
      <c r="Y289" s="13">
        <f t="shared" ref="Y289:Y320" si="86">IF(A289="JEAN",Y288+R289,Y288)</f>
        <v>-28.200000000000003</v>
      </c>
      <c r="Z289" s="13">
        <f t="shared" si="71"/>
        <v>-201.24650000000003</v>
      </c>
    </row>
    <row r="290" spans="1:26" ht="11.25" customHeight="1">
      <c r="A290" s="108" t="s">
        <v>468</v>
      </c>
      <c r="B290" s="117">
        <v>41278.208333333336</v>
      </c>
      <c r="C290" s="120"/>
      <c r="D290" s="120" t="s">
        <v>591</v>
      </c>
      <c r="E290" s="120" t="s">
        <v>599</v>
      </c>
      <c r="F290" s="120" t="s">
        <v>600</v>
      </c>
      <c r="G290" s="120"/>
      <c r="H290" s="110" t="s">
        <v>414</v>
      </c>
      <c r="I290" s="118">
        <v>41277.979166666664</v>
      </c>
      <c r="J290" s="109" t="s">
        <v>531</v>
      </c>
      <c r="K290" s="6" t="s">
        <v>467</v>
      </c>
      <c r="L290" s="10" t="s">
        <v>7</v>
      </c>
      <c r="M290" s="6">
        <f t="shared" si="77"/>
        <v>7.65</v>
      </c>
      <c r="N290" s="6">
        <f t="shared" si="78"/>
        <v>1</v>
      </c>
      <c r="O290" s="6">
        <f t="shared" si="79"/>
        <v>0</v>
      </c>
      <c r="P290" s="6">
        <f t="shared" si="80"/>
        <v>0</v>
      </c>
      <c r="Q290" s="6">
        <f t="shared" si="81"/>
        <v>2.6500000000000004</v>
      </c>
      <c r="R290" s="30">
        <f t="shared" si="82"/>
        <v>2.6500000000000004</v>
      </c>
      <c r="S290" s="16">
        <f t="shared" si="73"/>
        <v>146.4135</v>
      </c>
      <c r="T290" s="14">
        <f t="shared" si="70"/>
        <v>-57.346500000000006</v>
      </c>
      <c r="U290" s="14">
        <f t="shared" si="72"/>
        <v>-59.85</v>
      </c>
      <c r="V290" s="14">
        <f t="shared" si="83"/>
        <v>-1.6499999999999986</v>
      </c>
      <c r="W290" s="14">
        <f t="shared" si="84"/>
        <v>-52.199999999999989</v>
      </c>
      <c r="X290" s="13">
        <f t="shared" si="85"/>
        <v>-2</v>
      </c>
      <c r="Y290" s="13">
        <f t="shared" si="86"/>
        <v>-25.550000000000004</v>
      </c>
      <c r="Z290" s="13">
        <f t="shared" si="71"/>
        <v>-198.59650000000002</v>
      </c>
    </row>
    <row r="291" spans="1:26" ht="11.25" customHeight="1">
      <c r="A291" s="108" t="s">
        <v>8</v>
      </c>
      <c r="B291" s="117">
        <v>41278.583333333336</v>
      </c>
      <c r="C291" s="120"/>
      <c r="D291" s="120" t="s">
        <v>595</v>
      </c>
      <c r="E291" s="120" t="s">
        <v>550</v>
      </c>
      <c r="F291" s="120" t="s">
        <v>596</v>
      </c>
      <c r="G291" s="120"/>
      <c r="H291" s="110" t="s">
        <v>597</v>
      </c>
      <c r="I291" s="118">
        <v>41278.442361111112</v>
      </c>
      <c r="J291" s="109" t="s">
        <v>531</v>
      </c>
      <c r="K291" s="6" t="s">
        <v>467</v>
      </c>
      <c r="L291" s="10" t="s">
        <v>7</v>
      </c>
      <c r="M291" s="6">
        <f t="shared" si="77"/>
        <v>14</v>
      </c>
      <c r="N291" s="6">
        <f t="shared" si="78"/>
        <v>1</v>
      </c>
      <c r="O291" s="6">
        <f t="shared" si="79"/>
        <v>0</v>
      </c>
      <c r="P291" s="6">
        <f t="shared" si="80"/>
        <v>0</v>
      </c>
      <c r="Q291" s="6">
        <f t="shared" si="81"/>
        <v>9</v>
      </c>
      <c r="R291" s="30">
        <f t="shared" si="82"/>
        <v>9</v>
      </c>
      <c r="S291" s="16">
        <f t="shared" si="73"/>
        <v>155.4135</v>
      </c>
      <c r="T291" s="14">
        <f t="shared" si="70"/>
        <v>-48.346500000000006</v>
      </c>
      <c r="U291" s="14">
        <f t="shared" si="72"/>
        <v>-59.85</v>
      </c>
      <c r="V291" s="14">
        <f t="shared" si="83"/>
        <v>-1.6499999999999986</v>
      </c>
      <c r="W291" s="14">
        <f t="shared" si="84"/>
        <v>-52.199999999999989</v>
      </c>
      <c r="X291" s="13">
        <f t="shared" si="85"/>
        <v>-2</v>
      </c>
      <c r="Y291" s="13">
        <f t="shared" si="86"/>
        <v>-25.550000000000004</v>
      </c>
      <c r="Z291" s="13">
        <f t="shared" si="71"/>
        <v>-189.59650000000002</v>
      </c>
    </row>
    <row r="292" spans="1:26" ht="11.25" customHeight="1">
      <c r="A292" s="108" t="s">
        <v>8</v>
      </c>
      <c r="B292" s="117">
        <v>41278.65625</v>
      </c>
      <c r="C292" s="120"/>
      <c r="D292" s="120" t="s">
        <v>598</v>
      </c>
      <c r="E292" s="120" t="s">
        <v>528</v>
      </c>
      <c r="F292" s="120" t="s">
        <v>543</v>
      </c>
      <c r="G292" s="120"/>
      <c r="H292" s="110" t="s">
        <v>446</v>
      </c>
      <c r="I292" s="118">
        <v>41278.6</v>
      </c>
      <c r="J292" s="109" t="s">
        <v>531</v>
      </c>
      <c r="K292" s="6" t="s">
        <v>467</v>
      </c>
      <c r="L292" s="10" t="s">
        <v>7</v>
      </c>
      <c r="M292" s="6">
        <f t="shared" si="77"/>
        <v>8.9</v>
      </c>
      <c r="N292" s="6">
        <f t="shared" si="78"/>
        <v>1</v>
      </c>
      <c r="O292" s="6">
        <f t="shared" si="79"/>
        <v>0</v>
      </c>
      <c r="P292" s="6">
        <f t="shared" si="80"/>
        <v>0</v>
      </c>
      <c r="Q292" s="6">
        <f t="shared" si="81"/>
        <v>3.9000000000000004</v>
      </c>
      <c r="R292" s="30">
        <f t="shared" si="82"/>
        <v>3.9000000000000004</v>
      </c>
      <c r="S292" s="16">
        <f t="shared" si="73"/>
        <v>159.3135</v>
      </c>
      <c r="T292" s="14">
        <f t="shared" si="70"/>
        <v>-44.446500000000007</v>
      </c>
      <c r="U292" s="14">
        <f t="shared" si="72"/>
        <v>-59.85</v>
      </c>
      <c r="V292" s="14">
        <f t="shared" si="83"/>
        <v>-1.6499999999999986</v>
      </c>
      <c r="W292" s="14">
        <f t="shared" si="84"/>
        <v>-52.199999999999989</v>
      </c>
      <c r="X292" s="13">
        <f t="shared" si="85"/>
        <v>-2</v>
      </c>
      <c r="Y292" s="13">
        <f t="shared" si="86"/>
        <v>-25.550000000000004</v>
      </c>
      <c r="Z292" s="13">
        <f t="shared" si="71"/>
        <v>-185.69650000000001</v>
      </c>
    </row>
    <row r="293" spans="1:26" ht="11.25" customHeight="1">
      <c r="A293" s="108" t="s">
        <v>8</v>
      </c>
      <c r="B293" s="117">
        <v>41278.65625</v>
      </c>
      <c r="C293" s="120"/>
      <c r="D293" s="120" t="s">
        <v>598</v>
      </c>
      <c r="E293" s="120" t="s">
        <v>564</v>
      </c>
      <c r="F293" s="120" t="s">
        <v>565</v>
      </c>
      <c r="G293" s="120"/>
      <c r="H293" s="110" t="s">
        <v>411</v>
      </c>
      <c r="I293" s="118">
        <v>41278.600694444445</v>
      </c>
      <c r="J293" s="109" t="s">
        <v>531</v>
      </c>
      <c r="K293" s="6" t="s">
        <v>467</v>
      </c>
      <c r="L293" s="10" t="s">
        <v>5</v>
      </c>
      <c r="M293" s="6">
        <f t="shared" si="77"/>
        <v>0</v>
      </c>
      <c r="N293" s="6">
        <f t="shared" si="78"/>
        <v>0</v>
      </c>
      <c r="O293" s="6">
        <f t="shared" si="79"/>
        <v>1</v>
      </c>
      <c r="P293" s="6">
        <f t="shared" si="80"/>
        <v>0</v>
      </c>
      <c r="Q293" s="6">
        <f t="shared" si="81"/>
        <v>-5</v>
      </c>
      <c r="R293" s="30">
        <f t="shared" si="82"/>
        <v>-5</v>
      </c>
      <c r="S293" s="16">
        <f t="shared" si="73"/>
        <v>154.3135</v>
      </c>
      <c r="T293" s="14">
        <f t="shared" si="70"/>
        <v>-49.446500000000007</v>
      </c>
      <c r="U293" s="14">
        <f t="shared" si="72"/>
        <v>-59.85</v>
      </c>
      <c r="V293" s="14">
        <f t="shared" si="83"/>
        <v>-1.6499999999999986</v>
      </c>
      <c r="W293" s="14">
        <f t="shared" si="84"/>
        <v>-52.199999999999989</v>
      </c>
      <c r="X293" s="13">
        <f t="shared" si="85"/>
        <v>-2</v>
      </c>
      <c r="Y293" s="13">
        <f t="shared" si="86"/>
        <v>-25.550000000000004</v>
      </c>
      <c r="Z293" s="13">
        <f t="shared" si="71"/>
        <v>-190.69650000000001</v>
      </c>
    </row>
    <row r="294" spans="1:26" ht="11.25" customHeight="1">
      <c r="A294" s="108" t="s">
        <v>2</v>
      </c>
      <c r="B294" s="117">
        <v>41280.791666666664</v>
      </c>
      <c r="C294" s="120"/>
      <c r="D294" s="120" t="s">
        <v>603</v>
      </c>
      <c r="E294" s="120" t="s">
        <v>604</v>
      </c>
      <c r="F294" s="120" t="s">
        <v>219</v>
      </c>
      <c r="G294" s="120"/>
      <c r="H294" s="110" t="s">
        <v>419</v>
      </c>
      <c r="I294" s="117">
        <v>41278.750694444447</v>
      </c>
      <c r="J294" s="109" t="s">
        <v>3</v>
      </c>
      <c r="K294" s="6" t="s">
        <v>605</v>
      </c>
      <c r="L294" s="10" t="s">
        <v>5</v>
      </c>
      <c r="M294" s="6">
        <f t="shared" si="77"/>
        <v>0</v>
      </c>
      <c r="N294" s="6">
        <f t="shared" si="78"/>
        <v>0</v>
      </c>
      <c r="O294" s="6">
        <f t="shared" si="79"/>
        <v>1</v>
      </c>
      <c r="P294" s="6">
        <f t="shared" si="80"/>
        <v>0</v>
      </c>
      <c r="Q294" s="6">
        <f t="shared" si="81"/>
        <v>-20</v>
      </c>
      <c r="R294" s="30">
        <f t="shared" si="82"/>
        <v>-20</v>
      </c>
      <c r="S294" s="16">
        <f t="shared" si="73"/>
        <v>134.3135</v>
      </c>
      <c r="T294" s="14">
        <f t="shared" si="70"/>
        <v>-49.446500000000007</v>
      </c>
      <c r="U294" s="14">
        <f t="shared" si="72"/>
        <v>-79.849999999999994</v>
      </c>
      <c r="V294" s="14">
        <f t="shared" si="83"/>
        <v>-1.6499999999999986</v>
      </c>
      <c r="W294" s="14">
        <f t="shared" si="84"/>
        <v>-52.199999999999989</v>
      </c>
      <c r="X294" s="13">
        <f t="shared" si="85"/>
        <v>-2</v>
      </c>
      <c r="Y294" s="13">
        <f t="shared" si="86"/>
        <v>-25.550000000000004</v>
      </c>
      <c r="Z294" s="13">
        <f t="shared" si="71"/>
        <v>-210.69650000000001</v>
      </c>
    </row>
    <row r="295" spans="1:26" ht="11.25" customHeight="1">
      <c r="A295" s="108" t="s">
        <v>8</v>
      </c>
      <c r="B295" s="117">
        <v>41278.895833333336</v>
      </c>
      <c r="C295" s="120"/>
      <c r="D295" s="120" t="s">
        <v>606</v>
      </c>
      <c r="E295" s="120" t="s">
        <v>31</v>
      </c>
      <c r="F295" s="120" t="s">
        <v>607</v>
      </c>
      <c r="G295" s="120"/>
      <c r="H295" s="110" t="s">
        <v>485</v>
      </c>
      <c r="I295" s="117">
        <v>41278.754166666666</v>
      </c>
      <c r="J295" s="109" t="s">
        <v>3</v>
      </c>
      <c r="K295" s="6" t="s">
        <v>467</v>
      </c>
      <c r="L295" s="10" t="s">
        <v>5</v>
      </c>
      <c r="M295" s="6">
        <f t="shared" si="77"/>
        <v>0</v>
      </c>
      <c r="N295" s="6">
        <f t="shared" si="78"/>
        <v>0</v>
      </c>
      <c r="O295" s="6">
        <f t="shared" si="79"/>
        <v>1</v>
      </c>
      <c r="P295" s="6">
        <f t="shared" si="80"/>
        <v>0</v>
      </c>
      <c r="Q295" s="6">
        <f t="shared" si="81"/>
        <v>-5</v>
      </c>
      <c r="R295" s="30">
        <f t="shared" si="82"/>
        <v>-5</v>
      </c>
      <c r="S295" s="16">
        <f t="shared" si="73"/>
        <v>129.3135</v>
      </c>
      <c r="T295" s="14">
        <f t="shared" si="70"/>
        <v>-54.446500000000007</v>
      </c>
      <c r="U295" s="14">
        <f t="shared" si="72"/>
        <v>-79.849999999999994</v>
      </c>
      <c r="V295" s="14">
        <f t="shared" si="83"/>
        <v>-1.6499999999999986</v>
      </c>
      <c r="W295" s="14">
        <f t="shared" si="84"/>
        <v>-52.199999999999989</v>
      </c>
      <c r="X295" s="13">
        <f t="shared" si="85"/>
        <v>-2</v>
      </c>
      <c r="Y295" s="13">
        <f t="shared" si="86"/>
        <v>-25.550000000000004</v>
      </c>
      <c r="Z295" s="13">
        <f t="shared" si="71"/>
        <v>-215.69650000000001</v>
      </c>
    </row>
    <row r="296" spans="1:26" ht="11.25" customHeight="1">
      <c r="A296" s="108" t="s">
        <v>8</v>
      </c>
      <c r="B296" s="117">
        <v>41278.895833333336</v>
      </c>
      <c r="C296" s="120"/>
      <c r="D296" s="120" t="s">
        <v>606</v>
      </c>
      <c r="E296" s="120" t="s">
        <v>31</v>
      </c>
      <c r="F296" s="120" t="s">
        <v>143</v>
      </c>
      <c r="G296" s="120"/>
      <c r="H296" s="110" t="s">
        <v>493</v>
      </c>
      <c r="I296" s="117">
        <v>41278.754166666666</v>
      </c>
      <c r="J296" s="109" t="s">
        <v>3</v>
      </c>
      <c r="K296" s="6" t="s">
        <v>467</v>
      </c>
      <c r="L296" s="10" t="s">
        <v>7</v>
      </c>
      <c r="M296" s="6">
        <f t="shared" si="77"/>
        <v>14.5</v>
      </c>
      <c r="N296" s="6">
        <f t="shared" si="78"/>
        <v>1</v>
      </c>
      <c r="O296" s="6">
        <f t="shared" si="79"/>
        <v>0</v>
      </c>
      <c r="P296" s="6">
        <f t="shared" si="80"/>
        <v>0</v>
      </c>
      <c r="Q296" s="6">
        <f t="shared" si="81"/>
        <v>9.5</v>
      </c>
      <c r="R296" s="30">
        <f t="shared" si="82"/>
        <v>9.5</v>
      </c>
      <c r="S296" s="16">
        <f t="shared" si="73"/>
        <v>138.8135</v>
      </c>
      <c r="T296" s="14">
        <f t="shared" si="70"/>
        <v>-44.946500000000007</v>
      </c>
      <c r="U296" s="14">
        <f t="shared" si="72"/>
        <v>-79.849999999999994</v>
      </c>
      <c r="V296" s="14">
        <f t="shared" si="83"/>
        <v>-1.6499999999999986</v>
      </c>
      <c r="W296" s="14">
        <f t="shared" si="84"/>
        <v>-52.199999999999989</v>
      </c>
      <c r="X296" s="13">
        <f t="shared" si="85"/>
        <v>-2</v>
      </c>
      <c r="Y296" s="13">
        <f t="shared" si="86"/>
        <v>-25.550000000000004</v>
      </c>
      <c r="Z296" s="13">
        <f t="shared" si="71"/>
        <v>-206.19650000000001</v>
      </c>
    </row>
    <row r="297" spans="1:26" ht="11.25" customHeight="1">
      <c r="A297" s="108" t="s">
        <v>468</v>
      </c>
      <c r="B297" s="117">
        <v>41280.625</v>
      </c>
      <c r="C297" s="120"/>
      <c r="D297" s="120" t="s">
        <v>608</v>
      </c>
      <c r="E297" s="120" t="s">
        <v>31</v>
      </c>
      <c r="F297" s="120" t="s">
        <v>179</v>
      </c>
      <c r="G297" s="120"/>
      <c r="H297" s="110" t="s">
        <v>609</v>
      </c>
      <c r="I297" s="117">
        <v>41278.76666666667</v>
      </c>
      <c r="J297" s="109" t="s">
        <v>3</v>
      </c>
      <c r="K297" s="6" t="s">
        <v>467</v>
      </c>
      <c r="L297" s="10" t="s">
        <v>5</v>
      </c>
      <c r="M297" s="6">
        <f t="shared" si="77"/>
        <v>0</v>
      </c>
      <c r="N297" s="6">
        <f t="shared" si="78"/>
        <v>0</v>
      </c>
      <c r="O297" s="6">
        <f t="shared" si="79"/>
        <v>1</v>
      </c>
      <c r="P297" s="6">
        <f t="shared" si="80"/>
        <v>0</v>
      </c>
      <c r="Q297" s="6">
        <f t="shared" si="81"/>
        <v>-5</v>
      </c>
      <c r="R297" s="30">
        <f t="shared" si="82"/>
        <v>-5</v>
      </c>
      <c r="S297" s="16">
        <f t="shared" si="73"/>
        <v>133.8135</v>
      </c>
      <c r="T297" s="14">
        <f t="shared" si="70"/>
        <v>-44.946500000000007</v>
      </c>
      <c r="U297" s="14">
        <f t="shared" si="72"/>
        <v>-79.849999999999994</v>
      </c>
      <c r="V297" s="14">
        <f t="shared" si="83"/>
        <v>-1.6499999999999986</v>
      </c>
      <c r="W297" s="14">
        <f t="shared" si="84"/>
        <v>-52.199999999999989</v>
      </c>
      <c r="X297" s="13">
        <f t="shared" si="85"/>
        <v>-2</v>
      </c>
      <c r="Y297" s="13">
        <f t="shared" si="86"/>
        <v>-30.550000000000004</v>
      </c>
      <c r="Z297" s="13">
        <f t="shared" si="71"/>
        <v>-211.19650000000001</v>
      </c>
    </row>
    <row r="298" spans="1:26" ht="11.25" customHeight="1">
      <c r="A298" s="108" t="s">
        <v>468</v>
      </c>
      <c r="B298" s="128">
        <v>41280.625</v>
      </c>
      <c r="C298" s="120"/>
      <c r="D298" s="120" t="s">
        <v>568</v>
      </c>
      <c r="E298" s="120" t="s">
        <v>31</v>
      </c>
      <c r="F298" s="120" t="s">
        <v>69</v>
      </c>
      <c r="G298" s="120"/>
      <c r="H298" s="110" t="s">
        <v>409</v>
      </c>
      <c r="I298" s="117">
        <v>41278.76666666667</v>
      </c>
      <c r="J298" s="109" t="s">
        <v>3</v>
      </c>
      <c r="K298" s="6" t="s">
        <v>467</v>
      </c>
      <c r="L298" s="10" t="s">
        <v>7</v>
      </c>
      <c r="M298" s="6">
        <f t="shared" si="77"/>
        <v>6.4</v>
      </c>
      <c r="N298" s="6">
        <f t="shared" si="78"/>
        <v>1</v>
      </c>
      <c r="O298" s="6">
        <f t="shared" si="79"/>
        <v>0</v>
      </c>
      <c r="P298" s="6">
        <f t="shared" si="80"/>
        <v>0</v>
      </c>
      <c r="Q298" s="6">
        <f t="shared" si="81"/>
        <v>1.4000000000000004</v>
      </c>
      <c r="R298" s="30">
        <f t="shared" si="82"/>
        <v>1.4000000000000004</v>
      </c>
      <c r="S298" s="16">
        <f t="shared" si="73"/>
        <v>135.21350000000001</v>
      </c>
      <c r="T298" s="14">
        <f t="shared" si="70"/>
        <v>-44.946500000000007</v>
      </c>
      <c r="U298" s="14">
        <f t="shared" si="72"/>
        <v>-79.849999999999994</v>
      </c>
      <c r="V298" s="14">
        <f t="shared" si="83"/>
        <v>-1.6499999999999986</v>
      </c>
      <c r="W298" s="14">
        <f t="shared" si="84"/>
        <v>-52.199999999999989</v>
      </c>
      <c r="X298" s="13">
        <f t="shared" si="85"/>
        <v>-2</v>
      </c>
      <c r="Y298" s="13">
        <f t="shared" si="86"/>
        <v>-29.150000000000006</v>
      </c>
      <c r="Z298" s="13">
        <f t="shared" si="71"/>
        <v>-209.79650000000001</v>
      </c>
    </row>
    <row r="299" spans="1:26" ht="11.25" customHeight="1">
      <c r="A299" s="108" t="s">
        <v>8</v>
      </c>
      <c r="B299" s="117">
        <v>41278.875</v>
      </c>
      <c r="C299" s="120"/>
      <c r="D299" s="120" t="s">
        <v>613</v>
      </c>
      <c r="E299" s="120" t="s">
        <v>29</v>
      </c>
      <c r="F299" s="120" t="s">
        <v>614</v>
      </c>
      <c r="G299" s="120"/>
      <c r="H299" s="110" t="s">
        <v>511</v>
      </c>
      <c r="I299" s="117">
        <v>41278.768055555556</v>
      </c>
      <c r="J299" s="109" t="s">
        <v>53</v>
      </c>
      <c r="K299" s="6" t="s">
        <v>486</v>
      </c>
      <c r="L299" s="10" t="s">
        <v>7</v>
      </c>
      <c r="M299" s="6">
        <f t="shared" si="77"/>
        <v>10.5</v>
      </c>
      <c r="N299" s="6">
        <f t="shared" si="78"/>
        <v>1</v>
      </c>
      <c r="O299" s="6">
        <f t="shared" si="79"/>
        <v>0</v>
      </c>
      <c r="P299" s="6">
        <f t="shared" si="80"/>
        <v>0</v>
      </c>
      <c r="Q299" s="6">
        <f t="shared" si="81"/>
        <v>8.5</v>
      </c>
      <c r="R299" s="30">
        <f t="shared" si="82"/>
        <v>8.5</v>
      </c>
      <c r="S299" s="16">
        <f t="shared" ref="S299:S330" si="87">IF(L299=0,S298-K299,S298+M299-K299)</f>
        <v>143.71350000000001</v>
      </c>
      <c r="T299" s="14">
        <f t="shared" si="70"/>
        <v>-36.446500000000007</v>
      </c>
      <c r="U299" s="14">
        <f t="shared" si="72"/>
        <v>-79.849999999999994</v>
      </c>
      <c r="V299" s="14">
        <f t="shared" si="83"/>
        <v>-1.6499999999999986</v>
      </c>
      <c r="W299" s="14">
        <f t="shared" si="84"/>
        <v>-52.199999999999989</v>
      </c>
      <c r="X299" s="13">
        <f t="shared" si="85"/>
        <v>-2</v>
      </c>
      <c r="Y299" s="13">
        <f t="shared" si="86"/>
        <v>-29.150000000000006</v>
      </c>
      <c r="Z299" s="13">
        <f t="shared" si="71"/>
        <v>-201.29650000000001</v>
      </c>
    </row>
    <row r="300" spans="1:26" ht="11.25" customHeight="1">
      <c r="A300" s="108" t="s">
        <v>8</v>
      </c>
      <c r="B300" s="117">
        <v>41278.875</v>
      </c>
      <c r="C300" s="120"/>
      <c r="D300" s="120" t="s">
        <v>613</v>
      </c>
      <c r="E300" s="120" t="s">
        <v>29</v>
      </c>
      <c r="F300" s="120" t="s">
        <v>615</v>
      </c>
      <c r="G300" s="120"/>
      <c r="H300" s="110" t="s">
        <v>616</v>
      </c>
      <c r="I300" s="117">
        <v>41278.768055555556</v>
      </c>
      <c r="J300" s="109" t="s">
        <v>53</v>
      </c>
      <c r="K300" s="6" t="s">
        <v>486</v>
      </c>
      <c r="L300" s="10" t="s">
        <v>5</v>
      </c>
      <c r="M300" s="6">
        <f t="shared" si="77"/>
        <v>0</v>
      </c>
      <c r="N300" s="6">
        <f t="shared" si="78"/>
        <v>0</v>
      </c>
      <c r="O300" s="6">
        <f t="shared" si="79"/>
        <v>1</v>
      </c>
      <c r="P300" s="6">
        <f t="shared" si="80"/>
        <v>0</v>
      </c>
      <c r="Q300" s="6">
        <f t="shared" si="81"/>
        <v>-2</v>
      </c>
      <c r="R300" s="30">
        <f t="shared" si="82"/>
        <v>-2</v>
      </c>
      <c r="S300" s="16">
        <f t="shared" si="87"/>
        <v>141.71350000000001</v>
      </c>
      <c r="T300" s="14">
        <f t="shared" si="70"/>
        <v>-38.446500000000007</v>
      </c>
      <c r="U300" s="14">
        <f t="shared" si="72"/>
        <v>-79.849999999999994</v>
      </c>
      <c r="V300" s="14">
        <f t="shared" si="83"/>
        <v>-1.6499999999999986</v>
      </c>
      <c r="W300" s="14">
        <f t="shared" si="84"/>
        <v>-52.199999999999989</v>
      </c>
      <c r="X300" s="13">
        <f t="shared" si="85"/>
        <v>-2</v>
      </c>
      <c r="Y300" s="13">
        <f t="shared" si="86"/>
        <v>-29.150000000000006</v>
      </c>
      <c r="Z300" s="13">
        <f t="shared" si="71"/>
        <v>-203.29650000000001</v>
      </c>
    </row>
    <row r="301" spans="1:26" ht="11.25" customHeight="1">
      <c r="A301" s="108" t="s">
        <v>8</v>
      </c>
      <c r="B301" s="117">
        <v>41278.875</v>
      </c>
      <c r="C301" s="120"/>
      <c r="D301" s="120" t="s">
        <v>613</v>
      </c>
      <c r="E301" s="120" t="s">
        <v>29</v>
      </c>
      <c r="F301" s="120" t="s">
        <v>617</v>
      </c>
      <c r="G301" s="120"/>
      <c r="H301" s="110" t="s">
        <v>618</v>
      </c>
      <c r="I301" s="117">
        <v>41278.768055555556</v>
      </c>
      <c r="J301" s="109" t="s">
        <v>53</v>
      </c>
      <c r="K301" s="6" t="s">
        <v>486</v>
      </c>
      <c r="L301" s="10" t="s">
        <v>5</v>
      </c>
      <c r="M301" s="6">
        <f t="shared" si="77"/>
        <v>0</v>
      </c>
      <c r="N301" s="6">
        <f t="shared" si="78"/>
        <v>0</v>
      </c>
      <c r="O301" s="6">
        <f t="shared" si="79"/>
        <v>1</v>
      </c>
      <c r="P301" s="6">
        <f t="shared" si="80"/>
        <v>0</v>
      </c>
      <c r="Q301" s="6">
        <f t="shared" si="81"/>
        <v>-2</v>
      </c>
      <c r="R301" s="30">
        <f t="shared" si="82"/>
        <v>-2</v>
      </c>
      <c r="S301" s="16">
        <f t="shared" si="87"/>
        <v>139.71350000000001</v>
      </c>
      <c r="T301" s="14">
        <f t="shared" si="70"/>
        <v>-40.446500000000007</v>
      </c>
      <c r="U301" s="14">
        <f t="shared" si="72"/>
        <v>-79.849999999999994</v>
      </c>
      <c r="V301" s="14">
        <f t="shared" si="83"/>
        <v>-1.6499999999999986</v>
      </c>
      <c r="W301" s="14">
        <f t="shared" si="84"/>
        <v>-52.199999999999989</v>
      </c>
      <c r="X301" s="13">
        <f t="shared" si="85"/>
        <v>-2</v>
      </c>
      <c r="Y301" s="13">
        <f t="shared" si="86"/>
        <v>-29.150000000000006</v>
      </c>
      <c r="Z301" s="13">
        <f t="shared" si="71"/>
        <v>-205.29650000000001</v>
      </c>
    </row>
    <row r="302" spans="1:26" ht="11.25" customHeight="1">
      <c r="A302" s="108" t="s">
        <v>8</v>
      </c>
      <c r="B302" s="117">
        <v>41278.854166666664</v>
      </c>
      <c r="C302" s="120"/>
      <c r="D302" s="120" t="s">
        <v>610</v>
      </c>
      <c r="E302" s="120" t="s">
        <v>29</v>
      </c>
      <c r="F302" s="120" t="s">
        <v>611</v>
      </c>
      <c r="G302" s="120"/>
      <c r="H302" s="110" t="s">
        <v>612</v>
      </c>
      <c r="I302" s="117">
        <v>41278.770833333336</v>
      </c>
      <c r="J302" s="109" t="s">
        <v>9</v>
      </c>
      <c r="K302" s="6" t="s">
        <v>486</v>
      </c>
      <c r="L302" s="10" t="s">
        <v>5</v>
      </c>
      <c r="M302" s="6">
        <f t="shared" si="77"/>
        <v>0</v>
      </c>
      <c r="N302" s="6">
        <f t="shared" si="78"/>
        <v>0</v>
      </c>
      <c r="O302" s="6">
        <f t="shared" si="79"/>
        <v>1</v>
      </c>
      <c r="P302" s="6">
        <f t="shared" si="80"/>
        <v>0</v>
      </c>
      <c r="Q302" s="6">
        <f t="shared" si="81"/>
        <v>-2</v>
      </c>
      <c r="R302" s="30">
        <f t="shared" si="82"/>
        <v>-2</v>
      </c>
      <c r="S302" s="16">
        <f t="shared" si="87"/>
        <v>137.71350000000001</v>
      </c>
      <c r="T302" s="14">
        <f t="shared" si="70"/>
        <v>-42.446500000000007</v>
      </c>
      <c r="U302" s="14">
        <f t="shared" si="72"/>
        <v>-79.849999999999994</v>
      </c>
      <c r="V302" s="14">
        <f t="shared" si="83"/>
        <v>-1.6499999999999986</v>
      </c>
      <c r="W302" s="14">
        <f t="shared" si="84"/>
        <v>-52.199999999999989</v>
      </c>
      <c r="X302" s="13">
        <f t="shared" si="85"/>
        <v>-2</v>
      </c>
      <c r="Y302" s="13">
        <f t="shared" si="86"/>
        <v>-29.150000000000006</v>
      </c>
      <c r="Z302" s="13">
        <f t="shared" si="71"/>
        <v>-207.29650000000001</v>
      </c>
    </row>
    <row r="303" spans="1:26" ht="11.25" customHeight="1">
      <c r="A303" s="108" t="s">
        <v>8</v>
      </c>
      <c r="B303" s="117">
        <v>41278.854166666664</v>
      </c>
      <c r="C303" s="120"/>
      <c r="D303" s="120" t="s">
        <v>610</v>
      </c>
      <c r="E303" s="120" t="s">
        <v>29</v>
      </c>
      <c r="F303" s="120" t="s">
        <v>619</v>
      </c>
      <c r="G303" s="120"/>
      <c r="H303" s="110" t="s">
        <v>616</v>
      </c>
      <c r="I303" s="117">
        <v>41278.770833333336</v>
      </c>
      <c r="J303" s="109" t="s">
        <v>9</v>
      </c>
      <c r="K303" s="6" t="s">
        <v>486</v>
      </c>
      <c r="L303" s="10" t="s">
        <v>5</v>
      </c>
      <c r="M303" s="6">
        <f t="shared" si="77"/>
        <v>0</v>
      </c>
      <c r="N303" s="6">
        <f t="shared" si="78"/>
        <v>0</v>
      </c>
      <c r="O303" s="6">
        <f t="shared" si="79"/>
        <v>1</v>
      </c>
      <c r="P303" s="6">
        <f t="shared" si="80"/>
        <v>0</v>
      </c>
      <c r="Q303" s="6">
        <f t="shared" si="81"/>
        <v>-2</v>
      </c>
      <c r="R303" s="30">
        <f t="shared" si="82"/>
        <v>-2</v>
      </c>
      <c r="S303" s="16">
        <f t="shared" si="87"/>
        <v>135.71350000000001</v>
      </c>
      <c r="T303" s="14">
        <f t="shared" si="70"/>
        <v>-44.446500000000007</v>
      </c>
      <c r="U303" s="14">
        <f t="shared" si="72"/>
        <v>-79.849999999999994</v>
      </c>
      <c r="V303" s="14">
        <f t="shared" si="83"/>
        <v>-1.6499999999999986</v>
      </c>
      <c r="W303" s="14">
        <f t="shared" si="84"/>
        <v>-52.199999999999989</v>
      </c>
      <c r="X303" s="13">
        <f t="shared" si="85"/>
        <v>-2</v>
      </c>
      <c r="Y303" s="13">
        <f t="shared" si="86"/>
        <v>-29.150000000000006</v>
      </c>
      <c r="Z303" s="13">
        <f t="shared" si="71"/>
        <v>-209.29650000000001</v>
      </c>
    </row>
    <row r="304" spans="1:26" ht="11.25" customHeight="1">
      <c r="A304" s="108" t="s">
        <v>8</v>
      </c>
      <c r="B304" s="117">
        <v>41278.854166666664</v>
      </c>
      <c r="C304" s="120"/>
      <c r="D304" s="129" t="s">
        <v>610</v>
      </c>
      <c r="E304" s="120" t="s">
        <v>29</v>
      </c>
      <c r="F304" s="120" t="s">
        <v>620</v>
      </c>
      <c r="G304" s="120"/>
      <c r="H304" s="110" t="s">
        <v>621</v>
      </c>
      <c r="I304" s="117">
        <v>41278.770833333336</v>
      </c>
      <c r="J304" s="109" t="s">
        <v>9</v>
      </c>
      <c r="K304" s="6" t="s">
        <v>486</v>
      </c>
      <c r="L304" s="10" t="s">
        <v>5</v>
      </c>
      <c r="M304" s="6">
        <f t="shared" si="77"/>
        <v>0</v>
      </c>
      <c r="N304" s="6">
        <f t="shared" si="78"/>
        <v>0</v>
      </c>
      <c r="O304" s="6">
        <f t="shared" si="79"/>
        <v>1</v>
      </c>
      <c r="P304" s="6">
        <f t="shared" si="80"/>
        <v>0</v>
      </c>
      <c r="Q304" s="6">
        <f t="shared" si="81"/>
        <v>-2</v>
      </c>
      <c r="R304" s="30">
        <f t="shared" si="82"/>
        <v>-2</v>
      </c>
      <c r="S304" s="16">
        <f t="shared" si="87"/>
        <v>133.71350000000001</v>
      </c>
      <c r="T304" s="14">
        <f t="shared" si="70"/>
        <v>-46.446500000000007</v>
      </c>
      <c r="U304" s="14">
        <f t="shared" si="72"/>
        <v>-79.849999999999994</v>
      </c>
      <c r="V304" s="14">
        <f t="shared" si="83"/>
        <v>-1.6499999999999986</v>
      </c>
      <c r="W304" s="14">
        <f t="shared" si="84"/>
        <v>-52.199999999999989</v>
      </c>
      <c r="X304" s="13">
        <f t="shared" si="85"/>
        <v>-2</v>
      </c>
      <c r="Y304" s="13">
        <f t="shared" si="86"/>
        <v>-29.150000000000006</v>
      </c>
      <c r="Z304" s="13">
        <f t="shared" si="71"/>
        <v>-211.29650000000001</v>
      </c>
    </row>
    <row r="305" spans="1:26" ht="11.25" customHeight="1">
      <c r="A305" s="108" t="s">
        <v>468</v>
      </c>
      <c r="B305" s="117">
        <v>41293.645833333336</v>
      </c>
      <c r="C305" s="120"/>
      <c r="D305" s="130" t="s">
        <v>622</v>
      </c>
      <c r="E305" s="120" t="s">
        <v>31</v>
      </c>
      <c r="F305" s="120" t="s">
        <v>31</v>
      </c>
      <c r="G305" s="120"/>
      <c r="H305" s="110">
        <v>3.07</v>
      </c>
      <c r="I305" s="117">
        <v>41278.772222222222</v>
      </c>
      <c r="J305" s="109" t="s">
        <v>3</v>
      </c>
      <c r="K305" s="6">
        <v>10</v>
      </c>
      <c r="M305" s="6">
        <f t="shared" si="77"/>
        <v>30.7</v>
      </c>
      <c r="N305" s="6">
        <f t="shared" si="78"/>
        <v>0</v>
      </c>
      <c r="O305" s="6">
        <f t="shared" si="79"/>
        <v>0</v>
      </c>
      <c r="P305" s="6">
        <f t="shared" si="80"/>
        <v>1</v>
      </c>
      <c r="Q305" s="6">
        <f t="shared" si="81"/>
        <v>0</v>
      </c>
      <c r="R305" s="30">
        <f t="shared" si="82"/>
        <v>-10</v>
      </c>
      <c r="S305" s="16">
        <f t="shared" si="87"/>
        <v>123.71350000000001</v>
      </c>
      <c r="T305" s="14">
        <f t="shared" si="70"/>
        <v>-46.446500000000007</v>
      </c>
      <c r="U305" s="14">
        <f t="shared" si="72"/>
        <v>-79.849999999999994</v>
      </c>
      <c r="V305" s="14">
        <f t="shared" si="83"/>
        <v>-1.6499999999999986</v>
      </c>
      <c r="W305" s="14">
        <f t="shared" si="84"/>
        <v>-52.199999999999989</v>
      </c>
      <c r="X305" s="13">
        <f t="shared" si="85"/>
        <v>-2</v>
      </c>
      <c r="Y305" s="13">
        <f t="shared" si="86"/>
        <v>-39.150000000000006</v>
      </c>
      <c r="Z305" s="13">
        <f t="shared" si="71"/>
        <v>-221.29650000000001</v>
      </c>
    </row>
    <row r="306" spans="1:26" ht="11.25" customHeight="1">
      <c r="A306" s="108" t="s">
        <v>468</v>
      </c>
      <c r="B306" s="117">
        <v>41279.583333333336</v>
      </c>
      <c r="C306" s="120"/>
      <c r="D306" s="120" t="s">
        <v>636</v>
      </c>
      <c r="E306" s="120" t="s">
        <v>545</v>
      </c>
      <c r="F306" s="120" t="s">
        <v>637</v>
      </c>
      <c r="G306" s="120"/>
      <c r="H306" s="110" t="s">
        <v>454</v>
      </c>
      <c r="I306" s="117">
        <v>41279.443749999999</v>
      </c>
      <c r="J306" s="109" t="s">
        <v>531</v>
      </c>
      <c r="K306" s="6" t="s">
        <v>548</v>
      </c>
      <c r="L306" s="10" t="s">
        <v>7</v>
      </c>
      <c r="M306" s="6">
        <f t="shared" si="77"/>
        <v>8.1999999999999993</v>
      </c>
      <c r="N306" s="6">
        <f t="shared" si="78"/>
        <v>1</v>
      </c>
      <c r="O306" s="6">
        <f t="shared" si="79"/>
        <v>0</v>
      </c>
      <c r="P306" s="6">
        <f t="shared" si="80"/>
        <v>0</v>
      </c>
      <c r="Q306" s="6">
        <f t="shared" si="81"/>
        <v>4.1999999999999993</v>
      </c>
      <c r="R306" s="30">
        <f t="shared" si="82"/>
        <v>4.1999999999999993</v>
      </c>
      <c r="S306" s="16">
        <f t="shared" si="87"/>
        <v>127.9135</v>
      </c>
      <c r="T306" s="14">
        <f t="shared" si="70"/>
        <v>-46.446500000000007</v>
      </c>
      <c r="U306" s="14">
        <f t="shared" si="72"/>
        <v>-79.849999999999994</v>
      </c>
      <c r="V306" s="14">
        <f t="shared" si="83"/>
        <v>-1.6499999999999986</v>
      </c>
      <c r="W306" s="14">
        <f t="shared" si="84"/>
        <v>-52.199999999999989</v>
      </c>
      <c r="X306" s="13">
        <f t="shared" si="85"/>
        <v>-2</v>
      </c>
      <c r="Y306" s="13">
        <f t="shared" si="86"/>
        <v>-34.950000000000003</v>
      </c>
      <c r="Z306" s="13">
        <f t="shared" si="71"/>
        <v>-217.09650000000002</v>
      </c>
    </row>
    <row r="307" spans="1:26" ht="11.25" customHeight="1">
      <c r="A307" s="108" t="s">
        <v>8</v>
      </c>
      <c r="B307" s="117">
        <v>41279.625</v>
      </c>
      <c r="C307" s="120"/>
      <c r="D307" s="120" t="s">
        <v>623</v>
      </c>
      <c r="E307" s="120" t="s">
        <v>29</v>
      </c>
      <c r="F307" s="120" t="s">
        <v>624</v>
      </c>
      <c r="G307" s="120"/>
      <c r="H307" s="110" t="s">
        <v>616</v>
      </c>
      <c r="I307" s="117">
        <v>41279.469444444447</v>
      </c>
      <c r="J307" s="109" t="s">
        <v>53</v>
      </c>
      <c r="K307" s="6" t="s">
        <v>486</v>
      </c>
      <c r="L307" s="10" t="s">
        <v>5</v>
      </c>
      <c r="M307" s="6">
        <f t="shared" si="77"/>
        <v>0</v>
      </c>
      <c r="N307" s="6">
        <f t="shared" si="78"/>
        <v>0</v>
      </c>
      <c r="O307" s="6">
        <f t="shared" si="79"/>
        <v>1</v>
      </c>
      <c r="P307" s="6">
        <f t="shared" si="80"/>
        <v>0</v>
      </c>
      <c r="Q307" s="6">
        <f t="shared" si="81"/>
        <v>-2</v>
      </c>
      <c r="R307" s="30">
        <f t="shared" si="82"/>
        <v>-2</v>
      </c>
      <c r="S307" s="16">
        <f t="shared" si="87"/>
        <v>125.9135</v>
      </c>
      <c r="T307" s="14">
        <f t="shared" si="70"/>
        <v>-48.446500000000007</v>
      </c>
      <c r="U307" s="14">
        <f t="shared" si="72"/>
        <v>-79.849999999999994</v>
      </c>
      <c r="V307" s="14">
        <f t="shared" si="83"/>
        <v>-1.6499999999999986</v>
      </c>
      <c r="W307" s="14">
        <f t="shared" si="84"/>
        <v>-52.199999999999989</v>
      </c>
      <c r="X307" s="13">
        <f t="shared" si="85"/>
        <v>-2</v>
      </c>
      <c r="Y307" s="13">
        <f t="shared" si="86"/>
        <v>-34.950000000000003</v>
      </c>
      <c r="Z307" s="13">
        <f t="shared" si="71"/>
        <v>-219.09650000000002</v>
      </c>
    </row>
    <row r="308" spans="1:26" ht="11.25" customHeight="1">
      <c r="A308" s="108" t="s">
        <v>8</v>
      </c>
      <c r="B308" s="117">
        <v>41279.625</v>
      </c>
      <c r="C308" s="120"/>
      <c r="D308" s="120" t="s">
        <v>623</v>
      </c>
      <c r="E308" s="120" t="s">
        <v>29</v>
      </c>
      <c r="F308" s="120" t="s">
        <v>625</v>
      </c>
      <c r="G308" s="120"/>
      <c r="H308" s="110" t="s">
        <v>626</v>
      </c>
      <c r="I308" s="117">
        <v>41279.470138888886</v>
      </c>
      <c r="J308" s="109" t="s">
        <v>53</v>
      </c>
      <c r="K308" s="6" t="s">
        <v>486</v>
      </c>
      <c r="L308" s="10" t="s">
        <v>7</v>
      </c>
      <c r="M308" s="6">
        <f t="shared" si="77"/>
        <v>13</v>
      </c>
      <c r="N308" s="6">
        <f t="shared" si="78"/>
        <v>1</v>
      </c>
      <c r="O308" s="6">
        <f t="shared" si="79"/>
        <v>0</v>
      </c>
      <c r="P308" s="6">
        <f t="shared" si="80"/>
        <v>0</v>
      </c>
      <c r="Q308" s="6">
        <f t="shared" si="81"/>
        <v>11</v>
      </c>
      <c r="R308" s="30">
        <f t="shared" si="82"/>
        <v>11</v>
      </c>
      <c r="S308" s="16">
        <f t="shared" si="87"/>
        <v>136.9135</v>
      </c>
      <c r="T308" s="14">
        <f t="shared" si="70"/>
        <v>-37.446500000000007</v>
      </c>
      <c r="U308" s="14">
        <f t="shared" si="72"/>
        <v>-79.849999999999994</v>
      </c>
      <c r="V308" s="14">
        <f t="shared" si="83"/>
        <v>-1.6499999999999986</v>
      </c>
      <c r="W308" s="14">
        <f t="shared" si="84"/>
        <v>-52.199999999999989</v>
      </c>
      <c r="X308" s="13">
        <f t="shared" si="85"/>
        <v>-2</v>
      </c>
      <c r="Y308" s="13">
        <f t="shared" si="86"/>
        <v>-34.950000000000003</v>
      </c>
      <c r="Z308" s="13">
        <f t="shared" si="71"/>
        <v>-208.09650000000002</v>
      </c>
    </row>
    <row r="309" spans="1:26" ht="11.25" customHeight="1">
      <c r="A309" s="108" t="s">
        <v>8</v>
      </c>
      <c r="B309" s="117">
        <v>41279.625</v>
      </c>
      <c r="C309" s="120"/>
      <c r="D309" s="120" t="s">
        <v>623</v>
      </c>
      <c r="E309" s="120" t="s">
        <v>29</v>
      </c>
      <c r="F309" s="120" t="s">
        <v>627</v>
      </c>
      <c r="G309" s="120"/>
      <c r="H309" s="110" t="s">
        <v>628</v>
      </c>
      <c r="I309" s="117">
        <v>41279.470138888886</v>
      </c>
      <c r="J309" s="109" t="s">
        <v>53</v>
      </c>
      <c r="K309" s="6" t="s">
        <v>486</v>
      </c>
      <c r="L309" s="10" t="s">
        <v>5</v>
      </c>
      <c r="M309" s="6">
        <f t="shared" si="77"/>
        <v>0</v>
      </c>
      <c r="N309" s="6">
        <f t="shared" si="78"/>
        <v>0</v>
      </c>
      <c r="O309" s="6">
        <f t="shared" si="79"/>
        <v>1</v>
      </c>
      <c r="P309" s="6">
        <f t="shared" si="80"/>
        <v>0</v>
      </c>
      <c r="Q309" s="6">
        <f t="shared" si="81"/>
        <v>-2</v>
      </c>
      <c r="R309" s="30">
        <f t="shared" si="82"/>
        <v>-2</v>
      </c>
      <c r="S309" s="16">
        <f t="shared" si="87"/>
        <v>134.9135</v>
      </c>
      <c r="T309" s="14">
        <f t="shared" si="70"/>
        <v>-39.446500000000007</v>
      </c>
      <c r="U309" s="14">
        <f t="shared" si="72"/>
        <v>-79.849999999999994</v>
      </c>
      <c r="V309" s="14">
        <f t="shared" si="83"/>
        <v>-1.6499999999999986</v>
      </c>
      <c r="W309" s="14">
        <f t="shared" si="84"/>
        <v>-52.199999999999989</v>
      </c>
      <c r="X309" s="13">
        <f t="shared" si="85"/>
        <v>-2</v>
      </c>
      <c r="Y309" s="13">
        <f t="shared" si="86"/>
        <v>-34.950000000000003</v>
      </c>
      <c r="Z309" s="13">
        <f t="shared" si="71"/>
        <v>-210.09650000000002</v>
      </c>
    </row>
    <row r="310" spans="1:26" ht="11.25" customHeight="1">
      <c r="A310" s="108" t="s">
        <v>8</v>
      </c>
      <c r="B310" s="117">
        <v>41279.666666666664</v>
      </c>
      <c r="C310" s="120"/>
      <c r="D310" s="120" t="s">
        <v>629</v>
      </c>
      <c r="E310" s="120" t="s">
        <v>31</v>
      </c>
      <c r="F310" s="120" t="s">
        <v>630</v>
      </c>
      <c r="G310" s="120"/>
      <c r="H310" s="110" t="s">
        <v>437</v>
      </c>
      <c r="I310" s="117">
        <v>41279.47152777778</v>
      </c>
      <c r="J310" s="109" t="s">
        <v>3</v>
      </c>
      <c r="K310" s="6" t="s">
        <v>467</v>
      </c>
      <c r="L310" s="10" t="s">
        <v>5</v>
      </c>
      <c r="M310" s="6">
        <f t="shared" si="77"/>
        <v>0</v>
      </c>
      <c r="N310" s="6">
        <f t="shared" si="78"/>
        <v>0</v>
      </c>
      <c r="O310" s="6">
        <f t="shared" si="79"/>
        <v>1</v>
      </c>
      <c r="P310" s="6">
        <f t="shared" si="80"/>
        <v>0</v>
      </c>
      <c r="Q310" s="6">
        <f t="shared" si="81"/>
        <v>-5</v>
      </c>
      <c r="R310" s="30">
        <f t="shared" si="82"/>
        <v>-5</v>
      </c>
      <c r="S310" s="16">
        <f t="shared" si="87"/>
        <v>129.9135</v>
      </c>
      <c r="T310" s="14">
        <f t="shared" si="70"/>
        <v>-44.446500000000007</v>
      </c>
      <c r="U310" s="14">
        <f t="shared" si="72"/>
        <v>-79.849999999999994</v>
      </c>
      <c r="V310" s="14">
        <f t="shared" si="83"/>
        <v>-1.6499999999999986</v>
      </c>
      <c r="W310" s="14">
        <f t="shared" si="84"/>
        <v>-52.199999999999989</v>
      </c>
      <c r="X310" s="13">
        <f t="shared" si="85"/>
        <v>-2</v>
      </c>
      <c r="Y310" s="13">
        <f t="shared" si="86"/>
        <v>-34.950000000000003</v>
      </c>
      <c r="Z310" s="13">
        <f t="shared" si="71"/>
        <v>-215.09650000000002</v>
      </c>
    </row>
    <row r="311" spans="1:26" ht="11.25" customHeight="1">
      <c r="A311" s="108" t="s">
        <v>8</v>
      </c>
      <c r="B311" s="117">
        <v>41279.666666666664</v>
      </c>
      <c r="C311" s="120"/>
      <c r="D311" s="120" t="s">
        <v>631</v>
      </c>
      <c r="E311" s="120" t="s">
        <v>31</v>
      </c>
      <c r="F311" s="120" t="s">
        <v>632</v>
      </c>
      <c r="G311" s="120"/>
      <c r="H311" s="110" t="s">
        <v>633</v>
      </c>
      <c r="I311" s="117">
        <v>41279.47152777778</v>
      </c>
      <c r="J311" s="109" t="s">
        <v>3</v>
      </c>
      <c r="K311" s="6" t="s">
        <v>467</v>
      </c>
      <c r="L311" s="10" t="s">
        <v>7</v>
      </c>
      <c r="M311" s="6">
        <f t="shared" si="77"/>
        <v>23</v>
      </c>
      <c r="N311" s="6">
        <f t="shared" si="78"/>
        <v>1</v>
      </c>
      <c r="O311" s="6">
        <f t="shared" si="79"/>
        <v>0</v>
      </c>
      <c r="P311" s="6">
        <f t="shared" si="80"/>
        <v>0</v>
      </c>
      <c r="Q311" s="6">
        <f t="shared" si="81"/>
        <v>18</v>
      </c>
      <c r="R311" s="30">
        <f t="shared" si="82"/>
        <v>18</v>
      </c>
      <c r="S311" s="16">
        <f t="shared" si="87"/>
        <v>147.9135</v>
      </c>
      <c r="T311" s="14">
        <f t="shared" si="70"/>
        <v>-26.446500000000007</v>
      </c>
      <c r="U311" s="14">
        <f t="shared" si="72"/>
        <v>-79.849999999999994</v>
      </c>
      <c r="V311" s="14">
        <f t="shared" si="83"/>
        <v>-1.6499999999999986</v>
      </c>
      <c r="W311" s="14">
        <f t="shared" si="84"/>
        <v>-52.199999999999989</v>
      </c>
      <c r="X311" s="13">
        <f t="shared" si="85"/>
        <v>-2</v>
      </c>
      <c r="Y311" s="13">
        <f t="shared" si="86"/>
        <v>-34.950000000000003</v>
      </c>
      <c r="Z311" s="13">
        <f t="shared" si="71"/>
        <v>-197.09650000000002</v>
      </c>
    </row>
    <row r="312" spans="1:26" ht="11.25" customHeight="1">
      <c r="A312" s="108" t="s">
        <v>8</v>
      </c>
      <c r="B312" s="117">
        <v>41279.708333333336</v>
      </c>
      <c r="C312" s="120"/>
      <c r="D312" s="56" t="s">
        <v>634</v>
      </c>
      <c r="E312" s="120" t="s">
        <v>154</v>
      </c>
      <c r="F312" s="120" t="s">
        <v>635</v>
      </c>
      <c r="G312" s="120"/>
      <c r="H312" s="110" t="s">
        <v>402</v>
      </c>
      <c r="I312" s="117">
        <v>41279.473611111112</v>
      </c>
      <c r="J312" s="109" t="s">
        <v>9</v>
      </c>
      <c r="K312" s="6" t="s">
        <v>467</v>
      </c>
      <c r="L312" s="10" t="s">
        <v>5</v>
      </c>
      <c r="M312" s="6">
        <f t="shared" si="77"/>
        <v>0</v>
      </c>
      <c r="N312" s="6">
        <f t="shared" si="78"/>
        <v>0</v>
      </c>
      <c r="O312" s="6">
        <f t="shared" si="79"/>
        <v>1</v>
      </c>
      <c r="P312" s="6">
        <f t="shared" si="80"/>
        <v>0</v>
      </c>
      <c r="Q312" s="6">
        <f t="shared" si="81"/>
        <v>-5</v>
      </c>
      <c r="R312" s="30">
        <f t="shared" si="82"/>
        <v>-5</v>
      </c>
      <c r="S312" s="16">
        <f t="shared" si="87"/>
        <v>142.9135</v>
      </c>
      <c r="T312" s="14">
        <f t="shared" si="70"/>
        <v>-31.446500000000007</v>
      </c>
      <c r="U312" s="14">
        <f t="shared" si="72"/>
        <v>-79.849999999999994</v>
      </c>
      <c r="V312" s="14">
        <f t="shared" si="83"/>
        <v>-1.6499999999999986</v>
      </c>
      <c r="W312" s="14">
        <f t="shared" si="84"/>
        <v>-52.199999999999989</v>
      </c>
      <c r="X312" s="13">
        <f t="shared" si="85"/>
        <v>-2</v>
      </c>
      <c r="Y312" s="13">
        <f t="shared" si="86"/>
        <v>-34.950000000000003</v>
      </c>
      <c r="Z312" s="13">
        <f t="shared" si="71"/>
        <v>-202.09650000000002</v>
      </c>
    </row>
    <row r="313" spans="1:26" ht="11.25" customHeight="1">
      <c r="A313" s="108" t="s">
        <v>2</v>
      </c>
      <c r="B313" s="117">
        <v>41279.864583333336</v>
      </c>
      <c r="C313" s="120"/>
      <c r="D313" s="56" t="s">
        <v>638</v>
      </c>
      <c r="E313" s="120" t="s">
        <v>31</v>
      </c>
      <c r="F313" s="120" t="s">
        <v>639</v>
      </c>
      <c r="G313" s="120"/>
      <c r="H313" s="110" t="s">
        <v>397</v>
      </c>
      <c r="I313" s="117">
        <v>41279.558333333334</v>
      </c>
      <c r="J313" s="109" t="s">
        <v>3</v>
      </c>
      <c r="K313" s="6" t="s">
        <v>467</v>
      </c>
      <c r="L313" s="10" t="s">
        <v>7</v>
      </c>
      <c r="M313" s="6">
        <f t="shared" si="77"/>
        <v>7.1999999999999993</v>
      </c>
      <c r="N313" s="6">
        <f t="shared" si="78"/>
        <v>1</v>
      </c>
      <c r="O313" s="6">
        <f t="shared" si="79"/>
        <v>0</v>
      </c>
      <c r="P313" s="6">
        <f t="shared" si="80"/>
        <v>0</v>
      </c>
      <c r="Q313" s="6">
        <f t="shared" si="81"/>
        <v>2.1999999999999993</v>
      </c>
      <c r="R313" s="30">
        <f t="shared" si="82"/>
        <v>2.1999999999999993</v>
      </c>
      <c r="S313" s="16">
        <f t="shared" si="87"/>
        <v>145.11349999999999</v>
      </c>
      <c r="T313" s="14">
        <f t="shared" si="70"/>
        <v>-31.446500000000007</v>
      </c>
      <c r="U313" s="14">
        <f t="shared" si="72"/>
        <v>-77.649999999999991</v>
      </c>
      <c r="V313" s="14">
        <f t="shared" si="83"/>
        <v>-1.6499999999999986</v>
      </c>
      <c r="W313" s="14">
        <f t="shared" si="84"/>
        <v>-52.199999999999989</v>
      </c>
      <c r="X313" s="13">
        <f t="shared" si="85"/>
        <v>-2</v>
      </c>
      <c r="Y313" s="13">
        <f t="shared" si="86"/>
        <v>-34.950000000000003</v>
      </c>
      <c r="Z313" s="13">
        <f t="shared" si="71"/>
        <v>-199.89650000000003</v>
      </c>
    </row>
    <row r="314" spans="1:26" ht="11.25" customHeight="1">
      <c r="A314" s="109" t="s">
        <v>58</v>
      </c>
      <c r="B314" s="117">
        <v>41280.791666666664</v>
      </c>
      <c r="C314" s="120"/>
      <c r="D314" s="120" t="s">
        <v>603</v>
      </c>
      <c r="E314" s="120" t="s">
        <v>178</v>
      </c>
      <c r="F314" s="120" t="s">
        <v>60</v>
      </c>
      <c r="G314" s="120"/>
      <c r="H314" s="110" t="s">
        <v>653</v>
      </c>
      <c r="I314" s="117">
        <v>41279.563194444447</v>
      </c>
      <c r="J314" s="109" t="s">
        <v>3</v>
      </c>
      <c r="K314" s="6" t="s">
        <v>467</v>
      </c>
      <c r="L314" s="10" t="s">
        <v>7</v>
      </c>
      <c r="M314" s="6">
        <f t="shared" si="77"/>
        <v>6.15</v>
      </c>
      <c r="N314" s="6">
        <f t="shared" si="78"/>
        <v>1</v>
      </c>
      <c r="O314" s="6">
        <f t="shared" si="79"/>
        <v>0</v>
      </c>
      <c r="P314" s="6">
        <f t="shared" si="80"/>
        <v>0</v>
      </c>
      <c r="Q314" s="6">
        <f t="shared" si="81"/>
        <v>1.1500000000000004</v>
      </c>
      <c r="R314" s="30">
        <f t="shared" si="82"/>
        <v>1.1500000000000004</v>
      </c>
      <c r="S314" s="16">
        <f t="shared" si="87"/>
        <v>146.26349999999999</v>
      </c>
      <c r="T314" s="14">
        <f t="shared" si="70"/>
        <v>-31.446500000000007</v>
      </c>
      <c r="U314" s="14">
        <f t="shared" si="72"/>
        <v>-77.649999999999991</v>
      </c>
      <c r="V314" s="14">
        <f t="shared" si="83"/>
        <v>-0.49999999999999822</v>
      </c>
      <c r="W314" s="14">
        <f t="shared" si="84"/>
        <v>-52.199999999999989</v>
      </c>
      <c r="X314" s="13">
        <f t="shared" si="85"/>
        <v>-2</v>
      </c>
      <c r="Y314" s="13">
        <f t="shared" si="86"/>
        <v>-34.950000000000003</v>
      </c>
      <c r="Z314" s="13">
        <f t="shared" si="71"/>
        <v>-198.74650000000003</v>
      </c>
    </row>
    <row r="315" spans="1:26" ht="11.25" customHeight="1">
      <c r="A315" s="109" t="s">
        <v>58</v>
      </c>
      <c r="B315" s="117">
        <v>41279.75</v>
      </c>
      <c r="C315" s="120"/>
      <c r="D315" s="56" t="s">
        <v>652</v>
      </c>
      <c r="E315" s="120" t="s">
        <v>31</v>
      </c>
      <c r="F315" s="120" t="s">
        <v>109</v>
      </c>
      <c r="G315" s="120"/>
      <c r="H315" s="110" t="s">
        <v>524</v>
      </c>
      <c r="I315" s="117">
        <v>41279.563888888886</v>
      </c>
      <c r="J315" s="109" t="s">
        <v>3</v>
      </c>
      <c r="K315" s="6" t="s">
        <v>467</v>
      </c>
      <c r="L315" s="10" t="s">
        <v>7</v>
      </c>
      <c r="M315" s="6">
        <f t="shared" si="77"/>
        <v>8</v>
      </c>
      <c r="N315" s="6">
        <f t="shared" si="78"/>
        <v>1</v>
      </c>
      <c r="O315" s="6">
        <f t="shared" si="79"/>
        <v>0</v>
      </c>
      <c r="P315" s="6">
        <f t="shared" si="80"/>
        <v>0</v>
      </c>
      <c r="Q315" s="6">
        <f t="shared" si="81"/>
        <v>3</v>
      </c>
      <c r="R315" s="30">
        <f t="shared" si="82"/>
        <v>3</v>
      </c>
      <c r="S315" s="16">
        <f t="shared" si="87"/>
        <v>149.26349999999999</v>
      </c>
      <c r="T315" s="14">
        <f t="shared" si="70"/>
        <v>-31.446500000000007</v>
      </c>
      <c r="U315" s="14">
        <f t="shared" si="72"/>
        <v>-77.649999999999991</v>
      </c>
      <c r="V315" s="14">
        <f t="shared" si="83"/>
        <v>2.5000000000000018</v>
      </c>
      <c r="W315" s="14">
        <f t="shared" si="84"/>
        <v>-52.199999999999989</v>
      </c>
      <c r="X315" s="13">
        <f t="shared" si="85"/>
        <v>-2</v>
      </c>
      <c r="Y315" s="13">
        <f t="shared" si="86"/>
        <v>-34.950000000000003</v>
      </c>
      <c r="Z315" s="13">
        <f t="shared" si="71"/>
        <v>-195.74650000000003</v>
      </c>
    </row>
    <row r="316" spans="1:26" ht="11.25" customHeight="1">
      <c r="A316" s="109" t="s">
        <v>58</v>
      </c>
      <c r="B316" s="117">
        <v>41279.864583333336</v>
      </c>
      <c r="C316" s="120"/>
      <c r="D316" s="56" t="s">
        <v>651</v>
      </c>
      <c r="E316" s="120" t="s">
        <v>31</v>
      </c>
      <c r="F316" s="120" t="s">
        <v>46</v>
      </c>
      <c r="G316" s="120"/>
      <c r="H316" s="110" t="s">
        <v>426</v>
      </c>
      <c r="I316" s="117">
        <v>41279.564583333333</v>
      </c>
      <c r="J316" s="109" t="s">
        <v>3</v>
      </c>
      <c r="K316" s="6" t="s">
        <v>467</v>
      </c>
      <c r="L316" s="10" t="s">
        <v>7</v>
      </c>
      <c r="M316" s="6">
        <f t="shared" si="77"/>
        <v>6.1</v>
      </c>
      <c r="N316" s="6">
        <f t="shared" si="78"/>
        <v>1</v>
      </c>
      <c r="O316" s="6">
        <f t="shared" si="79"/>
        <v>0</v>
      </c>
      <c r="P316" s="6">
        <f t="shared" si="80"/>
        <v>0</v>
      </c>
      <c r="Q316" s="6">
        <f t="shared" si="81"/>
        <v>1.0999999999999996</v>
      </c>
      <c r="R316" s="30">
        <f t="shared" si="82"/>
        <v>1.0999999999999996</v>
      </c>
      <c r="S316" s="16">
        <f t="shared" si="87"/>
        <v>150.36349999999999</v>
      </c>
      <c r="T316" s="14">
        <f t="shared" si="70"/>
        <v>-31.446500000000007</v>
      </c>
      <c r="U316" s="14">
        <f t="shared" si="72"/>
        <v>-77.649999999999991</v>
      </c>
      <c r="V316" s="14">
        <f t="shared" si="83"/>
        <v>3.6000000000000014</v>
      </c>
      <c r="W316" s="14">
        <f t="shared" si="84"/>
        <v>-52.199999999999989</v>
      </c>
      <c r="X316" s="13">
        <f t="shared" si="85"/>
        <v>-2</v>
      </c>
      <c r="Y316" s="13">
        <f t="shared" si="86"/>
        <v>-34.950000000000003</v>
      </c>
      <c r="Z316" s="13">
        <f t="shared" si="71"/>
        <v>-194.64650000000003</v>
      </c>
    </row>
    <row r="317" spans="1:26" ht="11.25" customHeight="1">
      <c r="A317" s="109" t="s">
        <v>58</v>
      </c>
      <c r="B317" s="117">
        <v>41279.75</v>
      </c>
      <c r="C317" s="120"/>
      <c r="D317" s="56" t="s">
        <v>649</v>
      </c>
      <c r="E317" s="120" t="s">
        <v>31</v>
      </c>
      <c r="F317" s="120" t="s">
        <v>650</v>
      </c>
      <c r="G317" s="120"/>
      <c r="H317" s="110" t="s">
        <v>454</v>
      </c>
      <c r="I317" s="117">
        <v>41279.566666666666</v>
      </c>
      <c r="J317" s="109" t="s">
        <v>3</v>
      </c>
      <c r="K317" s="6" t="s">
        <v>467</v>
      </c>
      <c r="L317" s="10" t="s">
        <v>5</v>
      </c>
      <c r="M317" s="6">
        <f t="shared" si="77"/>
        <v>0</v>
      </c>
      <c r="N317" s="6">
        <f t="shared" si="78"/>
        <v>0</v>
      </c>
      <c r="O317" s="6">
        <f t="shared" si="79"/>
        <v>1</v>
      </c>
      <c r="P317" s="6">
        <f t="shared" si="80"/>
        <v>0</v>
      </c>
      <c r="Q317" s="6">
        <f t="shared" si="81"/>
        <v>-5</v>
      </c>
      <c r="R317" s="30">
        <f t="shared" si="82"/>
        <v>-5</v>
      </c>
      <c r="S317" s="16">
        <f t="shared" si="87"/>
        <v>145.36349999999999</v>
      </c>
      <c r="T317" s="14">
        <f t="shared" si="70"/>
        <v>-31.446500000000007</v>
      </c>
      <c r="U317" s="14">
        <f t="shared" si="72"/>
        <v>-77.649999999999991</v>
      </c>
      <c r="V317" s="14">
        <f t="shared" si="83"/>
        <v>-1.3999999999999986</v>
      </c>
      <c r="W317" s="14">
        <f t="shared" si="84"/>
        <v>-52.199999999999989</v>
      </c>
      <c r="X317" s="13">
        <f t="shared" si="85"/>
        <v>-2</v>
      </c>
      <c r="Y317" s="13">
        <f t="shared" si="86"/>
        <v>-34.950000000000003</v>
      </c>
      <c r="Z317" s="13">
        <f t="shared" si="71"/>
        <v>-199.64650000000003</v>
      </c>
    </row>
    <row r="318" spans="1:26" ht="11.25" customHeight="1">
      <c r="A318" s="108" t="s">
        <v>8</v>
      </c>
      <c r="B318" s="117">
        <v>41279.75</v>
      </c>
      <c r="C318" s="120"/>
      <c r="D318" s="56" t="s">
        <v>640</v>
      </c>
      <c r="E318" s="120" t="s">
        <v>31</v>
      </c>
      <c r="F318" s="120" t="s">
        <v>641</v>
      </c>
      <c r="G318" s="120"/>
      <c r="H318" s="110" t="s">
        <v>476</v>
      </c>
      <c r="I318" s="117">
        <v>41279.722222222219</v>
      </c>
      <c r="J318" s="109" t="s">
        <v>3</v>
      </c>
      <c r="K318" s="6" t="s">
        <v>467</v>
      </c>
      <c r="L318" s="10" t="s">
        <v>5</v>
      </c>
      <c r="M318" s="6">
        <f t="shared" si="77"/>
        <v>0</v>
      </c>
      <c r="N318" s="6">
        <f t="shared" si="78"/>
        <v>0</v>
      </c>
      <c r="O318" s="6">
        <f t="shared" si="79"/>
        <v>1</v>
      </c>
      <c r="P318" s="6">
        <f t="shared" si="80"/>
        <v>0</v>
      </c>
      <c r="Q318" s="6">
        <f t="shared" si="81"/>
        <v>-5</v>
      </c>
      <c r="R318" s="30">
        <f t="shared" si="82"/>
        <v>-5</v>
      </c>
      <c r="S318" s="16">
        <f t="shared" si="87"/>
        <v>140.36349999999999</v>
      </c>
      <c r="T318" s="14">
        <f t="shared" si="70"/>
        <v>-36.446500000000007</v>
      </c>
      <c r="U318" s="14">
        <f t="shared" si="72"/>
        <v>-77.649999999999991</v>
      </c>
      <c r="V318" s="14">
        <f t="shared" si="83"/>
        <v>-1.3999999999999986</v>
      </c>
      <c r="W318" s="14">
        <f t="shared" si="84"/>
        <v>-52.199999999999989</v>
      </c>
      <c r="X318" s="13">
        <f t="shared" ref="X318:X349" si="88">IF(A318="YOAN",X317+R318,X317)</f>
        <v>-2</v>
      </c>
      <c r="Y318" s="13">
        <f t="shared" si="86"/>
        <v>-34.950000000000003</v>
      </c>
      <c r="Z318" s="13">
        <f t="shared" si="71"/>
        <v>-204.64650000000003</v>
      </c>
    </row>
    <row r="319" spans="1:26" ht="11.25" customHeight="1">
      <c r="A319" s="108" t="s">
        <v>8</v>
      </c>
      <c r="B319" s="117">
        <v>41279.75</v>
      </c>
      <c r="C319" s="120"/>
      <c r="D319" s="56" t="s">
        <v>640</v>
      </c>
      <c r="E319" s="120" t="s">
        <v>31</v>
      </c>
      <c r="F319" s="120" t="s">
        <v>642</v>
      </c>
      <c r="G319" s="120"/>
      <c r="H319" s="110" t="s">
        <v>425</v>
      </c>
      <c r="I319" s="117">
        <v>41279.722222222219</v>
      </c>
      <c r="J319" s="109" t="s">
        <v>3</v>
      </c>
      <c r="K319" s="6" t="s">
        <v>479</v>
      </c>
      <c r="L319" s="10" t="s">
        <v>5</v>
      </c>
      <c r="M319" s="6">
        <f t="shared" si="77"/>
        <v>0</v>
      </c>
      <c r="N319" s="6">
        <f t="shared" si="78"/>
        <v>0</v>
      </c>
      <c r="O319" s="6">
        <f t="shared" si="79"/>
        <v>1</v>
      </c>
      <c r="P319" s="6">
        <f t="shared" si="80"/>
        <v>0</v>
      </c>
      <c r="Q319" s="6">
        <f t="shared" si="81"/>
        <v>-2.5</v>
      </c>
      <c r="R319" s="30">
        <f t="shared" si="82"/>
        <v>-2.5</v>
      </c>
      <c r="S319" s="16">
        <f t="shared" si="87"/>
        <v>137.86349999999999</v>
      </c>
      <c r="T319" s="14">
        <f t="shared" si="70"/>
        <v>-38.946500000000007</v>
      </c>
      <c r="U319" s="14">
        <f t="shared" si="72"/>
        <v>-77.649999999999991</v>
      </c>
      <c r="V319" s="14">
        <f t="shared" si="83"/>
        <v>-1.3999999999999986</v>
      </c>
      <c r="W319" s="14">
        <f t="shared" si="84"/>
        <v>-52.199999999999989</v>
      </c>
      <c r="X319" s="13">
        <f t="shared" si="88"/>
        <v>-2</v>
      </c>
      <c r="Y319" s="13">
        <f t="shared" si="86"/>
        <v>-34.950000000000003</v>
      </c>
      <c r="Z319" s="13">
        <f t="shared" si="71"/>
        <v>-207.14650000000003</v>
      </c>
    </row>
    <row r="320" spans="1:26" ht="11.25" customHeight="1">
      <c r="A320" s="108" t="s">
        <v>8</v>
      </c>
      <c r="B320" s="117">
        <v>41279.770833333336</v>
      </c>
      <c r="C320" s="120"/>
      <c r="D320" s="56" t="s">
        <v>643</v>
      </c>
      <c r="E320" s="120" t="s">
        <v>29</v>
      </c>
      <c r="F320" s="120" t="s">
        <v>644</v>
      </c>
      <c r="G320" s="120"/>
      <c r="H320" s="110" t="s">
        <v>511</v>
      </c>
      <c r="I320" s="117">
        <v>41279.725694444445</v>
      </c>
      <c r="J320" s="109" t="s">
        <v>53</v>
      </c>
      <c r="K320" s="6" t="s">
        <v>486</v>
      </c>
      <c r="L320" s="10" t="s">
        <v>5</v>
      </c>
      <c r="M320" s="6">
        <f t="shared" si="77"/>
        <v>0</v>
      </c>
      <c r="N320" s="6">
        <f t="shared" si="78"/>
        <v>0</v>
      </c>
      <c r="O320" s="6">
        <f t="shared" si="79"/>
        <v>1</v>
      </c>
      <c r="P320" s="6">
        <f t="shared" si="80"/>
        <v>0</v>
      </c>
      <c r="Q320" s="6">
        <f t="shared" si="81"/>
        <v>-2</v>
      </c>
      <c r="R320" s="30">
        <f t="shared" si="82"/>
        <v>-2</v>
      </c>
      <c r="S320" s="16">
        <f t="shared" si="87"/>
        <v>135.86349999999999</v>
      </c>
      <c r="T320" s="14">
        <f t="shared" si="70"/>
        <v>-40.946500000000007</v>
      </c>
      <c r="U320" s="14">
        <f t="shared" si="72"/>
        <v>-77.649999999999991</v>
      </c>
      <c r="V320" s="14">
        <f t="shared" si="83"/>
        <v>-1.3999999999999986</v>
      </c>
      <c r="W320" s="14">
        <f t="shared" si="84"/>
        <v>-52.199999999999989</v>
      </c>
      <c r="X320" s="13">
        <f t="shared" si="88"/>
        <v>-2</v>
      </c>
      <c r="Y320" s="13">
        <f t="shared" si="86"/>
        <v>-34.950000000000003</v>
      </c>
      <c r="Z320" s="13">
        <f t="shared" si="71"/>
        <v>-209.14650000000003</v>
      </c>
    </row>
    <row r="321" spans="1:26" ht="11.25" customHeight="1">
      <c r="A321" s="108" t="s">
        <v>8</v>
      </c>
      <c r="B321" s="117">
        <v>41279.770833333336</v>
      </c>
      <c r="C321" s="120"/>
      <c r="D321" s="56" t="s">
        <v>643</v>
      </c>
      <c r="E321" s="120" t="s">
        <v>29</v>
      </c>
      <c r="F321" s="120" t="s">
        <v>646</v>
      </c>
      <c r="G321" s="120"/>
      <c r="H321" s="110" t="s">
        <v>647</v>
      </c>
      <c r="I321" s="117">
        <v>41279.725694444445</v>
      </c>
      <c r="J321" s="109" t="s">
        <v>53</v>
      </c>
      <c r="K321" s="6" t="s">
        <v>486</v>
      </c>
      <c r="L321" s="10" t="s">
        <v>5</v>
      </c>
      <c r="M321" s="6">
        <f t="shared" si="77"/>
        <v>0</v>
      </c>
      <c r="N321" s="6">
        <f t="shared" si="78"/>
        <v>0</v>
      </c>
      <c r="O321" s="6">
        <f t="shared" si="79"/>
        <v>1</v>
      </c>
      <c r="P321" s="6">
        <f t="shared" si="80"/>
        <v>0</v>
      </c>
      <c r="Q321" s="6">
        <f t="shared" si="81"/>
        <v>-2</v>
      </c>
      <c r="R321" s="30">
        <f t="shared" si="82"/>
        <v>-2</v>
      </c>
      <c r="S321" s="16">
        <f t="shared" si="87"/>
        <v>133.86349999999999</v>
      </c>
      <c r="T321" s="14">
        <f t="shared" si="70"/>
        <v>-42.946500000000007</v>
      </c>
      <c r="U321" s="14">
        <f t="shared" si="72"/>
        <v>-77.649999999999991</v>
      </c>
      <c r="V321" s="14">
        <f t="shared" si="83"/>
        <v>-1.3999999999999986</v>
      </c>
      <c r="W321" s="14">
        <f t="shared" si="84"/>
        <v>-52.199999999999989</v>
      </c>
      <c r="X321" s="13">
        <f t="shared" si="88"/>
        <v>-2</v>
      </c>
      <c r="Y321" s="13">
        <f t="shared" ref="Y321:Y352" si="89">IF(A321="JEAN",Y320+R321,Y320)</f>
        <v>-34.950000000000003</v>
      </c>
      <c r="Z321" s="13">
        <f t="shared" si="71"/>
        <v>-211.14650000000003</v>
      </c>
    </row>
    <row r="322" spans="1:26" ht="11.25" customHeight="1">
      <c r="A322" s="108" t="s">
        <v>8</v>
      </c>
      <c r="B322" s="117">
        <v>41279.770833333336</v>
      </c>
      <c r="C322" s="120"/>
      <c r="D322" s="56" t="s">
        <v>643</v>
      </c>
      <c r="E322" s="120" t="s">
        <v>29</v>
      </c>
      <c r="F322" s="120" t="s">
        <v>648</v>
      </c>
      <c r="G322" s="120"/>
      <c r="H322" s="110" t="s">
        <v>645</v>
      </c>
      <c r="I322" s="117">
        <v>41279.725694444445</v>
      </c>
      <c r="J322" s="109" t="s">
        <v>53</v>
      </c>
      <c r="K322" s="6" t="s">
        <v>486</v>
      </c>
      <c r="L322" s="10" t="s">
        <v>5</v>
      </c>
      <c r="M322" s="6">
        <f t="shared" si="77"/>
        <v>0</v>
      </c>
      <c r="N322" s="6">
        <f t="shared" si="78"/>
        <v>0</v>
      </c>
      <c r="O322" s="6">
        <f t="shared" si="79"/>
        <v>1</v>
      </c>
      <c r="P322" s="6">
        <f t="shared" si="80"/>
        <v>0</v>
      </c>
      <c r="Q322" s="6">
        <f t="shared" si="81"/>
        <v>-2</v>
      </c>
      <c r="R322" s="30">
        <f t="shared" si="82"/>
        <v>-2</v>
      </c>
      <c r="S322" s="16">
        <f t="shared" si="87"/>
        <v>131.86349999999999</v>
      </c>
      <c r="T322" s="14">
        <f t="shared" si="70"/>
        <v>-44.946500000000007</v>
      </c>
      <c r="U322" s="14">
        <f t="shared" si="72"/>
        <v>-77.649999999999991</v>
      </c>
      <c r="V322" s="14">
        <f t="shared" si="83"/>
        <v>-1.3999999999999986</v>
      </c>
      <c r="W322" s="14">
        <f t="shared" si="84"/>
        <v>-52.199999999999989</v>
      </c>
      <c r="X322" s="13">
        <f t="shared" si="88"/>
        <v>-2</v>
      </c>
      <c r="Y322" s="13">
        <f t="shared" si="89"/>
        <v>-34.950000000000003</v>
      </c>
      <c r="Z322" s="13">
        <f t="shared" si="71"/>
        <v>-213.14650000000003</v>
      </c>
    </row>
    <row r="323" spans="1:26" ht="11.25" customHeight="1">
      <c r="A323" s="108" t="s">
        <v>8</v>
      </c>
      <c r="B323" s="117">
        <v>41279.770833333336</v>
      </c>
      <c r="C323" s="120"/>
      <c r="D323" s="120" t="s">
        <v>654</v>
      </c>
      <c r="E323" s="120" t="s">
        <v>31</v>
      </c>
      <c r="F323" s="120" t="s">
        <v>655</v>
      </c>
      <c r="G323" s="120"/>
      <c r="H323" s="110" t="s">
        <v>656</v>
      </c>
      <c r="I323" s="117">
        <v>41279.761805555558</v>
      </c>
      <c r="J323" s="109" t="s">
        <v>53</v>
      </c>
      <c r="K323" s="6" t="s">
        <v>467</v>
      </c>
      <c r="L323" s="10" t="s">
        <v>5</v>
      </c>
      <c r="M323" s="6">
        <f t="shared" si="77"/>
        <v>0</v>
      </c>
      <c r="N323" s="6">
        <f t="shared" si="78"/>
        <v>0</v>
      </c>
      <c r="O323" s="6">
        <f t="shared" si="79"/>
        <v>1</v>
      </c>
      <c r="P323" s="6">
        <f t="shared" si="80"/>
        <v>0</v>
      </c>
      <c r="Q323" s="6">
        <f t="shared" si="81"/>
        <v>-5</v>
      </c>
      <c r="R323" s="30">
        <f t="shared" si="82"/>
        <v>-5</v>
      </c>
      <c r="S323" s="16">
        <f t="shared" si="87"/>
        <v>126.86349999999999</v>
      </c>
      <c r="T323" s="14">
        <f t="shared" si="70"/>
        <v>-49.946500000000007</v>
      </c>
      <c r="U323" s="14">
        <f t="shared" si="72"/>
        <v>-77.649999999999991</v>
      </c>
      <c r="V323" s="14">
        <f t="shared" si="83"/>
        <v>-1.3999999999999986</v>
      </c>
      <c r="W323" s="14">
        <f t="shared" si="84"/>
        <v>-52.199999999999989</v>
      </c>
      <c r="X323" s="13">
        <f t="shared" si="88"/>
        <v>-2</v>
      </c>
      <c r="Y323" s="13">
        <f t="shared" si="89"/>
        <v>-34.950000000000003</v>
      </c>
      <c r="Z323" s="13">
        <f t="shared" si="71"/>
        <v>-218.14650000000003</v>
      </c>
    </row>
    <row r="324" spans="1:26" ht="11.25" customHeight="1">
      <c r="A324" s="108" t="s">
        <v>8</v>
      </c>
      <c r="B324" s="117">
        <v>41279.864583333336</v>
      </c>
      <c r="C324" s="120"/>
      <c r="D324" s="120" t="s">
        <v>638</v>
      </c>
      <c r="E324" s="120" t="s">
        <v>178</v>
      </c>
      <c r="F324" s="120" t="s">
        <v>639</v>
      </c>
      <c r="G324" s="120"/>
      <c r="H324" s="110" t="s">
        <v>457</v>
      </c>
      <c r="I324" s="117">
        <v>41279.85</v>
      </c>
      <c r="J324" s="109" t="s">
        <v>3</v>
      </c>
      <c r="K324" s="6" t="s">
        <v>467</v>
      </c>
      <c r="L324" s="10" t="s">
        <v>5</v>
      </c>
      <c r="M324" s="6">
        <f t="shared" si="77"/>
        <v>0</v>
      </c>
      <c r="N324" s="6">
        <f t="shared" si="78"/>
        <v>0</v>
      </c>
      <c r="O324" s="6">
        <f t="shared" si="79"/>
        <v>1</v>
      </c>
      <c r="P324" s="6">
        <f t="shared" si="80"/>
        <v>0</v>
      </c>
      <c r="Q324" s="6">
        <f t="shared" si="81"/>
        <v>-5</v>
      </c>
      <c r="R324" s="30">
        <f t="shared" si="82"/>
        <v>-5</v>
      </c>
      <c r="S324" s="16">
        <f t="shared" si="87"/>
        <v>121.86349999999999</v>
      </c>
      <c r="T324" s="14">
        <f t="shared" ref="T324:T387" si="90">IF(A324="YANN",T323+R324,T323)</f>
        <v>-54.946500000000007</v>
      </c>
      <c r="U324" s="14">
        <f t="shared" si="72"/>
        <v>-77.649999999999991</v>
      </c>
      <c r="V324" s="14">
        <f t="shared" si="83"/>
        <v>-1.3999999999999986</v>
      </c>
      <c r="W324" s="14">
        <f t="shared" si="84"/>
        <v>-52.199999999999989</v>
      </c>
      <c r="X324" s="13">
        <f t="shared" si="88"/>
        <v>-2</v>
      </c>
      <c r="Y324" s="13">
        <f t="shared" si="89"/>
        <v>-34.950000000000003</v>
      </c>
      <c r="Z324" s="13">
        <f t="shared" ref="Z324:Z387" si="91">+Z323+R324</f>
        <v>-223.14650000000003</v>
      </c>
    </row>
    <row r="325" spans="1:26" ht="11.25" customHeight="1">
      <c r="A325" s="108" t="s">
        <v>8</v>
      </c>
      <c r="B325" s="117">
        <v>41279.9375</v>
      </c>
      <c r="C325" s="120"/>
      <c r="D325" s="120" t="s">
        <v>657</v>
      </c>
      <c r="E325" s="120" t="s">
        <v>150</v>
      </c>
      <c r="F325" s="120" t="s">
        <v>658</v>
      </c>
      <c r="G325" s="120"/>
      <c r="H325" s="110" t="s">
        <v>508</v>
      </c>
      <c r="I325" s="117">
        <v>41279.853472222225</v>
      </c>
      <c r="J325" s="109" t="s">
        <v>153</v>
      </c>
      <c r="K325" s="6" t="s">
        <v>467</v>
      </c>
      <c r="L325" s="10" t="s">
        <v>7</v>
      </c>
      <c r="M325" s="6">
        <f t="shared" si="77"/>
        <v>8.5</v>
      </c>
      <c r="N325" s="6">
        <f t="shared" si="78"/>
        <v>1</v>
      </c>
      <c r="O325" s="6">
        <f t="shared" si="79"/>
        <v>0</v>
      </c>
      <c r="P325" s="6">
        <f t="shared" si="80"/>
        <v>0</v>
      </c>
      <c r="Q325" s="6">
        <f t="shared" si="81"/>
        <v>3.5</v>
      </c>
      <c r="R325" s="30">
        <f t="shared" si="82"/>
        <v>3.5</v>
      </c>
      <c r="S325" s="16">
        <f t="shared" si="87"/>
        <v>125.36349999999999</v>
      </c>
      <c r="T325" s="14">
        <f t="shared" si="90"/>
        <v>-51.446500000000007</v>
      </c>
      <c r="U325" s="14">
        <f t="shared" si="72"/>
        <v>-77.649999999999991</v>
      </c>
      <c r="V325" s="14">
        <f t="shared" si="83"/>
        <v>-1.3999999999999986</v>
      </c>
      <c r="W325" s="14">
        <f t="shared" si="84"/>
        <v>-52.199999999999989</v>
      </c>
      <c r="X325" s="13">
        <f t="shared" si="88"/>
        <v>-2</v>
      </c>
      <c r="Y325" s="13">
        <f t="shared" si="89"/>
        <v>-34.950000000000003</v>
      </c>
      <c r="Z325" s="13">
        <f t="shared" si="91"/>
        <v>-219.64650000000003</v>
      </c>
    </row>
    <row r="326" spans="1:26" ht="11.25" customHeight="1">
      <c r="A326" s="108" t="s">
        <v>8</v>
      </c>
      <c r="B326" s="117">
        <v>41280.190972222219</v>
      </c>
      <c r="C326" s="120"/>
      <c r="D326" s="120" t="s">
        <v>659</v>
      </c>
      <c r="E326" s="120" t="s">
        <v>157</v>
      </c>
      <c r="F326" s="120" t="s">
        <v>660</v>
      </c>
      <c r="G326" s="120"/>
      <c r="H326" s="110" t="s">
        <v>597</v>
      </c>
      <c r="I326" s="117">
        <v>41279.861805555556</v>
      </c>
      <c r="J326" s="109" t="s">
        <v>9</v>
      </c>
      <c r="K326" s="6" t="s">
        <v>661</v>
      </c>
      <c r="L326" s="10" t="s">
        <v>5</v>
      </c>
      <c r="M326" s="6">
        <f t="shared" si="77"/>
        <v>0</v>
      </c>
      <c r="N326" s="6">
        <f t="shared" si="78"/>
        <v>0</v>
      </c>
      <c r="O326" s="6">
        <f t="shared" si="79"/>
        <v>1</v>
      </c>
      <c r="P326" s="6">
        <f t="shared" si="80"/>
        <v>0</v>
      </c>
      <c r="Q326" s="6">
        <f t="shared" si="81"/>
        <v>-3.57</v>
      </c>
      <c r="R326" s="30">
        <f t="shared" si="82"/>
        <v>-3.57</v>
      </c>
      <c r="S326" s="16">
        <f t="shared" si="87"/>
        <v>121.79349999999999</v>
      </c>
      <c r="T326" s="14">
        <f t="shared" si="90"/>
        <v>-55.016500000000008</v>
      </c>
      <c r="U326" s="14">
        <f t="shared" si="72"/>
        <v>-77.649999999999991</v>
      </c>
      <c r="V326" s="14">
        <f t="shared" si="83"/>
        <v>-1.3999999999999986</v>
      </c>
      <c r="W326" s="14">
        <f t="shared" si="84"/>
        <v>-52.199999999999989</v>
      </c>
      <c r="X326" s="13">
        <f t="shared" si="88"/>
        <v>-2</v>
      </c>
      <c r="Y326" s="13">
        <f t="shared" si="89"/>
        <v>-34.950000000000003</v>
      </c>
      <c r="Z326" s="13">
        <f t="shared" si="91"/>
        <v>-223.21650000000002</v>
      </c>
    </row>
    <row r="327" spans="1:26" ht="11.25" customHeight="1">
      <c r="A327" s="108" t="s">
        <v>8</v>
      </c>
      <c r="B327" s="117">
        <v>41280.041666666664</v>
      </c>
      <c r="C327" s="120"/>
      <c r="D327" s="120" t="s">
        <v>662</v>
      </c>
      <c r="E327" s="120" t="s">
        <v>564</v>
      </c>
      <c r="F327" s="120" t="s">
        <v>565</v>
      </c>
      <c r="G327" s="120"/>
      <c r="H327" s="110" t="s">
        <v>524</v>
      </c>
      <c r="I327" s="117">
        <v>41279.954861111109</v>
      </c>
      <c r="J327" s="109" t="s">
        <v>531</v>
      </c>
      <c r="K327" s="6" t="s">
        <v>467</v>
      </c>
      <c r="L327" s="10" t="s">
        <v>7</v>
      </c>
      <c r="M327" s="6">
        <f t="shared" si="77"/>
        <v>8</v>
      </c>
      <c r="N327" s="6">
        <f t="shared" si="78"/>
        <v>1</v>
      </c>
      <c r="O327" s="6">
        <f t="shared" si="79"/>
        <v>0</v>
      </c>
      <c r="P327" s="6">
        <f t="shared" si="80"/>
        <v>0</v>
      </c>
      <c r="Q327" s="6">
        <f t="shared" si="81"/>
        <v>3</v>
      </c>
      <c r="R327" s="30">
        <f t="shared" si="82"/>
        <v>3</v>
      </c>
      <c r="S327" s="16">
        <f t="shared" si="87"/>
        <v>124.79349999999999</v>
      </c>
      <c r="T327" s="14">
        <f t="shared" si="90"/>
        <v>-52.016500000000008</v>
      </c>
      <c r="U327" s="14">
        <f t="shared" ref="U327:U395" si="92">IF(A327="DJO",U326+R327,U326)</f>
        <v>-77.649999999999991</v>
      </c>
      <c r="V327" s="14">
        <f t="shared" si="83"/>
        <v>-1.3999999999999986</v>
      </c>
      <c r="W327" s="14">
        <f t="shared" si="84"/>
        <v>-52.199999999999989</v>
      </c>
      <c r="X327" s="13">
        <f t="shared" si="88"/>
        <v>-2</v>
      </c>
      <c r="Y327" s="13">
        <f t="shared" si="89"/>
        <v>-34.950000000000003</v>
      </c>
      <c r="Z327" s="13">
        <f t="shared" si="91"/>
        <v>-220.21650000000002</v>
      </c>
    </row>
    <row r="328" spans="1:26" ht="11.25" customHeight="1">
      <c r="A328" s="108" t="s">
        <v>8</v>
      </c>
      <c r="B328" s="117">
        <v>41280.208333333336</v>
      </c>
      <c r="C328" s="120"/>
      <c r="D328" s="120" t="s">
        <v>663</v>
      </c>
      <c r="E328" s="120" t="s">
        <v>550</v>
      </c>
      <c r="F328" s="120" t="s">
        <v>551</v>
      </c>
      <c r="G328" s="120"/>
      <c r="H328" s="110" t="s">
        <v>664</v>
      </c>
      <c r="I328" s="117">
        <v>41279.956250000003</v>
      </c>
      <c r="J328" s="109" t="s">
        <v>531</v>
      </c>
      <c r="K328" s="6" t="s">
        <v>467</v>
      </c>
      <c r="L328" s="10" t="s">
        <v>7</v>
      </c>
      <c r="M328" s="6">
        <f t="shared" si="77"/>
        <v>16.5</v>
      </c>
      <c r="N328" s="6">
        <f t="shared" si="78"/>
        <v>1</v>
      </c>
      <c r="O328" s="6">
        <f t="shared" si="79"/>
        <v>0</v>
      </c>
      <c r="P328" s="6">
        <f t="shared" si="80"/>
        <v>0</v>
      </c>
      <c r="Q328" s="6">
        <f t="shared" si="81"/>
        <v>11.5</v>
      </c>
      <c r="R328" s="30">
        <f t="shared" si="82"/>
        <v>11.5</v>
      </c>
      <c r="S328" s="16">
        <f t="shared" si="87"/>
        <v>136.29349999999999</v>
      </c>
      <c r="T328" s="14">
        <f t="shared" si="90"/>
        <v>-40.516500000000008</v>
      </c>
      <c r="U328" s="14">
        <f t="shared" si="92"/>
        <v>-77.649999999999991</v>
      </c>
      <c r="V328" s="14">
        <f t="shared" si="83"/>
        <v>-1.3999999999999986</v>
      </c>
      <c r="W328" s="14">
        <f t="shared" si="84"/>
        <v>-52.199999999999989</v>
      </c>
      <c r="X328" s="13">
        <f t="shared" si="88"/>
        <v>-2</v>
      </c>
      <c r="Y328" s="13">
        <f t="shared" si="89"/>
        <v>-34.950000000000003</v>
      </c>
      <c r="Z328" s="13">
        <f t="shared" si="91"/>
        <v>-208.71650000000002</v>
      </c>
    </row>
    <row r="329" spans="1:26" ht="11.25" customHeight="1">
      <c r="A329" s="108" t="s">
        <v>468</v>
      </c>
      <c r="B329" s="117">
        <v>41280.5</v>
      </c>
      <c r="C329" s="120"/>
      <c r="D329" s="120" t="s">
        <v>676</v>
      </c>
      <c r="E329" s="120" t="s">
        <v>31</v>
      </c>
      <c r="F329" s="120" t="s">
        <v>122</v>
      </c>
      <c r="G329" s="120"/>
      <c r="H329" s="110" t="s">
        <v>458</v>
      </c>
      <c r="I329" s="117">
        <v>41280.324999999997</v>
      </c>
      <c r="K329" s="6" t="s">
        <v>467</v>
      </c>
      <c r="L329" s="10" t="s">
        <v>7</v>
      </c>
      <c r="M329" s="6">
        <f t="shared" si="77"/>
        <v>7.75</v>
      </c>
      <c r="N329" s="6">
        <f t="shared" si="78"/>
        <v>1</v>
      </c>
      <c r="O329" s="6">
        <f t="shared" si="79"/>
        <v>0</v>
      </c>
      <c r="P329" s="6">
        <f t="shared" si="80"/>
        <v>0</v>
      </c>
      <c r="Q329" s="6">
        <f t="shared" si="81"/>
        <v>2.75</v>
      </c>
      <c r="R329" s="30">
        <f t="shared" si="82"/>
        <v>2.75</v>
      </c>
      <c r="S329" s="16">
        <f t="shared" si="87"/>
        <v>139.04349999999999</v>
      </c>
      <c r="T329" s="14">
        <f t="shared" si="90"/>
        <v>-40.516500000000008</v>
      </c>
      <c r="U329" s="14">
        <f t="shared" si="92"/>
        <v>-77.649999999999991</v>
      </c>
      <c r="V329" s="14">
        <f t="shared" si="83"/>
        <v>-1.3999999999999986</v>
      </c>
      <c r="W329" s="14">
        <f t="shared" si="84"/>
        <v>-52.199999999999989</v>
      </c>
      <c r="X329" s="13">
        <f t="shared" si="88"/>
        <v>-2</v>
      </c>
      <c r="Y329" s="13">
        <f t="shared" si="89"/>
        <v>-32.200000000000003</v>
      </c>
      <c r="Z329" s="13">
        <f t="shared" si="91"/>
        <v>-205.96650000000002</v>
      </c>
    </row>
    <row r="330" spans="1:26" ht="11.25" customHeight="1">
      <c r="A330" s="108" t="s">
        <v>468</v>
      </c>
      <c r="B330" s="117">
        <v>41282.086805555555</v>
      </c>
      <c r="C330" s="120"/>
      <c r="D330" s="120" t="s">
        <v>674</v>
      </c>
      <c r="E330" s="120" t="s">
        <v>157</v>
      </c>
      <c r="F330" s="120" t="s">
        <v>158</v>
      </c>
      <c r="G330" s="120"/>
      <c r="H330" s="110" t="s">
        <v>426</v>
      </c>
      <c r="I330" s="117">
        <v>41280.328472222223</v>
      </c>
      <c r="J330" s="109" t="s">
        <v>9</v>
      </c>
      <c r="K330" s="6" t="s">
        <v>675</v>
      </c>
      <c r="L330" s="10" t="s">
        <v>5</v>
      </c>
      <c r="M330" s="6">
        <f t="shared" si="77"/>
        <v>0</v>
      </c>
      <c r="N330" s="6">
        <f t="shared" si="78"/>
        <v>0</v>
      </c>
      <c r="O330" s="6">
        <f t="shared" si="79"/>
        <v>1</v>
      </c>
      <c r="P330" s="6">
        <f t="shared" si="80"/>
        <v>0</v>
      </c>
      <c r="Q330" s="6">
        <f t="shared" si="81"/>
        <v>-3.5</v>
      </c>
      <c r="R330" s="30">
        <f t="shared" si="82"/>
        <v>-3.5</v>
      </c>
      <c r="S330" s="16">
        <f t="shared" si="87"/>
        <v>135.54349999999999</v>
      </c>
      <c r="T330" s="14">
        <f t="shared" si="90"/>
        <v>-40.516500000000008</v>
      </c>
      <c r="U330" s="14">
        <f t="shared" si="92"/>
        <v>-77.649999999999991</v>
      </c>
      <c r="V330" s="14">
        <f t="shared" si="83"/>
        <v>-1.3999999999999986</v>
      </c>
      <c r="W330" s="14">
        <f t="shared" si="84"/>
        <v>-52.199999999999989</v>
      </c>
      <c r="X330" s="13">
        <f t="shared" si="88"/>
        <v>-2</v>
      </c>
      <c r="Y330" s="13">
        <f t="shared" si="89"/>
        <v>-35.700000000000003</v>
      </c>
      <c r="Z330" s="13">
        <f t="shared" si="91"/>
        <v>-209.46650000000002</v>
      </c>
    </row>
    <row r="331" spans="1:26" ht="11.25" customHeight="1">
      <c r="A331" s="108" t="s">
        <v>8</v>
      </c>
      <c r="B331" s="117">
        <v>41280.5</v>
      </c>
      <c r="C331" s="120"/>
      <c r="D331" s="120" t="s">
        <v>665</v>
      </c>
      <c r="E331" s="120" t="s">
        <v>31</v>
      </c>
      <c r="F331" s="120" t="s">
        <v>666</v>
      </c>
      <c r="G331" s="120"/>
      <c r="H331" s="110" t="s">
        <v>411</v>
      </c>
      <c r="I331" s="117">
        <v>41280.481944444444</v>
      </c>
      <c r="J331" s="109" t="s">
        <v>3</v>
      </c>
      <c r="K331" s="6" t="s">
        <v>467</v>
      </c>
      <c r="L331" s="10" t="s">
        <v>7</v>
      </c>
      <c r="M331" s="6">
        <f t="shared" si="77"/>
        <v>8.6</v>
      </c>
      <c r="N331" s="6">
        <f t="shared" si="78"/>
        <v>1</v>
      </c>
      <c r="O331" s="6">
        <f t="shared" si="79"/>
        <v>0</v>
      </c>
      <c r="P331" s="6">
        <f t="shared" si="80"/>
        <v>0</v>
      </c>
      <c r="Q331" s="6">
        <f t="shared" si="81"/>
        <v>3.5999999999999996</v>
      </c>
      <c r="R331" s="30">
        <f t="shared" si="82"/>
        <v>3.5999999999999996</v>
      </c>
      <c r="S331" s="16">
        <f t="shared" ref="S331:S362" si="93">IF(L331=0,S330-K331,S330+M331-K331)</f>
        <v>139.14349999999999</v>
      </c>
      <c r="T331" s="14">
        <f t="shared" si="90"/>
        <v>-36.916500000000006</v>
      </c>
      <c r="U331" s="14">
        <f t="shared" si="92"/>
        <v>-77.649999999999991</v>
      </c>
      <c r="V331" s="14">
        <f t="shared" si="83"/>
        <v>-1.3999999999999986</v>
      </c>
      <c r="W331" s="14">
        <f t="shared" si="84"/>
        <v>-52.199999999999989</v>
      </c>
      <c r="X331" s="13">
        <f t="shared" si="88"/>
        <v>-2</v>
      </c>
      <c r="Y331" s="13">
        <f t="shared" si="89"/>
        <v>-35.700000000000003</v>
      </c>
      <c r="Z331" s="13">
        <f t="shared" si="91"/>
        <v>-205.86650000000003</v>
      </c>
    </row>
    <row r="332" spans="1:26" ht="11.25" customHeight="1">
      <c r="A332" s="108" t="s">
        <v>8</v>
      </c>
      <c r="B332" s="117">
        <v>41280.527777777781</v>
      </c>
      <c r="C332" s="120"/>
      <c r="D332" s="120" t="s">
        <v>667</v>
      </c>
      <c r="E332" s="120" t="s">
        <v>29</v>
      </c>
      <c r="F332" s="120" t="s">
        <v>668</v>
      </c>
      <c r="G332" s="120"/>
      <c r="H332" s="110" t="s">
        <v>669</v>
      </c>
      <c r="I332" s="117">
        <v>41280.484027777777</v>
      </c>
      <c r="J332" s="109" t="s">
        <v>9</v>
      </c>
      <c r="K332" s="6" t="s">
        <v>486</v>
      </c>
      <c r="L332" s="10" t="s">
        <v>7</v>
      </c>
      <c r="M332" s="6">
        <f t="shared" si="77"/>
        <v>9</v>
      </c>
      <c r="N332" s="6">
        <f t="shared" si="78"/>
        <v>1</v>
      </c>
      <c r="O332" s="6">
        <f t="shared" si="79"/>
        <v>0</v>
      </c>
      <c r="P332" s="6">
        <f t="shared" si="80"/>
        <v>0</v>
      </c>
      <c r="Q332" s="6">
        <f t="shared" si="81"/>
        <v>7</v>
      </c>
      <c r="R332" s="30">
        <f t="shared" si="82"/>
        <v>7</v>
      </c>
      <c r="S332" s="16">
        <f t="shared" si="93"/>
        <v>146.14349999999999</v>
      </c>
      <c r="T332" s="14">
        <f t="shared" si="90"/>
        <v>-29.916500000000006</v>
      </c>
      <c r="U332" s="14">
        <f t="shared" si="92"/>
        <v>-77.649999999999991</v>
      </c>
      <c r="V332" s="14">
        <f t="shared" si="83"/>
        <v>-1.3999999999999986</v>
      </c>
      <c r="W332" s="14">
        <f t="shared" si="84"/>
        <v>-52.199999999999989</v>
      </c>
      <c r="X332" s="13">
        <f t="shared" si="88"/>
        <v>-2</v>
      </c>
      <c r="Y332" s="13">
        <f t="shared" si="89"/>
        <v>-35.700000000000003</v>
      </c>
      <c r="Z332" s="13">
        <f t="shared" si="91"/>
        <v>-198.86650000000003</v>
      </c>
    </row>
    <row r="333" spans="1:26" ht="11.25" customHeight="1">
      <c r="A333" s="108" t="s">
        <v>8</v>
      </c>
      <c r="B333" s="117">
        <v>41280.527777777781</v>
      </c>
      <c r="C333" s="120"/>
      <c r="D333" s="120" t="s">
        <v>667</v>
      </c>
      <c r="E333" s="120" t="s">
        <v>29</v>
      </c>
      <c r="F333" s="120" t="s">
        <v>670</v>
      </c>
      <c r="G333" s="120"/>
      <c r="H333" s="110" t="s">
        <v>513</v>
      </c>
      <c r="I333" s="117">
        <v>41280.484027777777</v>
      </c>
      <c r="J333" s="109" t="s">
        <v>9</v>
      </c>
      <c r="K333" s="6" t="s">
        <v>486</v>
      </c>
      <c r="L333" s="10" t="s">
        <v>5</v>
      </c>
      <c r="M333" s="6">
        <f t="shared" si="77"/>
        <v>0</v>
      </c>
      <c r="N333" s="6">
        <f t="shared" si="78"/>
        <v>0</v>
      </c>
      <c r="O333" s="6">
        <f t="shared" si="79"/>
        <v>1</v>
      </c>
      <c r="P333" s="6">
        <f t="shared" si="80"/>
        <v>0</v>
      </c>
      <c r="Q333" s="6">
        <f t="shared" si="81"/>
        <v>-2</v>
      </c>
      <c r="R333" s="30">
        <f t="shared" si="82"/>
        <v>-2</v>
      </c>
      <c r="S333" s="16">
        <f t="shared" si="93"/>
        <v>144.14349999999999</v>
      </c>
      <c r="T333" s="14">
        <f t="shared" si="90"/>
        <v>-31.916500000000006</v>
      </c>
      <c r="U333" s="14">
        <f t="shared" si="92"/>
        <v>-77.649999999999991</v>
      </c>
      <c r="V333" s="14">
        <f t="shared" si="83"/>
        <v>-1.3999999999999986</v>
      </c>
      <c r="W333" s="14">
        <f t="shared" si="84"/>
        <v>-52.199999999999989</v>
      </c>
      <c r="X333" s="13">
        <f t="shared" si="88"/>
        <v>-2</v>
      </c>
      <c r="Y333" s="13">
        <f t="shared" si="89"/>
        <v>-35.700000000000003</v>
      </c>
      <c r="Z333" s="13">
        <f t="shared" si="91"/>
        <v>-200.86650000000003</v>
      </c>
    </row>
    <row r="334" spans="1:26" ht="11.25" customHeight="1">
      <c r="A334" s="108" t="s">
        <v>8</v>
      </c>
      <c r="B334" s="117">
        <v>41280.527777777781</v>
      </c>
      <c r="C334" s="120"/>
      <c r="D334" s="120" t="s">
        <v>667</v>
      </c>
      <c r="E334" s="120" t="s">
        <v>29</v>
      </c>
      <c r="F334" s="120" t="s">
        <v>671</v>
      </c>
      <c r="G334" s="120"/>
      <c r="H334" s="110" t="s">
        <v>511</v>
      </c>
      <c r="I334" s="117">
        <v>41280.484027777777</v>
      </c>
      <c r="J334" s="109" t="s">
        <v>9</v>
      </c>
      <c r="K334" s="6" t="s">
        <v>486</v>
      </c>
      <c r="L334" s="10" t="s">
        <v>5</v>
      </c>
      <c r="M334" s="6">
        <f t="shared" ref="M334:M335" si="94">IF(L334="PERDU",0,K334*H334)</f>
        <v>0</v>
      </c>
      <c r="N334" s="6">
        <f t="shared" ref="N334:N335" si="95">IF(L334="BON",1,0)</f>
        <v>0</v>
      </c>
      <c r="O334" s="6">
        <f t="shared" ref="O334:O335" si="96">IF(L334="PERDU",1,0)</f>
        <v>1</v>
      </c>
      <c r="P334" s="6">
        <f t="shared" ref="P334:P335" si="97">IF(M334&gt;L334,1,0)</f>
        <v>0</v>
      </c>
      <c r="Q334" s="6">
        <f t="shared" ref="Q334:Q335" si="98">IF(L334="",0,R334)</f>
        <v>-2</v>
      </c>
      <c r="R334" s="30">
        <f t="shared" ref="R334:R335" si="99">IF(L334=0,K334*-1,M334-K334)</f>
        <v>-2</v>
      </c>
      <c r="S334" s="16">
        <f t="shared" si="93"/>
        <v>142.14349999999999</v>
      </c>
      <c r="T334" s="14">
        <f t="shared" si="90"/>
        <v>-33.916500000000006</v>
      </c>
      <c r="U334" s="14">
        <f t="shared" si="92"/>
        <v>-77.649999999999991</v>
      </c>
      <c r="V334" s="14">
        <f t="shared" si="83"/>
        <v>-1.3999999999999986</v>
      </c>
      <c r="W334" s="14">
        <f t="shared" si="84"/>
        <v>-52.199999999999989</v>
      </c>
      <c r="X334" s="13">
        <f t="shared" si="88"/>
        <v>-2</v>
      </c>
      <c r="Y334" s="13">
        <f t="shared" si="89"/>
        <v>-35.700000000000003</v>
      </c>
      <c r="Z334" s="13">
        <f t="shared" si="91"/>
        <v>-202.86650000000003</v>
      </c>
    </row>
    <row r="335" spans="1:26" ht="11.25" customHeight="1">
      <c r="A335" s="108" t="s">
        <v>8</v>
      </c>
      <c r="B335" s="117">
        <v>41280.666666666664</v>
      </c>
      <c r="C335" s="120"/>
      <c r="D335" s="120" t="s">
        <v>672</v>
      </c>
      <c r="E335" s="120" t="s">
        <v>27</v>
      </c>
      <c r="F335" s="120" t="s">
        <v>673</v>
      </c>
      <c r="G335" s="120"/>
      <c r="H335" s="110" t="s">
        <v>633</v>
      </c>
      <c r="I335" s="117">
        <v>41280.498611111114</v>
      </c>
      <c r="J335" s="109" t="s">
        <v>3</v>
      </c>
      <c r="K335" s="6" t="s">
        <v>467</v>
      </c>
      <c r="L335" s="10" t="s">
        <v>5</v>
      </c>
      <c r="M335" s="6">
        <f t="shared" si="94"/>
        <v>0</v>
      </c>
      <c r="N335" s="6">
        <f t="shared" si="95"/>
        <v>0</v>
      </c>
      <c r="O335" s="6">
        <f t="shared" si="96"/>
        <v>1</v>
      </c>
      <c r="P335" s="6">
        <f t="shared" si="97"/>
        <v>0</v>
      </c>
      <c r="Q335" s="6">
        <f t="shared" si="98"/>
        <v>-5</v>
      </c>
      <c r="R335" s="30">
        <f t="shared" si="99"/>
        <v>-5</v>
      </c>
      <c r="S335" s="16">
        <f t="shared" si="93"/>
        <v>137.14349999999999</v>
      </c>
      <c r="T335" s="14">
        <f t="shared" si="90"/>
        <v>-38.916500000000006</v>
      </c>
      <c r="U335" s="14">
        <f t="shared" si="92"/>
        <v>-77.649999999999991</v>
      </c>
      <c r="V335" s="14">
        <f t="shared" si="83"/>
        <v>-1.3999999999999986</v>
      </c>
      <c r="W335" s="14">
        <f t="shared" si="84"/>
        <v>-52.199999999999989</v>
      </c>
      <c r="X335" s="13">
        <f t="shared" si="88"/>
        <v>-2</v>
      </c>
      <c r="Y335" s="13">
        <f t="shared" si="89"/>
        <v>-35.700000000000003</v>
      </c>
      <c r="Z335" s="13">
        <f t="shared" si="91"/>
        <v>-207.86650000000003</v>
      </c>
    </row>
    <row r="336" spans="1:26" ht="11.25" customHeight="1">
      <c r="A336" s="108" t="s">
        <v>8</v>
      </c>
      <c r="B336" s="117">
        <v>41280.791666666664</v>
      </c>
      <c r="C336" s="120"/>
      <c r="D336" s="120" t="s">
        <v>678</v>
      </c>
      <c r="E336" s="120" t="s">
        <v>29</v>
      </c>
      <c r="F336" s="120" t="s">
        <v>679</v>
      </c>
      <c r="G336" s="120"/>
      <c r="H336" s="110" t="s">
        <v>681</v>
      </c>
      <c r="I336" s="117">
        <v>41280.737500000003</v>
      </c>
      <c r="J336" s="109" t="s">
        <v>9</v>
      </c>
      <c r="K336" s="6" t="s">
        <v>486</v>
      </c>
      <c r="L336" s="10" t="s">
        <v>7</v>
      </c>
      <c r="M336" s="6">
        <f t="shared" ref="M336:M346" si="100">IF(L336="PERDU",0,K336*H336)</f>
        <v>20</v>
      </c>
      <c r="N336" s="6">
        <f t="shared" ref="N336:N346" si="101">IF(L336="BON",1,0)</f>
        <v>1</v>
      </c>
      <c r="O336" s="6">
        <f t="shared" ref="O336:O346" si="102">IF(L336="PERDU",1,0)</f>
        <v>0</v>
      </c>
      <c r="P336" s="6">
        <f t="shared" ref="P336:P346" si="103">IF(M336&gt;L336,1,0)</f>
        <v>0</v>
      </c>
      <c r="Q336" s="6">
        <f t="shared" ref="Q336:Q346" si="104">IF(L336="",0,R336)</f>
        <v>18</v>
      </c>
      <c r="R336" s="30">
        <f t="shared" ref="R336:R346" si="105">IF(L336=0,K336*-1,M336-K336)</f>
        <v>18</v>
      </c>
      <c r="S336" s="16">
        <f t="shared" si="93"/>
        <v>155.14349999999999</v>
      </c>
      <c r="T336" s="14">
        <f t="shared" si="90"/>
        <v>-20.916500000000006</v>
      </c>
      <c r="U336" s="14">
        <f t="shared" si="92"/>
        <v>-77.649999999999991</v>
      </c>
      <c r="V336" s="14">
        <f t="shared" si="83"/>
        <v>-1.3999999999999986</v>
      </c>
      <c r="W336" s="14">
        <f t="shared" si="84"/>
        <v>-52.199999999999989</v>
      </c>
      <c r="X336" s="13">
        <f t="shared" si="88"/>
        <v>-2</v>
      </c>
      <c r="Y336" s="13">
        <f t="shared" si="89"/>
        <v>-35.700000000000003</v>
      </c>
      <c r="Z336" s="13">
        <f t="shared" si="91"/>
        <v>-189.86650000000003</v>
      </c>
    </row>
    <row r="337" spans="1:26" ht="11.25" customHeight="1">
      <c r="A337" s="108" t="s">
        <v>8</v>
      </c>
      <c r="B337" s="117">
        <v>41280.875</v>
      </c>
      <c r="C337" s="120"/>
      <c r="D337" s="120" t="s">
        <v>682</v>
      </c>
      <c r="E337" s="120" t="s">
        <v>29</v>
      </c>
      <c r="F337" s="120" t="s">
        <v>132</v>
      </c>
      <c r="G337" s="120"/>
      <c r="H337" s="110" t="s">
        <v>683</v>
      </c>
      <c r="I337" s="117">
        <v>41280.740277777775</v>
      </c>
      <c r="J337" s="109" t="s">
        <v>53</v>
      </c>
      <c r="K337" s="6" t="s">
        <v>486</v>
      </c>
      <c r="L337" s="10" t="s">
        <v>5</v>
      </c>
      <c r="M337" s="6">
        <f t="shared" si="100"/>
        <v>0</v>
      </c>
      <c r="N337" s="6">
        <f t="shared" si="101"/>
        <v>0</v>
      </c>
      <c r="O337" s="6">
        <f t="shared" si="102"/>
        <v>1</v>
      </c>
      <c r="P337" s="6">
        <f t="shared" si="103"/>
        <v>0</v>
      </c>
      <c r="Q337" s="6">
        <f t="shared" si="104"/>
        <v>-2</v>
      </c>
      <c r="R337" s="30">
        <f t="shared" si="105"/>
        <v>-2</v>
      </c>
      <c r="S337" s="16">
        <f t="shared" si="93"/>
        <v>153.14349999999999</v>
      </c>
      <c r="T337" s="14">
        <f t="shared" si="90"/>
        <v>-22.916500000000006</v>
      </c>
      <c r="U337" s="14">
        <f t="shared" si="92"/>
        <v>-77.649999999999991</v>
      </c>
      <c r="V337" s="14">
        <f t="shared" si="83"/>
        <v>-1.3999999999999986</v>
      </c>
      <c r="W337" s="14">
        <f t="shared" si="84"/>
        <v>-52.199999999999989</v>
      </c>
      <c r="X337" s="13">
        <f t="shared" si="88"/>
        <v>-2</v>
      </c>
      <c r="Y337" s="13">
        <f t="shared" si="89"/>
        <v>-35.700000000000003</v>
      </c>
      <c r="Z337" s="13">
        <f t="shared" si="91"/>
        <v>-191.86650000000003</v>
      </c>
    </row>
    <row r="338" spans="1:26" ht="11.25" customHeight="1">
      <c r="A338" s="108" t="s">
        <v>8</v>
      </c>
      <c r="B338" s="117">
        <v>41280.875</v>
      </c>
      <c r="C338" s="120"/>
      <c r="D338" s="120" t="s">
        <v>682</v>
      </c>
      <c r="E338" s="120" t="s">
        <v>29</v>
      </c>
      <c r="F338" s="120" t="s">
        <v>684</v>
      </c>
      <c r="G338" s="120"/>
      <c r="H338" s="110" t="s">
        <v>685</v>
      </c>
      <c r="I338" s="117">
        <v>41280.740277777775</v>
      </c>
      <c r="J338" s="109" t="s">
        <v>53</v>
      </c>
      <c r="K338" s="6" t="s">
        <v>486</v>
      </c>
      <c r="L338" s="10" t="s">
        <v>5</v>
      </c>
      <c r="M338" s="6">
        <f t="shared" si="100"/>
        <v>0</v>
      </c>
      <c r="N338" s="6">
        <f t="shared" si="101"/>
        <v>0</v>
      </c>
      <c r="O338" s="6">
        <f t="shared" si="102"/>
        <v>1</v>
      </c>
      <c r="P338" s="6">
        <f t="shared" si="103"/>
        <v>0</v>
      </c>
      <c r="Q338" s="6">
        <f t="shared" si="104"/>
        <v>-2</v>
      </c>
      <c r="R338" s="30">
        <f t="shared" si="105"/>
        <v>-2</v>
      </c>
      <c r="S338" s="16">
        <f t="shared" si="93"/>
        <v>151.14349999999999</v>
      </c>
      <c r="T338" s="14">
        <f t="shared" si="90"/>
        <v>-24.916500000000006</v>
      </c>
      <c r="U338" s="14">
        <f t="shared" si="92"/>
        <v>-77.649999999999991</v>
      </c>
      <c r="V338" s="14">
        <f t="shared" si="83"/>
        <v>-1.3999999999999986</v>
      </c>
      <c r="W338" s="14">
        <f t="shared" si="84"/>
        <v>-52.199999999999989</v>
      </c>
      <c r="X338" s="13">
        <f t="shared" si="88"/>
        <v>-2</v>
      </c>
      <c r="Y338" s="13">
        <f t="shared" si="89"/>
        <v>-35.700000000000003</v>
      </c>
      <c r="Z338" s="13">
        <f t="shared" si="91"/>
        <v>-193.86650000000003</v>
      </c>
    </row>
    <row r="339" spans="1:26" ht="11.25" customHeight="1">
      <c r="A339" s="108" t="s">
        <v>8</v>
      </c>
      <c r="B339" s="117">
        <v>41280.875</v>
      </c>
      <c r="C339" s="120"/>
      <c r="D339" s="120" t="s">
        <v>682</v>
      </c>
      <c r="E339" s="120" t="s">
        <v>29</v>
      </c>
      <c r="F339" s="120" t="s">
        <v>686</v>
      </c>
      <c r="G339" s="120"/>
      <c r="H339" s="110" t="s">
        <v>618</v>
      </c>
      <c r="I339" s="117">
        <v>41280.740277777775</v>
      </c>
      <c r="J339" s="109" t="s">
        <v>53</v>
      </c>
      <c r="K339" s="6" t="s">
        <v>486</v>
      </c>
      <c r="L339" s="10" t="s">
        <v>5</v>
      </c>
      <c r="M339" s="6">
        <f t="shared" si="100"/>
        <v>0</v>
      </c>
      <c r="N339" s="6">
        <f t="shared" si="101"/>
        <v>0</v>
      </c>
      <c r="O339" s="6">
        <f t="shared" si="102"/>
        <v>1</v>
      </c>
      <c r="P339" s="6">
        <f t="shared" si="103"/>
        <v>0</v>
      </c>
      <c r="Q339" s="6">
        <f t="shared" si="104"/>
        <v>-2</v>
      </c>
      <c r="R339" s="30">
        <f t="shared" si="105"/>
        <v>-2</v>
      </c>
      <c r="S339" s="16">
        <f t="shared" si="93"/>
        <v>149.14349999999999</v>
      </c>
      <c r="T339" s="14">
        <f t="shared" si="90"/>
        <v>-26.916500000000006</v>
      </c>
      <c r="U339" s="14">
        <f t="shared" si="92"/>
        <v>-77.649999999999991</v>
      </c>
      <c r="V339" s="14">
        <f t="shared" si="83"/>
        <v>-1.3999999999999986</v>
      </c>
      <c r="W339" s="14">
        <f t="shared" si="84"/>
        <v>-52.199999999999989</v>
      </c>
      <c r="X339" s="13">
        <f t="shared" si="88"/>
        <v>-2</v>
      </c>
      <c r="Y339" s="13">
        <f t="shared" si="89"/>
        <v>-35.700000000000003</v>
      </c>
      <c r="Z339" s="13">
        <f t="shared" si="91"/>
        <v>-195.86650000000003</v>
      </c>
    </row>
    <row r="340" spans="1:26" ht="11.25" customHeight="1">
      <c r="A340" s="108" t="s">
        <v>8</v>
      </c>
      <c r="B340" s="117">
        <v>41280.864583333336</v>
      </c>
      <c r="C340" s="120"/>
      <c r="D340" s="120" t="s">
        <v>694</v>
      </c>
      <c r="E340" s="120" t="s">
        <v>129</v>
      </c>
      <c r="F340" s="120" t="s">
        <v>695</v>
      </c>
      <c r="G340" s="120"/>
      <c r="H340" s="110" t="s">
        <v>685</v>
      </c>
      <c r="I340" s="117">
        <v>41280.804166666669</v>
      </c>
      <c r="J340" s="109" t="s">
        <v>3</v>
      </c>
      <c r="K340" s="6" t="s">
        <v>467</v>
      </c>
      <c r="L340" s="10" t="s">
        <v>5</v>
      </c>
      <c r="M340" s="6">
        <f t="shared" si="100"/>
        <v>0</v>
      </c>
      <c r="N340" s="6">
        <f t="shared" si="101"/>
        <v>0</v>
      </c>
      <c r="O340" s="6">
        <f t="shared" si="102"/>
        <v>1</v>
      </c>
      <c r="P340" s="6">
        <f t="shared" si="103"/>
        <v>0</v>
      </c>
      <c r="Q340" s="6">
        <f t="shared" si="104"/>
        <v>-5</v>
      </c>
      <c r="R340" s="30">
        <f t="shared" si="105"/>
        <v>-5</v>
      </c>
      <c r="S340" s="16">
        <f t="shared" si="93"/>
        <v>144.14349999999999</v>
      </c>
      <c r="T340" s="14">
        <f t="shared" si="90"/>
        <v>-31.916500000000006</v>
      </c>
      <c r="U340" s="14">
        <f t="shared" si="92"/>
        <v>-77.649999999999991</v>
      </c>
      <c r="V340" s="14">
        <f t="shared" si="83"/>
        <v>-1.3999999999999986</v>
      </c>
      <c r="W340" s="14">
        <f t="shared" si="84"/>
        <v>-52.199999999999989</v>
      </c>
      <c r="X340" s="13">
        <f t="shared" si="88"/>
        <v>-2</v>
      </c>
      <c r="Y340" s="13">
        <f t="shared" si="89"/>
        <v>-35.700000000000003</v>
      </c>
      <c r="Z340" s="13">
        <f t="shared" si="91"/>
        <v>-200.86650000000003</v>
      </c>
    </row>
    <row r="341" spans="1:26">
      <c r="A341" s="108" t="s">
        <v>8</v>
      </c>
      <c r="B341" s="117">
        <v>41280.875</v>
      </c>
      <c r="C341" s="120"/>
      <c r="D341" s="120" t="s">
        <v>693</v>
      </c>
      <c r="E341" s="120" t="s">
        <v>117</v>
      </c>
      <c r="F341" s="120" t="s">
        <v>219</v>
      </c>
      <c r="G341" s="120"/>
      <c r="H341" s="110" t="s">
        <v>505</v>
      </c>
      <c r="I341" s="117">
        <v>41280.817361111112</v>
      </c>
      <c r="J341" s="109" t="s">
        <v>3</v>
      </c>
      <c r="K341" s="6" t="s">
        <v>467</v>
      </c>
      <c r="L341" s="10" t="s">
        <v>7</v>
      </c>
      <c r="M341" s="6">
        <f t="shared" si="100"/>
        <v>9</v>
      </c>
      <c r="N341" s="6">
        <f t="shared" si="101"/>
        <v>1</v>
      </c>
      <c r="O341" s="6">
        <f t="shared" si="102"/>
        <v>0</v>
      </c>
      <c r="P341" s="6">
        <f t="shared" si="103"/>
        <v>0</v>
      </c>
      <c r="Q341" s="6">
        <f t="shared" si="104"/>
        <v>4</v>
      </c>
      <c r="R341" s="30">
        <f t="shared" si="105"/>
        <v>4</v>
      </c>
      <c r="S341" s="16">
        <f t="shared" si="93"/>
        <v>148.14349999999999</v>
      </c>
      <c r="T341" s="14">
        <f t="shared" si="90"/>
        <v>-27.916500000000006</v>
      </c>
      <c r="U341" s="14">
        <f t="shared" si="92"/>
        <v>-77.649999999999991</v>
      </c>
      <c r="V341" s="14">
        <f t="shared" ref="V341:V395" si="106">IF(A341="PHANE",V340+R341,V340)</f>
        <v>-1.3999999999999986</v>
      </c>
      <c r="W341" s="14">
        <f t="shared" si="84"/>
        <v>-52.199999999999989</v>
      </c>
      <c r="X341" s="13">
        <f t="shared" si="88"/>
        <v>-2</v>
      </c>
      <c r="Y341" s="13">
        <f t="shared" si="89"/>
        <v>-35.700000000000003</v>
      </c>
      <c r="Z341" s="13">
        <f t="shared" si="91"/>
        <v>-196.86650000000003</v>
      </c>
    </row>
    <row r="342" spans="1:26" ht="11.25" customHeight="1">
      <c r="A342" s="108" t="s">
        <v>468</v>
      </c>
      <c r="B342" s="117">
        <v>41281.375</v>
      </c>
      <c r="C342" s="120"/>
      <c r="D342" s="120" t="s">
        <v>703</v>
      </c>
      <c r="E342" s="120" t="s">
        <v>545</v>
      </c>
      <c r="F342" s="120" t="s">
        <v>704</v>
      </c>
      <c r="G342" s="120"/>
      <c r="H342" s="110" t="s">
        <v>416</v>
      </c>
      <c r="I342" s="117">
        <v>41281.351388888892</v>
      </c>
      <c r="J342" s="109" t="s">
        <v>531</v>
      </c>
      <c r="K342" s="6" t="s">
        <v>467</v>
      </c>
      <c r="L342" s="10" t="s">
        <v>7</v>
      </c>
      <c r="M342" s="6">
        <f t="shared" si="100"/>
        <v>6.65</v>
      </c>
      <c r="N342" s="6">
        <f t="shared" si="101"/>
        <v>1</v>
      </c>
      <c r="O342" s="6">
        <f t="shared" si="102"/>
        <v>0</v>
      </c>
      <c r="P342" s="6">
        <f t="shared" si="103"/>
        <v>0</v>
      </c>
      <c r="Q342" s="6">
        <f t="shared" si="104"/>
        <v>1.6500000000000004</v>
      </c>
      <c r="R342" s="30">
        <f t="shared" si="105"/>
        <v>1.6500000000000004</v>
      </c>
      <c r="S342" s="16">
        <f t="shared" si="93"/>
        <v>149.79349999999999</v>
      </c>
      <c r="T342" s="14">
        <f t="shared" si="90"/>
        <v>-27.916500000000006</v>
      </c>
      <c r="U342" s="14">
        <f t="shared" si="92"/>
        <v>-77.649999999999991</v>
      </c>
      <c r="V342" s="14">
        <f t="shared" si="106"/>
        <v>-1.3999999999999986</v>
      </c>
      <c r="W342" s="14">
        <f t="shared" si="84"/>
        <v>-52.199999999999989</v>
      </c>
      <c r="X342" s="13">
        <f t="shared" si="88"/>
        <v>-2</v>
      </c>
      <c r="Y342" s="13">
        <f t="shared" si="89"/>
        <v>-34.050000000000004</v>
      </c>
      <c r="Z342" s="13">
        <f t="shared" si="91"/>
        <v>-195.21650000000002</v>
      </c>
    </row>
    <row r="343" spans="1:26" ht="11.25" customHeight="1">
      <c r="A343" s="108" t="s">
        <v>468</v>
      </c>
      <c r="B343" s="117">
        <v>41281.770833333336</v>
      </c>
      <c r="C343" s="120"/>
      <c r="D343" s="120" t="s">
        <v>696</v>
      </c>
      <c r="E343" s="120" t="s">
        <v>31</v>
      </c>
      <c r="F343" s="120" t="s">
        <v>705</v>
      </c>
      <c r="G343" s="120"/>
      <c r="H343" s="110" t="s">
        <v>411</v>
      </c>
      <c r="I343" s="117">
        <v>41281.591666666667</v>
      </c>
      <c r="J343" s="109" t="s">
        <v>3</v>
      </c>
      <c r="K343" s="6" t="s">
        <v>467</v>
      </c>
      <c r="L343" s="10" t="s">
        <v>7</v>
      </c>
      <c r="M343" s="6">
        <f t="shared" si="100"/>
        <v>8.6</v>
      </c>
      <c r="N343" s="6">
        <f t="shared" si="101"/>
        <v>1</v>
      </c>
      <c r="O343" s="6">
        <f t="shared" si="102"/>
        <v>0</v>
      </c>
      <c r="P343" s="6">
        <f t="shared" si="103"/>
        <v>0</v>
      </c>
      <c r="Q343" s="6">
        <f t="shared" si="104"/>
        <v>3.5999999999999996</v>
      </c>
      <c r="R343" s="30">
        <f t="shared" si="105"/>
        <v>3.5999999999999996</v>
      </c>
      <c r="S343" s="16">
        <f t="shared" si="93"/>
        <v>153.39349999999999</v>
      </c>
      <c r="T343" s="14">
        <f t="shared" si="90"/>
        <v>-27.916500000000006</v>
      </c>
      <c r="U343" s="14">
        <f t="shared" si="92"/>
        <v>-77.649999999999991</v>
      </c>
      <c r="V343" s="14">
        <f t="shared" si="106"/>
        <v>-1.3999999999999986</v>
      </c>
      <c r="W343" s="14">
        <f t="shared" si="84"/>
        <v>-52.199999999999989</v>
      </c>
      <c r="X343" s="13">
        <f t="shared" si="88"/>
        <v>-2</v>
      </c>
      <c r="Y343" s="13">
        <f t="shared" si="89"/>
        <v>-30.450000000000003</v>
      </c>
      <c r="Z343" s="13">
        <f t="shared" si="91"/>
        <v>-191.61650000000003</v>
      </c>
    </row>
    <row r="344" spans="1:26" ht="11.25" customHeight="1">
      <c r="A344" s="108" t="s">
        <v>8</v>
      </c>
      <c r="B344" s="117">
        <v>41281.770833333336</v>
      </c>
      <c r="C344" s="120"/>
      <c r="D344" s="120" t="s">
        <v>696</v>
      </c>
      <c r="E344" s="120" t="s">
        <v>129</v>
      </c>
      <c r="F344" s="120" t="s">
        <v>130</v>
      </c>
      <c r="G344" s="120"/>
      <c r="H344" s="110" t="s">
        <v>697</v>
      </c>
      <c r="I344" s="117">
        <v>41281.717361111114</v>
      </c>
      <c r="J344" s="109" t="s">
        <v>3</v>
      </c>
      <c r="K344" s="6" t="s">
        <v>467</v>
      </c>
      <c r="L344" s="10" t="s">
        <v>7</v>
      </c>
      <c r="M344" s="6">
        <f t="shared" si="100"/>
        <v>17</v>
      </c>
      <c r="N344" s="6">
        <f t="shared" si="101"/>
        <v>1</v>
      </c>
      <c r="O344" s="6">
        <f t="shared" si="102"/>
        <v>0</v>
      </c>
      <c r="P344" s="6">
        <f t="shared" si="103"/>
        <v>0</v>
      </c>
      <c r="Q344" s="6">
        <f t="shared" si="104"/>
        <v>12</v>
      </c>
      <c r="R344" s="30">
        <f t="shared" si="105"/>
        <v>12</v>
      </c>
      <c r="S344" s="16">
        <f t="shared" si="93"/>
        <v>165.39349999999999</v>
      </c>
      <c r="T344" s="14">
        <f t="shared" si="90"/>
        <v>-15.916500000000006</v>
      </c>
      <c r="U344" s="14">
        <f t="shared" si="92"/>
        <v>-77.649999999999991</v>
      </c>
      <c r="V344" s="14">
        <f t="shared" si="106"/>
        <v>-1.3999999999999986</v>
      </c>
      <c r="W344" s="14">
        <f t="shared" si="84"/>
        <v>-52.199999999999989</v>
      </c>
      <c r="X344" s="13">
        <f t="shared" si="88"/>
        <v>-2</v>
      </c>
      <c r="Y344" s="13">
        <f t="shared" si="89"/>
        <v>-30.450000000000003</v>
      </c>
      <c r="Z344" s="13">
        <f t="shared" si="91"/>
        <v>-179.61650000000003</v>
      </c>
    </row>
    <row r="345" spans="1:26" ht="11.25" customHeight="1">
      <c r="A345" s="108" t="s">
        <v>8</v>
      </c>
      <c r="B345" s="117">
        <v>41281.864583333336</v>
      </c>
      <c r="C345" s="120"/>
      <c r="D345" s="120" t="s">
        <v>698</v>
      </c>
      <c r="E345" s="120" t="s">
        <v>178</v>
      </c>
      <c r="F345" s="120" t="s">
        <v>699</v>
      </c>
      <c r="G345" s="120"/>
      <c r="H345" s="110" t="s">
        <v>454</v>
      </c>
      <c r="I345" s="117">
        <v>41281.734722222223</v>
      </c>
      <c r="J345" s="109" t="s">
        <v>3</v>
      </c>
      <c r="K345" s="6" t="s">
        <v>467</v>
      </c>
      <c r="L345" s="10" t="s">
        <v>5</v>
      </c>
      <c r="M345" s="6">
        <f t="shared" si="100"/>
        <v>0</v>
      </c>
      <c r="N345" s="6">
        <f t="shared" si="101"/>
        <v>0</v>
      </c>
      <c r="O345" s="6">
        <f t="shared" si="102"/>
        <v>1</v>
      </c>
      <c r="P345" s="6">
        <f t="shared" si="103"/>
        <v>0</v>
      </c>
      <c r="Q345" s="6">
        <f t="shared" si="104"/>
        <v>-5</v>
      </c>
      <c r="R345" s="30">
        <f t="shared" si="105"/>
        <v>-5</v>
      </c>
      <c r="S345" s="16">
        <f t="shared" si="93"/>
        <v>160.39349999999999</v>
      </c>
      <c r="T345" s="14">
        <f t="shared" si="90"/>
        <v>-20.916500000000006</v>
      </c>
      <c r="U345" s="14">
        <f t="shared" si="92"/>
        <v>-77.649999999999991</v>
      </c>
      <c r="V345" s="14">
        <f t="shared" si="106"/>
        <v>-1.3999999999999986</v>
      </c>
      <c r="W345" s="14">
        <f t="shared" si="84"/>
        <v>-52.199999999999989</v>
      </c>
      <c r="X345" s="13">
        <f t="shared" si="88"/>
        <v>-2</v>
      </c>
      <c r="Y345" s="13">
        <f t="shared" si="89"/>
        <v>-30.450000000000003</v>
      </c>
      <c r="Z345" s="13">
        <f t="shared" si="91"/>
        <v>-184.61650000000003</v>
      </c>
    </row>
    <row r="346" spans="1:26" ht="11.25" customHeight="1">
      <c r="A346" s="108" t="s">
        <v>8</v>
      </c>
      <c r="B346" s="117">
        <v>41281.8125</v>
      </c>
      <c r="C346" s="120"/>
      <c r="D346" s="120" t="s">
        <v>700</v>
      </c>
      <c r="E346" s="120" t="s">
        <v>29</v>
      </c>
      <c r="F346" s="120" t="s">
        <v>701</v>
      </c>
      <c r="G346" s="120"/>
      <c r="H346" s="110" t="s">
        <v>574</v>
      </c>
      <c r="I346" s="117">
        <v>41281.736111111109</v>
      </c>
      <c r="J346" s="109" t="s">
        <v>9</v>
      </c>
      <c r="K346" s="6" t="s">
        <v>486</v>
      </c>
      <c r="L346" s="10" t="s">
        <v>5</v>
      </c>
      <c r="M346" s="6">
        <f t="shared" si="100"/>
        <v>0</v>
      </c>
      <c r="N346" s="6">
        <f t="shared" si="101"/>
        <v>0</v>
      </c>
      <c r="O346" s="6">
        <f t="shared" si="102"/>
        <v>1</v>
      </c>
      <c r="P346" s="6">
        <f t="shared" si="103"/>
        <v>0</v>
      </c>
      <c r="Q346" s="6">
        <f t="shared" si="104"/>
        <v>-2</v>
      </c>
      <c r="R346" s="30">
        <f t="shared" si="105"/>
        <v>-2</v>
      </c>
      <c r="S346" s="16">
        <f t="shared" si="93"/>
        <v>158.39349999999999</v>
      </c>
      <c r="T346" s="14">
        <f t="shared" si="90"/>
        <v>-22.916500000000006</v>
      </c>
      <c r="U346" s="14">
        <f t="shared" si="92"/>
        <v>-77.649999999999991</v>
      </c>
      <c r="V346" s="14">
        <f t="shared" si="106"/>
        <v>-1.3999999999999986</v>
      </c>
      <c r="W346" s="14">
        <f t="shared" si="84"/>
        <v>-52.199999999999989</v>
      </c>
      <c r="X346" s="13">
        <f t="shared" si="88"/>
        <v>-2</v>
      </c>
      <c r="Y346" s="13">
        <f t="shared" si="89"/>
        <v>-30.450000000000003</v>
      </c>
      <c r="Z346" s="13">
        <f t="shared" si="91"/>
        <v>-186.61650000000003</v>
      </c>
    </row>
    <row r="347" spans="1:26" ht="11.25" customHeight="1">
      <c r="A347" s="108" t="s">
        <v>8</v>
      </c>
      <c r="B347" s="117">
        <v>41281.8125</v>
      </c>
      <c r="C347" s="120"/>
      <c r="D347" s="120" t="s">
        <v>700</v>
      </c>
      <c r="E347" s="120" t="s">
        <v>29</v>
      </c>
      <c r="F347" s="120" t="s">
        <v>702</v>
      </c>
      <c r="G347" s="120"/>
      <c r="H347" s="110" t="s">
        <v>467</v>
      </c>
      <c r="I347" s="117">
        <v>41281.736111111109</v>
      </c>
      <c r="J347" s="109" t="s">
        <v>9</v>
      </c>
      <c r="K347" s="6" t="s">
        <v>486</v>
      </c>
      <c r="L347" s="10" t="s">
        <v>5</v>
      </c>
      <c r="M347" s="6">
        <f t="shared" ref="M347" si="107">IF(L347="PERDU",0,K347*H347)</f>
        <v>0</v>
      </c>
      <c r="N347" s="6">
        <f t="shared" ref="N347" si="108">IF(L347="BON",1,0)</f>
        <v>0</v>
      </c>
      <c r="O347" s="6">
        <f t="shared" ref="O347" si="109">IF(L347="PERDU",1,0)</f>
        <v>1</v>
      </c>
      <c r="P347" s="6">
        <f t="shared" ref="P347" si="110">IF(M347&gt;L347,1,0)</f>
        <v>0</v>
      </c>
      <c r="Q347" s="6">
        <f t="shared" ref="Q347" si="111">IF(L347="",0,R347)</f>
        <v>-2</v>
      </c>
      <c r="R347" s="30">
        <f t="shared" ref="R347" si="112">IF(L347=0,K347*-1,M347-K347)</f>
        <v>-2</v>
      </c>
      <c r="S347" s="16">
        <f t="shared" si="93"/>
        <v>156.39349999999999</v>
      </c>
      <c r="T347" s="14">
        <f t="shared" si="90"/>
        <v>-24.916500000000006</v>
      </c>
      <c r="U347" s="14">
        <f t="shared" si="92"/>
        <v>-77.649999999999991</v>
      </c>
      <c r="V347" s="14">
        <f t="shared" si="106"/>
        <v>-1.3999999999999986</v>
      </c>
      <c r="W347" s="14">
        <f t="shared" ref="W347:W395" si="113">IF(A347="TOF",W346+R347,W346)</f>
        <v>-52.199999999999989</v>
      </c>
      <c r="X347" s="13">
        <f t="shared" si="88"/>
        <v>-2</v>
      </c>
      <c r="Y347" s="13">
        <f t="shared" si="89"/>
        <v>-30.450000000000003</v>
      </c>
      <c r="Z347" s="13">
        <f t="shared" si="91"/>
        <v>-188.61650000000003</v>
      </c>
    </row>
    <row r="348" spans="1:26" ht="11.25" customHeight="1">
      <c r="A348" s="109" t="s">
        <v>8</v>
      </c>
      <c r="B348" s="117">
        <v>41282.041666666664</v>
      </c>
      <c r="C348" s="120"/>
      <c r="D348" s="120" t="s">
        <v>707</v>
      </c>
      <c r="E348" s="120" t="s">
        <v>550</v>
      </c>
      <c r="F348" s="120" t="s">
        <v>551</v>
      </c>
      <c r="G348" s="120"/>
      <c r="H348" s="110" t="s">
        <v>708</v>
      </c>
      <c r="I348" s="117">
        <v>41281.949305555558</v>
      </c>
      <c r="J348" s="109" t="s">
        <v>531</v>
      </c>
      <c r="K348" s="6" t="s">
        <v>467</v>
      </c>
      <c r="L348" s="10" t="s">
        <v>7</v>
      </c>
      <c r="M348" s="6">
        <f t="shared" ref="M348:M395" si="114">IF(L348="PERDU",0,K348*H348)</f>
        <v>12</v>
      </c>
      <c r="N348" s="6">
        <f t="shared" ref="N348:N395" si="115">IF(L348="BON",1,0)</f>
        <v>1</v>
      </c>
      <c r="O348" s="6">
        <f t="shared" ref="O348:O395" si="116">IF(L348="PERDU",1,0)</f>
        <v>0</v>
      </c>
      <c r="P348" s="6">
        <f t="shared" ref="P348:P395" si="117">IF(M348&gt;L348,1,0)</f>
        <v>0</v>
      </c>
      <c r="Q348" s="6">
        <f t="shared" ref="Q348:Q395" si="118">IF(L348="",0,R348)</f>
        <v>7</v>
      </c>
      <c r="R348" s="30">
        <f t="shared" ref="R348:R395" si="119">IF(L348=0,K348*-1,M348-K348)</f>
        <v>7</v>
      </c>
      <c r="S348" s="16">
        <f t="shared" si="93"/>
        <v>163.39349999999999</v>
      </c>
      <c r="T348" s="14">
        <f t="shared" si="90"/>
        <v>-17.916500000000006</v>
      </c>
      <c r="U348" s="14">
        <f t="shared" si="92"/>
        <v>-77.649999999999991</v>
      </c>
      <c r="V348" s="14">
        <f t="shared" si="106"/>
        <v>-1.3999999999999986</v>
      </c>
      <c r="W348" s="14">
        <f t="shared" si="113"/>
        <v>-52.199999999999989</v>
      </c>
      <c r="X348" s="13">
        <f t="shared" si="88"/>
        <v>-2</v>
      </c>
      <c r="Y348" s="13">
        <f t="shared" si="89"/>
        <v>-30.450000000000003</v>
      </c>
      <c r="Z348" s="13">
        <f t="shared" si="91"/>
        <v>-181.61650000000003</v>
      </c>
    </row>
    <row r="349" spans="1:26" ht="11.25" customHeight="1">
      <c r="A349" s="109" t="s">
        <v>8</v>
      </c>
      <c r="B349" s="117">
        <v>41282.065972222219</v>
      </c>
      <c r="C349" s="120"/>
      <c r="D349" s="120" t="s">
        <v>712</v>
      </c>
      <c r="E349" s="120" t="s">
        <v>150</v>
      </c>
      <c r="F349" s="120" t="s">
        <v>713</v>
      </c>
      <c r="G349" s="120"/>
      <c r="H349" s="110" t="s">
        <v>508</v>
      </c>
      <c r="I349" s="117">
        <v>41281.963194444441</v>
      </c>
      <c r="J349" s="109" t="s">
        <v>9</v>
      </c>
      <c r="K349" s="6" t="s">
        <v>467</v>
      </c>
      <c r="L349" s="10" t="s">
        <v>5</v>
      </c>
      <c r="M349" s="6">
        <f t="shared" si="114"/>
        <v>0</v>
      </c>
      <c r="N349" s="6">
        <f t="shared" si="115"/>
        <v>0</v>
      </c>
      <c r="O349" s="6">
        <f t="shared" si="116"/>
        <v>1</v>
      </c>
      <c r="P349" s="6">
        <f t="shared" si="117"/>
        <v>0</v>
      </c>
      <c r="Q349" s="6">
        <f t="shared" si="118"/>
        <v>-5</v>
      </c>
      <c r="R349" s="30">
        <f t="shared" si="119"/>
        <v>-5</v>
      </c>
      <c r="S349" s="16">
        <f t="shared" si="93"/>
        <v>158.39349999999999</v>
      </c>
      <c r="T349" s="14">
        <f t="shared" si="90"/>
        <v>-22.916500000000006</v>
      </c>
      <c r="U349" s="14">
        <f t="shared" si="92"/>
        <v>-77.649999999999991</v>
      </c>
      <c r="V349" s="14">
        <f t="shared" si="106"/>
        <v>-1.3999999999999986</v>
      </c>
      <c r="W349" s="14">
        <f t="shared" si="113"/>
        <v>-52.199999999999989</v>
      </c>
      <c r="X349" s="13">
        <f t="shared" si="88"/>
        <v>-2</v>
      </c>
      <c r="Y349" s="13">
        <f t="shared" si="89"/>
        <v>-30.450000000000003</v>
      </c>
      <c r="Z349" s="13">
        <f t="shared" si="91"/>
        <v>-186.61650000000003</v>
      </c>
    </row>
    <row r="350" spans="1:26" ht="11.25" customHeight="1">
      <c r="A350" s="108" t="s">
        <v>468</v>
      </c>
      <c r="B350" s="117">
        <v>41282.4375</v>
      </c>
      <c r="C350" s="120"/>
      <c r="D350" s="120" t="s">
        <v>714</v>
      </c>
      <c r="E350" s="120" t="s">
        <v>545</v>
      </c>
      <c r="F350" s="120" t="s">
        <v>715</v>
      </c>
      <c r="G350" s="120"/>
      <c r="H350" s="110" t="s">
        <v>416</v>
      </c>
      <c r="I350" s="117">
        <v>41282.384722222225</v>
      </c>
      <c r="J350" s="109" t="s">
        <v>531</v>
      </c>
      <c r="K350" s="6" t="s">
        <v>467</v>
      </c>
      <c r="L350" s="10" t="s">
        <v>7</v>
      </c>
      <c r="M350" s="6">
        <f t="shared" si="114"/>
        <v>6.65</v>
      </c>
      <c r="N350" s="6">
        <f t="shared" si="115"/>
        <v>1</v>
      </c>
      <c r="O350" s="6">
        <f t="shared" si="116"/>
        <v>0</v>
      </c>
      <c r="P350" s="6">
        <f t="shared" si="117"/>
        <v>0</v>
      </c>
      <c r="Q350" s="6">
        <f t="shared" si="118"/>
        <v>1.6500000000000004</v>
      </c>
      <c r="R350" s="30">
        <f t="shared" si="119"/>
        <v>1.6500000000000004</v>
      </c>
      <c r="S350" s="16">
        <f t="shared" si="93"/>
        <v>160.04349999999999</v>
      </c>
      <c r="T350" s="14">
        <f t="shared" si="90"/>
        <v>-22.916500000000006</v>
      </c>
      <c r="U350" s="14">
        <f t="shared" si="92"/>
        <v>-77.649999999999991</v>
      </c>
      <c r="V350" s="14">
        <f t="shared" si="106"/>
        <v>-1.3999999999999986</v>
      </c>
      <c r="W350" s="14">
        <f t="shared" si="113"/>
        <v>-52.199999999999989</v>
      </c>
      <c r="X350" s="13">
        <f t="shared" ref="X350:X381" si="120">IF(A350="YOAN",X349+R350,X349)</f>
        <v>-2</v>
      </c>
      <c r="Y350" s="13">
        <f t="shared" si="89"/>
        <v>-28.800000000000004</v>
      </c>
      <c r="Z350" s="13">
        <f t="shared" si="91"/>
        <v>-184.96650000000002</v>
      </c>
    </row>
    <row r="351" spans="1:26" ht="11.25" customHeight="1">
      <c r="A351" s="109" t="s">
        <v>8</v>
      </c>
      <c r="B351" s="117">
        <v>41282.447916666664</v>
      </c>
      <c r="C351" s="120"/>
      <c r="D351" s="120" t="s">
        <v>714</v>
      </c>
      <c r="E351" s="120" t="s">
        <v>564</v>
      </c>
      <c r="F351" s="120" t="s">
        <v>565</v>
      </c>
      <c r="G351" s="120"/>
      <c r="H351" s="110" t="s">
        <v>418</v>
      </c>
      <c r="I351" s="117">
        <v>41282.445138888892</v>
      </c>
      <c r="J351" s="109" t="s">
        <v>531</v>
      </c>
      <c r="K351" s="6" t="s">
        <v>467</v>
      </c>
      <c r="L351" s="10" t="s">
        <v>7</v>
      </c>
      <c r="M351" s="6">
        <f t="shared" si="114"/>
        <v>9.3500000000000014</v>
      </c>
      <c r="N351" s="6">
        <f t="shared" si="115"/>
        <v>1</v>
      </c>
      <c r="O351" s="6">
        <f t="shared" si="116"/>
        <v>0</v>
      </c>
      <c r="P351" s="6">
        <f t="shared" si="117"/>
        <v>0</v>
      </c>
      <c r="Q351" s="6">
        <f t="shared" si="118"/>
        <v>4.3500000000000014</v>
      </c>
      <c r="R351" s="30">
        <f t="shared" si="119"/>
        <v>4.3500000000000014</v>
      </c>
      <c r="S351" s="16">
        <f t="shared" si="93"/>
        <v>164.39349999999999</v>
      </c>
      <c r="T351" s="14">
        <f t="shared" si="90"/>
        <v>-18.566500000000005</v>
      </c>
      <c r="U351" s="14">
        <f t="shared" si="92"/>
        <v>-77.649999999999991</v>
      </c>
      <c r="V351" s="14">
        <f t="shared" si="106"/>
        <v>-1.3999999999999986</v>
      </c>
      <c r="W351" s="14">
        <f t="shared" si="113"/>
        <v>-52.199999999999989</v>
      </c>
      <c r="X351" s="13">
        <f t="shared" si="120"/>
        <v>-2</v>
      </c>
      <c r="Y351" s="13">
        <f t="shared" si="89"/>
        <v>-28.800000000000004</v>
      </c>
      <c r="Z351" s="13">
        <f t="shared" si="91"/>
        <v>-180.61650000000003</v>
      </c>
    </row>
    <row r="352" spans="1:26" ht="11.25" customHeight="1">
      <c r="A352" s="108" t="s">
        <v>468</v>
      </c>
      <c r="B352" s="117">
        <v>41282.625</v>
      </c>
      <c r="C352" s="120"/>
      <c r="D352" s="120" t="s">
        <v>716</v>
      </c>
      <c r="E352" s="120" t="s">
        <v>29</v>
      </c>
      <c r="F352" s="120" t="s">
        <v>717</v>
      </c>
      <c r="G352" s="120"/>
      <c r="H352" s="110" t="s">
        <v>718</v>
      </c>
      <c r="I352" s="117">
        <v>41282.518055555556</v>
      </c>
      <c r="J352" s="109" t="s">
        <v>9</v>
      </c>
      <c r="K352" s="6" t="s">
        <v>467</v>
      </c>
      <c r="L352" s="10" t="s">
        <v>7</v>
      </c>
      <c r="M352" s="6">
        <f t="shared" si="114"/>
        <v>18.75</v>
      </c>
      <c r="N352" s="6">
        <f t="shared" si="115"/>
        <v>1</v>
      </c>
      <c r="O352" s="6">
        <f t="shared" si="116"/>
        <v>0</v>
      </c>
      <c r="P352" s="6">
        <f t="shared" si="117"/>
        <v>0</v>
      </c>
      <c r="Q352" s="6">
        <f t="shared" si="118"/>
        <v>13.75</v>
      </c>
      <c r="R352" s="30">
        <f t="shared" si="119"/>
        <v>13.75</v>
      </c>
      <c r="S352" s="19">
        <f t="shared" si="93"/>
        <v>178.14349999999999</v>
      </c>
      <c r="T352" s="14">
        <f t="shared" si="90"/>
        <v>-18.566500000000005</v>
      </c>
      <c r="U352" s="14">
        <f t="shared" si="92"/>
        <v>-77.649999999999991</v>
      </c>
      <c r="V352" s="14">
        <f t="shared" si="106"/>
        <v>-1.3999999999999986</v>
      </c>
      <c r="W352" s="14">
        <f t="shared" si="113"/>
        <v>-52.199999999999989</v>
      </c>
      <c r="X352" s="13">
        <f t="shared" si="120"/>
        <v>-2</v>
      </c>
      <c r="Y352" s="13">
        <f t="shared" si="89"/>
        <v>-15.050000000000004</v>
      </c>
      <c r="Z352" s="13">
        <f t="shared" si="91"/>
        <v>-166.86650000000003</v>
      </c>
    </row>
    <row r="353" spans="1:26" ht="11.25" customHeight="1">
      <c r="A353" s="109" t="s">
        <v>8</v>
      </c>
      <c r="B353" s="117">
        <v>41282.864583333336</v>
      </c>
      <c r="C353" s="120"/>
      <c r="D353" s="120" t="s">
        <v>719</v>
      </c>
      <c r="E353" s="120" t="s">
        <v>720</v>
      </c>
      <c r="F353" s="120" t="s">
        <v>721</v>
      </c>
      <c r="G353" s="120"/>
      <c r="H353" s="110" t="s">
        <v>722</v>
      </c>
      <c r="I353" s="117">
        <v>41282.581944444442</v>
      </c>
      <c r="J353" s="109" t="s">
        <v>3</v>
      </c>
      <c r="K353" s="6" t="s">
        <v>486</v>
      </c>
      <c r="L353" s="10" t="s">
        <v>5</v>
      </c>
      <c r="M353" s="6">
        <f t="shared" si="114"/>
        <v>0</v>
      </c>
      <c r="N353" s="6">
        <f t="shared" si="115"/>
        <v>0</v>
      </c>
      <c r="O353" s="6">
        <f t="shared" si="116"/>
        <v>1</v>
      </c>
      <c r="P353" s="6">
        <f t="shared" si="117"/>
        <v>0</v>
      </c>
      <c r="Q353" s="6">
        <f t="shared" si="118"/>
        <v>-2</v>
      </c>
      <c r="R353" s="30">
        <f t="shared" si="119"/>
        <v>-2</v>
      </c>
      <c r="S353" s="16">
        <f t="shared" si="93"/>
        <v>176.14349999999999</v>
      </c>
      <c r="T353" s="14">
        <f t="shared" si="90"/>
        <v>-20.566500000000005</v>
      </c>
      <c r="U353" s="14">
        <f t="shared" si="92"/>
        <v>-77.649999999999991</v>
      </c>
      <c r="V353" s="14">
        <f t="shared" si="106"/>
        <v>-1.3999999999999986</v>
      </c>
      <c r="W353" s="14">
        <f t="shared" si="113"/>
        <v>-52.199999999999989</v>
      </c>
      <c r="X353" s="13">
        <f t="shared" si="120"/>
        <v>-2</v>
      </c>
      <c r="Y353" s="13">
        <f t="shared" ref="Y353:Y384" si="121">IF(A353="JEAN",Y352+R353,Y352)</f>
        <v>-15.050000000000004</v>
      </c>
      <c r="Z353" s="13">
        <f t="shared" si="91"/>
        <v>-168.86650000000003</v>
      </c>
    </row>
    <row r="354" spans="1:26" ht="11.25" customHeight="1">
      <c r="A354" s="109" t="s">
        <v>8</v>
      </c>
      <c r="B354" s="117">
        <v>41283.086805555555</v>
      </c>
      <c r="C354" s="120"/>
      <c r="D354" s="120" t="s">
        <v>723</v>
      </c>
      <c r="E354" s="120" t="s">
        <v>29</v>
      </c>
      <c r="F354" s="120" t="s">
        <v>724</v>
      </c>
      <c r="G354" s="120"/>
      <c r="H354" s="110" t="s">
        <v>645</v>
      </c>
      <c r="I354" s="117">
        <v>41282.725694444445</v>
      </c>
      <c r="J354" s="109" t="s">
        <v>9</v>
      </c>
      <c r="K354" s="6" t="s">
        <v>467</v>
      </c>
      <c r="M354" s="6">
        <f t="shared" si="114"/>
        <v>52.5</v>
      </c>
      <c r="N354" s="6">
        <f t="shared" si="115"/>
        <v>0</v>
      </c>
      <c r="O354" s="6">
        <f t="shared" si="116"/>
        <v>0</v>
      </c>
      <c r="P354" s="6">
        <f t="shared" si="117"/>
        <v>1</v>
      </c>
      <c r="Q354" s="6">
        <f t="shared" si="118"/>
        <v>0</v>
      </c>
      <c r="R354" s="30">
        <f t="shared" si="119"/>
        <v>-5</v>
      </c>
      <c r="S354" s="16">
        <f t="shared" si="93"/>
        <v>171.14349999999999</v>
      </c>
      <c r="T354" s="14">
        <f t="shared" si="90"/>
        <v>-25.566500000000005</v>
      </c>
      <c r="U354" s="14">
        <f t="shared" si="92"/>
        <v>-77.649999999999991</v>
      </c>
      <c r="V354" s="14">
        <f t="shared" si="106"/>
        <v>-1.3999999999999986</v>
      </c>
      <c r="W354" s="14">
        <f t="shared" si="113"/>
        <v>-52.199999999999989</v>
      </c>
      <c r="X354" s="13">
        <f t="shared" si="120"/>
        <v>-2</v>
      </c>
      <c r="Y354" s="13">
        <f t="shared" si="121"/>
        <v>-15.050000000000004</v>
      </c>
      <c r="Z354" s="13">
        <f t="shared" si="91"/>
        <v>-173.86650000000003</v>
      </c>
    </row>
    <row r="355" spans="1:26" ht="11.25" customHeight="1">
      <c r="A355" s="109" t="s">
        <v>8</v>
      </c>
      <c r="B355" s="117">
        <v>41282.864583333336</v>
      </c>
      <c r="C355" s="120"/>
      <c r="D355" s="120" t="s">
        <v>719</v>
      </c>
      <c r="E355" s="120" t="s">
        <v>726</v>
      </c>
      <c r="F355" s="120" t="s">
        <v>727</v>
      </c>
      <c r="G355" s="120"/>
      <c r="H355" s="110" t="s">
        <v>728</v>
      </c>
      <c r="I355" s="117">
        <v>41282.726388888892</v>
      </c>
      <c r="J355" s="109" t="s">
        <v>3</v>
      </c>
      <c r="K355" s="6" t="s">
        <v>467</v>
      </c>
      <c r="L355" s="10" t="s">
        <v>7</v>
      </c>
      <c r="M355" s="6">
        <f t="shared" si="114"/>
        <v>13.5</v>
      </c>
      <c r="N355" s="6">
        <f t="shared" si="115"/>
        <v>1</v>
      </c>
      <c r="O355" s="6">
        <f t="shared" si="116"/>
        <v>0</v>
      </c>
      <c r="P355" s="6">
        <f t="shared" si="117"/>
        <v>0</v>
      </c>
      <c r="Q355" s="6">
        <f t="shared" si="118"/>
        <v>8.5</v>
      </c>
      <c r="R355" s="30">
        <f t="shared" si="119"/>
        <v>8.5</v>
      </c>
      <c r="S355" s="16">
        <f t="shared" si="93"/>
        <v>179.64349999999999</v>
      </c>
      <c r="T355" s="14">
        <f t="shared" si="90"/>
        <v>-17.066500000000005</v>
      </c>
      <c r="U355" s="14">
        <f t="shared" si="92"/>
        <v>-77.649999999999991</v>
      </c>
      <c r="V355" s="14">
        <f t="shared" si="106"/>
        <v>-1.3999999999999986</v>
      </c>
      <c r="W355" s="14">
        <f t="shared" si="113"/>
        <v>-52.199999999999989</v>
      </c>
      <c r="X355" s="13">
        <f t="shared" si="120"/>
        <v>-2</v>
      </c>
      <c r="Y355" s="13">
        <f t="shared" si="121"/>
        <v>-15.050000000000004</v>
      </c>
      <c r="Z355" s="13">
        <f t="shared" si="91"/>
        <v>-165.36650000000003</v>
      </c>
    </row>
    <row r="356" spans="1:26" ht="11.25" customHeight="1">
      <c r="A356" s="108" t="s">
        <v>8</v>
      </c>
      <c r="B356" s="117">
        <v>41282.833333333336</v>
      </c>
      <c r="C356" s="120"/>
      <c r="D356" s="120" t="s">
        <v>730</v>
      </c>
      <c r="E356" s="120" t="s">
        <v>97</v>
      </c>
      <c r="F356" s="120" t="s">
        <v>731</v>
      </c>
      <c r="G356" s="120"/>
      <c r="H356" s="110" t="s">
        <v>732</v>
      </c>
      <c r="I356" s="117">
        <v>41282.752083333333</v>
      </c>
      <c r="J356" s="109" t="s">
        <v>96</v>
      </c>
      <c r="K356" s="6" t="s">
        <v>467</v>
      </c>
      <c r="M356" s="6">
        <f t="shared" si="114"/>
        <v>15.5</v>
      </c>
      <c r="N356" s="6">
        <f t="shared" si="115"/>
        <v>0</v>
      </c>
      <c r="O356" s="6">
        <f t="shared" si="116"/>
        <v>0</v>
      </c>
      <c r="P356" s="6">
        <f t="shared" si="117"/>
        <v>1</v>
      </c>
      <c r="Q356" s="6">
        <f t="shared" si="118"/>
        <v>0</v>
      </c>
      <c r="R356" s="30">
        <f t="shared" si="119"/>
        <v>-5</v>
      </c>
      <c r="S356" s="16">
        <f t="shared" si="93"/>
        <v>174.64349999999999</v>
      </c>
      <c r="T356" s="14">
        <f t="shared" si="90"/>
        <v>-22.066500000000005</v>
      </c>
      <c r="U356" s="14">
        <f t="shared" si="92"/>
        <v>-77.649999999999991</v>
      </c>
      <c r="V356" s="14">
        <f t="shared" si="106"/>
        <v>-1.3999999999999986</v>
      </c>
      <c r="W356" s="14">
        <f t="shared" si="113"/>
        <v>-52.199999999999989</v>
      </c>
      <c r="X356" s="13">
        <f t="shared" si="120"/>
        <v>-2</v>
      </c>
      <c r="Y356" s="13">
        <f t="shared" si="121"/>
        <v>-15.050000000000004</v>
      </c>
      <c r="Z356" s="13">
        <f t="shared" si="91"/>
        <v>-170.36650000000003</v>
      </c>
    </row>
    <row r="357" spans="1:26" ht="11.25" customHeight="1">
      <c r="A357" s="108" t="s">
        <v>2</v>
      </c>
      <c r="B357" s="117">
        <v>41282.875</v>
      </c>
      <c r="C357" s="120"/>
      <c r="D357" s="120" t="s">
        <v>733</v>
      </c>
      <c r="E357" s="120" t="s">
        <v>31</v>
      </c>
      <c r="F357" s="120" t="s">
        <v>639</v>
      </c>
      <c r="G357" s="120"/>
      <c r="H357" s="110" t="s">
        <v>415</v>
      </c>
      <c r="I357" s="117">
        <v>41282.773611111108</v>
      </c>
      <c r="J357" s="109" t="s">
        <v>3</v>
      </c>
      <c r="K357" s="6" t="s">
        <v>467</v>
      </c>
      <c r="L357" s="10" t="s">
        <v>7</v>
      </c>
      <c r="M357" s="6">
        <f t="shared" si="114"/>
        <v>8.35</v>
      </c>
      <c r="N357" s="6">
        <f t="shared" si="115"/>
        <v>1</v>
      </c>
      <c r="O357" s="6">
        <f t="shared" si="116"/>
        <v>0</v>
      </c>
      <c r="P357" s="6">
        <f t="shared" si="117"/>
        <v>0</v>
      </c>
      <c r="Q357" s="6">
        <f t="shared" si="118"/>
        <v>3.3499999999999996</v>
      </c>
      <c r="R357" s="30">
        <f t="shared" si="119"/>
        <v>3.3499999999999996</v>
      </c>
      <c r="S357" s="16">
        <f t="shared" si="93"/>
        <v>177.99349999999998</v>
      </c>
      <c r="T357" s="14">
        <f t="shared" si="90"/>
        <v>-22.066500000000005</v>
      </c>
      <c r="U357" s="14">
        <f t="shared" si="92"/>
        <v>-74.3</v>
      </c>
      <c r="V357" s="14">
        <f t="shared" si="106"/>
        <v>-1.3999999999999986</v>
      </c>
      <c r="W357" s="14">
        <f t="shared" si="113"/>
        <v>-52.199999999999989</v>
      </c>
      <c r="X357" s="13">
        <f t="shared" si="120"/>
        <v>-2</v>
      </c>
      <c r="Y357" s="13">
        <f t="shared" si="121"/>
        <v>-15.050000000000004</v>
      </c>
      <c r="Z357" s="13">
        <f t="shared" si="91"/>
        <v>-167.01650000000004</v>
      </c>
    </row>
    <row r="358" spans="1:26" ht="11.25" customHeight="1">
      <c r="A358" s="108" t="s">
        <v>2</v>
      </c>
      <c r="B358" s="117">
        <v>41282.895833333336</v>
      </c>
      <c r="C358" s="120"/>
      <c r="D358" s="120" t="s">
        <v>734</v>
      </c>
      <c r="E358" s="120" t="s">
        <v>31</v>
      </c>
      <c r="F358" s="120" t="s">
        <v>735</v>
      </c>
      <c r="G358" s="120"/>
      <c r="H358" s="110" t="s">
        <v>585</v>
      </c>
      <c r="I358" s="117">
        <v>41282.775694444441</v>
      </c>
      <c r="J358" s="109" t="s">
        <v>3</v>
      </c>
      <c r="K358" s="6" t="s">
        <v>467</v>
      </c>
      <c r="L358" s="10" t="s">
        <v>7</v>
      </c>
      <c r="M358" s="6">
        <f t="shared" si="114"/>
        <v>7</v>
      </c>
      <c r="N358" s="6">
        <f t="shared" si="115"/>
        <v>1</v>
      </c>
      <c r="O358" s="6">
        <f t="shared" si="116"/>
        <v>0</v>
      </c>
      <c r="P358" s="6">
        <f t="shared" si="117"/>
        <v>0</v>
      </c>
      <c r="Q358" s="6">
        <f t="shared" si="118"/>
        <v>2</v>
      </c>
      <c r="R358" s="30">
        <f t="shared" si="119"/>
        <v>2</v>
      </c>
      <c r="S358" s="16">
        <f t="shared" si="93"/>
        <v>179.99349999999998</v>
      </c>
      <c r="T358" s="14">
        <f t="shared" si="90"/>
        <v>-22.066500000000005</v>
      </c>
      <c r="U358" s="14">
        <f t="shared" si="92"/>
        <v>-72.3</v>
      </c>
      <c r="V358" s="14">
        <f t="shared" si="106"/>
        <v>-1.3999999999999986</v>
      </c>
      <c r="W358" s="14">
        <f t="shared" si="113"/>
        <v>-52.199999999999989</v>
      </c>
      <c r="X358" s="13">
        <f t="shared" si="120"/>
        <v>-2</v>
      </c>
      <c r="Y358" s="13">
        <f t="shared" si="121"/>
        <v>-15.050000000000004</v>
      </c>
      <c r="Z358" s="13">
        <f t="shared" si="91"/>
        <v>-165.01650000000004</v>
      </c>
    </row>
    <row r="359" spans="1:26" ht="11.25" customHeight="1">
      <c r="A359" s="108" t="s">
        <v>2</v>
      </c>
      <c r="B359" s="117">
        <v>41282.8125</v>
      </c>
      <c r="C359" s="120"/>
      <c r="D359" s="120" t="s">
        <v>736</v>
      </c>
      <c r="E359" s="120" t="s">
        <v>150</v>
      </c>
      <c r="F359" s="120" t="s">
        <v>737</v>
      </c>
      <c r="G359" s="120"/>
      <c r="H359" s="110" t="s">
        <v>413</v>
      </c>
      <c r="I359" s="117">
        <v>41282.779166666667</v>
      </c>
      <c r="J359" s="109" t="s">
        <v>3</v>
      </c>
      <c r="K359" s="6" t="s">
        <v>467</v>
      </c>
      <c r="L359" s="10" t="s">
        <v>5</v>
      </c>
      <c r="M359" s="6">
        <f t="shared" si="114"/>
        <v>0</v>
      </c>
      <c r="N359" s="6">
        <f t="shared" si="115"/>
        <v>0</v>
      </c>
      <c r="O359" s="6">
        <f t="shared" si="116"/>
        <v>1</v>
      </c>
      <c r="P359" s="6">
        <f t="shared" si="117"/>
        <v>0</v>
      </c>
      <c r="Q359" s="6">
        <f t="shared" si="118"/>
        <v>-5</v>
      </c>
      <c r="R359" s="30">
        <f t="shared" si="119"/>
        <v>-5</v>
      </c>
      <c r="S359" s="16">
        <f t="shared" si="93"/>
        <v>174.99349999999998</v>
      </c>
      <c r="T359" s="14">
        <f t="shared" si="90"/>
        <v>-22.066500000000005</v>
      </c>
      <c r="U359" s="14">
        <f t="shared" si="92"/>
        <v>-77.3</v>
      </c>
      <c r="V359" s="14">
        <f t="shared" si="106"/>
        <v>-1.3999999999999986</v>
      </c>
      <c r="W359" s="14">
        <f t="shared" si="113"/>
        <v>-52.199999999999989</v>
      </c>
      <c r="X359" s="13">
        <f t="shared" si="120"/>
        <v>-2</v>
      </c>
      <c r="Y359" s="13">
        <f t="shared" si="121"/>
        <v>-15.050000000000004</v>
      </c>
      <c r="Z359" s="13">
        <f t="shared" si="91"/>
        <v>-170.01650000000004</v>
      </c>
    </row>
    <row r="360" spans="1:26" ht="11.25" customHeight="1">
      <c r="A360" s="108" t="s">
        <v>2</v>
      </c>
      <c r="B360" s="117">
        <v>41283.125</v>
      </c>
      <c r="C360" s="120"/>
      <c r="D360" s="120" t="s">
        <v>738</v>
      </c>
      <c r="E360" s="120" t="s">
        <v>564</v>
      </c>
      <c r="F360" s="147" t="s">
        <v>739</v>
      </c>
      <c r="G360" s="120"/>
      <c r="H360" s="110" t="s">
        <v>533</v>
      </c>
      <c r="I360" s="117">
        <v>41282.781944444447</v>
      </c>
      <c r="J360" s="109" t="s">
        <v>531</v>
      </c>
      <c r="K360" s="6" t="s">
        <v>467</v>
      </c>
      <c r="M360" s="6">
        <f t="shared" si="114"/>
        <v>20.5</v>
      </c>
      <c r="N360" s="6">
        <f t="shared" si="115"/>
        <v>0</v>
      </c>
      <c r="O360" s="6">
        <f t="shared" si="116"/>
        <v>0</v>
      </c>
      <c r="P360" s="6">
        <f t="shared" si="117"/>
        <v>1</v>
      </c>
      <c r="Q360" s="6">
        <f t="shared" si="118"/>
        <v>0</v>
      </c>
      <c r="R360" s="30">
        <f t="shared" si="119"/>
        <v>-5</v>
      </c>
      <c r="S360" s="16">
        <f t="shared" si="93"/>
        <v>169.99349999999998</v>
      </c>
      <c r="T360" s="14">
        <f t="shared" si="90"/>
        <v>-22.066500000000005</v>
      </c>
      <c r="U360" s="14">
        <f t="shared" si="92"/>
        <v>-82.3</v>
      </c>
      <c r="V360" s="14">
        <f t="shared" si="106"/>
        <v>-1.3999999999999986</v>
      </c>
      <c r="W360" s="14">
        <f t="shared" si="113"/>
        <v>-52.199999999999989</v>
      </c>
      <c r="X360" s="13">
        <f t="shared" si="120"/>
        <v>-2</v>
      </c>
      <c r="Y360" s="13">
        <f t="shared" si="121"/>
        <v>-15.050000000000004</v>
      </c>
      <c r="Z360" s="13">
        <f t="shared" si="91"/>
        <v>-175.01650000000004</v>
      </c>
    </row>
    <row r="361" spans="1:26" ht="11.25" customHeight="1">
      <c r="A361" s="108" t="s">
        <v>2</v>
      </c>
      <c r="B361" s="117">
        <v>41283.045138888891</v>
      </c>
      <c r="C361" s="120"/>
      <c r="D361" s="120" t="s">
        <v>740</v>
      </c>
      <c r="E361" s="120" t="s">
        <v>157</v>
      </c>
      <c r="F361" s="120" t="s">
        <v>197</v>
      </c>
      <c r="G361" s="120"/>
      <c r="H361" s="110" t="s">
        <v>741</v>
      </c>
      <c r="I361" s="117">
        <v>41282.78402777778</v>
      </c>
      <c r="J361" s="109" t="s">
        <v>9</v>
      </c>
      <c r="K361" s="6" t="s">
        <v>467</v>
      </c>
      <c r="M361" s="6">
        <f t="shared" si="114"/>
        <v>9.5</v>
      </c>
      <c r="N361" s="6">
        <f t="shared" si="115"/>
        <v>0</v>
      </c>
      <c r="O361" s="6">
        <f t="shared" si="116"/>
        <v>0</v>
      </c>
      <c r="P361" s="6">
        <f t="shared" si="117"/>
        <v>1</v>
      </c>
      <c r="Q361" s="6">
        <f t="shared" si="118"/>
        <v>0</v>
      </c>
      <c r="R361" s="30">
        <f t="shared" si="119"/>
        <v>-5</v>
      </c>
      <c r="S361" s="16">
        <f t="shared" si="93"/>
        <v>164.99349999999998</v>
      </c>
      <c r="T361" s="14">
        <f t="shared" si="90"/>
        <v>-22.066500000000005</v>
      </c>
      <c r="U361" s="14">
        <f t="shared" si="92"/>
        <v>-87.3</v>
      </c>
      <c r="V361" s="14">
        <f t="shared" si="106"/>
        <v>-1.3999999999999986</v>
      </c>
      <c r="W361" s="14">
        <f t="shared" si="113"/>
        <v>-52.199999999999989</v>
      </c>
      <c r="X361" s="13">
        <f t="shared" si="120"/>
        <v>-2</v>
      </c>
      <c r="Y361" s="13">
        <f t="shared" si="121"/>
        <v>-15.050000000000004</v>
      </c>
      <c r="Z361" s="13">
        <f t="shared" si="91"/>
        <v>-180.01650000000004</v>
      </c>
    </row>
    <row r="362" spans="1:26" ht="11.25" customHeight="1">
      <c r="A362" s="108" t="s">
        <v>8</v>
      </c>
      <c r="B362" s="117">
        <v>41282.875</v>
      </c>
      <c r="C362" s="120"/>
      <c r="D362" s="120" t="s">
        <v>733</v>
      </c>
      <c r="E362" s="120" t="s">
        <v>117</v>
      </c>
      <c r="F362" s="120" t="s">
        <v>219</v>
      </c>
      <c r="G362" s="120"/>
      <c r="H362" s="110" t="s">
        <v>508</v>
      </c>
      <c r="I362" s="117">
        <v>41282.836805555555</v>
      </c>
      <c r="J362" s="109" t="s">
        <v>3</v>
      </c>
      <c r="K362" s="6" t="s">
        <v>467</v>
      </c>
      <c r="L362" s="10" t="s">
        <v>5</v>
      </c>
      <c r="M362" s="6">
        <f t="shared" si="114"/>
        <v>0</v>
      </c>
      <c r="N362" s="6">
        <f t="shared" si="115"/>
        <v>0</v>
      </c>
      <c r="O362" s="6">
        <f t="shared" si="116"/>
        <v>1</v>
      </c>
      <c r="P362" s="6">
        <f t="shared" si="117"/>
        <v>0</v>
      </c>
      <c r="Q362" s="6">
        <f t="shared" si="118"/>
        <v>-5</v>
      </c>
      <c r="R362" s="30">
        <f t="shared" si="119"/>
        <v>-5</v>
      </c>
      <c r="S362" s="16">
        <f t="shared" si="93"/>
        <v>159.99349999999998</v>
      </c>
      <c r="T362" s="14">
        <f t="shared" si="90"/>
        <v>-27.066500000000005</v>
      </c>
      <c r="U362" s="14">
        <f t="shared" si="92"/>
        <v>-87.3</v>
      </c>
      <c r="V362" s="14">
        <f t="shared" si="106"/>
        <v>-1.3999999999999986</v>
      </c>
      <c r="W362" s="14">
        <f t="shared" si="113"/>
        <v>-52.199999999999989</v>
      </c>
      <c r="X362" s="13">
        <f t="shared" si="120"/>
        <v>-2</v>
      </c>
      <c r="Y362" s="13">
        <f t="shared" si="121"/>
        <v>-15.050000000000004</v>
      </c>
      <c r="Z362" s="13">
        <f t="shared" si="91"/>
        <v>-185.01650000000004</v>
      </c>
    </row>
    <row r="363" spans="1:26" ht="11.25" customHeight="1">
      <c r="A363" s="108" t="s">
        <v>468</v>
      </c>
      <c r="B363" s="117">
        <v>41287.875</v>
      </c>
      <c r="C363" s="120"/>
      <c r="D363" s="130" t="s">
        <v>622</v>
      </c>
      <c r="E363" s="120" t="s">
        <v>31</v>
      </c>
      <c r="F363" s="120" t="s">
        <v>31</v>
      </c>
      <c r="G363" s="120"/>
      <c r="H363" s="110">
        <v>5.84</v>
      </c>
      <c r="I363" s="117">
        <v>41282.84652777778</v>
      </c>
      <c r="J363" s="109" t="s">
        <v>3</v>
      </c>
      <c r="K363" s="6">
        <v>10</v>
      </c>
      <c r="M363" s="6">
        <f t="shared" si="114"/>
        <v>58.4</v>
      </c>
      <c r="N363" s="6">
        <f t="shared" si="115"/>
        <v>0</v>
      </c>
      <c r="O363" s="6">
        <f t="shared" si="116"/>
        <v>0</v>
      </c>
      <c r="P363" s="6">
        <f t="shared" si="117"/>
        <v>1</v>
      </c>
      <c r="Q363" s="6">
        <f t="shared" si="118"/>
        <v>0</v>
      </c>
      <c r="R363" s="30">
        <f t="shared" si="119"/>
        <v>-10</v>
      </c>
      <c r="S363" s="16">
        <f t="shared" ref="S363:S395" si="122">IF(L363=0,S362-K363,S362+M363-K363)</f>
        <v>149.99349999999998</v>
      </c>
      <c r="T363" s="14">
        <f t="shared" si="90"/>
        <v>-27.066500000000005</v>
      </c>
      <c r="U363" s="14">
        <f t="shared" si="92"/>
        <v>-87.3</v>
      </c>
      <c r="V363" s="14">
        <f t="shared" si="106"/>
        <v>-1.3999999999999986</v>
      </c>
      <c r="W363" s="14">
        <f t="shared" si="113"/>
        <v>-52.199999999999989</v>
      </c>
      <c r="X363" s="13">
        <f t="shared" si="120"/>
        <v>-2</v>
      </c>
      <c r="Y363" s="13">
        <f t="shared" si="121"/>
        <v>-25.050000000000004</v>
      </c>
      <c r="Z363" s="13">
        <f t="shared" si="91"/>
        <v>-195.01650000000004</v>
      </c>
    </row>
    <row r="364" spans="1:26" ht="11.25" customHeight="1">
      <c r="A364" s="108" t="s">
        <v>468</v>
      </c>
      <c r="B364" s="117">
        <v>41283.895833333336</v>
      </c>
      <c r="C364" s="120"/>
      <c r="D364" s="120" t="s">
        <v>742</v>
      </c>
      <c r="E364" s="120" t="s">
        <v>150</v>
      </c>
      <c r="F364" s="120" t="s">
        <v>256</v>
      </c>
      <c r="G364" s="120"/>
      <c r="H364" s="110" t="s">
        <v>393</v>
      </c>
      <c r="I364" s="117">
        <v>41282.852083333331</v>
      </c>
      <c r="J364" s="109" t="s">
        <v>3</v>
      </c>
      <c r="K364" s="6" t="s">
        <v>467</v>
      </c>
      <c r="M364" s="6">
        <f t="shared" si="114"/>
        <v>7.1</v>
      </c>
      <c r="N364" s="6">
        <f t="shared" si="115"/>
        <v>0</v>
      </c>
      <c r="O364" s="6">
        <f t="shared" si="116"/>
        <v>0</v>
      </c>
      <c r="P364" s="6">
        <f t="shared" si="117"/>
        <v>1</v>
      </c>
      <c r="Q364" s="6">
        <f t="shared" si="118"/>
        <v>0</v>
      </c>
      <c r="R364" s="30">
        <f t="shared" si="119"/>
        <v>-5</v>
      </c>
      <c r="S364" s="16">
        <f t="shared" si="122"/>
        <v>144.99349999999998</v>
      </c>
      <c r="T364" s="14">
        <f t="shared" si="90"/>
        <v>-27.066500000000005</v>
      </c>
      <c r="U364" s="14">
        <f t="shared" si="92"/>
        <v>-87.3</v>
      </c>
      <c r="V364" s="14">
        <f t="shared" si="106"/>
        <v>-1.3999999999999986</v>
      </c>
      <c r="W364" s="14">
        <f t="shared" si="113"/>
        <v>-52.199999999999989</v>
      </c>
      <c r="X364" s="13">
        <f t="shared" si="120"/>
        <v>-2</v>
      </c>
      <c r="Y364" s="13">
        <f t="shared" si="121"/>
        <v>-30.050000000000004</v>
      </c>
      <c r="Z364" s="13">
        <f t="shared" si="91"/>
        <v>-200.01650000000004</v>
      </c>
    </row>
    <row r="365" spans="1:26" ht="11.25" customHeight="1">
      <c r="A365" s="108" t="s">
        <v>8</v>
      </c>
      <c r="B365" s="117">
        <v>41279.9375</v>
      </c>
      <c r="C365" s="120"/>
      <c r="D365" s="120" t="s">
        <v>657</v>
      </c>
      <c r="E365" s="120" t="s">
        <v>150</v>
      </c>
      <c r="F365" s="120" t="s">
        <v>658</v>
      </c>
      <c r="G365" s="120"/>
      <c r="H365" s="110" t="s">
        <v>508</v>
      </c>
      <c r="I365" s="117">
        <v>41279.853472222225</v>
      </c>
      <c r="J365" s="109" t="s">
        <v>153</v>
      </c>
      <c r="K365" s="6" t="s">
        <v>467</v>
      </c>
      <c r="M365" s="6">
        <f t="shared" si="114"/>
        <v>8.5</v>
      </c>
      <c r="N365" s="6">
        <f t="shared" si="115"/>
        <v>0</v>
      </c>
      <c r="O365" s="6">
        <f t="shared" si="116"/>
        <v>0</v>
      </c>
      <c r="P365" s="6">
        <f t="shared" si="117"/>
        <v>1</v>
      </c>
      <c r="Q365" s="6">
        <f t="shared" si="118"/>
        <v>0</v>
      </c>
      <c r="R365" s="30">
        <f t="shared" si="119"/>
        <v>-5</v>
      </c>
      <c r="S365" s="16">
        <f t="shared" si="122"/>
        <v>139.99349999999998</v>
      </c>
      <c r="T365" s="14">
        <f t="shared" si="90"/>
        <v>-32.066500000000005</v>
      </c>
      <c r="U365" s="14">
        <f t="shared" si="92"/>
        <v>-87.3</v>
      </c>
      <c r="V365" s="14">
        <f t="shared" si="106"/>
        <v>-1.3999999999999986</v>
      </c>
      <c r="W365" s="14">
        <f t="shared" si="113"/>
        <v>-52.199999999999989</v>
      </c>
      <c r="X365" s="13">
        <f t="shared" si="120"/>
        <v>-2</v>
      </c>
      <c r="Y365" s="13">
        <f t="shared" si="121"/>
        <v>-30.050000000000004</v>
      </c>
      <c r="Z365" s="13">
        <f t="shared" si="91"/>
        <v>-205.01650000000004</v>
      </c>
    </row>
    <row r="366" spans="1:26" ht="11.25" customHeight="1">
      <c r="A366" s="108" t="s">
        <v>468</v>
      </c>
      <c r="B366" s="117">
        <v>41282.864583333336</v>
      </c>
      <c r="C366" s="120"/>
      <c r="D366" s="120" t="s">
        <v>719</v>
      </c>
      <c r="E366" s="120" t="s">
        <v>726</v>
      </c>
      <c r="F366" s="120" t="s">
        <v>727</v>
      </c>
      <c r="G366" s="120"/>
      <c r="H366" s="110" t="s">
        <v>728</v>
      </c>
      <c r="I366" s="117">
        <v>41282.726388888892</v>
      </c>
      <c r="J366" s="109" t="s">
        <v>3</v>
      </c>
      <c r="K366" s="6" t="s">
        <v>467</v>
      </c>
      <c r="M366" s="6">
        <f t="shared" si="114"/>
        <v>13.5</v>
      </c>
      <c r="N366" s="6">
        <f t="shared" si="115"/>
        <v>0</v>
      </c>
      <c r="O366" s="6">
        <f t="shared" si="116"/>
        <v>0</v>
      </c>
      <c r="P366" s="6">
        <f t="shared" si="117"/>
        <v>1</v>
      </c>
      <c r="Q366" s="6">
        <f t="shared" si="118"/>
        <v>0</v>
      </c>
      <c r="R366" s="30">
        <f t="shared" si="119"/>
        <v>-5</v>
      </c>
      <c r="S366" s="16">
        <f t="shared" si="122"/>
        <v>134.99349999999998</v>
      </c>
      <c r="T366" s="14">
        <f t="shared" si="90"/>
        <v>-32.066500000000005</v>
      </c>
      <c r="U366" s="14">
        <f t="shared" si="92"/>
        <v>-87.3</v>
      </c>
      <c r="V366" s="14">
        <f t="shared" si="106"/>
        <v>-1.3999999999999986</v>
      </c>
      <c r="W366" s="14">
        <f t="shared" si="113"/>
        <v>-52.199999999999989</v>
      </c>
      <c r="X366" s="13">
        <f t="shared" si="120"/>
        <v>-2</v>
      </c>
      <c r="Y366" s="13">
        <f t="shared" si="121"/>
        <v>-35.050000000000004</v>
      </c>
      <c r="Z366" s="13">
        <f t="shared" si="91"/>
        <v>-210.01650000000004</v>
      </c>
    </row>
    <row r="367" spans="1:26" ht="11.25" customHeight="1">
      <c r="A367" s="108" t="s">
        <v>58</v>
      </c>
      <c r="B367" s="117">
        <v>41282.864583333336</v>
      </c>
      <c r="C367" s="120"/>
      <c r="D367" s="120" t="s">
        <v>719</v>
      </c>
      <c r="E367" s="120" t="s">
        <v>726</v>
      </c>
      <c r="F367" s="120" t="s">
        <v>727</v>
      </c>
      <c r="G367" s="120"/>
      <c r="H367" s="110" t="s">
        <v>728</v>
      </c>
      <c r="I367" s="117">
        <v>41282.726388888892</v>
      </c>
      <c r="J367" s="109" t="s">
        <v>3</v>
      </c>
      <c r="K367" s="6" t="s">
        <v>467</v>
      </c>
      <c r="M367" s="6">
        <f t="shared" si="114"/>
        <v>13.5</v>
      </c>
      <c r="N367" s="6">
        <f t="shared" si="115"/>
        <v>0</v>
      </c>
      <c r="O367" s="6">
        <f t="shared" si="116"/>
        <v>0</v>
      </c>
      <c r="P367" s="6">
        <f t="shared" si="117"/>
        <v>1</v>
      </c>
      <c r="Q367" s="6">
        <f t="shared" si="118"/>
        <v>0</v>
      </c>
      <c r="R367" s="30">
        <f t="shared" si="119"/>
        <v>-5</v>
      </c>
      <c r="S367" s="16">
        <f t="shared" si="122"/>
        <v>129.99349999999998</v>
      </c>
      <c r="T367" s="14">
        <f t="shared" si="90"/>
        <v>-32.066500000000005</v>
      </c>
      <c r="U367" s="14">
        <f t="shared" si="92"/>
        <v>-87.3</v>
      </c>
      <c r="V367" s="14">
        <f t="shared" si="106"/>
        <v>-6.3999999999999986</v>
      </c>
      <c r="W367" s="14">
        <f t="shared" si="113"/>
        <v>-52.199999999999989</v>
      </c>
      <c r="X367" s="13">
        <f t="shared" si="120"/>
        <v>-2</v>
      </c>
      <c r="Y367" s="13">
        <f t="shared" si="121"/>
        <v>-35.050000000000004</v>
      </c>
      <c r="Z367" s="13">
        <f t="shared" si="91"/>
        <v>-215.01650000000004</v>
      </c>
    </row>
    <row r="368" spans="1:26" ht="11.25" customHeight="1">
      <c r="A368" s="108" t="s">
        <v>67</v>
      </c>
      <c r="B368" s="117">
        <v>41282.864583333336</v>
      </c>
      <c r="C368" s="120"/>
      <c r="D368" s="120" t="s">
        <v>719</v>
      </c>
      <c r="E368" s="120" t="s">
        <v>726</v>
      </c>
      <c r="F368" s="120" t="s">
        <v>727</v>
      </c>
      <c r="G368" s="120"/>
      <c r="H368" s="110" t="s">
        <v>728</v>
      </c>
      <c r="I368" s="117">
        <v>41282.726388888892</v>
      </c>
      <c r="J368" s="109" t="s">
        <v>53</v>
      </c>
      <c r="K368" s="6" t="s">
        <v>467</v>
      </c>
      <c r="M368" s="6">
        <f t="shared" si="114"/>
        <v>13.5</v>
      </c>
      <c r="N368" s="6">
        <f t="shared" si="115"/>
        <v>0</v>
      </c>
      <c r="O368" s="6">
        <f t="shared" si="116"/>
        <v>0</v>
      </c>
      <c r="P368" s="6">
        <f t="shared" si="117"/>
        <v>1</v>
      </c>
      <c r="Q368" s="6">
        <f t="shared" si="118"/>
        <v>0</v>
      </c>
      <c r="R368" s="30">
        <f t="shared" si="119"/>
        <v>-5</v>
      </c>
      <c r="S368" s="16">
        <f t="shared" si="122"/>
        <v>124.99349999999998</v>
      </c>
      <c r="T368" s="14">
        <f t="shared" si="90"/>
        <v>-32.066500000000005</v>
      </c>
      <c r="U368" s="14">
        <f t="shared" si="92"/>
        <v>-87.3</v>
      </c>
      <c r="V368" s="14">
        <f t="shared" si="106"/>
        <v>-6.3999999999999986</v>
      </c>
      <c r="W368" s="14">
        <f t="shared" si="113"/>
        <v>-57.199999999999989</v>
      </c>
      <c r="X368" s="13">
        <f t="shared" si="120"/>
        <v>-2</v>
      </c>
      <c r="Y368" s="13">
        <f t="shared" si="121"/>
        <v>-35.050000000000004</v>
      </c>
      <c r="Z368" s="13">
        <f t="shared" si="91"/>
        <v>-220.01650000000004</v>
      </c>
    </row>
    <row r="369" spans="2:26" ht="11.25" customHeight="1">
      <c r="B369" s="117"/>
      <c r="C369" s="120"/>
      <c r="D369" s="120"/>
      <c r="E369" s="120"/>
      <c r="F369" s="120"/>
      <c r="G369" s="120"/>
      <c r="I369" s="117"/>
      <c r="M369" s="6">
        <f t="shared" si="114"/>
        <v>0</v>
      </c>
      <c r="N369" s="6">
        <f t="shared" si="115"/>
        <v>0</v>
      </c>
      <c r="O369" s="6">
        <f t="shared" si="116"/>
        <v>0</v>
      </c>
      <c r="P369" s="6">
        <f t="shared" si="117"/>
        <v>0</v>
      </c>
      <c r="Q369" s="6">
        <f t="shared" si="118"/>
        <v>0</v>
      </c>
      <c r="R369" s="30">
        <f t="shared" si="119"/>
        <v>0</v>
      </c>
      <c r="S369" s="16">
        <f t="shared" si="122"/>
        <v>124.99349999999998</v>
      </c>
      <c r="T369" s="14">
        <f t="shared" si="90"/>
        <v>-32.066500000000005</v>
      </c>
      <c r="U369" s="14">
        <f t="shared" si="92"/>
        <v>-87.3</v>
      </c>
      <c r="V369" s="14">
        <f t="shared" si="106"/>
        <v>-6.3999999999999986</v>
      </c>
      <c r="W369" s="14">
        <f t="shared" si="113"/>
        <v>-57.199999999999989</v>
      </c>
      <c r="X369" s="13">
        <f t="shared" si="120"/>
        <v>-2</v>
      </c>
      <c r="Y369" s="13">
        <f t="shared" si="121"/>
        <v>-35.050000000000004</v>
      </c>
      <c r="Z369" s="13">
        <f t="shared" si="91"/>
        <v>-220.01650000000004</v>
      </c>
    </row>
    <row r="370" spans="2:26" ht="11.25" customHeight="1">
      <c r="B370" s="117"/>
      <c r="C370" s="120"/>
      <c r="D370" s="120"/>
      <c r="E370" s="120"/>
      <c r="F370" s="120"/>
      <c r="G370" s="120"/>
      <c r="I370" s="117"/>
      <c r="M370" s="6">
        <f t="shared" si="114"/>
        <v>0</v>
      </c>
      <c r="N370" s="6">
        <f t="shared" si="115"/>
        <v>0</v>
      </c>
      <c r="O370" s="6">
        <f t="shared" si="116"/>
        <v>0</v>
      </c>
      <c r="P370" s="6">
        <f t="shared" si="117"/>
        <v>0</v>
      </c>
      <c r="Q370" s="6">
        <f t="shared" si="118"/>
        <v>0</v>
      </c>
      <c r="R370" s="30">
        <f t="shared" si="119"/>
        <v>0</v>
      </c>
      <c r="S370" s="16">
        <f t="shared" si="122"/>
        <v>124.99349999999998</v>
      </c>
      <c r="T370" s="14">
        <f t="shared" si="90"/>
        <v>-32.066500000000005</v>
      </c>
      <c r="U370" s="14">
        <f t="shared" si="92"/>
        <v>-87.3</v>
      </c>
      <c r="V370" s="14">
        <f t="shared" si="106"/>
        <v>-6.3999999999999986</v>
      </c>
      <c r="W370" s="14">
        <f t="shared" si="113"/>
        <v>-57.199999999999989</v>
      </c>
      <c r="X370" s="13">
        <f t="shared" si="120"/>
        <v>-2</v>
      </c>
      <c r="Y370" s="13">
        <f t="shared" si="121"/>
        <v>-35.050000000000004</v>
      </c>
      <c r="Z370" s="13">
        <f t="shared" si="91"/>
        <v>-220.01650000000004</v>
      </c>
    </row>
    <row r="371" spans="2:26" ht="11.25" customHeight="1">
      <c r="B371" s="117"/>
      <c r="C371" s="120"/>
      <c r="D371" s="120"/>
      <c r="E371" s="120"/>
      <c r="F371" s="120"/>
      <c r="G371" s="120"/>
      <c r="I371" s="117"/>
      <c r="M371" s="6">
        <f t="shared" si="114"/>
        <v>0</v>
      </c>
      <c r="N371" s="6">
        <f t="shared" si="115"/>
        <v>0</v>
      </c>
      <c r="O371" s="6">
        <f t="shared" si="116"/>
        <v>0</v>
      </c>
      <c r="P371" s="6">
        <f t="shared" si="117"/>
        <v>0</v>
      </c>
      <c r="Q371" s="6">
        <f t="shared" si="118"/>
        <v>0</v>
      </c>
      <c r="R371" s="30">
        <f t="shared" si="119"/>
        <v>0</v>
      </c>
      <c r="S371" s="16">
        <f t="shared" si="122"/>
        <v>124.99349999999998</v>
      </c>
      <c r="T371" s="14">
        <f t="shared" si="90"/>
        <v>-32.066500000000005</v>
      </c>
      <c r="U371" s="14">
        <f t="shared" si="92"/>
        <v>-87.3</v>
      </c>
      <c r="V371" s="14">
        <f t="shared" si="106"/>
        <v>-6.3999999999999986</v>
      </c>
      <c r="W371" s="14">
        <f t="shared" si="113"/>
        <v>-57.199999999999989</v>
      </c>
      <c r="X371" s="13">
        <f t="shared" si="120"/>
        <v>-2</v>
      </c>
      <c r="Y371" s="13">
        <f t="shared" si="121"/>
        <v>-35.050000000000004</v>
      </c>
      <c r="Z371" s="13">
        <f t="shared" si="91"/>
        <v>-220.01650000000004</v>
      </c>
    </row>
    <row r="372" spans="2:26" ht="11.25" customHeight="1">
      <c r="B372" s="117"/>
      <c r="C372" s="120"/>
      <c r="D372" s="120"/>
      <c r="E372" s="120"/>
      <c r="F372" s="120"/>
      <c r="G372" s="120"/>
      <c r="I372" s="117"/>
      <c r="M372" s="6">
        <f t="shared" si="114"/>
        <v>0</v>
      </c>
      <c r="N372" s="6">
        <f t="shared" si="115"/>
        <v>0</v>
      </c>
      <c r="O372" s="6">
        <f t="shared" si="116"/>
        <v>0</v>
      </c>
      <c r="P372" s="6">
        <f t="shared" si="117"/>
        <v>0</v>
      </c>
      <c r="Q372" s="6">
        <f t="shared" si="118"/>
        <v>0</v>
      </c>
      <c r="R372" s="30">
        <f t="shared" si="119"/>
        <v>0</v>
      </c>
      <c r="S372" s="16">
        <f t="shared" si="122"/>
        <v>124.99349999999998</v>
      </c>
      <c r="T372" s="14">
        <f t="shared" si="90"/>
        <v>-32.066500000000005</v>
      </c>
      <c r="U372" s="14">
        <f t="shared" si="92"/>
        <v>-87.3</v>
      </c>
      <c r="V372" s="14">
        <f t="shared" si="106"/>
        <v>-6.3999999999999986</v>
      </c>
      <c r="W372" s="14">
        <f t="shared" si="113"/>
        <v>-57.199999999999989</v>
      </c>
      <c r="X372" s="13">
        <f t="shared" si="120"/>
        <v>-2</v>
      </c>
      <c r="Y372" s="13">
        <f t="shared" si="121"/>
        <v>-35.050000000000004</v>
      </c>
      <c r="Z372" s="13">
        <f t="shared" si="91"/>
        <v>-220.01650000000004</v>
      </c>
    </row>
    <row r="373" spans="2:26" ht="11.25" customHeight="1">
      <c r="B373" s="117"/>
      <c r="C373" s="120"/>
      <c r="D373" s="120"/>
      <c r="E373" s="120"/>
      <c r="F373" s="120"/>
      <c r="G373" s="120"/>
      <c r="I373" s="117"/>
      <c r="M373" s="6">
        <f t="shared" si="114"/>
        <v>0</v>
      </c>
      <c r="N373" s="6">
        <f t="shared" si="115"/>
        <v>0</v>
      </c>
      <c r="O373" s="6">
        <f t="shared" si="116"/>
        <v>0</v>
      </c>
      <c r="P373" s="6">
        <f t="shared" si="117"/>
        <v>0</v>
      </c>
      <c r="Q373" s="6">
        <f t="shared" si="118"/>
        <v>0</v>
      </c>
      <c r="R373" s="30">
        <f t="shared" si="119"/>
        <v>0</v>
      </c>
      <c r="S373" s="16">
        <f t="shared" si="122"/>
        <v>124.99349999999998</v>
      </c>
      <c r="T373" s="14">
        <f t="shared" si="90"/>
        <v>-32.066500000000005</v>
      </c>
      <c r="U373" s="14">
        <f t="shared" si="92"/>
        <v>-87.3</v>
      </c>
      <c r="V373" s="14">
        <f t="shared" si="106"/>
        <v>-6.3999999999999986</v>
      </c>
      <c r="W373" s="14">
        <f t="shared" si="113"/>
        <v>-57.199999999999989</v>
      </c>
      <c r="X373" s="13">
        <f t="shared" si="120"/>
        <v>-2</v>
      </c>
      <c r="Y373" s="13">
        <f t="shared" si="121"/>
        <v>-35.050000000000004</v>
      </c>
      <c r="Z373" s="13">
        <f t="shared" si="91"/>
        <v>-220.01650000000004</v>
      </c>
    </row>
    <row r="374" spans="2:26" ht="11.25" customHeight="1">
      <c r="B374" s="117"/>
      <c r="C374" s="120"/>
      <c r="D374" s="120"/>
      <c r="E374" s="120"/>
      <c r="F374" s="120"/>
      <c r="G374" s="120"/>
      <c r="I374" s="117"/>
      <c r="M374" s="6">
        <f t="shared" si="114"/>
        <v>0</v>
      </c>
      <c r="N374" s="6">
        <f t="shared" si="115"/>
        <v>0</v>
      </c>
      <c r="O374" s="6">
        <f t="shared" si="116"/>
        <v>0</v>
      </c>
      <c r="P374" s="6">
        <f t="shared" si="117"/>
        <v>0</v>
      </c>
      <c r="Q374" s="6">
        <f t="shared" si="118"/>
        <v>0</v>
      </c>
      <c r="R374" s="30">
        <f t="shared" si="119"/>
        <v>0</v>
      </c>
      <c r="S374" s="16">
        <f t="shared" si="122"/>
        <v>124.99349999999998</v>
      </c>
      <c r="T374" s="14">
        <f t="shared" si="90"/>
        <v>-32.066500000000005</v>
      </c>
      <c r="U374" s="14">
        <f t="shared" si="92"/>
        <v>-87.3</v>
      </c>
      <c r="V374" s="14">
        <f t="shared" si="106"/>
        <v>-6.3999999999999986</v>
      </c>
      <c r="W374" s="14">
        <f t="shared" si="113"/>
        <v>-57.199999999999989</v>
      </c>
      <c r="X374" s="13">
        <f t="shared" si="120"/>
        <v>-2</v>
      </c>
      <c r="Y374" s="13">
        <f t="shared" si="121"/>
        <v>-35.050000000000004</v>
      </c>
      <c r="Z374" s="13">
        <f t="shared" si="91"/>
        <v>-220.01650000000004</v>
      </c>
    </row>
    <row r="375" spans="2:26" ht="11.25" customHeight="1">
      <c r="B375" s="117"/>
      <c r="C375" s="120"/>
      <c r="D375" s="120"/>
      <c r="E375" s="120"/>
      <c r="F375" s="120"/>
      <c r="G375" s="120"/>
      <c r="I375" s="117"/>
      <c r="M375" s="6">
        <f t="shared" si="114"/>
        <v>0</v>
      </c>
      <c r="N375" s="6">
        <f t="shared" si="115"/>
        <v>0</v>
      </c>
      <c r="O375" s="6">
        <f t="shared" si="116"/>
        <v>0</v>
      </c>
      <c r="P375" s="6">
        <f t="shared" si="117"/>
        <v>0</v>
      </c>
      <c r="Q375" s="6">
        <f t="shared" si="118"/>
        <v>0</v>
      </c>
      <c r="R375" s="30">
        <f t="shared" si="119"/>
        <v>0</v>
      </c>
      <c r="S375" s="16">
        <f t="shared" si="122"/>
        <v>124.99349999999998</v>
      </c>
      <c r="T375" s="14">
        <f t="shared" si="90"/>
        <v>-32.066500000000005</v>
      </c>
      <c r="U375" s="14">
        <f t="shared" si="92"/>
        <v>-87.3</v>
      </c>
      <c r="V375" s="14">
        <f t="shared" si="106"/>
        <v>-6.3999999999999986</v>
      </c>
      <c r="W375" s="14">
        <f t="shared" si="113"/>
        <v>-57.199999999999989</v>
      </c>
      <c r="X375" s="13">
        <f t="shared" si="120"/>
        <v>-2</v>
      </c>
      <c r="Y375" s="13">
        <f t="shared" si="121"/>
        <v>-35.050000000000004</v>
      </c>
      <c r="Z375" s="13">
        <f t="shared" si="91"/>
        <v>-220.01650000000004</v>
      </c>
    </row>
    <row r="376" spans="2:26" ht="11.25" customHeight="1">
      <c r="B376" s="117"/>
      <c r="C376" s="120"/>
      <c r="D376" s="120"/>
      <c r="E376" s="120"/>
      <c r="F376" s="120"/>
      <c r="G376" s="120"/>
      <c r="I376" s="117"/>
      <c r="M376" s="6">
        <f t="shared" si="114"/>
        <v>0</v>
      </c>
      <c r="N376" s="6">
        <f t="shared" si="115"/>
        <v>0</v>
      </c>
      <c r="O376" s="6">
        <f t="shared" si="116"/>
        <v>0</v>
      </c>
      <c r="P376" s="6">
        <f t="shared" si="117"/>
        <v>0</v>
      </c>
      <c r="Q376" s="6">
        <f t="shared" si="118"/>
        <v>0</v>
      </c>
      <c r="R376" s="30">
        <f t="shared" si="119"/>
        <v>0</v>
      </c>
      <c r="S376" s="16">
        <f t="shared" si="122"/>
        <v>124.99349999999998</v>
      </c>
      <c r="T376" s="14">
        <f t="shared" si="90"/>
        <v>-32.066500000000005</v>
      </c>
      <c r="U376" s="14">
        <f t="shared" si="92"/>
        <v>-87.3</v>
      </c>
      <c r="V376" s="14">
        <f t="shared" si="106"/>
        <v>-6.3999999999999986</v>
      </c>
      <c r="W376" s="14">
        <f t="shared" si="113"/>
        <v>-57.199999999999989</v>
      </c>
      <c r="X376" s="13">
        <f t="shared" si="120"/>
        <v>-2</v>
      </c>
      <c r="Y376" s="13">
        <f t="shared" si="121"/>
        <v>-35.050000000000004</v>
      </c>
      <c r="Z376" s="13">
        <f t="shared" si="91"/>
        <v>-220.01650000000004</v>
      </c>
    </row>
    <row r="377" spans="2:26" ht="11.25" customHeight="1">
      <c r="B377" s="117"/>
      <c r="C377" s="120"/>
      <c r="D377" s="120"/>
      <c r="E377" s="120"/>
      <c r="F377" s="120"/>
      <c r="G377" s="120"/>
      <c r="I377" s="117"/>
      <c r="M377" s="6">
        <f t="shared" si="114"/>
        <v>0</v>
      </c>
      <c r="N377" s="6">
        <f t="shared" si="115"/>
        <v>0</v>
      </c>
      <c r="O377" s="6">
        <f t="shared" si="116"/>
        <v>0</v>
      </c>
      <c r="P377" s="6">
        <f t="shared" si="117"/>
        <v>0</v>
      </c>
      <c r="Q377" s="6">
        <f t="shared" si="118"/>
        <v>0</v>
      </c>
      <c r="R377" s="30">
        <f t="shared" si="119"/>
        <v>0</v>
      </c>
      <c r="S377" s="16">
        <f t="shared" si="122"/>
        <v>124.99349999999998</v>
      </c>
      <c r="T377" s="14">
        <f t="shared" si="90"/>
        <v>-32.066500000000005</v>
      </c>
      <c r="U377" s="14">
        <f t="shared" si="92"/>
        <v>-87.3</v>
      </c>
      <c r="V377" s="14">
        <f t="shared" si="106"/>
        <v>-6.3999999999999986</v>
      </c>
      <c r="W377" s="14">
        <f t="shared" si="113"/>
        <v>-57.199999999999989</v>
      </c>
      <c r="X377" s="13">
        <f t="shared" si="120"/>
        <v>-2</v>
      </c>
      <c r="Y377" s="13">
        <f t="shared" si="121"/>
        <v>-35.050000000000004</v>
      </c>
      <c r="Z377" s="13">
        <f t="shared" si="91"/>
        <v>-220.01650000000004</v>
      </c>
    </row>
    <row r="378" spans="2:26" ht="11.25" customHeight="1">
      <c r="B378" s="117"/>
      <c r="C378" s="120"/>
      <c r="D378" s="120"/>
      <c r="E378" s="120"/>
      <c r="F378" s="120"/>
      <c r="G378" s="120"/>
      <c r="I378" s="117"/>
      <c r="M378" s="6">
        <f t="shared" si="114"/>
        <v>0</v>
      </c>
      <c r="N378" s="6">
        <f t="shared" si="115"/>
        <v>0</v>
      </c>
      <c r="O378" s="6">
        <f t="shared" si="116"/>
        <v>0</v>
      </c>
      <c r="P378" s="6">
        <f t="shared" si="117"/>
        <v>0</v>
      </c>
      <c r="Q378" s="6">
        <f t="shared" si="118"/>
        <v>0</v>
      </c>
      <c r="R378" s="30">
        <f t="shared" si="119"/>
        <v>0</v>
      </c>
      <c r="S378" s="16">
        <f t="shared" si="122"/>
        <v>124.99349999999998</v>
      </c>
      <c r="T378" s="14">
        <f t="shared" si="90"/>
        <v>-32.066500000000005</v>
      </c>
      <c r="U378" s="14">
        <f t="shared" si="92"/>
        <v>-87.3</v>
      </c>
      <c r="V378" s="14">
        <f t="shared" si="106"/>
        <v>-6.3999999999999986</v>
      </c>
      <c r="W378" s="14">
        <f t="shared" si="113"/>
        <v>-57.199999999999989</v>
      </c>
      <c r="X378" s="13">
        <f t="shared" si="120"/>
        <v>-2</v>
      </c>
      <c r="Y378" s="13">
        <f t="shared" si="121"/>
        <v>-35.050000000000004</v>
      </c>
      <c r="Z378" s="13">
        <f t="shared" si="91"/>
        <v>-220.01650000000004</v>
      </c>
    </row>
    <row r="379" spans="2:26" ht="11.25" customHeight="1">
      <c r="B379" s="117"/>
      <c r="C379" s="120"/>
      <c r="D379" s="120"/>
      <c r="E379" s="120"/>
      <c r="F379" s="120"/>
      <c r="G379" s="120"/>
      <c r="I379" s="117"/>
      <c r="M379" s="6">
        <f t="shared" si="114"/>
        <v>0</v>
      </c>
      <c r="N379" s="6">
        <f t="shared" si="115"/>
        <v>0</v>
      </c>
      <c r="O379" s="6">
        <f t="shared" si="116"/>
        <v>0</v>
      </c>
      <c r="P379" s="6">
        <f t="shared" si="117"/>
        <v>0</v>
      </c>
      <c r="Q379" s="6">
        <f t="shared" si="118"/>
        <v>0</v>
      </c>
      <c r="R379" s="30">
        <f t="shared" si="119"/>
        <v>0</v>
      </c>
      <c r="S379" s="16">
        <f t="shared" si="122"/>
        <v>124.99349999999998</v>
      </c>
      <c r="T379" s="14">
        <f t="shared" si="90"/>
        <v>-32.066500000000005</v>
      </c>
      <c r="U379" s="14">
        <f t="shared" si="92"/>
        <v>-87.3</v>
      </c>
      <c r="V379" s="14">
        <f t="shared" si="106"/>
        <v>-6.3999999999999986</v>
      </c>
      <c r="W379" s="14">
        <f t="shared" si="113"/>
        <v>-57.199999999999989</v>
      </c>
      <c r="X379" s="13">
        <f t="shared" si="120"/>
        <v>-2</v>
      </c>
      <c r="Y379" s="13">
        <f t="shared" si="121"/>
        <v>-35.050000000000004</v>
      </c>
      <c r="Z379" s="13">
        <f t="shared" si="91"/>
        <v>-220.01650000000004</v>
      </c>
    </row>
    <row r="380" spans="2:26" ht="11.25" customHeight="1">
      <c r="B380" s="117"/>
      <c r="C380" s="120"/>
      <c r="D380" s="120"/>
      <c r="E380" s="120"/>
      <c r="F380" s="120"/>
      <c r="G380" s="120"/>
      <c r="I380" s="117"/>
      <c r="M380" s="6">
        <f t="shared" si="114"/>
        <v>0</v>
      </c>
      <c r="N380" s="6">
        <f t="shared" si="115"/>
        <v>0</v>
      </c>
      <c r="O380" s="6">
        <f t="shared" si="116"/>
        <v>0</v>
      </c>
      <c r="P380" s="6">
        <f t="shared" si="117"/>
        <v>0</v>
      </c>
      <c r="Q380" s="6">
        <f t="shared" si="118"/>
        <v>0</v>
      </c>
      <c r="R380" s="30">
        <f t="shared" si="119"/>
        <v>0</v>
      </c>
      <c r="S380" s="16">
        <f t="shared" si="122"/>
        <v>124.99349999999998</v>
      </c>
      <c r="T380" s="14">
        <f t="shared" si="90"/>
        <v>-32.066500000000005</v>
      </c>
      <c r="U380" s="14">
        <f t="shared" si="92"/>
        <v>-87.3</v>
      </c>
      <c r="V380" s="14">
        <f t="shared" si="106"/>
        <v>-6.3999999999999986</v>
      </c>
      <c r="W380" s="14">
        <f t="shared" si="113"/>
        <v>-57.199999999999989</v>
      </c>
      <c r="X380" s="13">
        <f t="shared" si="120"/>
        <v>-2</v>
      </c>
      <c r="Y380" s="13">
        <f t="shared" si="121"/>
        <v>-35.050000000000004</v>
      </c>
      <c r="Z380" s="13">
        <f t="shared" si="91"/>
        <v>-220.01650000000004</v>
      </c>
    </row>
    <row r="381" spans="2:26" ht="11.25" customHeight="1">
      <c r="B381" s="117"/>
      <c r="C381" s="120"/>
      <c r="D381" s="120"/>
      <c r="E381" s="120"/>
      <c r="F381" s="120"/>
      <c r="G381" s="120"/>
      <c r="I381" s="117"/>
      <c r="M381" s="6">
        <f t="shared" si="114"/>
        <v>0</v>
      </c>
      <c r="N381" s="6">
        <f t="shared" si="115"/>
        <v>0</v>
      </c>
      <c r="O381" s="6">
        <f t="shared" si="116"/>
        <v>0</v>
      </c>
      <c r="P381" s="6">
        <f t="shared" si="117"/>
        <v>0</v>
      </c>
      <c r="Q381" s="6">
        <f t="shared" si="118"/>
        <v>0</v>
      </c>
      <c r="R381" s="30">
        <f t="shared" si="119"/>
        <v>0</v>
      </c>
      <c r="S381" s="16">
        <f t="shared" si="122"/>
        <v>124.99349999999998</v>
      </c>
      <c r="T381" s="14">
        <f t="shared" si="90"/>
        <v>-32.066500000000005</v>
      </c>
      <c r="U381" s="14">
        <f t="shared" si="92"/>
        <v>-87.3</v>
      </c>
      <c r="V381" s="14">
        <f t="shared" si="106"/>
        <v>-6.3999999999999986</v>
      </c>
      <c r="W381" s="14">
        <f t="shared" si="113"/>
        <v>-57.199999999999989</v>
      </c>
      <c r="X381" s="13">
        <f t="shared" si="120"/>
        <v>-2</v>
      </c>
      <c r="Y381" s="13">
        <f t="shared" si="121"/>
        <v>-35.050000000000004</v>
      </c>
      <c r="Z381" s="13">
        <f t="shared" si="91"/>
        <v>-220.01650000000004</v>
      </c>
    </row>
    <row r="382" spans="2:26" ht="11.25" customHeight="1">
      <c r="B382" s="117"/>
      <c r="C382" s="120"/>
      <c r="D382" s="120"/>
      <c r="E382" s="120"/>
      <c r="F382" s="120"/>
      <c r="G382" s="120"/>
      <c r="I382" s="117"/>
      <c r="M382" s="6">
        <f t="shared" si="114"/>
        <v>0</v>
      </c>
      <c r="N382" s="6">
        <f t="shared" si="115"/>
        <v>0</v>
      </c>
      <c r="O382" s="6">
        <f t="shared" si="116"/>
        <v>0</v>
      </c>
      <c r="P382" s="6">
        <f t="shared" si="117"/>
        <v>0</v>
      </c>
      <c r="Q382" s="6">
        <f t="shared" si="118"/>
        <v>0</v>
      </c>
      <c r="R382" s="30">
        <f t="shared" si="119"/>
        <v>0</v>
      </c>
      <c r="S382" s="16">
        <f t="shared" si="122"/>
        <v>124.99349999999998</v>
      </c>
      <c r="T382" s="14">
        <f t="shared" si="90"/>
        <v>-32.066500000000005</v>
      </c>
      <c r="U382" s="14">
        <f t="shared" si="92"/>
        <v>-87.3</v>
      </c>
      <c r="V382" s="14">
        <f t="shared" si="106"/>
        <v>-6.3999999999999986</v>
      </c>
      <c r="W382" s="14">
        <f t="shared" si="113"/>
        <v>-57.199999999999989</v>
      </c>
      <c r="X382" s="13">
        <f t="shared" ref="X382:X395" si="123">IF(A382="YOAN",X381+R382,X381)</f>
        <v>-2</v>
      </c>
      <c r="Y382" s="13">
        <f t="shared" si="121"/>
        <v>-35.050000000000004</v>
      </c>
      <c r="Z382" s="13">
        <f t="shared" si="91"/>
        <v>-220.01650000000004</v>
      </c>
    </row>
    <row r="383" spans="2:26" ht="11.25" customHeight="1">
      <c r="B383" s="117"/>
      <c r="C383" s="120"/>
      <c r="D383" s="120"/>
      <c r="E383" s="120"/>
      <c r="F383" s="120"/>
      <c r="G383" s="120"/>
      <c r="I383" s="117"/>
      <c r="M383" s="6">
        <f t="shared" si="114"/>
        <v>0</v>
      </c>
      <c r="N383" s="6">
        <f t="shared" si="115"/>
        <v>0</v>
      </c>
      <c r="O383" s="6">
        <f t="shared" si="116"/>
        <v>0</v>
      </c>
      <c r="P383" s="6">
        <f t="shared" si="117"/>
        <v>0</v>
      </c>
      <c r="Q383" s="6">
        <f t="shared" si="118"/>
        <v>0</v>
      </c>
      <c r="R383" s="30">
        <f t="shared" si="119"/>
        <v>0</v>
      </c>
      <c r="S383" s="16">
        <f t="shared" si="122"/>
        <v>124.99349999999998</v>
      </c>
      <c r="T383" s="14">
        <f t="shared" si="90"/>
        <v>-32.066500000000005</v>
      </c>
      <c r="U383" s="14">
        <f t="shared" si="92"/>
        <v>-87.3</v>
      </c>
      <c r="V383" s="14">
        <f t="shared" si="106"/>
        <v>-6.3999999999999986</v>
      </c>
      <c r="W383" s="14">
        <f t="shared" si="113"/>
        <v>-57.199999999999989</v>
      </c>
      <c r="X383" s="13">
        <f t="shared" si="123"/>
        <v>-2</v>
      </c>
      <c r="Y383" s="13">
        <f t="shared" si="121"/>
        <v>-35.050000000000004</v>
      </c>
      <c r="Z383" s="13">
        <f t="shared" si="91"/>
        <v>-220.01650000000004</v>
      </c>
    </row>
    <row r="384" spans="2:26" ht="11.25" customHeight="1">
      <c r="B384" s="117"/>
      <c r="C384" s="120"/>
      <c r="D384" s="120"/>
      <c r="E384" s="120"/>
      <c r="F384" s="120"/>
      <c r="G384" s="120"/>
      <c r="I384" s="117"/>
      <c r="M384" s="6">
        <f t="shared" si="114"/>
        <v>0</v>
      </c>
      <c r="N384" s="6">
        <f t="shared" si="115"/>
        <v>0</v>
      </c>
      <c r="O384" s="6">
        <f t="shared" si="116"/>
        <v>0</v>
      </c>
      <c r="P384" s="6">
        <f t="shared" si="117"/>
        <v>0</v>
      </c>
      <c r="Q384" s="6">
        <f t="shared" si="118"/>
        <v>0</v>
      </c>
      <c r="R384" s="30">
        <f t="shared" si="119"/>
        <v>0</v>
      </c>
      <c r="S384" s="16">
        <f t="shared" si="122"/>
        <v>124.99349999999998</v>
      </c>
      <c r="T384" s="14">
        <f t="shared" si="90"/>
        <v>-32.066500000000005</v>
      </c>
      <c r="U384" s="14">
        <f t="shared" si="92"/>
        <v>-87.3</v>
      </c>
      <c r="V384" s="14">
        <f t="shared" si="106"/>
        <v>-6.3999999999999986</v>
      </c>
      <c r="W384" s="14">
        <f t="shared" si="113"/>
        <v>-57.199999999999989</v>
      </c>
      <c r="X384" s="13">
        <f t="shared" si="123"/>
        <v>-2</v>
      </c>
      <c r="Y384" s="13">
        <f t="shared" si="121"/>
        <v>-35.050000000000004</v>
      </c>
      <c r="Z384" s="13">
        <f t="shared" si="91"/>
        <v>-220.01650000000004</v>
      </c>
    </row>
    <row r="385" spans="1:27" ht="11.25" customHeight="1">
      <c r="B385" s="117"/>
      <c r="C385" s="120"/>
      <c r="D385" s="120"/>
      <c r="E385" s="120"/>
      <c r="F385" s="120"/>
      <c r="G385" s="120"/>
      <c r="I385" s="117"/>
      <c r="M385" s="6">
        <f t="shared" si="114"/>
        <v>0</v>
      </c>
      <c r="N385" s="6">
        <f t="shared" si="115"/>
        <v>0</v>
      </c>
      <c r="O385" s="6">
        <f t="shared" si="116"/>
        <v>0</v>
      </c>
      <c r="P385" s="6">
        <f t="shared" si="117"/>
        <v>0</v>
      </c>
      <c r="Q385" s="6">
        <f t="shared" si="118"/>
        <v>0</v>
      </c>
      <c r="R385" s="30">
        <f t="shared" si="119"/>
        <v>0</v>
      </c>
      <c r="S385" s="16">
        <f t="shared" si="122"/>
        <v>124.99349999999998</v>
      </c>
      <c r="T385" s="14">
        <f t="shared" si="90"/>
        <v>-32.066500000000005</v>
      </c>
      <c r="U385" s="14">
        <f t="shared" si="92"/>
        <v>-87.3</v>
      </c>
      <c r="V385" s="14">
        <f t="shared" si="106"/>
        <v>-6.3999999999999986</v>
      </c>
      <c r="W385" s="14">
        <f t="shared" si="113"/>
        <v>-57.199999999999989</v>
      </c>
      <c r="X385" s="13">
        <f t="shared" si="123"/>
        <v>-2</v>
      </c>
      <c r="Y385" s="13">
        <f t="shared" ref="Y385:Y395" si="124">IF(A385="JEAN",Y384+R385,Y384)</f>
        <v>-35.050000000000004</v>
      </c>
      <c r="Z385" s="13">
        <f t="shared" si="91"/>
        <v>-220.01650000000004</v>
      </c>
    </row>
    <row r="386" spans="1:27" ht="11.25" customHeight="1">
      <c r="B386" s="117"/>
      <c r="C386" s="120"/>
      <c r="D386" s="120"/>
      <c r="E386" s="120"/>
      <c r="F386" s="120"/>
      <c r="G386" s="120"/>
      <c r="I386" s="117"/>
      <c r="M386" s="6">
        <f t="shared" si="114"/>
        <v>0</v>
      </c>
      <c r="N386" s="6">
        <f t="shared" si="115"/>
        <v>0</v>
      </c>
      <c r="O386" s="6">
        <f t="shared" si="116"/>
        <v>0</v>
      </c>
      <c r="P386" s="6">
        <f t="shared" si="117"/>
        <v>0</v>
      </c>
      <c r="Q386" s="6">
        <f t="shared" si="118"/>
        <v>0</v>
      </c>
      <c r="R386" s="30">
        <f t="shared" si="119"/>
        <v>0</v>
      </c>
      <c r="S386" s="16">
        <f t="shared" si="122"/>
        <v>124.99349999999998</v>
      </c>
      <c r="T386" s="14">
        <f t="shared" si="90"/>
        <v>-32.066500000000005</v>
      </c>
      <c r="U386" s="14">
        <f t="shared" si="92"/>
        <v>-87.3</v>
      </c>
      <c r="V386" s="14">
        <f t="shared" si="106"/>
        <v>-6.3999999999999986</v>
      </c>
      <c r="W386" s="14">
        <f t="shared" si="113"/>
        <v>-57.199999999999989</v>
      </c>
      <c r="X386" s="13">
        <f t="shared" si="123"/>
        <v>-2</v>
      </c>
      <c r="Y386" s="13">
        <f t="shared" si="124"/>
        <v>-35.050000000000004</v>
      </c>
      <c r="Z386" s="13">
        <f t="shared" si="91"/>
        <v>-220.01650000000004</v>
      </c>
    </row>
    <row r="387" spans="1:27" ht="11.25" customHeight="1">
      <c r="B387" s="117"/>
      <c r="C387" s="120"/>
      <c r="D387" s="120"/>
      <c r="E387" s="120"/>
      <c r="F387" s="120"/>
      <c r="G387" s="120"/>
      <c r="I387" s="117"/>
      <c r="M387" s="6">
        <f t="shared" si="114"/>
        <v>0</v>
      </c>
      <c r="N387" s="6">
        <f t="shared" si="115"/>
        <v>0</v>
      </c>
      <c r="O387" s="6">
        <f t="shared" si="116"/>
        <v>0</v>
      </c>
      <c r="P387" s="6">
        <f t="shared" si="117"/>
        <v>0</v>
      </c>
      <c r="Q387" s="6">
        <f t="shared" si="118"/>
        <v>0</v>
      </c>
      <c r="R387" s="30">
        <f t="shared" si="119"/>
        <v>0</v>
      </c>
      <c r="S387" s="16">
        <f t="shared" si="122"/>
        <v>124.99349999999998</v>
      </c>
      <c r="T387" s="14">
        <f t="shared" si="90"/>
        <v>-32.066500000000005</v>
      </c>
      <c r="U387" s="14">
        <f t="shared" si="92"/>
        <v>-87.3</v>
      </c>
      <c r="V387" s="14">
        <f t="shared" si="106"/>
        <v>-6.3999999999999986</v>
      </c>
      <c r="W387" s="14">
        <f t="shared" si="113"/>
        <v>-57.199999999999989</v>
      </c>
      <c r="X387" s="13">
        <f t="shared" si="123"/>
        <v>-2</v>
      </c>
      <c r="Y387" s="13">
        <f t="shared" si="124"/>
        <v>-35.050000000000004</v>
      </c>
      <c r="Z387" s="13">
        <f t="shared" si="91"/>
        <v>-220.01650000000004</v>
      </c>
    </row>
    <row r="388" spans="1:27" ht="11.25" customHeight="1">
      <c r="B388" s="117"/>
      <c r="C388" s="120"/>
      <c r="D388" s="120"/>
      <c r="E388" s="120"/>
      <c r="F388" s="120"/>
      <c r="G388" s="120"/>
      <c r="I388" s="117"/>
      <c r="M388" s="6">
        <f t="shared" si="114"/>
        <v>0</v>
      </c>
      <c r="N388" s="6">
        <f t="shared" si="115"/>
        <v>0</v>
      </c>
      <c r="O388" s="6">
        <f t="shared" si="116"/>
        <v>0</v>
      </c>
      <c r="P388" s="6">
        <f t="shared" si="117"/>
        <v>0</v>
      </c>
      <c r="Q388" s="6">
        <f t="shared" si="118"/>
        <v>0</v>
      </c>
      <c r="R388" s="30">
        <f t="shared" si="119"/>
        <v>0</v>
      </c>
      <c r="S388" s="16">
        <f t="shared" si="122"/>
        <v>124.99349999999998</v>
      </c>
      <c r="T388" s="14">
        <f t="shared" ref="T388:T395" si="125">IF(A388="YANN",T387+R388,T387)</f>
        <v>-32.066500000000005</v>
      </c>
      <c r="U388" s="14">
        <f t="shared" si="92"/>
        <v>-87.3</v>
      </c>
      <c r="V388" s="14">
        <f t="shared" si="106"/>
        <v>-6.3999999999999986</v>
      </c>
      <c r="W388" s="14">
        <f t="shared" si="113"/>
        <v>-57.199999999999989</v>
      </c>
      <c r="X388" s="13">
        <f t="shared" si="123"/>
        <v>-2</v>
      </c>
      <c r="Y388" s="13">
        <f t="shared" si="124"/>
        <v>-35.050000000000004</v>
      </c>
      <c r="Z388" s="13">
        <f t="shared" ref="Z388:Z395" si="126">+Z387+R388</f>
        <v>-220.01650000000004</v>
      </c>
    </row>
    <row r="389" spans="1:27" ht="11.25" customHeight="1">
      <c r="B389" s="117"/>
      <c r="C389" s="120"/>
      <c r="D389" s="120"/>
      <c r="E389" s="120"/>
      <c r="F389" s="120"/>
      <c r="G389" s="120"/>
      <c r="I389" s="117"/>
      <c r="M389" s="6">
        <f t="shared" si="114"/>
        <v>0</v>
      </c>
      <c r="N389" s="6">
        <f t="shared" si="115"/>
        <v>0</v>
      </c>
      <c r="O389" s="6">
        <f t="shared" si="116"/>
        <v>0</v>
      </c>
      <c r="P389" s="6">
        <f t="shared" si="117"/>
        <v>0</v>
      </c>
      <c r="Q389" s="6">
        <f t="shared" si="118"/>
        <v>0</v>
      </c>
      <c r="R389" s="30">
        <f t="shared" si="119"/>
        <v>0</v>
      </c>
      <c r="S389" s="16">
        <f t="shared" si="122"/>
        <v>124.99349999999998</v>
      </c>
      <c r="T389" s="14">
        <f t="shared" si="125"/>
        <v>-32.066500000000005</v>
      </c>
      <c r="U389" s="14">
        <f t="shared" si="92"/>
        <v>-87.3</v>
      </c>
      <c r="V389" s="14">
        <f t="shared" si="106"/>
        <v>-6.3999999999999986</v>
      </c>
      <c r="W389" s="14">
        <f t="shared" si="113"/>
        <v>-57.199999999999989</v>
      </c>
      <c r="X389" s="13">
        <f t="shared" si="123"/>
        <v>-2</v>
      </c>
      <c r="Y389" s="13">
        <f t="shared" si="124"/>
        <v>-35.050000000000004</v>
      </c>
      <c r="Z389" s="13">
        <f t="shared" si="126"/>
        <v>-220.01650000000004</v>
      </c>
    </row>
    <row r="390" spans="1:27" ht="11.25" customHeight="1">
      <c r="B390" s="117"/>
      <c r="C390" s="120"/>
      <c r="D390" s="120"/>
      <c r="E390" s="120"/>
      <c r="F390" s="120"/>
      <c r="G390" s="120"/>
      <c r="I390" s="117"/>
      <c r="M390" s="6">
        <f t="shared" si="114"/>
        <v>0</v>
      </c>
      <c r="N390" s="6">
        <f t="shared" si="115"/>
        <v>0</v>
      </c>
      <c r="O390" s="6">
        <f t="shared" si="116"/>
        <v>0</v>
      </c>
      <c r="P390" s="6">
        <f t="shared" si="117"/>
        <v>0</v>
      </c>
      <c r="Q390" s="6">
        <f t="shared" si="118"/>
        <v>0</v>
      </c>
      <c r="R390" s="30">
        <f t="shared" si="119"/>
        <v>0</v>
      </c>
      <c r="S390" s="16">
        <f t="shared" si="122"/>
        <v>124.99349999999998</v>
      </c>
      <c r="T390" s="14">
        <f t="shared" si="125"/>
        <v>-32.066500000000005</v>
      </c>
      <c r="U390" s="14">
        <f t="shared" si="92"/>
        <v>-87.3</v>
      </c>
      <c r="V390" s="14">
        <f t="shared" si="106"/>
        <v>-6.3999999999999986</v>
      </c>
      <c r="W390" s="14">
        <f t="shared" si="113"/>
        <v>-57.199999999999989</v>
      </c>
      <c r="X390" s="13">
        <f t="shared" si="123"/>
        <v>-2</v>
      </c>
      <c r="Y390" s="13">
        <f t="shared" si="124"/>
        <v>-35.050000000000004</v>
      </c>
      <c r="Z390" s="13">
        <f t="shared" si="126"/>
        <v>-220.01650000000004</v>
      </c>
    </row>
    <row r="391" spans="1:27" ht="11.25" customHeight="1">
      <c r="B391" s="117"/>
      <c r="C391" s="120"/>
      <c r="D391" s="120"/>
      <c r="E391" s="120"/>
      <c r="F391" s="120"/>
      <c r="G391" s="120"/>
      <c r="I391" s="117"/>
      <c r="M391" s="6">
        <f t="shared" si="114"/>
        <v>0</v>
      </c>
      <c r="N391" s="6">
        <f t="shared" si="115"/>
        <v>0</v>
      </c>
      <c r="O391" s="6">
        <f t="shared" si="116"/>
        <v>0</v>
      </c>
      <c r="P391" s="6">
        <f t="shared" si="117"/>
        <v>0</v>
      </c>
      <c r="Q391" s="6">
        <f t="shared" si="118"/>
        <v>0</v>
      </c>
      <c r="R391" s="30">
        <f t="shared" si="119"/>
        <v>0</v>
      </c>
      <c r="S391" s="16">
        <f t="shared" si="122"/>
        <v>124.99349999999998</v>
      </c>
      <c r="T391" s="14">
        <f t="shared" si="125"/>
        <v>-32.066500000000005</v>
      </c>
      <c r="U391" s="14">
        <f t="shared" si="92"/>
        <v>-87.3</v>
      </c>
      <c r="V391" s="14">
        <f t="shared" si="106"/>
        <v>-6.3999999999999986</v>
      </c>
      <c r="W391" s="14">
        <f t="shared" si="113"/>
        <v>-57.199999999999989</v>
      </c>
      <c r="X391" s="13">
        <f t="shared" si="123"/>
        <v>-2</v>
      </c>
      <c r="Y391" s="13">
        <f t="shared" si="124"/>
        <v>-35.050000000000004</v>
      </c>
      <c r="Z391" s="13">
        <f t="shared" si="126"/>
        <v>-220.01650000000004</v>
      </c>
    </row>
    <row r="392" spans="1:27" ht="11.25" customHeight="1">
      <c r="B392" s="117"/>
      <c r="C392" s="120"/>
      <c r="D392" s="120"/>
      <c r="E392" s="120"/>
      <c r="F392" s="120"/>
      <c r="G392" s="120"/>
      <c r="I392" s="117"/>
      <c r="M392" s="6">
        <f t="shared" si="114"/>
        <v>0</v>
      </c>
      <c r="N392" s="6">
        <f t="shared" si="115"/>
        <v>0</v>
      </c>
      <c r="O392" s="6">
        <f t="shared" si="116"/>
        <v>0</v>
      </c>
      <c r="P392" s="6">
        <f t="shared" si="117"/>
        <v>0</v>
      </c>
      <c r="Q392" s="6">
        <f t="shared" si="118"/>
        <v>0</v>
      </c>
      <c r="R392" s="30">
        <f t="shared" si="119"/>
        <v>0</v>
      </c>
      <c r="S392" s="16">
        <f t="shared" si="122"/>
        <v>124.99349999999998</v>
      </c>
      <c r="T392" s="14">
        <f t="shared" si="125"/>
        <v>-32.066500000000005</v>
      </c>
      <c r="U392" s="14">
        <f t="shared" si="92"/>
        <v>-87.3</v>
      </c>
      <c r="V392" s="14">
        <f t="shared" si="106"/>
        <v>-6.3999999999999986</v>
      </c>
      <c r="W392" s="14">
        <f t="shared" si="113"/>
        <v>-57.199999999999989</v>
      </c>
      <c r="X392" s="13">
        <f t="shared" si="123"/>
        <v>-2</v>
      </c>
      <c r="Y392" s="13">
        <f t="shared" si="124"/>
        <v>-35.050000000000004</v>
      </c>
      <c r="Z392" s="13">
        <f t="shared" si="126"/>
        <v>-220.01650000000004</v>
      </c>
    </row>
    <row r="393" spans="1:27" ht="11.25" customHeight="1">
      <c r="B393" s="117"/>
      <c r="C393" s="120"/>
      <c r="D393" s="120"/>
      <c r="E393" s="120"/>
      <c r="F393" s="120"/>
      <c r="G393" s="120"/>
      <c r="I393" s="117"/>
      <c r="M393" s="6">
        <f t="shared" si="114"/>
        <v>0</v>
      </c>
      <c r="N393" s="6">
        <f t="shared" si="115"/>
        <v>0</v>
      </c>
      <c r="O393" s="6">
        <f t="shared" si="116"/>
        <v>0</v>
      </c>
      <c r="P393" s="6">
        <f t="shared" si="117"/>
        <v>0</v>
      </c>
      <c r="Q393" s="6">
        <f t="shared" si="118"/>
        <v>0</v>
      </c>
      <c r="R393" s="30">
        <f t="shared" si="119"/>
        <v>0</v>
      </c>
      <c r="S393" s="16">
        <f t="shared" si="122"/>
        <v>124.99349999999998</v>
      </c>
      <c r="T393" s="14">
        <f t="shared" si="125"/>
        <v>-32.066500000000005</v>
      </c>
      <c r="U393" s="14">
        <f t="shared" si="92"/>
        <v>-87.3</v>
      </c>
      <c r="V393" s="14">
        <f t="shared" si="106"/>
        <v>-6.3999999999999986</v>
      </c>
      <c r="W393" s="14">
        <f t="shared" si="113"/>
        <v>-57.199999999999989</v>
      </c>
      <c r="X393" s="13">
        <f t="shared" si="123"/>
        <v>-2</v>
      </c>
      <c r="Y393" s="13">
        <f t="shared" si="124"/>
        <v>-35.050000000000004</v>
      </c>
      <c r="Z393" s="13">
        <f t="shared" si="126"/>
        <v>-220.01650000000004</v>
      </c>
    </row>
    <row r="394" spans="1:27" ht="11.25" customHeight="1">
      <c r="B394" s="117"/>
      <c r="C394" s="120"/>
      <c r="D394" s="120"/>
      <c r="E394" s="120"/>
      <c r="F394" s="120"/>
      <c r="G394" s="120"/>
      <c r="I394" s="117"/>
      <c r="M394" s="6">
        <f t="shared" si="114"/>
        <v>0</v>
      </c>
      <c r="N394" s="6">
        <f t="shared" si="115"/>
        <v>0</v>
      </c>
      <c r="O394" s="6">
        <f t="shared" si="116"/>
        <v>0</v>
      </c>
      <c r="P394" s="6">
        <f t="shared" si="117"/>
        <v>0</v>
      </c>
      <c r="Q394" s="6">
        <f t="shared" si="118"/>
        <v>0</v>
      </c>
      <c r="R394" s="30">
        <f t="shared" si="119"/>
        <v>0</v>
      </c>
      <c r="S394" s="16">
        <f t="shared" si="122"/>
        <v>124.99349999999998</v>
      </c>
      <c r="T394" s="14">
        <f t="shared" si="125"/>
        <v>-32.066500000000005</v>
      </c>
      <c r="U394" s="14">
        <f t="shared" si="92"/>
        <v>-87.3</v>
      </c>
      <c r="V394" s="14">
        <f t="shared" si="106"/>
        <v>-6.3999999999999986</v>
      </c>
      <c r="W394" s="14">
        <f t="shared" si="113"/>
        <v>-57.199999999999989</v>
      </c>
      <c r="X394" s="13">
        <f t="shared" si="123"/>
        <v>-2</v>
      </c>
      <c r="Y394" s="13">
        <f t="shared" si="124"/>
        <v>-35.050000000000004</v>
      </c>
      <c r="Z394" s="13">
        <f t="shared" si="126"/>
        <v>-220.01650000000004</v>
      </c>
    </row>
    <row r="395" spans="1:27" ht="11.25" customHeight="1" thickBot="1">
      <c r="B395" s="117"/>
      <c r="C395" s="120"/>
      <c r="D395" s="120"/>
      <c r="E395" s="120"/>
      <c r="F395" s="120"/>
      <c r="G395" s="120"/>
      <c r="I395" s="117"/>
      <c r="M395" s="6">
        <f t="shared" si="114"/>
        <v>0</v>
      </c>
      <c r="N395" s="6">
        <f t="shared" si="115"/>
        <v>0</v>
      </c>
      <c r="O395" s="6">
        <f t="shared" si="116"/>
        <v>0</v>
      </c>
      <c r="P395" s="6">
        <f t="shared" si="117"/>
        <v>0</v>
      </c>
      <c r="Q395" s="6">
        <f t="shared" si="118"/>
        <v>0</v>
      </c>
      <c r="R395" s="30">
        <f t="shared" si="119"/>
        <v>0</v>
      </c>
      <c r="S395" s="16">
        <f t="shared" si="122"/>
        <v>124.99349999999998</v>
      </c>
      <c r="T395" s="14">
        <f t="shared" si="125"/>
        <v>-32.066500000000005</v>
      </c>
      <c r="U395" s="14">
        <f t="shared" si="92"/>
        <v>-87.3</v>
      </c>
      <c r="V395" s="14">
        <f t="shared" si="106"/>
        <v>-6.3999999999999986</v>
      </c>
      <c r="W395" s="14">
        <f t="shared" si="113"/>
        <v>-57.199999999999989</v>
      </c>
      <c r="X395" s="13">
        <f t="shared" si="123"/>
        <v>-2</v>
      </c>
      <c r="Y395" s="13">
        <f t="shared" si="124"/>
        <v>-35.050000000000004</v>
      </c>
      <c r="Z395" s="13">
        <f t="shared" si="126"/>
        <v>-220.01650000000004</v>
      </c>
      <c r="AA395" s="5">
        <f>+U395+V395+W395+X395+T395+Y395-Z395</f>
        <v>0</v>
      </c>
    </row>
    <row r="396" spans="1:27" s="7" customFormat="1" ht="12" customHeight="1" thickBot="1">
      <c r="A396" s="123"/>
      <c r="C396" s="108"/>
      <c r="D396" s="123"/>
      <c r="H396" s="124"/>
      <c r="K396" s="125" t="s">
        <v>38</v>
      </c>
      <c r="L396" s="87">
        <f>SUBTOTAL(9,R3:R395)</f>
        <v>-220.01650000000004</v>
      </c>
      <c r="M396" s="27"/>
      <c r="N396" s="27"/>
      <c r="O396" s="27"/>
      <c r="P396" s="27">
        <f>SUBTOTAL(9,P2:P395)</f>
        <v>12</v>
      </c>
      <c r="Q396" s="27"/>
      <c r="R396" s="31"/>
      <c r="S396" s="18">
        <f>MAX(S25:S395)</f>
        <v>179.99349999999998</v>
      </c>
      <c r="T396" s="144" t="s">
        <v>159</v>
      </c>
      <c r="U396" s="15"/>
      <c r="V396" s="15"/>
      <c r="W396" s="15"/>
      <c r="X396" s="15"/>
      <c r="Y396" s="15"/>
      <c r="Z396" s="15"/>
      <c r="AA396" s="21"/>
    </row>
    <row r="397" spans="1:27" ht="12" customHeight="1" thickBot="1">
      <c r="S397" s="8"/>
    </row>
    <row r="398" spans="1:27" ht="35.25" customHeight="1" thickBot="1">
      <c r="K398" s="126" t="s">
        <v>39</v>
      </c>
      <c r="L398" s="88">
        <f>GETPIVOTDATA("GAIN REEL",'gain réel par parieur '!$A$4)-L396</f>
        <v>0</v>
      </c>
      <c r="S398" s="145">
        <f>MIN(S25:S395)</f>
        <v>39.817499999999939</v>
      </c>
      <c r="T398" s="146" t="s">
        <v>160</v>
      </c>
    </row>
    <row r="399" spans="1:27" ht="11.25" customHeight="1"/>
    <row r="400" spans="1:27" ht="11.25" customHeight="1"/>
    <row r="401" spans="13:19" ht="11.25" customHeight="1"/>
    <row r="402" spans="13:19" ht="11.25" customHeight="1"/>
    <row r="403" spans="13:19" ht="11.25" customHeight="1"/>
    <row r="404" spans="13:19" ht="11.25" customHeight="1"/>
    <row r="405" spans="13:19" ht="11.25" customHeight="1"/>
    <row r="406" spans="13:19" ht="11.25" customHeight="1">
      <c r="S406" s="11" t="s">
        <v>709</v>
      </c>
    </row>
    <row r="407" spans="13:19" ht="11.25" customHeight="1"/>
    <row r="408" spans="13:19" ht="11.25" customHeight="1">
      <c r="M408" s="28"/>
      <c r="N408" s="28"/>
      <c r="O408" s="28"/>
      <c r="P408" s="28"/>
      <c r="Q408" s="28"/>
      <c r="R408" s="32"/>
    </row>
    <row r="409" spans="13:19" ht="11.25" customHeight="1"/>
    <row r="410" spans="13:19" ht="11.25" customHeight="1"/>
    <row r="411" spans="13:19" ht="11.25" customHeight="1"/>
    <row r="412" spans="13:19" ht="11.25" customHeight="1">
      <c r="S412" s="11" t="s">
        <v>710</v>
      </c>
    </row>
    <row r="413" spans="13:19" ht="11.25" customHeight="1"/>
    <row r="414" spans="13:19" ht="11.25" customHeight="1"/>
    <row r="415" spans="13:19" ht="11.25" customHeight="1">
      <c r="M415" s="28"/>
      <c r="N415" s="28"/>
      <c r="O415" s="28"/>
      <c r="P415" s="28"/>
      <c r="Q415" s="28"/>
      <c r="R415" s="32"/>
    </row>
    <row r="416" spans="13:19" ht="11.25" customHeight="1"/>
    <row r="417" spans="13:19" ht="11.25" customHeight="1"/>
    <row r="418" spans="13:19" ht="11.25" customHeight="1"/>
    <row r="419" spans="13:19" ht="11.25" customHeight="1"/>
    <row r="420" spans="13:19" ht="11.25" customHeight="1">
      <c r="S420" s="11"/>
    </row>
    <row r="421" spans="13:19" ht="11.25" customHeight="1">
      <c r="S421" s="11" t="s">
        <v>711</v>
      </c>
    </row>
    <row r="422" spans="13:19" ht="11.25" customHeight="1"/>
    <row r="423" spans="13:19" ht="11.25" customHeight="1">
      <c r="M423" s="28"/>
      <c r="N423" s="28"/>
      <c r="O423" s="28"/>
      <c r="P423" s="28"/>
      <c r="Q423" s="28"/>
      <c r="R423" s="32"/>
    </row>
    <row r="424" spans="13:19" ht="11.25" customHeight="1"/>
  </sheetData>
  <autoFilter ref="A1:Z425">
    <filterColumn colId="0"/>
    <filterColumn colId="1"/>
    <filterColumn colId="11"/>
    <filterColumn colId="13"/>
    <filterColumn colId="14"/>
    <filterColumn colId="15"/>
    <filterColumn colId="24"/>
  </autoFilter>
  <conditionalFormatting sqref="S420 S412:S413 S406 L409:L414 L416:L422 L424:L1048576 L402:L407 L1:L400">
    <cfRule type="containsText" dxfId="14" priority="17" operator="containsText" text="PERDU">
      <formula>NOT(ISERROR(SEARCH("PERDU",L1)))</formula>
    </cfRule>
    <cfRule type="containsText" dxfId="13" priority="18" operator="containsText" text="BON">
      <formula>NOT(ISERROR(SEARCH("BON",L1)))</formula>
    </cfRule>
  </conditionalFormatting>
  <conditionalFormatting sqref="S421">
    <cfRule type="containsText" dxfId="12" priority="3" operator="containsText" text="PERDU">
      <formula>NOT(ISERROR(SEARCH("PERDU",S421)))</formula>
    </cfRule>
    <cfRule type="containsText" dxfId="11" priority="4" operator="containsText" text="BON">
      <formula>NOT(ISERROR(SEARCH("BON",S421)))</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Feuil5"/>
  <dimension ref="A3:H38"/>
  <sheetViews>
    <sheetView workbookViewId="0">
      <selection activeCell="A4" sqref="A4"/>
    </sheetView>
  </sheetViews>
  <sheetFormatPr baseColWidth="10" defaultRowHeight="11.25"/>
  <cols>
    <col min="1" max="1" width="19.125" customWidth="1"/>
    <col min="2" max="2" width="14" customWidth="1"/>
    <col min="3" max="3" width="16" customWidth="1"/>
    <col min="4" max="4" width="23.375" customWidth="1"/>
    <col min="5" max="5" width="4.5" customWidth="1"/>
    <col min="6" max="6" width="6" customWidth="1"/>
    <col min="7" max="7" width="6.125" customWidth="1"/>
    <col min="8" max="8" width="6.375" hidden="1" customWidth="1"/>
    <col min="9" max="9" width="12" customWidth="1"/>
    <col min="10" max="10" width="14.375" bestFit="1" customWidth="1"/>
    <col min="11" max="11" width="16.5" bestFit="1" customWidth="1"/>
    <col min="12" max="12" width="14.375" bestFit="1" customWidth="1"/>
    <col min="13" max="13" width="16.5" bestFit="1" customWidth="1"/>
    <col min="14" max="14" width="14.375" bestFit="1" customWidth="1"/>
    <col min="15" max="15" width="16.5" bestFit="1" customWidth="1"/>
    <col min="16" max="16" width="19.125" bestFit="1" customWidth="1"/>
    <col min="17" max="17" width="21.125" bestFit="1" customWidth="1"/>
  </cols>
  <sheetData>
    <row r="3" spans="1:4">
      <c r="B3" s="139" t="s">
        <v>689</v>
      </c>
    </row>
    <row r="4" spans="1:4">
      <c r="A4" s="139" t="s">
        <v>34</v>
      </c>
      <c r="B4" t="s">
        <v>690</v>
      </c>
      <c r="C4" t="s">
        <v>691</v>
      </c>
      <c r="D4" s="143" t="s">
        <v>692</v>
      </c>
    </row>
    <row r="5" spans="1:4">
      <c r="A5" s="1" t="s">
        <v>9</v>
      </c>
      <c r="B5" s="61">
        <v>30</v>
      </c>
      <c r="C5" s="61">
        <v>34</v>
      </c>
      <c r="D5" s="142">
        <f>GETPIVOTDATA("Somme de BON",$A$3,"SPORT","BASKET")/(GETPIVOTDATA("Somme de BON",$A$3,"SPORT","BASKET")+GETPIVOTDATA("Somme de PERDU",$A$3,"SPORT","BASKET"))</f>
        <v>0.46875</v>
      </c>
    </row>
    <row r="6" spans="1:4">
      <c r="A6" s="141" t="s">
        <v>2</v>
      </c>
      <c r="B6" s="61">
        <v>1</v>
      </c>
      <c r="C6" s="61">
        <v>0</v>
      </c>
      <c r="D6" s="140">
        <f>GETPIVOTDATA("Somme de BON",$A$3,"PARIEUR","DJO","SPORT","BASKET")/(GETPIVOTDATA("Somme de BON",$A$3,"PARIEUR","DJO","SPORT","BASKET")+GETPIVOTDATA("Somme de PERDU",$A$3,"PARIEUR","DJO","SPORT","BASKET"))</f>
        <v>1</v>
      </c>
    </row>
    <row r="7" spans="1:4">
      <c r="A7" s="141" t="s">
        <v>468</v>
      </c>
      <c r="B7" s="61">
        <v>5</v>
      </c>
      <c r="C7" s="61">
        <v>2</v>
      </c>
      <c r="D7" s="140">
        <f>GETPIVOTDATA("Somme de BON",$A$3,"PARIEUR","JEAN","SPORT","BASKET")/(GETPIVOTDATA("Somme de BON",$A$3,"PARIEUR","JEAN","SPORT","BASKET")+GETPIVOTDATA("Somme de PERDU",$A$3,"PARIEUR","JEAN","SPORT","BASKET"))</f>
        <v>0.7142857142857143</v>
      </c>
    </row>
    <row r="8" spans="1:4">
      <c r="A8" s="141" t="s">
        <v>58</v>
      </c>
      <c r="B8" s="61">
        <v>2</v>
      </c>
      <c r="C8" s="61">
        <v>0</v>
      </c>
      <c r="D8" s="140">
        <f>GETPIVOTDATA("Somme de BON",$A$3,"PARIEUR","PHANE","SPORT","BASKET")/(GETPIVOTDATA("Somme de BON",$A$3,"PARIEUR","PHANE","SPORT","BASKET")+GETPIVOTDATA("Somme de PERDU",$A$3,"PARIEUR","PHANE","SPORT","BASKET"))</f>
        <v>1</v>
      </c>
    </row>
    <row r="9" spans="1:4">
      <c r="A9" s="141" t="s">
        <v>67</v>
      </c>
      <c r="B9" s="61">
        <v>1</v>
      </c>
      <c r="C9" s="61">
        <v>2</v>
      </c>
      <c r="D9" s="140">
        <f>GETPIVOTDATA("Somme de BON",$A$3,"PARIEUR","TOF","SPORT","BASKET")/(GETPIVOTDATA("Somme de BON",$A$3,"PARIEUR","TOF","SPORT","BASKET")+GETPIVOTDATA("Somme de PERDU",$A$3,"PARIEUR","TOF","SPORT","BASKET"))</f>
        <v>0.33333333333333331</v>
      </c>
    </row>
    <row r="10" spans="1:4">
      <c r="A10" s="141" t="s">
        <v>8</v>
      </c>
      <c r="B10" s="61">
        <v>21</v>
      </c>
      <c r="C10" s="61">
        <v>30</v>
      </c>
      <c r="D10" s="140">
        <f>GETPIVOTDATA("Somme de BON",$A$3,"PARIEUR","YANN","SPORT","BASKET")/(GETPIVOTDATA("Somme de BON",$A$3,"PARIEUR","YANN","SPORT","BASKET")+GETPIVOTDATA("Somme de PERDU",$A$3,"PARIEUR","YANN","SPORT","BASKET"))</f>
        <v>0.41176470588235292</v>
      </c>
    </row>
    <row r="11" spans="1:4">
      <c r="A11" s="1" t="s">
        <v>48</v>
      </c>
      <c r="B11" s="61">
        <v>0</v>
      </c>
      <c r="C11" s="61">
        <v>1</v>
      </c>
      <c r="D11" s="142">
        <f>GETPIVOTDATA("Somme de BON",$A$3,"SPORT","DIVERS")/(GETPIVOTDATA("Somme de BON",$A$3,"SPORT","DIVERS")+GETPIVOTDATA("Somme de PERDU",$A$3,"SPORT","DIVERS"))</f>
        <v>0</v>
      </c>
    </row>
    <row r="12" spans="1:4">
      <c r="A12" s="141" t="s">
        <v>8</v>
      </c>
      <c r="B12" s="61">
        <v>0</v>
      </c>
      <c r="C12" s="61">
        <v>1</v>
      </c>
      <c r="D12" s="140">
        <f>GETPIVOTDATA("Somme de BON",$A$3,"PARIEUR","YANN","SPORT","DIVERS")/(GETPIVOTDATA("Somme de BON",$A$3,"PARIEUR","YANN","SPORT","DIVERS")+GETPIVOTDATA("Somme de PERDU",$A$3,"PARIEUR","YANN","SPORT","DIVERS"))</f>
        <v>0</v>
      </c>
    </row>
    <row r="13" spans="1:4">
      <c r="A13" s="1" t="s">
        <v>3</v>
      </c>
      <c r="B13" s="61">
        <v>96</v>
      </c>
      <c r="C13" s="61">
        <v>112</v>
      </c>
      <c r="D13" s="142">
        <f>GETPIVOTDATA("Somme de BON",$A$3,"SPORT","FOOT")/(GETPIVOTDATA("Somme de BON",$A$3,"SPORT","FOOT")+GETPIVOTDATA("Somme de PERDU",$A$3,"SPORT","FOOT"))</f>
        <v>0.46153846153846156</v>
      </c>
    </row>
    <row r="14" spans="1:4">
      <c r="A14" s="141" t="s">
        <v>2</v>
      </c>
      <c r="B14" s="61">
        <v>19</v>
      </c>
      <c r="C14" s="61">
        <v>21</v>
      </c>
      <c r="D14" s="140">
        <f>GETPIVOTDATA("Somme de BON",$A$3,"PARIEUR","DJO","SPORT","FOOT")/(GETPIVOTDATA("Somme de BON",$A$3,"PARIEUR","DJO","SPORT","FOOT")+GETPIVOTDATA("Somme de PERDU",$A$3,"PARIEUR","DJO","SPORT","FOOT"))</f>
        <v>0.47499999999999998</v>
      </c>
    </row>
    <row r="15" spans="1:4">
      <c r="A15" s="141" t="s">
        <v>468</v>
      </c>
      <c r="B15" s="61">
        <v>5</v>
      </c>
      <c r="C15" s="61">
        <v>6</v>
      </c>
      <c r="D15" s="140">
        <f>GETPIVOTDATA("Somme de BON",$A$3,"PARIEUR","JEAN","SPORT","FOOT")/(GETPIVOTDATA("Somme de BON",$A$3,"PARIEUR","JEAN","SPORT","FOOT")+GETPIVOTDATA("Somme de PERDU",$A$3,"PARIEUR","JEAN","SPORT","FOOT"))</f>
        <v>0.45454545454545453</v>
      </c>
    </row>
    <row r="16" spans="1:4">
      <c r="A16" s="141" t="s">
        <v>58</v>
      </c>
      <c r="B16" s="61">
        <v>30</v>
      </c>
      <c r="C16" s="61">
        <v>22</v>
      </c>
      <c r="D16" s="140">
        <f>GETPIVOTDATA("Somme de BON",$A$3,"PARIEUR","PHANE","SPORT","FOOT")/(GETPIVOTDATA("Somme de BON",$A$3,"PARIEUR","PHANE","SPORT","FOOT")+GETPIVOTDATA("Somme de PERDU",$A$3,"PARIEUR","PHANE","SPORT","FOOT"))</f>
        <v>0.57692307692307687</v>
      </c>
    </row>
    <row r="17" spans="1:4">
      <c r="A17" s="141" t="s">
        <v>67</v>
      </c>
      <c r="B17" s="61">
        <v>9</v>
      </c>
      <c r="C17" s="61">
        <v>14</v>
      </c>
      <c r="D17" s="140">
        <f>GETPIVOTDATA("Somme de BON",$A$3,"PARIEUR","TOF","SPORT","FOOT")/(GETPIVOTDATA("Somme de BON",$A$3,"PARIEUR","TOF","SPORT","FOOT")+GETPIVOTDATA("Somme de PERDU",$A$3,"PARIEUR","TOF","SPORT","FOOT"))</f>
        <v>0.39130434782608697</v>
      </c>
    </row>
    <row r="18" spans="1:4">
      <c r="A18" s="141" t="s">
        <v>8</v>
      </c>
      <c r="B18" s="61">
        <v>33</v>
      </c>
      <c r="C18" s="61">
        <v>47</v>
      </c>
      <c r="D18" s="140">
        <f>GETPIVOTDATA("Somme de BON",$A$3,"PARIEUR","YANN","SPORT","FOOT")/(GETPIVOTDATA("Somme de BON",$A$3,"PARIEUR","YANN","SPORT","FOOT")+GETPIVOTDATA("Somme de PERDU",$A$3,"PARIEUR","YANN","SPORT","FOOT"))</f>
        <v>0.41249999999999998</v>
      </c>
    </row>
    <row r="19" spans="1:4">
      <c r="A19" s="141" t="s">
        <v>383</v>
      </c>
      <c r="B19" s="61">
        <v>0</v>
      </c>
      <c r="C19" s="61">
        <v>2</v>
      </c>
      <c r="D19" s="140">
        <f>GETPIVOTDATA("Somme de BON",$A$3,"PARIEUR","YOAN","SPORT","FOOT")/(GETPIVOTDATA("Somme de BON",$A$3,"PARIEUR","YOAN","SPORT","FOOT")+GETPIVOTDATA("Somme de PERDU",$A$3,"PARIEUR","YOAN","SPORT","FOOT"))</f>
        <v>0</v>
      </c>
    </row>
    <row r="20" spans="1:4">
      <c r="A20" s="1" t="s">
        <v>119</v>
      </c>
      <c r="B20" s="61">
        <v>1</v>
      </c>
      <c r="C20" s="61">
        <v>1</v>
      </c>
      <c r="D20" s="142">
        <f>GETPIVOTDATA("Somme de BON",$A$3,"SPORT","HAND")/(GETPIVOTDATA("Somme de BON",$A$3,"SPORT","HAND")+GETPIVOTDATA("Somme de PERDU",$A$3,"SPORT","HAND"))</f>
        <v>0.5</v>
      </c>
    </row>
    <row r="21" spans="1:4">
      <c r="A21" s="141" t="s">
        <v>58</v>
      </c>
      <c r="B21" s="61">
        <v>0</v>
      </c>
      <c r="C21" s="61">
        <v>1</v>
      </c>
      <c r="D21" s="140">
        <f>GETPIVOTDATA("Somme de BON",$A$3,"PARIEUR","PHANE","SPORT","HAND")/(GETPIVOTDATA("Somme de BON",$A$3,"PARIEUR","PHANE","SPORT","HAND")+GETPIVOTDATA("Somme de PERDU",$A$3,"PARIEUR","PHANE","SPORT","HAND"))</f>
        <v>0</v>
      </c>
    </row>
    <row r="22" spans="1:4">
      <c r="A22" s="141" t="s">
        <v>67</v>
      </c>
      <c r="B22" s="61">
        <v>1</v>
      </c>
      <c r="C22" s="61">
        <v>0</v>
      </c>
      <c r="D22" s="140">
        <f>GETPIVOTDATA("Somme de BON",$A$3,"PARIEUR","TOF","SPORT","HAND")/(GETPIVOTDATA("Somme de BON",$A$3,"PARIEUR","TOF","SPORT","HAND")+GETPIVOTDATA("Somme de PERDU",$A$3,"PARIEUR","TOF","SPORT","HAND"))</f>
        <v>1</v>
      </c>
    </row>
    <row r="23" spans="1:4">
      <c r="A23" s="1" t="s">
        <v>53</v>
      </c>
      <c r="B23" s="61">
        <v>11</v>
      </c>
      <c r="C23" s="61">
        <v>23</v>
      </c>
      <c r="D23" s="142">
        <f>GETPIVOTDATA("Somme de BON",$A$3,"SPORT","RUGBY")/(GETPIVOTDATA("Somme de BON",$A$3,"SPORT","RUGBY")+GETPIVOTDATA("Somme de PERDU",$A$3,"SPORT","RUGBY"))</f>
        <v>0.3235294117647059</v>
      </c>
    </row>
    <row r="24" spans="1:4">
      <c r="A24" s="141" t="s">
        <v>67</v>
      </c>
      <c r="B24" s="61">
        <v>0</v>
      </c>
      <c r="C24" s="61">
        <v>0</v>
      </c>
      <c r="D24" s="140">
        <f>GETPIVOTDATA("Somme de BON",$A$3,"PARIEUR","YANN","SPORT","RUGBY")/(GETPIVOTDATA("Somme de BON",$A$3,"PARIEUR","YANN","SPORT","RUGBY")+GETPIVOTDATA("Somme de PERDU",$A$3,"PARIEUR","YANN","SPORT","RUGBY"))</f>
        <v>0.3235294117647059</v>
      </c>
    </row>
    <row r="25" spans="1:4">
      <c r="A25" s="141" t="s">
        <v>8</v>
      </c>
      <c r="B25" s="61">
        <v>11</v>
      </c>
      <c r="C25" s="61">
        <v>23</v>
      </c>
      <c r="D25" s="142">
        <f>GETPIVOTDATA("Somme de BON",$A$3,"SPORT","TENNIS")/(GETPIVOTDATA("Somme de BON",$A$3,"SPORT","TENNIS")+GETPIVOTDATA("Somme de PERDU",$A$3,"SPORT","TENNIS"))</f>
        <v>0.59259259259259256</v>
      </c>
    </row>
    <row r="26" spans="1:4">
      <c r="A26" s="1" t="s">
        <v>531</v>
      </c>
      <c r="B26" s="61">
        <v>16</v>
      </c>
      <c r="C26" s="61">
        <v>11</v>
      </c>
      <c r="D26" s="140">
        <f>GETPIVOTDATA("Somme de BON",$A$3,"PARIEUR","JEAN","SPORT","TENNIS")/(GETPIVOTDATA("Somme de BON",$A$3,"PARIEUR","JEAN","SPORT","TENNIS")+GETPIVOTDATA("Somme de PERDU",$A$3,"PARIEUR","JEAN","SPORT","TENNIS"))</f>
        <v>0.55555555555555558</v>
      </c>
    </row>
    <row r="27" spans="1:4">
      <c r="A27" s="141" t="s">
        <v>2</v>
      </c>
      <c r="B27" s="61">
        <v>0</v>
      </c>
      <c r="C27" s="61">
        <v>0</v>
      </c>
      <c r="D27" s="140">
        <f>GETPIVOTDATA("Somme de BON",$A$3,"PARIEUR","PHANE","SPORT","TENNIS")/(GETPIVOTDATA("Somme de BON",$A$3,"PARIEUR","PHANE","SPORT","TENNIS")+GETPIVOTDATA("Somme de PERDU",$A$3,"PARIEUR","PHANE","SPORT","TENNIS"))</f>
        <v>0</v>
      </c>
    </row>
    <row r="28" spans="1:4">
      <c r="A28" s="141" t="s">
        <v>468</v>
      </c>
      <c r="B28" s="61">
        <v>5</v>
      </c>
      <c r="C28" s="61">
        <v>4</v>
      </c>
      <c r="D28" s="140">
        <f>GETPIVOTDATA("Somme de BON",$A$3,"PARIEUR","YANN","SPORT","TENNIS")/(GETPIVOTDATA("Somme de BON",$A$3,"PARIEUR","YANN","SPORT","TENNIS")+GETPIVOTDATA("Somme de PERDU",$A$3,"PARIEUR","YANN","SPORT","TENNIS"))</f>
        <v>0.6875</v>
      </c>
    </row>
    <row r="29" spans="1:4">
      <c r="A29" s="141" t="s">
        <v>58</v>
      </c>
      <c r="B29" s="61">
        <v>0</v>
      </c>
      <c r="C29" s="61">
        <v>2</v>
      </c>
      <c r="D29" s="142">
        <f>GETPIVOTDATA("Somme de BON",$A$3,"SPORT","US FOOT")/(GETPIVOTDATA("Somme de BON",$A$3,"SPORT","US FOOT")+GETPIVOTDATA("Somme de PERDU",$A$3,"SPORT","US FOOT"))</f>
        <v>0.83333333333333337</v>
      </c>
    </row>
    <row r="30" spans="1:4">
      <c r="A30" s="141" t="s">
        <v>8</v>
      </c>
      <c r="B30" s="61">
        <v>11</v>
      </c>
      <c r="C30" s="61">
        <v>5</v>
      </c>
      <c r="D30" s="140">
        <f>GETPIVOTDATA("Somme de BON",$A$3,"PARIEUR","YANN","SPORT","US FOOT")/(GETPIVOTDATA("Somme de BON",$A$3,"PARIEUR","YANN","SPORT","US FOOT")+GETPIVOTDATA("Somme de PERDU",$A$3,"PARIEUR","YANN","SPORT","US FOOT"))</f>
        <v>0.83333333333333337</v>
      </c>
    </row>
    <row r="31" spans="1:4">
      <c r="A31" s="1" t="s">
        <v>153</v>
      </c>
      <c r="B31" s="61">
        <v>5</v>
      </c>
      <c r="C31" s="61">
        <v>1</v>
      </c>
      <c r="D31" s="142">
        <f>GETPIVOTDATA("Somme de BON",$A$3,"SPORT","VOLLEYBALL")/(GETPIVOTDATA("Somme de BON",$A$3,"SPORT","VOLLEYBALL")+GETPIVOTDATA("Somme de PERDU",$A$3,"SPORT","VOLLEYBALL"))</f>
        <v>0.33333333333333331</v>
      </c>
    </row>
    <row r="32" spans="1:4">
      <c r="A32" s="141" t="s">
        <v>8</v>
      </c>
      <c r="B32" s="61">
        <v>5</v>
      </c>
      <c r="C32" s="61">
        <v>1</v>
      </c>
      <c r="D32" s="140">
        <f>GETPIVOTDATA("Somme de BON",$A$3,"PARIEUR","YANN","SPORT","VOLLEYBALL")/(GETPIVOTDATA("Somme de BON",$A$3,"PARIEUR","YANN","SPORT","VOLLEYBALL")+GETPIVOTDATA("Somme de PERDU",$A$3,"PARIEUR","YANN","SPORT","VOLLEYBALL"))</f>
        <v>0.33333333333333331</v>
      </c>
    </row>
    <row r="33" spans="1:3" hidden="1">
      <c r="A33" s="1" t="s">
        <v>96</v>
      </c>
      <c r="B33" s="61">
        <v>1</v>
      </c>
      <c r="C33" s="61">
        <v>2</v>
      </c>
    </row>
    <row r="34" spans="1:3" hidden="1">
      <c r="A34" s="141" t="s">
        <v>8</v>
      </c>
      <c r="B34" s="61">
        <v>1</v>
      </c>
      <c r="C34" s="61">
        <v>2</v>
      </c>
    </row>
    <row r="35" spans="1:3" hidden="1">
      <c r="A35" s="1" t="s">
        <v>16</v>
      </c>
      <c r="B35" s="61">
        <v>1</v>
      </c>
      <c r="C35" s="61">
        <v>0</v>
      </c>
    </row>
    <row r="36" spans="1:3" hidden="1">
      <c r="A36" s="141" t="s">
        <v>468</v>
      </c>
      <c r="B36" s="61">
        <v>1</v>
      </c>
      <c r="C36" s="61">
        <v>0</v>
      </c>
    </row>
    <row r="37" spans="1:3">
      <c r="A37" s="141" t="s">
        <v>16</v>
      </c>
      <c r="B37" s="61">
        <v>0</v>
      </c>
      <c r="C37" s="61">
        <v>0</v>
      </c>
    </row>
    <row r="38" spans="1:3">
      <c r="A38" s="1" t="s">
        <v>17</v>
      </c>
      <c r="B38" s="61">
        <v>161</v>
      </c>
      <c r="C38" s="61">
        <v>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A2:I26"/>
  <sheetViews>
    <sheetView workbookViewId="0">
      <selection activeCell="G31" sqref="G31"/>
    </sheetView>
  </sheetViews>
  <sheetFormatPr baseColWidth="10" defaultColWidth="11" defaultRowHeight="11.25"/>
  <cols>
    <col min="1" max="1" width="9.875" style="63" customWidth="1"/>
    <col min="2" max="2" width="9" style="63" customWidth="1"/>
    <col min="3" max="3" width="11.125" style="63" customWidth="1"/>
    <col min="4" max="4" width="9.375" style="67" bestFit="1" customWidth="1"/>
    <col min="5" max="5" width="8.5" style="69" bestFit="1" customWidth="1"/>
    <col min="6" max="6" width="7" style="69" bestFit="1" customWidth="1"/>
    <col min="7" max="7" width="8.5" style="70" bestFit="1" customWidth="1"/>
    <col min="8" max="8" width="8.5" style="71" bestFit="1" customWidth="1"/>
    <col min="9" max="9" width="7.5" style="63" bestFit="1" customWidth="1"/>
    <col min="10" max="16384" width="11" style="63"/>
  </cols>
  <sheetData>
    <row r="2" spans="1:9" ht="12" thickBot="1"/>
    <row r="3" spans="1:9" ht="34.5" thickBot="1">
      <c r="A3" s="95" t="s">
        <v>34</v>
      </c>
      <c r="B3" s="95" t="s">
        <v>35</v>
      </c>
      <c r="C3" s="95" t="s">
        <v>494</v>
      </c>
      <c r="D3" s="94" t="s">
        <v>562</v>
      </c>
      <c r="E3" s="95" t="s">
        <v>495</v>
      </c>
      <c r="F3" s="96" t="s">
        <v>497</v>
      </c>
      <c r="G3" s="97" t="s">
        <v>498</v>
      </c>
      <c r="H3" s="98" t="s">
        <v>496</v>
      </c>
      <c r="I3" s="98" t="s">
        <v>499</v>
      </c>
    </row>
    <row r="4" spans="1:9">
      <c r="A4" s="106" t="s">
        <v>2</v>
      </c>
      <c r="B4" s="107" t="s">
        <v>7</v>
      </c>
      <c r="C4" s="99">
        <f>SUMIF(recap!A:A,A4,recap!N:N)</f>
        <v>20</v>
      </c>
      <c r="D4" s="100">
        <f>C4/(C4+C5)</f>
        <v>0.48780487804878048</v>
      </c>
      <c r="E4" s="73">
        <f>SUMIF(recap!A:A,A4,recap!Q:Q)</f>
        <v>-77.3</v>
      </c>
      <c r="F4" s="73">
        <f>SUMIF(recap!A:A,A4,recap!P:P)</f>
        <v>2</v>
      </c>
      <c r="G4" s="76">
        <f>H4-E4</f>
        <v>-10</v>
      </c>
      <c r="H4" s="79">
        <f>SUMIF(recap!A:A,A4,recap!R:R)</f>
        <v>-87.3</v>
      </c>
      <c r="I4" s="82">
        <f>H4-recap!U395</f>
        <v>0</v>
      </c>
    </row>
    <row r="5" spans="1:9" ht="12" thickBot="1">
      <c r="A5" s="60"/>
      <c r="B5" s="84" t="s">
        <v>5</v>
      </c>
      <c r="C5" s="101">
        <f>SUMIF(recap!A:A,A4,recap!O:O)</f>
        <v>21</v>
      </c>
      <c r="D5" s="72"/>
      <c r="E5" s="75"/>
      <c r="F5" s="75"/>
      <c r="G5" s="78"/>
      <c r="H5" s="81"/>
      <c r="I5" s="66"/>
    </row>
    <row r="6" spans="1:9">
      <c r="A6" s="62" t="s">
        <v>468</v>
      </c>
      <c r="B6" s="83" t="s">
        <v>7</v>
      </c>
      <c r="C6" s="99">
        <f>SUMIF(recap!A:A,A6,recap!N:N)</f>
        <v>16</v>
      </c>
      <c r="D6" s="100">
        <f>C6/(C6+C7)</f>
        <v>0.5714285714285714</v>
      </c>
      <c r="E6" s="73">
        <f>SUMIF(recap!A:A,A6,recap!Q:Q)</f>
        <v>-5.0500000000000043</v>
      </c>
      <c r="F6" s="73">
        <f>SUMIF(recap!A:A,A6,recap!P:P)</f>
        <v>4</v>
      </c>
      <c r="G6" s="73">
        <f>H6-E6</f>
        <v>-30</v>
      </c>
      <c r="H6" s="79">
        <f>SUMIF(recap!A:A,A6,recap!R:R)</f>
        <v>-35.050000000000004</v>
      </c>
      <c r="I6" s="82">
        <f>H6-recap!Y395</f>
        <v>0</v>
      </c>
    </row>
    <row r="7" spans="1:9" ht="12" thickBot="1">
      <c r="A7" s="60"/>
      <c r="B7" s="84" t="s">
        <v>5</v>
      </c>
      <c r="C7" s="101">
        <f>SUMIF(recap!A:A,A6,recap!O:O)</f>
        <v>12</v>
      </c>
      <c r="D7" s="72"/>
      <c r="E7" s="75"/>
      <c r="F7" s="75"/>
      <c r="G7" s="78"/>
      <c r="H7" s="81"/>
      <c r="I7" s="66"/>
    </row>
    <row r="8" spans="1:9">
      <c r="A8" s="62" t="s">
        <v>58</v>
      </c>
      <c r="B8" s="83" t="s">
        <v>7</v>
      </c>
      <c r="C8" s="99">
        <f>SUMIF(recap!A:A,A8,recap!N:N)</f>
        <v>32</v>
      </c>
      <c r="D8" s="100">
        <f>C8/(C8+C9)</f>
        <v>0.56140350877192979</v>
      </c>
      <c r="E8" s="73">
        <f>SUMIF(recap!A:A,A8,recap!Q:Q)</f>
        <v>3.6000000000000014</v>
      </c>
      <c r="F8" s="73">
        <f>SUMIF(recap!A:A,A8,recap!P:P)</f>
        <v>2</v>
      </c>
      <c r="G8" s="73">
        <f>H8-E8</f>
        <v>-10</v>
      </c>
      <c r="H8" s="79">
        <f>SUMIF(recap!A:A,A8,recap!R:R)</f>
        <v>-6.3999999999999986</v>
      </c>
      <c r="I8" s="82">
        <f>H8-recap!V395</f>
        <v>0</v>
      </c>
    </row>
    <row r="9" spans="1:9" ht="12" thickBot="1">
      <c r="A9" s="102"/>
      <c r="B9" s="84" t="s">
        <v>5</v>
      </c>
      <c r="C9" s="101">
        <f>SUMIF(recap!A:A,A8,recap!O:O)</f>
        <v>25</v>
      </c>
      <c r="D9" s="72"/>
      <c r="E9" s="75"/>
      <c r="F9" s="75"/>
      <c r="G9" s="78"/>
      <c r="H9" s="81"/>
      <c r="I9" s="66"/>
    </row>
    <row r="10" spans="1:9">
      <c r="A10" s="62" t="s">
        <v>67</v>
      </c>
      <c r="B10" s="83" t="s">
        <v>7</v>
      </c>
      <c r="C10" s="99">
        <f>SUMIF(recap!A:A,A10,recap!N:N)</f>
        <v>11</v>
      </c>
      <c r="D10" s="100">
        <f>C10/(C10+C11)</f>
        <v>0.40740740740740738</v>
      </c>
      <c r="E10" s="73">
        <f>SUMIF(recap!A:A,A10,recap!Q:Q)</f>
        <v>-52.199999999999989</v>
      </c>
      <c r="F10" s="73">
        <f>SUMIF(recap!A:A,A10,recap!P:P)</f>
        <v>1</v>
      </c>
      <c r="G10" s="73">
        <f>H10-E10</f>
        <v>-5</v>
      </c>
      <c r="H10" s="79">
        <f>SUMIF(recap!A:A,A10,recap!R:R)</f>
        <v>-57.199999999999989</v>
      </c>
      <c r="I10" s="82">
        <f>H10-recap!W395</f>
        <v>0</v>
      </c>
    </row>
    <row r="11" spans="1:9" ht="12" thickBot="1">
      <c r="A11" s="102"/>
      <c r="B11" s="84" t="s">
        <v>5</v>
      </c>
      <c r="C11" s="101">
        <f>SUMIF(recap!A:A,A10,recap!O:O)</f>
        <v>16</v>
      </c>
      <c r="D11" s="72"/>
      <c r="E11" s="75"/>
      <c r="F11" s="75"/>
      <c r="G11" s="78"/>
      <c r="H11" s="81"/>
      <c r="I11" s="66"/>
    </row>
    <row r="12" spans="1:9">
      <c r="A12" s="62" t="s">
        <v>8</v>
      </c>
      <c r="B12" s="83" t="s">
        <v>7</v>
      </c>
      <c r="C12" s="99">
        <f>SUMIF(recap!A:A,A12,recap!N:N)</f>
        <v>82</v>
      </c>
      <c r="D12" s="100">
        <f>C12/(C12+C13)</f>
        <v>0.4293193717277487</v>
      </c>
      <c r="E12" s="73">
        <f>SUMIF(recap!A:A,A12,recap!Q:Q)</f>
        <v>-17.066500000000005</v>
      </c>
      <c r="F12" s="73">
        <f>SUMIF(recap!A:A,A12,recap!P:P)</f>
        <v>3</v>
      </c>
      <c r="G12" s="73">
        <f>H12-E12</f>
        <v>-15</v>
      </c>
      <c r="H12" s="79">
        <f>SUMIF(recap!A:A,A12,recap!R:R)</f>
        <v>-32.066500000000005</v>
      </c>
      <c r="I12" s="82">
        <f>H12-recap!T395</f>
        <v>0</v>
      </c>
    </row>
    <row r="13" spans="1:9" ht="12" thickBot="1">
      <c r="A13" s="90"/>
      <c r="B13" s="84" t="s">
        <v>5</v>
      </c>
      <c r="C13" s="101">
        <f>SUMIF(recap!A:A,A12,recap!O:O)</f>
        <v>109</v>
      </c>
      <c r="D13" s="72"/>
      <c r="E13" s="75"/>
      <c r="F13" s="75"/>
      <c r="G13" s="78"/>
      <c r="H13" s="81"/>
      <c r="I13" s="66"/>
    </row>
    <row r="14" spans="1:9" ht="12" hidden="1" thickBot="1">
      <c r="A14"/>
      <c r="B14" s="85" t="s">
        <v>5</v>
      </c>
      <c r="C14" s="61">
        <v>72</v>
      </c>
      <c r="D14" s="86"/>
      <c r="E14" s="74"/>
      <c r="F14" s="74"/>
      <c r="G14" s="77"/>
      <c r="H14" s="80"/>
      <c r="I14" s="65"/>
    </row>
    <row r="15" spans="1:9">
      <c r="A15" s="89" t="s">
        <v>383</v>
      </c>
      <c r="B15" s="83" t="s">
        <v>7</v>
      </c>
      <c r="C15" s="99">
        <f>SUMIF(recap!A:A,A15,recap!N:N)</f>
        <v>0</v>
      </c>
      <c r="D15" s="100">
        <f>C15/(C15+C16)</f>
        <v>0</v>
      </c>
      <c r="E15" s="73">
        <f>SUMIF(recap!A:A,A15,recap!Q:Q)</f>
        <v>-2</v>
      </c>
      <c r="F15" s="73">
        <f>SUMIF(recap!A:A,A15,recap!P:P)</f>
        <v>0</v>
      </c>
      <c r="G15" s="73">
        <f>H15-E15</f>
        <v>0</v>
      </c>
      <c r="H15" s="79">
        <f>SUMIF(recap!A:A,A15,recap!R:R)</f>
        <v>-2</v>
      </c>
      <c r="I15" s="82">
        <f>H15-recap!X395</f>
        <v>0</v>
      </c>
    </row>
    <row r="16" spans="1:9" ht="12" thickBot="1">
      <c r="A16" s="90"/>
      <c r="B16" s="84" t="s">
        <v>5</v>
      </c>
      <c r="C16" s="101">
        <f>SUMIF(recap!A:A,A15,recap!O:O)</f>
        <v>2</v>
      </c>
      <c r="D16" s="72"/>
      <c r="E16" s="75"/>
      <c r="F16" s="75"/>
      <c r="G16" s="78"/>
      <c r="H16" s="81"/>
      <c r="I16" s="66"/>
    </row>
    <row r="17" spans="1:9" hidden="1">
      <c r="A17"/>
      <c r="B17" s="1" t="s">
        <v>5</v>
      </c>
      <c r="C17" s="61">
        <v>2</v>
      </c>
    </row>
    <row r="18" spans="1:9" hidden="1">
      <c r="A18" s="1" t="s">
        <v>16</v>
      </c>
      <c r="B18"/>
      <c r="C18" s="61"/>
    </row>
    <row r="19" spans="1:9" hidden="1">
      <c r="A19"/>
      <c r="B19" s="1" t="s">
        <v>16</v>
      </c>
      <c r="C19" s="61">
        <v>0</v>
      </c>
    </row>
    <row r="20" spans="1:9" hidden="1">
      <c r="A20"/>
      <c r="B20" s="1">
        <v>-204.54650000000007</v>
      </c>
      <c r="C20" s="61">
        <v>1</v>
      </c>
    </row>
    <row r="21" spans="1:9" hidden="1">
      <c r="A21"/>
      <c r="B21" s="1">
        <v>-7.3999999999999204</v>
      </c>
      <c r="C21" s="61">
        <v>1</v>
      </c>
    </row>
    <row r="22" spans="1:9">
      <c r="I22" s="68"/>
    </row>
    <row r="23" spans="1:9" ht="12" thickBot="1"/>
    <row r="24" spans="1:9">
      <c r="A24" s="104" t="s">
        <v>563</v>
      </c>
      <c r="B24" s="64" t="s">
        <v>7</v>
      </c>
      <c r="C24" s="105">
        <f>C4+C6+C8+C10+C12+C15</f>
        <v>161</v>
      </c>
      <c r="D24" s="100">
        <f>C24/(C24+C25)</f>
        <v>0.46531791907514453</v>
      </c>
      <c r="E24" s="73">
        <f>E4+E6+E8+E10+E12+E15</f>
        <v>-150.01650000000001</v>
      </c>
      <c r="F24" s="73">
        <f>F4+F6+F8+F10+F12+F15</f>
        <v>12</v>
      </c>
      <c r="G24" s="73">
        <f>G4+G6+G8+G10+G12+G15</f>
        <v>-70</v>
      </c>
      <c r="H24" s="73">
        <f>H4+H6+H8+H10+H12+H15</f>
        <v>-220.01650000000001</v>
      </c>
      <c r="I24" s="92">
        <f>H24-recap!Z395</f>
        <v>0</v>
      </c>
    </row>
    <row r="25" spans="1:9" ht="12" thickBot="1">
      <c r="A25" s="102"/>
      <c r="B25" s="66" t="s">
        <v>5</v>
      </c>
      <c r="C25" s="66">
        <f>C5+C7+C9+C11+C13+C16</f>
        <v>185</v>
      </c>
      <c r="D25" s="72"/>
      <c r="E25" s="75"/>
      <c r="F25" s="75"/>
      <c r="G25" s="78"/>
      <c r="H25" s="81"/>
      <c r="I25" s="93"/>
    </row>
    <row r="26" spans="1:9">
      <c r="C26" s="10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2"/>
  <dimension ref="A3:G13"/>
  <sheetViews>
    <sheetView workbookViewId="0">
      <selection activeCell="B22" sqref="B22"/>
    </sheetView>
  </sheetViews>
  <sheetFormatPr baseColWidth="10" defaultRowHeight="11.25"/>
  <cols>
    <col min="1" max="1" width="19.125" customWidth="1"/>
    <col min="2" max="2" width="19.375" style="2" customWidth="1"/>
    <col min="3" max="3" width="12.375" style="22" bestFit="1" customWidth="1"/>
    <col min="4" max="4" width="9.125" bestFit="1" customWidth="1"/>
    <col min="5" max="5" width="8.125" bestFit="1" customWidth="1"/>
    <col min="6" max="6" width="6.375" customWidth="1"/>
    <col min="7" max="7" width="6.875" bestFit="1" customWidth="1"/>
    <col min="8" max="8" width="3" customWidth="1"/>
    <col min="9" max="9" width="2.25" customWidth="1"/>
    <col min="10" max="10" width="5.625" customWidth="1"/>
    <col min="11" max="11" width="4.5" customWidth="1"/>
    <col min="12" max="12" width="5.625" customWidth="1"/>
    <col min="13" max="14" width="4.5" customWidth="1"/>
    <col min="15" max="15" width="5.625" customWidth="1"/>
    <col min="16" max="16" width="6.75" customWidth="1"/>
    <col min="17" max="17" width="5.625" customWidth="1"/>
    <col min="18" max="18" width="4.5" customWidth="1"/>
    <col min="19" max="19" width="5.625" customWidth="1"/>
    <col min="20" max="20" width="4.5" customWidth="1"/>
    <col min="21" max="21" width="2.25" customWidth="1"/>
    <col min="22" max="25" width="4.5" customWidth="1"/>
    <col min="26" max="28" width="5.625" customWidth="1"/>
    <col min="29" max="29" width="2.25" customWidth="1"/>
    <col min="30" max="30" width="4.5" customWidth="1"/>
    <col min="31" max="32" width="5.625" customWidth="1"/>
    <col min="33" max="34" width="4.5" customWidth="1"/>
    <col min="35" max="35" width="5.625" customWidth="1"/>
    <col min="36" max="36" width="4.5" customWidth="1"/>
    <col min="37" max="37" width="2.25" customWidth="1"/>
    <col min="38" max="39" width="5.625" customWidth="1"/>
    <col min="40" max="41" width="4.5" customWidth="1"/>
    <col min="42" max="43" width="5.625" customWidth="1"/>
    <col min="44" max="44" width="7.875" customWidth="1"/>
    <col min="45" max="45" width="2.25" customWidth="1"/>
    <col min="46" max="47" width="5.625" customWidth="1"/>
    <col min="48" max="48" width="2.25" customWidth="1"/>
    <col min="49" max="49" width="5.625" customWidth="1"/>
    <col min="50" max="51" width="4.5" customWidth="1"/>
    <col min="52" max="52" width="2.25" customWidth="1"/>
    <col min="53" max="53" width="5.625" customWidth="1"/>
    <col min="54" max="54" width="4.5" customWidth="1"/>
    <col min="55" max="55" width="2.25" customWidth="1"/>
    <col min="56" max="56" width="4.5" customWidth="1"/>
    <col min="57" max="57" width="5.625" customWidth="1"/>
    <col min="58" max="58" width="2.25" customWidth="1"/>
    <col min="59" max="59" width="4.5" customWidth="1"/>
    <col min="60" max="60" width="5.625" customWidth="1"/>
    <col min="61" max="61" width="3.375" customWidth="1"/>
    <col min="62" max="62" width="6.75" customWidth="1"/>
    <col min="63" max="63" width="6.375" customWidth="1"/>
    <col min="64" max="64" width="12" bestFit="1" customWidth="1"/>
  </cols>
  <sheetData>
    <row r="3" spans="1:7" ht="12" thickBot="1"/>
    <row r="4" spans="1:7" ht="12" thickBot="1">
      <c r="A4" s="40" t="s">
        <v>34</v>
      </c>
      <c r="B4" s="25" t="s">
        <v>37</v>
      </c>
      <c r="C4" s="24" t="s">
        <v>221</v>
      </c>
      <c r="D4" s="131" t="s">
        <v>687</v>
      </c>
      <c r="E4" s="132" t="s">
        <v>688</v>
      </c>
    </row>
    <row r="5" spans="1:7">
      <c r="A5" s="41" t="s">
        <v>2</v>
      </c>
      <c r="B5" s="23">
        <v>-87.3</v>
      </c>
      <c r="C5" s="23">
        <f>GETPIVOTDATA("GAIN REEL",$A$4,"PARIEUR","DJO")+50+65.01</f>
        <v>27.710000000000008</v>
      </c>
      <c r="D5" s="133">
        <v>50</v>
      </c>
      <c r="E5" s="134">
        <v>65.010000000000005</v>
      </c>
      <c r="G5" s="91"/>
    </row>
    <row r="6" spans="1:7">
      <c r="A6" s="41" t="s">
        <v>58</v>
      </c>
      <c r="B6" s="23">
        <v>-6.3999999999999986</v>
      </c>
      <c r="C6" s="23">
        <f>GETPIVOTDATA("GAIN REEL",$A$4,"PARIEUR","PHANE")+50</f>
        <v>43.6</v>
      </c>
      <c r="D6" s="133">
        <v>50</v>
      </c>
      <c r="E6" s="135"/>
    </row>
    <row r="7" spans="1:7">
      <c r="A7" s="41" t="s">
        <v>67</v>
      </c>
      <c r="B7" s="23">
        <v>-57.199999999999989</v>
      </c>
      <c r="C7" s="23">
        <f>GETPIVOTDATA("GAIN REEL",$A$4,"PARIEUR","TOF")+50</f>
        <v>-7.1999999999999886</v>
      </c>
      <c r="D7" s="133">
        <v>50</v>
      </c>
      <c r="E7" s="135"/>
    </row>
    <row r="8" spans="1:7">
      <c r="A8" s="41" t="s">
        <v>8</v>
      </c>
      <c r="B8" s="23">
        <v>-32.066500000000005</v>
      </c>
      <c r="C8" s="198">
        <f>GETPIVOTDATA("GAIN REEL",$A$4,"PARIEUR","YANN")+GETPIVOTDATA("GAIN REEL",$A$4,"PARIEUR","YOAN")+50+30</f>
        <v>45.933499999999995</v>
      </c>
      <c r="D8" s="200">
        <v>50</v>
      </c>
      <c r="E8" s="201">
        <v>30</v>
      </c>
    </row>
    <row r="9" spans="1:7">
      <c r="A9" s="41" t="s">
        <v>383</v>
      </c>
      <c r="B9" s="23">
        <v>-2</v>
      </c>
      <c r="C9" s="199"/>
      <c r="D9" s="200"/>
      <c r="E9" s="201"/>
    </row>
    <row r="10" spans="1:7" hidden="1">
      <c r="A10" s="41" t="s">
        <v>16</v>
      </c>
      <c r="B10" s="23">
        <v>0</v>
      </c>
      <c r="C10" s="23"/>
      <c r="D10" s="136"/>
      <c r="E10" s="135"/>
    </row>
    <row r="11" spans="1:7" ht="12" thickBot="1">
      <c r="A11" s="41" t="s">
        <v>468</v>
      </c>
      <c r="B11" s="23">
        <v>-35.050000000000004</v>
      </c>
      <c r="C11" s="23">
        <f>25+GETPIVOTDATA("GAIN REEL",$A$4,"PARIEUR","JEAN")+25</f>
        <v>14.949999999999996</v>
      </c>
      <c r="D11" s="133">
        <v>50</v>
      </c>
      <c r="E11" s="135"/>
    </row>
    <row r="12" spans="1:7" ht="12" thickBot="1">
      <c r="A12" s="42" t="s">
        <v>17</v>
      </c>
      <c r="B12" s="25">
        <v>-220.01650000000001</v>
      </c>
      <c r="C12" s="24">
        <f>C5+C6+C7+C8+C11</f>
        <v>124.99350000000001</v>
      </c>
      <c r="D12" s="137">
        <f t="shared" ref="D12:E12" si="0">D5+D6+D7+D8+D11</f>
        <v>250</v>
      </c>
      <c r="E12" s="138">
        <f t="shared" si="0"/>
        <v>95.01</v>
      </c>
    </row>
    <row r="13" spans="1:7">
      <c r="B13"/>
    </row>
  </sheetData>
  <mergeCells count="3">
    <mergeCell ref="C8:C9"/>
    <mergeCell ref="D8:D9"/>
    <mergeCell ref="E8:E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Graphiques</vt:lpstr>
      </vt:variant>
      <vt:variant>
        <vt:i4>8</vt:i4>
      </vt:variant>
    </vt:vector>
  </HeadingPairs>
  <TitlesOfParts>
    <vt:vector size="14" baseType="lpstr">
      <vt:lpstr>LES_PARIS_DU_JOUR</vt:lpstr>
      <vt:lpstr>les 5 derniers</vt:lpstr>
      <vt:lpstr>recap</vt:lpstr>
      <vt:lpstr>% bon par sport</vt:lpstr>
      <vt:lpstr>gain en cours</vt:lpstr>
      <vt:lpstr>gain réel par parieur </vt:lpstr>
      <vt:lpstr>TOTAL BWIN</vt:lpstr>
      <vt:lpstr>GAIN TOTAL</vt:lpstr>
      <vt:lpstr>YANN</vt:lpstr>
      <vt:lpstr>PHANE</vt:lpstr>
      <vt:lpstr>DJO</vt:lpstr>
      <vt:lpstr>TOF</vt:lpstr>
      <vt:lpstr>YOAN</vt:lpstr>
      <vt:lpstr>JEAN</vt:lpstr>
    </vt:vector>
  </TitlesOfParts>
  <Company>ADP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ADP</dc:creator>
  <cp:lastModifiedBy>DJO</cp:lastModifiedBy>
  <cp:lastPrinted>2012-12-14T14:05:42Z</cp:lastPrinted>
  <dcterms:created xsi:type="dcterms:W3CDTF">2012-11-28T07:16:56Z</dcterms:created>
  <dcterms:modified xsi:type="dcterms:W3CDTF">2013-01-12T16:19:02Z</dcterms:modified>
</cp:coreProperties>
</file>