
<file path=[Content_Types].xml><?xml version="1.0" encoding="utf-8"?>
<Types xmlns="http://schemas.openxmlformats.org/package/2006/content-types">
  <Override PartName="/xl/charts/chart6.xml" ContentType="application/vnd.openxmlformats-officedocument.drawingml.char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drawings/drawing13.xml" ContentType="application/vnd.openxmlformats-officedocument.drawingml.chartshapes+xml"/>
  <Override PartName="/xl/drawings/drawing14.xml" ContentType="application/vnd.openxmlformats-officedocument.drawing+xml"/>
  <Override PartName="/xl/worksheets/sheet1.xml" ContentType="application/vnd.openxmlformats-officedocument.spreadsheetml.worksheet+xml"/>
  <Override PartName="/xl/drawings/drawing11.xml" ContentType="application/vnd.openxmlformats-officedocument.drawing+xml"/>
  <Override PartName="/xl/drawings/drawing12.xml" ContentType="application/vnd.openxmlformats-officedocument.drawing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docProps/core.xml" ContentType="application/vnd.openxmlformats-package.core-properties+xml"/>
  <Default Extension="bin" ContentType="application/vnd.openxmlformats-officedocument.spreadsheetml.printerSettings"/>
  <Override PartName="/xl/charts/chart7.xml" ContentType="application/vnd.openxmlformats-officedocument.drawingml.chart+xml"/>
  <Override PartName="/xl/drawings/drawing9.xml" ContentType="application/vnd.openxmlformats-officedocument.drawing+xml"/>
  <Override PartName="/xl/charts/chart10.xml" ContentType="application/vnd.openxmlformats-officedocument.drawingml.chart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updateLinks="always" codeName="ThisWorkbook" defaultThemeVersion="124226"/>
  <bookViews>
    <workbookView xWindow="0" yWindow="0" windowWidth="19200" windowHeight="11595" firstSheet="3" activeTab="7"/>
  </bookViews>
  <sheets>
    <sheet name="05_06" sheetId="1" r:id="rId1"/>
    <sheet name="2006" sheetId="12" r:id="rId2"/>
    <sheet name="2007" sheetId="13" r:id="rId3"/>
    <sheet name="2008" sheetId="14" r:id="rId4"/>
    <sheet name="2009" sheetId="15" r:id="rId5"/>
    <sheet name="2010" sheetId="16" r:id="rId6"/>
    <sheet name="2011" sheetId="10" r:id="rId7"/>
    <sheet name="2012" sheetId="11" r:id="rId8"/>
    <sheet name="2013" sheetId="18" r:id="rId9"/>
    <sheet name="2014" sheetId="19" r:id="rId10"/>
    <sheet name="recap annuel" sheetId="3" r:id="rId11"/>
    <sheet name="Etude Clim" sheetId="8" r:id="rId12"/>
    <sheet name="Feuil1" sheetId="17" r:id="rId13"/>
    <sheet name="Jour le Jour" sheetId="20" r:id="rId14"/>
  </sheets>
  <definedNames>
    <definedName name="_xlnm.Print_Area" localSheetId="11">'Etude Clim'!$A$1:$I$38</definedName>
    <definedName name="_xlnm.Print_Area" localSheetId="12">Feuil1!$A$1:$G$19</definedName>
  </definedNames>
  <calcPr calcId="125725"/>
</workbook>
</file>

<file path=xl/calcChain.xml><?xml version="1.0" encoding="utf-8"?>
<calcChain xmlns="http://schemas.openxmlformats.org/spreadsheetml/2006/main">
  <c r="F34" i="20"/>
  <c r="E34"/>
  <c r="D34"/>
  <c r="G34" l="1"/>
  <c r="F1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"/>
  <c r="H1"/>
  <c r="G1"/>
  <c r="A1"/>
  <c r="B1" s="1"/>
  <c r="E9" l="1"/>
  <c r="E10"/>
  <c r="E11"/>
  <c r="D12"/>
  <c r="E12"/>
  <c r="D13"/>
  <c r="E13"/>
  <c r="D14"/>
  <c r="E14"/>
  <c r="D15"/>
  <c r="E15"/>
  <c r="D16"/>
  <c r="E16"/>
  <c r="D17"/>
  <c r="E17"/>
  <c r="D18"/>
  <c r="E18"/>
  <c r="D19"/>
  <c r="E19"/>
  <c r="D20"/>
  <c r="E20"/>
  <c r="D21"/>
  <c r="E21"/>
  <c r="D22"/>
  <c r="E22"/>
  <c r="D23"/>
  <c r="E23"/>
  <c r="D24"/>
  <c r="E24"/>
  <c r="D25"/>
  <c r="E25"/>
  <c r="D26"/>
  <c r="E26"/>
  <c r="D27"/>
  <c r="E27"/>
  <c r="D28"/>
  <c r="E28"/>
  <c r="D29"/>
  <c r="E29"/>
  <c r="D30"/>
  <c r="E30"/>
  <c r="D31"/>
  <c r="E31"/>
  <c r="D32"/>
  <c r="E32"/>
  <c r="D33"/>
  <c r="E33"/>
  <c r="G4" i="11"/>
  <c r="G5"/>
  <c r="G6"/>
  <c r="G7"/>
  <c r="G8"/>
  <c r="G9"/>
  <c r="G10"/>
  <c r="G11"/>
  <c r="G12"/>
  <c r="G13"/>
  <c r="E13"/>
  <c r="E12"/>
  <c r="E11"/>
  <c r="E10"/>
  <c r="E9"/>
  <c r="E8"/>
  <c r="E7"/>
  <c r="E6"/>
  <c r="E5"/>
  <c r="E4"/>
  <c r="O48"/>
  <c r="P48" s="1"/>
  <c r="M51"/>
  <c r="N51" s="1"/>
  <c r="P50" i="19"/>
  <c r="M50"/>
  <c r="K50"/>
  <c r="L50" s="1"/>
  <c r="G50"/>
  <c r="H50" s="1"/>
  <c r="P49"/>
  <c r="M49"/>
  <c r="K49"/>
  <c r="L49" s="1"/>
  <c r="G49"/>
  <c r="H49" s="1"/>
  <c r="P48"/>
  <c r="M48"/>
  <c r="N48" s="1"/>
  <c r="O48" s="1"/>
  <c r="K48"/>
  <c r="L48" s="1"/>
  <c r="G48"/>
  <c r="H48" s="1"/>
  <c r="T45"/>
  <c r="V45" s="1"/>
  <c r="Q45"/>
  <c r="R45" s="1"/>
  <c r="N45"/>
  <c r="O45" s="1"/>
  <c r="K45"/>
  <c r="L45" s="1"/>
  <c r="X44"/>
  <c r="Y44" s="1"/>
  <c r="T44"/>
  <c r="V44" s="1"/>
  <c r="Q44"/>
  <c r="R44" s="1"/>
  <c r="N44"/>
  <c r="O44" s="1"/>
  <c r="K44"/>
  <c r="L44" s="1"/>
  <c r="X43"/>
  <c r="Y43" s="1"/>
  <c r="T43"/>
  <c r="V43" s="1"/>
  <c r="Q43"/>
  <c r="R43" s="1"/>
  <c r="N43"/>
  <c r="O43" s="1"/>
  <c r="K43"/>
  <c r="L43" s="1"/>
  <c r="X42"/>
  <c r="Y42" s="1"/>
  <c r="T42"/>
  <c r="V42" s="1"/>
  <c r="Q42"/>
  <c r="R42" s="1"/>
  <c r="N42"/>
  <c r="O42" s="1"/>
  <c r="K42"/>
  <c r="L42" s="1"/>
  <c r="G42"/>
  <c r="H42" s="1"/>
  <c r="Y32"/>
  <c r="AA26"/>
  <c r="AD18"/>
  <c r="Z18"/>
  <c r="X18"/>
  <c r="AD17"/>
  <c r="Z17"/>
  <c r="X17"/>
  <c r="AD16"/>
  <c r="Z16"/>
  <c r="X16"/>
  <c r="AD15"/>
  <c r="Z15"/>
  <c r="X15"/>
  <c r="H15"/>
  <c r="AD14"/>
  <c r="Z14"/>
  <c r="X14"/>
  <c r="P14"/>
  <c r="F14"/>
  <c r="R14" s="1"/>
  <c r="E14"/>
  <c r="Q14" s="1"/>
  <c r="X13"/>
  <c r="P13"/>
  <c r="F13"/>
  <c r="R13" s="1"/>
  <c r="E13"/>
  <c r="Q13" s="1"/>
  <c r="AD12"/>
  <c r="X12"/>
  <c r="P12"/>
  <c r="F12"/>
  <c r="R12" s="1"/>
  <c r="E12"/>
  <c r="Q12" s="1"/>
  <c r="AD11"/>
  <c r="X11"/>
  <c r="P11"/>
  <c r="F11"/>
  <c r="R11" s="1"/>
  <c r="E11"/>
  <c r="Q11" s="1"/>
  <c r="AD10"/>
  <c r="X10"/>
  <c r="P10"/>
  <c r="F10"/>
  <c r="E10"/>
  <c r="Q10" s="1"/>
  <c r="AD9"/>
  <c r="P9"/>
  <c r="F9"/>
  <c r="R9" s="1"/>
  <c r="E9"/>
  <c r="N9" s="1"/>
  <c r="AD8"/>
  <c r="P8"/>
  <c r="F8"/>
  <c r="E8"/>
  <c r="N8" s="1"/>
  <c r="AD7"/>
  <c r="P7"/>
  <c r="F7"/>
  <c r="E7"/>
  <c r="Q7" s="1"/>
  <c r="AD6"/>
  <c r="P6"/>
  <c r="F6"/>
  <c r="E6"/>
  <c r="Q6" s="1"/>
  <c r="AD5"/>
  <c r="P5"/>
  <c r="F5"/>
  <c r="R5" s="1"/>
  <c r="E5"/>
  <c r="N5" s="1"/>
  <c r="AD4"/>
  <c r="P4"/>
  <c r="F4"/>
  <c r="R4" s="1"/>
  <c r="E4"/>
  <c r="N4" s="1"/>
  <c r="X3"/>
  <c r="W3"/>
  <c r="V3"/>
  <c r="U3"/>
  <c r="P3"/>
  <c r="B3"/>
  <c r="B4" s="1"/>
  <c r="B5" s="1"/>
  <c r="B6" s="1"/>
  <c r="B7" s="1"/>
  <c r="B8" s="1"/>
  <c r="B9" s="1"/>
  <c r="B10" s="1"/>
  <c r="B11" s="1"/>
  <c r="B12" s="1"/>
  <c r="B13" s="1"/>
  <c r="B14" s="1"/>
  <c r="R2"/>
  <c r="Q2"/>
  <c r="W26" s="1"/>
  <c r="G2"/>
  <c r="P50" i="18"/>
  <c r="P49"/>
  <c r="P48"/>
  <c r="E7" i="20" l="1"/>
  <c r="E8"/>
  <c r="E6"/>
  <c r="B34"/>
  <c r="C14" i="11" s="1"/>
  <c r="C2" i="19" s="1"/>
  <c r="E3" s="1"/>
  <c r="D3" i="20"/>
  <c r="E14" i="11"/>
  <c r="D11" i="20"/>
  <c r="D10"/>
  <c r="D9"/>
  <c r="D8"/>
  <c r="D7"/>
  <c r="D6"/>
  <c r="D5"/>
  <c r="D4"/>
  <c r="C1"/>
  <c r="A3" s="1"/>
  <c r="A4" s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Q48" i="11"/>
  <c r="P15" i="19"/>
  <c r="N50"/>
  <c r="O50" s="1"/>
  <c r="E43"/>
  <c r="Q48"/>
  <c r="R48" s="1"/>
  <c r="F37"/>
  <c r="N11"/>
  <c r="N12"/>
  <c r="N14"/>
  <c r="Q49"/>
  <c r="R49" s="1"/>
  <c r="Q50"/>
  <c r="R50" s="1"/>
  <c r="W31"/>
  <c r="S11"/>
  <c r="S12"/>
  <c r="S14"/>
  <c r="J14"/>
  <c r="S13"/>
  <c r="Q50" i="18"/>
  <c r="R50" s="1"/>
  <c r="A3" i="19"/>
  <c r="A4"/>
  <c r="I4"/>
  <c r="M4" s="1"/>
  <c r="O4"/>
  <c r="Q4"/>
  <c r="S4" s="1"/>
  <c r="A5"/>
  <c r="I5"/>
  <c r="M5"/>
  <c r="O5"/>
  <c r="Q5"/>
  <c r="S5" s="1"/>
  <c r="J6"/>
  <c r="N6"/>
  <c r="R6"/>
  <c r="S6" s="1"/>
  <c r="J7"/>
  <c r="N7"/>
  <c r="R7"/>
  <c r="S7" s="1"/>
  <c r="A8"/>
  <c r="I8"/>
  <c r="M8" s="1"/>
  <c r="O8"/>
  <c r="Q8"/>
  <c r="A9"/>
  <c r="I9"/>
  <c r="M9" s="1"/>
  <c r="O9"/>
  <c r="Q9"/>
  <c r="S9" s="1"/>
  <c r="J10"/>
  <c r="N10"/>
  <c r="R10"/>
  <c r="S10" s="1"/>
  <c r="A11"/>
  <c r="I11"/>
  <c r="M11" s="1"/>
  <c r="O11"/>
  <c r="A12"/>
  <c r="I12"/>
  <c r="M12" s="1"/>
  <c r="O12"/>
  <c r="J13"/>
  <c r="N13"/>
  <c r="A14"/>
  <c r="I14"/>
  <c r="M14" s="1"/>
  <c r="O14"/>
  <c r="W27"/>
  <c r="E37"/>
  <c r="E45"/>
  <c r="N49"/>
  <c r="O49" s="1"/>
  <c r="J3"/>
  <c r="J4"/>
  <c r="L4"/>
  <c r="J5"/>
  <c r="L5"/>
  <c r="A6"/>
  <c r="I6"/>
  <c r="K6" s="1"/>
  <c r="O6"/>
  <c r="A7"/>
  <c r="I7"/>
  <c r="K7" s="1"/>
  <c r="O7"/>
  <c r="J8"/>
  <c r="R8"/>
  <c r="J9"/>
  <c r="L9"/>
  <c r="A10"/>
  <c r="I10"/>
  <c r="O10"/>
  <c r="J11"/>
  <c r="J12"/>
  <c r="A13"/>
  <c r="I13"/>
  <c r="L13" s="1"/>
  <c r="O13"/>
  <c r="W25"/>
  <c r="E42"/>
  <c r="E44"/>
  <c r="Q49" i="18"/>
  <c r="R49" s="1"/>
  <c r="M48" i="11"/>
  <c r="R50"/>
  <c r="R49"/>
  <c r="R48"/>
  <c r="E5" i="20" l="1"/>
  <c r="E15" i="19"/>
  <c r="E38" s="1"/>
  <c r="O3"/>
  <c r="N3"/>
  <c r="Q3"/>
  <c r="A31" i="20"/>
  <c r="A32" s="1"/>
  <c r="A33" s="1"/>
  <c r="L8" i="19"/>
  <c r="K10"/>
  <c r="S8"/>
  <c r="L14"/>
  <c r="K14"/>
  <c r="L12"/>
  <c r="K12"/>
  <c r="Q15"/>
  <c r="L10"/>
  <c r="K9"/>
  <c r="L7"/>
  <c r="K4"/>
  <c r="M10"/>
  <c r="M6"/>
  <c r="M13"/>
  <c r="K13"/>
  <c r="D37"/>
  <c r="V28"/>
  <c r="W28" s="1"/>
  <c r="L11"/>
  <c r="K11"/>
  <c r="K8"/>
  <c r="L6"/>
  <c r="K5"/>
  <c r="M7"/>
  <c r="S49" i="11"/>
  <c r="T49" s="1"/>
  <c r="S50"/>
  <c r="T50" s="1"/>
  <c r="Y26"/>
  <c r="E3" i="20" l="1"/>
  <c r="C34"/>
  <c r="D14" i="11" s="1"/>
  <c r="E4" i="20"/>
  <c r="E39" i="19"/>
  <c r="F14" i="18"/>
  <c r="E14"/>
  <c r="F13"/>
  <c r="E13"/>
  <c r="I13" s="1"/>
  <c r="F12"/>
  <c r="E12"/>
  <c r="F11"/>
  <c r="E11"/>
  <c r="I11" s="1"/>
  <c r="F10"/>
  <c r="E10"/>
  <c r="F9"/>
  <c r="E9"/>
  <c r="I9" s="1"/>
  <c r="F8"/>
  <c r="E8"/>
  <c r="F7"/>
  <c r="E7"/>
  <c r="I7" s="1"/>
  <c r="F6"/>
  <c r="E6"/>
  <c r="F5"/>
  <c r="E5"/>
  <c r="I5" s="1"/>
  <c r="F4"/>
  <c r="E4"/>
  <c r="E14" i="12"/>
  <c r="D14"/>
  <c r="E13"/>
  <c r="D13"/>
  <c r="E12"/>
  <c r="D12"/>
  <c r="E11"/>
  <c r="D11"/>
  <c r="E10"/>
  <c r="D10"/>
  <c r="E9"/>
  <c r="D9"/>
  <c r="E8"/>
  <c r="D8"/>
  <c r="E7"/>
  <c r="D7"/>
  <c r="E6"/>
  <c r="D6"/>
  <c r="E5"/>
  <c r="D5"/>
  <c r="E4"/>
  <c r="D4"/>
  <c r="E3"/>
  <c r="D3"/>
  <c r="E14" i="13"/>
  <c r="D14"/>
  <c r="E13"/>
  <c r="D13"/>
  <c r="E12"/>
  <c r="D12"/>
  <c r="E11"/>
  <c r="D11"/>
  <c r="E10"/>
  <c r="D10"/>
  <c r="E9"/>
  <c r="D9"/>
  <c r="E8"/>
  <c r="D8"/>
  <c r="E7"/>
  <c r="D7"/>
  <c r="E6"/>
  <c r="D6"/>
  <c r="E5"/>
  <c r="D5"/>
  <c r="E4"/>
  <c r="D4"/>
  <c r="E3"/>
  <c r="D3"/>
  <c r="E14" i="14"/>
  <c r="D14"/>
  <c r="E13"/>
  <c r="D13"/>
  <c r="E12"/>
  <c r="D12"/>
  <c r="E11"/>
  <c r="D11"/>
  <c r="E10"/>
  <c r="D10"/>
  <c r="E9"/>
  <c r="D9"/>
  <c r="E8"/>
  <c r="D8"/>
  <c r="E7"/>
  <c r="D7"/>
  <c r="E6"/>
  <c r="D6"/>
  <c r="E5"/>
  <c r="D5"/>
  <c r="E4"/>
  <c r="D4"/>
  <c r="E3"/>
  <c r="D3"/>
  <c r="E14" i="15"/>
  <c r="D14"/>
  <c r="E13"/>
  <c r="D13"/>
  <c r="E12"/>
  <c r="D12"/>
  <c r="E11"/>
  <c r="D11"/>
  <c r="E10"/>
  <c r="D10"/>
  <c r="E9"/>
  <c r="D9"/>
  <c r="E8"/>
  <c r="D8"/>
  <c r="E7"/>
  <c r="D7"/>
  <c r="E6"/>
  <c r="D6"/>
  <c r="E5"/>
  <c r="D5"/>
  <c r="E4"/>
  <c r="D4"/>
  <c r="E3"/>
  <c r="D3"/>
  <c r="E14" i="16"/>
  <c r="D14"/>
  <c r="E13"/>
  <c r="D13"/>
  <c r="E12"/>
  <c r="D12"/>
  <c r="E11"/>
  <c r="D11"/>
  <c r="E10"/>
  <c r="D10"/>
  <c r="E9"/>
  <c r="D9"/>
  <c r="E8"/>
  <c r="D8"/>
  <c r="E7"/>
  <c r="D7"/>
  <c r="E6"/>
  <c r="D6"/>
  <c r="E5"/>
  <c r="D5"/>
  <c r="E4"/>
  <c r="D4"/>
  <c r="E3"/>
  <c r="D3"/>
  <c r="E14" i="10"/>
  <c r="H14" i="19" s="1"/>
  <c r="D14" i="10"/>
  <c r="G14" i="19" s="1"/>
  <c r="E13" i="10"/>
  <c r="H13" i="19" s="1"/>
  <c r="D13" i="10"/>
  <c r="G13" i="19" s="1"/>
  <c r="E12" i="10"/>
  <c r="H12" i="19" s="1"/>
  <c r="D12" i="10"/>
  <c r="G12" i="19" s="1"/>
  <c r="E11" i="10"/>
  <c r="H11" i="19" s="1"/>
  <c r="D11" i="10"/>
  <c r="G11" i="19" s="1"/>
  <c r="E10" i="10"/>
  <c r="H10" i="19" s="1"/>
  <c r="D10" i="10"/>
  <c r="G10" i="19" s="1"/>
  <c r="E9" i="10"/>
  <c r="H9" i="19" s="1"/>
  <c r="D9" i="10"/>
  <c r="G9" i="19" s="1"/>
  <c r="E8" i="10"/>
  <c r="H8" i="19" s="1"/>
  <c r="D8" i="10"/>
  <c r="G8" i="19" s="1"/>
  <c r="E7" i="10"/>
  <c r="H7" i="19" s="1"/>
  <c r="D7" i="10"/>
  <c r="G7" i="19" s="1"/>
  <c r="E6" i="10"/>
  <c r="H6" i="19" s="1"/>
  <c r="D6" i="10"/>
  <c r="G6" i="19" s="1"/>
  <c r="E5" i="10"/>
  <c r="H5" i="19" s="1"/>
  <c r="D5" i="10"/>
  <c r="G5" i="19" s="1"/>
  <c r="E4" i="10"/>
  <c r="H4" i="19" s="1"/>
  <c r="D4" i="10"/>
  <c r="G4" i="19" s="1"/>
  <c r="Y28" i="11"/>
  <c r="I4" i="18" l="1"/>
  <c r="G14" i="11"/>
  <c r="D2" i="19"/>
  <c r="F3" s="1"/>
  <c r="H4" i="10"/>
  <c r="H6"/>
  <c r="H8"/>
  <c r="H10"/>
  <c r="H12"/>
  <c r="H14"/>
  <c r="H4" i="16"/>
  <c r="H6"/>
  <c r="H8"/>
  <c r="H10"/>
  <c r="H12"/>
  <c r="H14"/>
  <c r="H4" i="15"/>
  <c r="H6"/>
  <c r="H8"/>
  <c r="H10"/>
  <c r="H12"/>
  <c r="H14"/>
  <c r="H4" i="14"/>
  <c r="H6"/>
  <c r="H8"/>
  <c r="H10"/>
  <c r="H12"/>
  <c r="H14"/>
  <c r="H4" i="13"/>
  <c r="H6"/>
  <c r="H8"/>
  <c r="H10"/>
  <c r="H12"/>
  <c r="H14"/>
  <c r="H4" i="12"/>
  <c r="H6"/>
  <c r="H8"/>
  <c r="H10"/>
  <c r="H12"/>
  <c r="H14"/>
  <c r="I6" i="18"/>
  <c r="I8"/>
  <c r="I10"/>
  <c r="I12"/>
  <c r="I14"/>
  <c r="H5" i="10"/>
  <c r="H7"/>
  <c r="H9"/>
  <c r="H11"/>
  <c r="H13"/>
  <c r="H3" i="16"/>
  <c r="H5"/>
  <c r="H7"/>
  <c r="H9"/>
  <c r="H11"/>
  <c r="H13"/>
  <c r="H3" i="15"/>
  <c r="H5"/>
  <c r="H7"/>
  <c r="H9"/>
  <c r="H11"/>
  <c r="H13"/>
  <c r="H3" i="14"/>
  <c r="H5"/>
  <c r="H7"/>
  <c r="H9"/>
  <c r="H11"/>
  <c r="H13"/>
  <c r="H3" i="13"/>
  <c r="H5"/>
  <c r="H7"/>
  <c r="H9"/>
  <c r="H11"/>
  <c r="H13"/>
  <c r="H3" i="12"/>
  <c r="H5"/>
  <c r="H7"/>
  <c r="H9"/>
  <c r="H11"/>
  <c r="H13"/>
  <c r="H15" i="18"/>
  <c r="J15" i="11"/>
  <c r="G15" i="10"/>
  <c r="G15" i="16"/>
  <c r="G15" i="15"/>
  <c r="G15" i="14"/>
  <c r="G15" i="13"/>
  <c r="G15" i="12"/>
  <c r="R3" i="19" l="1"/>
  <c r="I3"/>
  <c r="F15"/>
  <c r="O50" i="11"/>
  <c r="S48" s="1"/>
  <c r="T48" s="1"/>
  <c r="O49"/>
  <c r="F38" i="19" l="1"/>
  <c r="D15"/>
  <c r="G15" s="1"/>
  <c r="S3"/>
  <c r="T3" s="1"/>
  <c r="T4" s="1"/>
  <c r="T5" s="1"/>
  <c r="T6" s="1"/>
  <c r="T7" s="1"/>
  <c r="T8" s="1"/>
  <c r="T9" s="1"/>
  <c r="T10" s="1"/>
  <c r="T11" s="1"/>
  <c r="T12" s="1"/>
  <c r="R15"/>
  <c r="I15"/>
  <c r="M3"/>
  <c r="K3"/>
  <c r="K15" s="1"/>
  <c r="L3"/>
  <c r="M15"/>
  <c r="P50" i="11"/>
  <c r="P49"/>
  <c r="X3"/>
  <c r="Y3"/>
  <c r="Z3"/>
  <c r="R14"/>
  <c r="R13"/>
  <c r="R12"/>
  <c r="R11"/>
  <c r="R10"/>
  <c r="R9"/>
  <c r="M48" i="18"/>
  <c r="N48" s="1"/>
  <c r="M50"/>
  <c r="M49"/>
  <c r="G50"/>
  <c r="H50" s="1"/>
  <c r="G49"/>
  <c r="H49" s="1"/>
  <c r="K48"/>
  <c r="L48" s="1"/>
  <c r="G48"/>
  <c r="H48" s="1"/>
  <c r="I50" i="11"/>
  <c r="J50" s="1"/>
  <c r="M50"/>
  <c r="N50" s="1"/>
  <c r="I49"/>
  <c r="J49" s="1"/>
  <c r="N48"/>
  <c r="I48"/>
  <c r="J48" s="1"/>
  <c r="L15" i="19" l="1"/>
  <c r="X25"/>
  <c r="X26"/>
  <c r="X28"/>
  <c r="X27"/>
  <c r="F39"/>
  <c r="D39" s="1"/>
  <c r="W30" s="1"/>
  <c r="AA30" s="1"/>
  <c r="D38"/>
  <c r="V30" s="1"/>
  <c r="V29" s="1"/>
  <c r="X29" s="1"/>
  <c r="W29"/>
  <c r="W32" s="1"/>
  <c r="S15"/>
  <c r="T13"/>
  <c r="T14" s="1"/>
  <c r="Q48" i="18"/>
  <c r="R48" s="1"/>
  <c r="Q50" i="11"/>
  <c r="Q49"/>
  <c r="O48" i="18"/>
  <c r="K50"/>
  <c r="L50" s="1"/>
  <c r="N50"/>
  <c r="O50" s="1"/>
  <c r="N49"/>
  <c r="O49" s="1"/>
  <c r="K49"/>
  <c r="L49" s="1"/>
  <c r="M49" i="11"/>
  <c r="N49" s="1"/>
  <c r="AA32" i="19" l="1"/>
  <c r="V32"/>
  <c r="X30"/>
  <c r="U3" i="18"/>
  <c r="T13" i="10"/>
  <c r="T11"/>
  <c r="T9"/>
  <c r="T7"/>
  <c r="T5"/>
  <c r="T3"/>
  <c r="W31" i="11" l="1"/>
  <c r="W30"/>
  <c r="W29"/>
  <c r="W28"/>
  <c r="W27"/>
  <c r="W26"/>
  <c r="W32" l="1"/>
  <c r="D2" i="18"/>
  <c r="F3" s="1"/>
  <c r="C2"/>
  <c r="E3" s="1"/>
  <c r="T45"/>
  <c r="V45" s="1"/>
  <c r="Q45"/>
  <c r="R45" s="1"/>
  <c r="N45"/>
  <c r="O45" s="1"/>
  <c r="K45"/>
  <c r="L45" s="1"/>
  <c r="X44"/>
  <c r="Y44" s="1"/>
  <c r="T44"/>
  <c r="V44" s="1"/>
  <c r="Q44"/>
  <c r="R44" s="1"/>
  <c r="N44"/>
  <c r="O44" s="1"/>
  <c r="K44"/>
  <c r="L44" s="1"/>
  <c r="X43"/>
  <c r="Y43" s="1"/>
  <c r="T43"/>
  <c r="V43" s="1"/>
  <c r="Q43"/>
  <c r="R43" s="1"/>
  <c r="N43"/>
  <c r="O43" s="1"/>
  <c r="K43"/>
  <c r="L43" s="1"/>
  <c r="X42"/>
  <c r="Y42" s="1"/>
  <c r="T42"/>
  <c r="V42" s="1"/>
  <c r="Q42"/>
  <c r="R42" s="1"/>
  <c r="N42"/>
  <c r="O42" s="1"/>
  <c r="K42"/>
  <c r="L42" s="1"/>
  <c r="G42"/>
  <c r="Y32"/>
  <c r="AA26"/>
  <c r="AD18"/>
  <c r="Z18"/>
  <c r="X18"/>
  <c r="AD17"/>
  <c r="Z17"/>
  <c r="X17"/>
  <c r="AD16"/>
  <c r="Z16"/>
  <c r="X16"/>
  <c r="AD15"/>
  <c r="Z15"/>
  <c r="X15"/>
  <c r="AD14"/>
  <c r="Z14"/>
  <c r="X14"/>
  <c r="P14"/>
  <c r="Q14"/>
  <c r="X13"/>
  <c r="P13"/>
  <c r="Q13"/>
  <c r="AD12"/>
  <c r="X12"/>
  <c r="P12"/>
  <c r="R12"/>
  <c r="N12"/>
  <c r="AD11"/>
  <c r="X11"/>
  <c r="P11"/>
  <c r="Q11"/>
  <c r="AD10"/>
  <c r="X10"/>
  <c r="P10"/>
  <c r="R10"/>
  <c r="N10"/>
  <c r="AD9"/>
  <c r="P9"/>
  <c r="R9"/>
  <c r="N9"/>
  <c r="AD8"/>
  <c r="P8"/>
  <c r="R8"/>
  <c r="AD7"/>
  <c r="P7"/>
  <c r="R7"/>
  <c r="AD6"/>
  <c r="P6"/>
  <c r="R6"/>
  <c r="Q6"/>
  <c r="AD5"/>
  <c r="P5"/>
  <c r="Q5"/>
  <c r="AD4"/>
  <c r="P4"/>
  <c r="Q4"/>
  <c r="X3"/>
  <c r="W3"/>
  <c r="V3"/>
  <c r="P3"/>
  <c r="B3"/>
  <c r="B4" s="1"/>
  <c r="B5" s="1"/>
  <c r="B6" s="1"/>
  <c r="B7" s="1"/>
  <c r="B8" s="1"/>
  <c r="B9" s="1"/>
  <c r="B10" s="1"/>
  <c r="B11" s="1"/>
  <c r="B12" s="1"/>
  <c r="B13" s="1"/>
  <c r="B14" s="1"/>
  <c r="R2"/>
  <c r="Q2"/>
  <c r="G2"/>
  <c r="I3" l="1"/>
  <c r="J6" i="3"/>
  <c r="E43" i="18"/>
  <c r="P15"/>
  <c r="S6"/>
  <c r="J18" i="3" s="1"/>
  <c r="M7" i="18"/>
  <c r="N13"/>
  <c r="N11"/>
  <c r="A3"/>
  <c r="A14"/>
  <c r="A12"/>
  <c r="A10"/>
  <c r="A8"/>
  <c r="A6"/>
  <c r="A4"/>
  <c r="A13"/>
  <c r="A11"/>
  <c r="A9"/>
  <c r="A7"/>
  <c r="A5"/>
  <c r="F15"/>
  <c r="R3"/>
  <c r="E15"/>
  <c r="Q3"/>
  <c r="J2" i="3"/>
  <c r="J6" i="18"/>
  <c r="J3"/>
  <c r="J4"/>
  <c r="R4"/>
  <c r="S4" s="1"/>
  <c r="J16" i="3" s="1"/>
  <c r="J5" i="18"/>
  <c r="N5"/>
  <c r="R5"/>
  <c r="S5" s="1"/>
  <c r="J17" i="3" s="1"/>
  <c r="N6" i="18"/>
  <c r="N7"/>
  <c r="L7"/>
  <c r="O7"/>
  <c r="Q7"/>
  <c r="S7" s="1"/>
  <c r="J19" i="3" s="1"/>
  <c r="J12" i="18"/>
  <c r="J10"/>
  <c r="J9"/>
  <c r="J8"/>
  <c r="J7"/>
  <c r="J14"/>
  <c r="J13"/>
  <c r="J11"/>
  <c r="W27"/>
  <c r="W26"/>
  <c r="W25"/>
  <c r="J3" i="3"/>
  <c r="J4"/>
  <c r="O5" i="18"/>
  <c r="J5" i="3"/>
  <c r="O6" i="18"/>
  <c r="E37"/>
  <c r="J7" i="3"/>
  <c r="O8" i="18"/>
  <c r="Q8"/>
  <c r="S8" s="1"/>
  <c r="J20" i="3" s="1"/>
  <c r="J8"/>
  <c r="O9" i="18"/>
  <c r="Q9"/>
  <c r="S9" s="1"/>
  <c r="J21" i="3" s="1"/>
  <c r="J9"/>
  <c r="O10" i="18"/>
  <c r="Q10"/>
  <c r="S10" s="1"/>
  <c r="J22" i="3" s="1"/>
  <c r="R11" i="18"/>
  <c r="S11" s="1"/>
  <c r="J23" i="3" s="1"/>
  <c r="J11"/>
  <c r="O12" i="18"/>
  <c r="Q12"/>
  <c r="S12" s="1"/>
  <c r="J24" i="3" s="1"/>
  <c r="R13" i="18"/>
  <c r="S13" s="1"/>
  <c r="J25" i="3" s="1"/>
  <c r="N14" i="18"/>
  <c r="R14"/>
  <c r="S14" s="1"/>
  <c r="J26" i="3" s="1"/>
  <c r="F37" i="18"/>
  <c r="E42"/>
  <c r="H42"/>
  <c r="E44"/>
  <c r="L8"/>
  <c r="N8"/>
  <c r="L10"/>
  <c r="J10" i="3"/>
  <c r="O11" i="18"/>
  <c r="J12" i="3"/>
  <c r="O13" i="18"/>
  <c r="J13" i="3"/>
  <c r="O14" i="18"/>
  <c r="I2" i="11"/>
  <c r="W31" i="18" l="1"/>
  <c r="L12"/>
  <c r="K7"/>
  <c r="L9"/>
  <c r="K14"/>
  <c r="O4"/>
  <c r="N4"/>
  <c r="L3"/>
  <c r="N3"/>
  <c r="J28" i="3"/>
  <c r="K5" i="18"/>
  <c r="E45"/>
  <c r="K4"/>
  <c r="K13"/>
  <c r="L13"/>
  <c r="V28"/>
  <c r="W28" s="1"/>
  <c r="D37"/>
  <c r="M6"/>
  <c r="K6"/>
  <c r="L4"/>
  <c r="M5"/>
  <c r="I15"/>
  <c r="L15" s="1"/>
  <c r="K3"/>
  <c r="Q15"/>
  <c r="S3"/>
  <c r="M3"/>
  <c r="K11"/>
  <c r="L11"/>
  <c r="L14"/>
  <c r="M12"/>
  <c r="K12"/>
  <c r="M10"/>
  <c r="K10"/>
  <c r="M9"/>
  <c r="K9"/>
  <c r="M8"/>
  <c r="K8"/>
  <c r="M14"/>
  <c r="M11"/>
  <c r="M13"/>
  <c r="L6"/>
  <c r="L5"/>
  <c r="M4"/>
  <c r="O3"/>
  <c r="D15"/>
  <c r="G15" s="1"/>
  <c r="E38"/>
  <c r="R15"/>
  <c r="F38"/>
  <c r="F39" s="1"/>
  <c r="AB18" i="11"/>
  <c r="Z18"/>
  <c r="AB17"/>
  <c r="Z17"/>
  <c r="AB16"/>
  <c r="Z16"/>
  <c r="AB15"/>
  <c r="Z15"/>
  <c r="W17" i="10"/>
  <c r="Y17"/>
  <c r="W18"/>
  <c r="Y18"/>
  <c r="W16"/>
  <c r="Y16"/>
  <c r="W15"/>
  <c r="S15" i="18" l="1"/>
  <c r="J14" i="3" s="1"/>
  <c r="AC16" i="11"/>
  <c r="M15" i="18"/>
  <c r="T3"/>
  <c r="T4" s="1"/>
  <c r="J15" i="3"/>
  <c r="J27" s="1"/>
  <c r="D38" i="18"/>
  <c r="V30" s="1"/>
  <c r="X30" s="1"/>
  <c r="E39"/>
  <c r="D39" s="1"/>
  <c r="X28"/>
  <c r="X26"/>
  <c r="X25"/>
  <c r="X27"/>
  <c r="K15"/>
  <c r="G1" i="17"/>
  <c r="G2"/>
  <c r="C4"/>
  <c r="C5" s="1"/>
  <c r="C9" s="1"/>
  <c r="D4"/>
  <c r="D6" s="1"/>
  <c r="D10" s="1"/>
  <c r="E4"/>
  <c r="E5" s="1"/>
  <c r="E9" s="1"/>
  <c r="F4"/>
  <c r="F5" s="1"/>
  <c r="F9" s="1"/>
  <c r="G3"/>
  <c r="D5"/>
  <c r="D9" s="1"/>
  <c r="G4"/>
  <c r="C6"/>
  <c r="C10" s="1"/>
  <c r="E6"/>
  <c r="E10" s="1"/>
  <c r="G5"/>
  <c r="G8"/>
  <c r="G14"/>
  <c r="C16"/>
  <c r="D16"/>
  <c r="E16"/>
  <c r="F16"/>
  <c r="C17"/>
  <c r="C19" s="1"/>
  <c r="D17"/>
  <c r="D19" s="1"/>
  <c r="E17"/>
  <c r="E19" s="1"/>
  <c r="F17"/>
  <c r="F19" s="1"/>
  <c r="G19" s="1"/>
  <c r="C18"/>
  <c r="V29" i="18" l="1"/>
  <c r="X29" s="1"/>
  <c r="E18" i="17"/>
  <c r="D7"/>
  <c r="D11" s="1"/>
  <c r="F6"/>
  <c r="F10" s="1"/>
  <c r="G10" s="1"/>
  <c r="G16"/>
  <c r="F18"/>
  <c r="D18"/>
  <c r="G17"/>
  <c r="F7"/>
  <c r="F11" s="1"/>
  <c r="G6"/>
  <c r="G7" s="1"/>
  <c r="T5" i="18"/>
  <c r="T6" s="1"/>
  <c r="W30"/>
  <c r="AA30" s="1"/>
  <c r="J29" i="3"/>
  <c r="G9" i="17"/>
  <c r="E7"/>
  <c r="E11" s="1"/>
  <c r="C7"/>
  <c r="C11" s="1"/>
  <c r="H47" i="8"/>
  <c r="H48" s="1"/>
  <c r="H49" s="1"/>
  <c r="H50" s="1"/>
  <c r="H51" s="1"/>
  <c r="H52" s="1"/>
  <c r="H53" s="1"/>
  <c r="H54" s="1"/>
  <c r="H55" s="1"/>
  <c r="H56" s="1"/>
  <c r="H57" s="1"/>
  <c r="H58" s="1"/>
  <c r="H59" s="1"/>
  <c r="H60" s="1"/>
  <c r="H61" s="1"/>
  <c r="H62" s="1"/>
  <c r="H63" s="1"/>
  <c r="H64" s="1"/>
  <c r="H65" s="1"/>
  <c r="H66" s="1"/>
  <c r="H67" s="1"/>
  <c r="H68" s="1"/>
  <c r="H69" s="1"/>
  <c r="H70" s="1"/>
  <c r="H71" s="1"/>
  <c r="H72" s="1"/>
  <c r="H73" s="1"/>
  <c r="H74" s="1"/>
  <c r="H75" s="1"/>
  <c r="G18" i="17" l="1"/>
  <c r="G11"/>
  <c r="W29" i="18"/>
  <c r="W32" s="1"/>
  <c r="V32" s="1"/>
  <c r="U1" i="19" s="1"/>
  <c r="T7" i="18"/>
  <c r="T8" s="1"/>
  <c r="C2" i="10"/>
  <c r="E3" s="1"/>
  <c r="H3" i="19" s="1"/>
  <c r="B2" i="10"/>
  <c r="D3" s="1"/>
  <c r="G3" i="19" s="1"/>
  <c r="A3" i="10"/>
  <c r="A4" s="1"/>
  <c r="A5" s="1"/>
  <c r="A6" s="1"/>
  <c r="A7" s="1"/>
  <c r="A8" s="1"/>
  <c r="A9" s="1"/>
  <c r="A10" s="1"/>
  <c r="A11" s="1"/>
  <c r="A12" s="1"/>
  <c r="B3" i="11"/>
  <c r="U4" i="19" l="1"/>
  <c r="U6"/>
  <c r="U8"/>
  <c r="U10"/>
  <c r="U12"/>
  <c r="U14"/>
  <c r="H3" i="10"/>
  <c r="AA32" i="18"/>
  <c r="A3" i="11"/>
  <c r="L3"/>
  <c r="T9" i="18"/>
  <c r="T10" s="1"/>
  <c r="B4" i="11"/>
  <c r="A13" i="10"/>
  <c r="A14" s="1"/>
  <c r="Z26"/>
  <c r="L4" i="11" l="1"/>
  <c r="A4"/>
  <c r="T11" i="18"/>
  <c r="T12" s="1"/>
  <c r="B5" i="11"/>
  <c r="U31" i="16"/>
  <c r="F4" i="11" l="1"/>
  <c r="H4"/>
  <c r="L5"/>
  <c r="A5"/>
  <c r="T13" i="18"/>
  <c r="T14" s="1"/>
  <c r="B6" i="11"/>
  <c r="X32" i="10"/>
  <c r="F5" i="11" l="1"/>
  <c r="H5"/>
  <c r="A6"/>
  <c r="L6"/>
  <c r="B7"/>
  <c r="A7" s="1"/>
  <c r="P2" i="10"/>
  <c r="V26" s="1"/>
  <c r="F6" i="11" l="1"/>
  <c r="H6"/>
  <c r="L7"/>
  <c r="B8"/>
  <c r="V27" i="10"/>
  <c r="V25"/>
  <c r="Q2" i="16"/>
  <c r="P2"/>
  <c r="A3"/>
  <c r="A4" s="1"/>
  <c r="A5" s="1"/>
  <c r="A6" s="1"/>
  <c r="A7" s="1"/>
  <c r="A8" s="1"/>
  <c r="A9" s="1"/>
  <c r="A10" s="1"/>
  <c r="A11" s="1"/>
  <c r="A12" s="1"/>
  <c r="A13" s="1"/>
  <c r="A14" s="1"/>
  <c r="H51"/>
  <c r="E51"/>
  <c r="F51" s="1"/>
  <c r="G51" s="1"/>
  <c r="H50"/>
  <c r="F50"/>
  <c r="G50" s="1"/>
  <c r="H49"/>
  <c r="F49"/>
  <c r="G49" s="1"/>
  <c r="H48"/>
  <c r="F48"/>
  <c r="G48" s="1"/>
  <c r="S45"/>
  <c r="T45" s="1"/>
  <c r="P45"/>
  <c r="Q45" s="1"/>
  <c r="M45"/>
  <c r="N45" s="1"/>
  <c r="J45"/>
  <c r="K45" s="1"/>
  <c r="V44"/>
  <c r="W44" s="1"/>
  <c r="S44"/>
  <c r="T44" s="1"/>
  <c r="P44"/>
  <c r="Q44" s="1"/>
  <c r="M44"/>
  <c r="N44" s="1"/>
  <c r="J44"/>
  <c r="K44" s="1"/>
  <c r="V43"/>
  <c r="W43" s="1"/>
  <c r="S43"/>
  <c r="T43" s="1"/>
  <c r="P43"/>
  <c r="Q43" s="1"/>
  <c r="M43"/>
  <c r="N43" s="1"/>
  <c r="J43"/>
  <c r="V42"/>
  <c r="W42" s="1"/>
  <c r="S42"/>
  <c r="T42" s="1"/>
  <c r="P42"/>
  <c r="Q42" s="1"/>
  <c r="M42"/>
  <c r="N42" s="1"/>
  <c r="J42"/>
  <c r="K42" s="1"/>
  <c r="F42"/>
  <c r="G42" s="1"/>
  <c r="AB18"/>
  <c r="AB17"/>
  <c r="AB16"/>
  <c r="AB15"/>
  <c r="X15"/>
  <c r="V15"/>
  <c r="AB14"/>
  <c r="X14"/>
  <c r="V14"/>
  <c r="V13"/>
  <c r="P13"/>
  <c r="AB12"/>
  <c r="V12"/>
  <c r="Q12"/>
  <c r="AB11"/>
  <c r="V11"/>
  <c r="P11"/>
  <c r="AB10"/>
  <c r="V10"/>
  <c r="Q10"/>
  <c r="AB9"/>
  <c r="Q9"/>
  <c r="AB8"/>
  <c r="AB7"/>
  <c r="Q7"/>
  <c r="AB6"/>
  <c r="AB5"/>
  <c r="Q5"/>
  <c r="AB4"/>
  <c r="T4"/>
  <c r="T5" s="1"/>
  <c r="Q4"/>
  <c r="P4"/>
  <c r="V3"/>
  <c r="U3"/>
  <c r="P3"/>
  <c r="D2"/>
  <c r="A6" i="15"/>
  <c r="A7" s="1"/>
  <c r="A8" s="1"/>
  <c r="A9" s="1"/>
  <c r="A10" s="1"/>
  <c r="A11" s="1"/>
  <c r="A12" s="1"/>
  <c r="A13" s="1"/>
  <c r="A14" s="1"/>
  <c r="A3"/>
  <c r="A4" s="1"/>
  <c r="H51"/>
  <c r="E51"/>
  <c r="F51" s="1"/>
  <c r="G51" s="1"/>
  <c r="H50"/>
  <c r="F50"/>
  <c r="G50" s="1"/>
  <c r="H49"/>
  <c r="F49"/>
  <c r="G49" s="1"/>
  <c r="H48"/>
  <c r="F48"/>
  <c r="G48" s="1"/>
  <c r="S45"/>
  <c r="T45" s="1"/>
  <c r="P45"/>
  <c r="Q45" s="1"/>
  <c r="M45"/>
  <c r="N45" s="1"/>
  <c r="J45"/>
  <c r="K45" s="1"/>
  <c r="V44"/>
  <c r="W44" s="1"/>
  <c r="S44"/>
  <c r="T44" s="1"/>
  <c r="P44"/>
  <c r="Q44" s="1"/>
  <c r="M44"/>
  <c r="N44" s="1"/>
  <c r="J44"/>
  <c r="K44" s="1"/>
  <c r="V43"/>
  <c r="W43" s="1"/>
  <c r="S43"/>
  <c r="T43" s="1"/>
  <c r="P43"/>
  <c r="Q43" s="1"/>
  <c r="M43"/>
  <c r="N43" s="1"/>
  <c r="J43"/>
  <c r="V42"/>
  <c r="W42" s="1"/>
  <c r="S42"/>
  <c r="T42" s="1"/>
  <c r="P42"/>
  <c r="Q42" s="1"/>
  <c r="M42"/>
  <c r="N42" s="1"/>
  <c r="J42"/>
  <c r="K42" s="1"/>
  <c r="F42"/>
  <c r="G42" s="1"/>
  <c r="AB18"/>
  <c r="AB17"/>
  <c r="AB16"/>
  <c r="AB15"/>
  <c r="X15"/>
  <c r="V15"/>
  <c r="AB14"/>
  <c r="X14"/>
  <c r="V14"/>
  <c r="V13"/>
  <c r="P13"/>
  <c r="AB12"/>
  <c r="V12"/>
  <c r="Q12"/>
  <c r="AB11"/>
  <c r="V11"/>
  <c r="P11"/>
  <c r="AB10"/>
  <c r="V10"/>
  <c r="Q10"/>
  <c r="AB9"/>
  <c r="Q9"/>
  <c r="AB8"/>
  <c r="P8"/>
  <c r="AB7"/>
  <c r="Q7"/>
  <c r="AB6"/>
  <c r="Q6"/>
  <c r="F6" i="16"/>
  <c r="AB5" i="15"/>
  <c r="Q5"/>
  <c r="AB4"/>
  <c r="T4"/>
  <c r="T5" s="1"/>
  <c r="Q4"/>
  <c r="V3"/>
  <c r="U3"/>
  <c r="Q3"/>
  <c r="D2"/>
  <c r="H51" i="14"/>
  <c r="E51"/>
  <c r="F51" s="1"/>
  <c r="G51" s="1"/>
  <c r="H50"/>
  <c r="F50"/>
  <c r="G50" s="1"/>
  <c r="H49"/>
  <c r="F49"/>
  <c r="G49" s="1"/>
  <c r="H48"/>
  <c r="F48"/>
  <c r="G48" s="1"/>
  <c r="S45"/>
  <c r="T45" s="1"/>
  <c r="P45"/>
  <c r="Q45" s="1"/>
  <c r="M45"/>
  <c r="N45" s="1"/>
  <c r="J45"/>
  <c r="V44"/>
  <c r="W44" s="1"/>
  <c r="S44"/>
  <c r="T44" s="1"/>
  <c r="P44"/>
  <c r="Q44" s="1"/>
  <c r="M44"/>
  <c r="N44" s="1"/>
  <c r="J44"/>
  <c r="K44" s="1"/>
  <c r="V43"/>
  <c r="W43" s="1"/>
  <c r="S43"/>
  <c r="T43" s="1"/>
  <c r="P43"/>
  <c r="Q43" s="1"/>
  <c r="M43"/>
  <c r="N43" s="1"/>
  <c r="J43"/>
  <c r="V42"/>
  <c r="W42" s="1"/>
  <c r="S42"/>
  <c r="T42" s="1"/>
  <c r="P42"/>
  <c r="Q42" s="1"/>
  <c r="M42"/>
  <c r="N42" s="1"/>
  <c r="J42"/>
  <c r="K42" s="1"/>
  <c r="F42"/>
  <c r="G42" s="1"/>
  <c r="AB18"/>
  <c r="AB17"/>
  <c r="AB16"/>
  <c r="AB15"/>
  <c r="X15"/>
  <c r="V15"/>
  <c r="AB14"/>
  <c r="X14"/>
  <c r="V14"/>
  <c r="Q14"/>
  <c r="E13" i="3"/>
  <c r="V13" i="14"/>
  <c r="Q13"/>
  <c r="P13"/>
  <c r="AB12"/>
  <c r="V12"/>
  <c r="P12"/>
  <c r="AB11"/>
  <c r="V11"/>
  <c r="AB10"/>
  <c r="V10"/>
  <c r="P10"/>
  <c r="A10"/>
  <c r="A11" s="1"/>
  <c r="A12" s="1"/>
  <c r="A13" s="1"/>
  <c r="A14" s="1"/>
  <c r="AB9"/>
  <c r="P9"/>
  <c r="AB8"/>
  <c r="AB7"/>
  <c r="AB6"/>
  <c r="P6"/>
  <c r="AB5"/>
  <c r="P5"/>
  <c r="AB4"/>
  <c r="T4"/>
  <c r="T5" s="1"/>
  <c r="O5" s="1"/>
  <c r="P4"/>
  <c r="V3"/>
  <c r="U3"/>
  <c r="P3"/>
  <c r="D2"/>
  <c r="I4" s="1"/>
  <c r="T4" i="13"/>
  <c r="T5" s="1"/>
  <c r="H51"/>
  <c r="E51"/>
  <c r="F51" s="1"/>
  <c r="G51" s="1"/>
  <c r="H50"/>
  <c r="F50"/>
  <c r="G50" s="1"/>
  <c r="H49"/>
  <c r="F49"/>
  <c r="G49" s="1"/>
  <c r="H48"/>
  <c r="F48"/>
  <c r="G48" s="1"/>
  <c r="S45"/>
  <c r="T45" s="1"/>
  <c r="P45"/>
  <c r="Q45" s="1"/>
  <c r="M45"/>
  <c r="N45" s="1"/>
  <c r="J45"/>
  <c r="K45" s="1"/>
  <c r="V44"/>
  <c r="W44" s="1"/>
  <c r="S44"/>
  <c r="T44" s="1"/>
  <c r="P44"/>
  <c r="Q44" s="1"/>
  <c r="M44"/>
  <c r="N44" s="1"/>
  <c r="J44"/>
  <c r="K44" s="1"/>
  <c r="V43"/>
  <c r="W43" s="1"/>
  <c r="S43"/>
  <c r="T43" s="1"/>
  <c r="P43"/>
  <c r="Q43" s="1"/>
  <c r="M43"/>
  <c r="N43" s="1"/>
  <c r="J43"/>
  <c r="K43" s="1"/>
  <c r="V42"/>
  <c r="W42" s="1"/>
  <c r="S42"/>
  <c r="T42" s="1"/>
  <c r="P42"/>
  <c r="Q42" s="1"/>
  <c r="M42"/>
  <c r="N42" s="1"/>
  <c r="J42"/>
  <c r="K42" s="1"/>
  <c r="F42"/>
  <c r="G42" s="1"/>
  <c r="AB18"/>
  <c r="AB17"/>
  <c r="AB16"/>
  <c r="AB15"/>
  <c r="X15"/>
  <c r="V15"/>
  <c r="AB14"/>
  <c r="X14"/>
  <c r="V14"/>
  <c r="Q14"/>
  <c r="P14"/>
  <c r="V13"/>
  <c r="F13" i="14"/>
  <c r="AB12" i="13"/>
  <c r="V12"/>
  <c r="AB11"/>
  <c r="V11"/>
  <c r="AB10"/>
  <c r="V10"/>
  <c r="Q10"/>
  <c r="A10"/>
  <c r="A11" s="1"/>
  <c r="A12" s="1"/>
  <c r="A13" s="1"/>
  <c r="A14" s="1"/>
  <c r="AB9"/>
  <c r="Q9"/>
  <c r="P9"/>
  <c r="AB8"/>
  <c r="P8"/>
  <c r="AB7"/>
  <c r="Q7"/>
  <c r="P7"/>
  <c r="AB6"/>
  <c r="Q6"/>
  <c r="P6"/>
  <c r="AB5"/>
  <c r="Q5"/>
  <c r="P5"/>
  <c r="AB4"/>
  <c r="Q4"/>
  <c r="P4"/>
  <c r="V3"/>
  <c r="U3"/>
  <c r="O3"/>
  <c r="D2"/>
  <c r="H51" i="12"/>
  <c r="E51"/>
  <c r="F51" s="1"/>
  <c r="G51" s="1"/>
  <c r="H50"/>
  <c r="F50"/>
  <c r="G50" s="1"/>
  <c r="H49"/>
  <c r="F49"/>
  <c r="G49" s="1"/>
  <c r="H48"/>
  <c r="F48"/>
  <c r="G48" s="1"/>
  <c r="S45"/>
  <c r="T45" s="1"/>
  <c r="P45"/>
  <c r="Q45" s="1"/>
  <c r="M45"/>
  <c r="N45" s="1"/>
  <c r="J45"/>
  <c r="K45" s="1"/>
  <c r="V44"/>
  <c r="W44" s="1"/>
  <c r="S44"/>
  <c r="T44" s="1"/>
  <c r="P44"/>
  <c r="Q44" s="1"/>
  <c r="M44"/>
  <c r="N44" s="1"/>
  <c r="J44"/>
  <c r="K44" s="1"/>
  <c r="V43"/>
  <c r="W43" s="1"/>
  <c r="S43"/>
  <c r="T43" s="1"/>
  <c r="P43"/>
  <c r="Q43" s="1"/>
  <c r="M43"/>
  <c r="N43" s="1"/>
  <c r="J43"/>
  <c r="K43" s="1"/>
  <c r="V42"/>
  <c r="W42" s="1"/>
  <c r="S42"/>
  <c r="T42" s="1"/>
  <c r="P42"/>
  <c r="Q42" s="1"/>
  <c r="M42"/>
  <c r="N42" s="1"/>
  <c r="J42"/>
  <c r="K42" s="1"/>
  <c r="F42"/>
  <c r="G42" s="1"/>
  <c r="AB18"/>
  <c r="AB17"/>
  <c r="AB16"/>
  <c r="AB15"/>
  <c r="X15"/>
  <c r="V15"/>
  <c r="AB14"/>
  <c r="X14"/>
  <c r="V14"/>
  <c r="O14"/>
  <c r="Q14"/>
  <c r="F14" i="13"/>
  <c r="V13" i="12"/>
  <c r="O13"/>
  <c r="Q13"/>
  <c r="P13"/>
  <c r="AB12"/>
  <c r="V12"/>
  <c r="O12"/>
  <c r="Q12"/>
  <c r="P12"/>
  <c r="AB11"/>
  <c r="V11"/>
  <c r="O11"/>
  <c r="Q11"/>
  <c r="P11"/>
  <c r="AB10"/>
  <c r="V10"/>
  <c r="O10"/>
  <c r="Q10"/>
  <c r="AB9"/>
  <c r="O9"/>
  <c r="Q9"/>
  <c r="AB8"/>
  <c r="O8"/>
  <c r="AB7"/>
  <c r="O7"/>
  <c r="Q7"/>
  <c r="AB6"/>
  <c r="O6"/>
  <c r="Q6"/>
  <c r="P6"/>
  <c r="AB5"/>
  <c r="O5"/>
  <c r="Q5"/>
  <c r="P5"/>
  <c r="AB4"/>
  <c r="O4"/>
  <c r="Q4"/>
  <c r="P4"/>
  <c r="V3"/>
  <c r="U3"/>
  <c r="T3"/>
  <c r="O3"/>
  <c r="D2"/>
  <c r="F7" i="11" l="1"/>
  <c r="H7"/>
  <c r="D44" i="14"/>
  <c r="O15" i="12"/>
  <c r="C9" i="3"/>
  <c r="R12" i="12"/>
  <c r="C24" i="3" s="1"/>
  <c r="D15" i="13"/>
  <c r="D10" i="3"/>
  <c r="D43" i="13"/>
  <c r="G11"/>
  <c r="G12"/>
  <c r="G13"/>
  <c r="F7" i="14"/>
  <c r="F11"/>
  <c r="G14" i="15"/>
  <c r="G8" i="13"/>
  <c r="G3" i="14"/>
  <c r="G5"/>
  <c r="G7"/>
  <c r="F8"/>
  <c r="G9"/>
  <c r="G10"/>
  <c r="G12"/>
  <c r="F4"/>
  <c r="F4" i="15"/>
  <c r="G8"/>
  <c r="G11"/>
  <c r="G13"/>
  <c r="A8" i="11"/>
  <c r="F2" i="3"/>
  <c r="F8" i="16"/>
  <c r="B9" i="11"/>
  <c r="J48" i="14"/>
  <c r="K48" s="1"/>
  <c r="L8" i="12"/>
  <c r="C7" i="3"/>
  <c r="F13" i="13"/>
  <c r="F12"/>
  <c r="F11"/>
  <c r="F10"/>
  <c r="F9"/>
  <c r="F8"/>
  <c r="F7"/>
  <c r="F6"/>
  <c r="F5"/>
  <c r="G4" i="14"/>
  <c r="Q11"/>
  <c r="G11"/>
  <c r="F14"/>
  <c r="F12"/>
  <c r="F10"/>
  <c r="F6"/>
  <c r="F4" i="3"/>
  <c r="F5" i="15"/>
  <c r="F7"/>
  <c r="F9"/>
  <c r="P14"/>
  <c r="F14"/>
  <c r="G12"/>
  <c r="G10"/>
  <c r="G6"/>
  <c r="G4"/>
  <c r="P5" i="16"/>
  <c r="Q6"/>
  <c r="G6"/>
  <c r="G8"/>
  <c r="G11"/>
  <c r="G13"/>
  <c r="P14"/>
  <c r="D2" i="10"/>
  <c r="F4" i="16"/>
  <c r="D42" i="12"/>
  <c r="G14" i="13"/>
  <c r="G10"/>
  <c r="G9"/>
  <c r="G7"/>
  <c r="G6"/>
  <c r="G5"/>
  <c r="G6" i="14"/>
  <c r="Q8"/>
  <c r="G8"/>
  <c r="G14"/>
  <c r="G13"/>
  <c r="F9"/>
  <c r="F5"/>
  <c r="F6" i="15"/>
  <c r="F12"/>
  <c r="K43"/>
  <c r="D43"/>
  <c r="G9"/>
  <c r="G7"/>
  <c r="G5"/>
  <c r="K43" i="16"/>
  <c r="D43"/>
  <c r="F9"/>
  <c r="F7"/>
  <c r="F5"/>
  <c r="L10" i="15"/>
  <c r="F13"/>
  <c r="F11"/>
  <c r="F10"/>
  <c r="F8"/>
  <c r="E15" i="16"/>
  <c r="K8"/>
  <c r="G14"/>
  <c r="E2" i="10"/>
  <c r="G9" i="16"/>
  <c r="G7"/>
  <c r="G5"/>
  <c r="G4"/>
  <c r="G12"/>
  <c r="G10"/>
  <c r="F14"/>
  <c r="F13"/>
  <c r="F12"/>
  <c r="F11"/>
  <c r="F10"/>
  <c r="F4" i="13"/>
  <c r="G4"/>
  <c r="F3" i="14"/>
  <c r="F3" i="15"/>
  <c r="G3"/>
  <c r="G3" i="16"/>
  <c r="F3"/>
  <c r="E37"/>
  <c r="J49"/>
  <c r="K49" s="1"/>
  <c r="J51"/>
  <c r="K51" s="1"/>
  <c r="I3"/>
  <c r="J50"/>
  <c r="K50" s="1"/>
  <c r="O8"/>
  <c r="O7"/>
  <c r="O6"/>
  <c r="T6"/>
  <c r="O5"/>
  <c r="O4"/>
  <c r="R4" s="1"/>
  <c r="G16" i="3" s="1"/>
  <c r="I12" i="16"/>
  <c r="I10"/>
  <c r="I9"/>
  <c r="I8"/>
  <c r="I7"/>
  <c r="I14"/>
  <c r="I13"/>
  <c r="I11"/>
  <c r="D15"/>
  <c r="O3"/>
  <c r="Q3"/>
  <c r="I4"/>
  <c r="K6"/>
  <c r="P6"/>
  <c r="D37"/>
  <c r="P8"/>
  <c r="G3" i="3"/>
  <c r="G4"/>
  <c r="I6" i="16"/>
  <c r="G6" i="3"/>
  <c r="P7" i="16"/>
  <c r="P9"/>
  <c r="G9" i="3"/>
  <c r="P10" i="16"/>
  <c r="Q11"/>
  <c r="G11" i="3"/>
  <c r="P12" i="16"/>
  <c r="Q13"/>
  <c r="Q14"/>
  <c r="D45"/>
  <c r="J48"/>
  <c r="K48" s="1"/>
  <c r="Q8"/>
  <c r="K9"/>
  <c r="G12" i="3"/>
  <c r="G13"/>
  <c r="D42" i="16"/>
  <c r="D44"/>
  <c r="O3" i="15"/>
  <c r="P5"/>
  <c r="P10"/>
  <c r="J49"/>
  <c r="K49" s="1"/>
  <c r="J51"/>
  <c r="K51" s="1"/>
  <c r="J50"/>
  <c r="K50" s="1"/>
  <c r="L5"/>
  <c r="O7"/>
  <c r="O6"/>
  <c r="O5"/>
  <c r="O4"/>
  <c r="O8"/>
  <c r="T6"/>
  <c r="P6"/>
  <c r="D15"/>
  <c r="P3"/>
  <c r="K3"/>
  <c r="R3"/>
  <c r="P4"/>
  <c r="M5"/>
  <c r="I11"/>
  <c r="Q11"/>
  <c r="I12"/>
  <c r="I10"/>
  <c r="I9"/>
  <c r="I7"/>
  <c r="I14"/>
  <c r="E15"/>
  <c r="I3"/>
  <c r="I4"/>
  <c r="I5"/>
  <c r="I6"/>
  <c r="F6" i="3"/>
  <c r="P7" i="15"/>
  <c r="E37"/>
  <c r="I8"/>
  <c r="Q8"/>
  <c r="F8" i="3"/>
  <c r="P9" i="15"/>
  <c r="K10"/>
  <c r="P12"/>
  <c r="I13"/>
  <c r="Q13"/>
  <c r="Q14"/>
  <c r="D37"/>
  <c r="C37" s="1"/>
  <c r="D45"/>
  <c r="J48"/>
  <c r="K48" s="1"/>
  <c r="F10" i="3"/>
  <c r="F12"/>
  <c r="F13"/>
  <c r="D42" i="15"/>
  <c r="D44"/>
  <c r="O3" i="14"/>
  <c r="E12" i="3"/>
  <c r="P14" i="14"/>
  <c r="J49"/>
  <c r="K49" s="1"/>
  <c r="J50"/>
  <c r="K50" s="1"/>
  <c r="E15"/>
  <c r="Q3"/>
  <c r="R3" s="1"/>
  <c r="P11"/>
  <c r="E10" i="3"/>
  <c r="I14" i="14"/>
  <c r="J14" s="1"/>
  <c r="I13"/>
  <c r="I11"/>
  <c r="I8"/>
  <c r="I12"/>
  <c r="I9"/>
  <c r="I3"/>
  <c r="Q4"/>
  <c r="O8"/>
  <c r="T6"/>
  <c r="O6"/>
  <c r="D37"/>
  <c r="P8"/>
  <c r="E7" i="3"/>
  <c r="D15" i="14"/>
  <c r="O4"/>
  <c r="I5"/>
  <c r="Q5"/>
  <c r="R5" s="1"/>
  <c r="E17" i="3" s="1"/>
  <c r="I6" i="14"/>
  <c r="Q6"/>
  <c r="Q7"/>
  <c r="I7"/>
  <c r="O7"/>
  <c r="I10"/>
  <c r="Q10"/>
  <c r="L14"/>
  <c r="K43"/>
  <c r="D43"/>
  <c r="K45"/>
  <c r="D45"/>
  <c r="J51"/>
  <c r="K51" s="1"/>
  <c r="E2" i="3"/>
  <c r="E4"/>
  <c r="E5"/>
  <c r="P7" i="14"/>
  <c r="Q9"/>
  <c r="Q12"/>
  <c r="K14"/>
  <c r="E37"/>
  <c r="D42"/>
  <c r="E8" i="3"/>
  <c r="G3" i="13"/>
  <c r="T6"/>
  <c r="O8"/>
  <c r="O7"/>
  <c r="O6"/>
  <c r="R6" s="1"/>
  <c r="D18" i="3" s="1"/>
  <c r="O5" i="13"/>
  <c r="R5" s="1"/>
  <c r="D17" i="3" s="1"/>
  <c r="O4" i="13"/>
  <c r="R4" s="1"/>
  <c r="D16" i="3" s="1"/>
  <c r="F3" i="13"/>
  <c r="D9" i="3"/>
  <c r="Q11" i="13"/>
  <c r="Q12"/>
  <c r="Q13"/>
  <c r="D11" i="3"/>
  <c r="D12"/>
  <c r="E37" i="13"/>
  <c r="Q8"/>
  <c r="J49"/>
  <c r="K49" s="1"/>
  <c r="J51"/>
  <c r="K51" s="1"/>
  <c r="J50"/>
  <c r="K50" s="1"/>
  <c r="I14"/>
  <c r="R7"/>
  <c r="D19" i="3" s="1"/>
  <c r="I3" i="13"/>
  <c r="Q3"/>
  <c r="D3" i="3"/>
  <c r="D4"/>
  <c r="D5"/>
  <c r="D6"/>
  <c r="D7"/>
  <c r="I10" i="13"/>
  <c r="K10"/>
  <c r="P10"/>
  <c r="I11"/>
  <c r="K11"/>
  <c r="P11"/>
  <c r="I12"/>
  <c r="J12" s="1"/>
  <c r="P12"/>
  <c r="I13"/>
  <c r="P13"/>
  <c r="E15"/>
  <c r="D37"/>
  <c r="D45"/>
  <c r="J48"/>
  <c r="K48" s="1"/>
  <c r="D2" i="3"/>
  <c r="P3" i="13"/>
  <c r="I4"/>
  <c r="I5"/>
  <c r="I6"/>
  <c r="I7"/>
  <c r="I8"/>
  <c r="I9"/>
  <c r="D42"/>
  <c r="D44"/>
  <c r="C6" i="3"/>
  <c r="E37" i="12"/>
  <c r="C8" i="3"/>
  <c r="J49" i="12"/>
  <c r="K49" s="1"/>
  <c r="J51"/>
  <c r="K51" s="1"/>
  <c r="D45"/>
  <c r="J50"/>
  <c r="K50" s="1"/>
  <c r="I3"/>
  <c r="D15"/>
  <c r="P3"/>
  <c r="C2" i="3"/>
  <c r="E15" i="12"/>
  <c r="Q3"/>
  <c r="R3" s="1"/>
  <c r="R4"/>
  <c r="C16" i="3" s="1"/>
  <c r="R5" i="12"/>
  <c r="C17" i="3" s="1"/>
  <c r="R6" i="12"/>
  <c r="C18" i="3" s="1"/>
  <c r="L7" i="12"/>
  <c r="M7"/>
  <c r="D37"/>
  <c r="C37" s="1"/>
  <c r="M8"/>
  <c r="K8"/>
  <c r="P8"/>
  <c r="K10"/>
  <c r="P10"/>
  <c r="R10" s="1"/>
  <c r="C22" i="3" s="1"/>
  <c r="R11" i="12"/>
  <c r="C23" i="3" s="1"/>
  <c r="K7" i="12"/>
  <c r="P7"/>
  <c r="R7" s="1"/>
  <c r="C19" i="3" s="1"/>
  <c r="M9" i="12"/>
  <c r="P9"/>
  <c r="R9" s="1"/>
  <c r="C21" i="3" s="1"/>
  <c r="R13" i="12"/>
  <c r="C25" i="3" s="1"/>
  <c r="Q8" i="12"/>
  <c r="C13" i="3"/>
  <c r="P14" i="12"/>
  <c r="R14" s="1"/>
  <c r="C26" i="3" s="1"/>
  <c r="D43" i="12"/>
  <c r="J48"/>
  <c r="K48" s="1"/>
  <c r="D44"/>
  <c r="R8" i="13" l="1"/>
  <c r="D20" i="3" s="1"/>
  <c r="M14" i="13"/>
  <c r="K4"/>
  <c r="K13"/>
  <c r="L13"/>
  <c r="J3" i="15"/>
  <c r="K5"/>
  <c r="L3"/>
  <c r="M9" i="13"/>
  <c r="K8"/>
  <c r="M7"/>
  <c r="K6"/>
  <c r="M5"/>
  <c r="M4"/>
  <c r="J13"/>
  <c r="M11"/>
  <c r="J11"/>
  <c r="Q15"/>
  <c r="L11"/>
  <c r="K12" i="16"/>
  <c r="R5"/>
  <c r="G17" i="3" s="1"/>
  <c r="L3" i="12"/>
  <c r="L10"/>
  <c r="K9"/>
  <c r="M10"/>
  <c r="L9"/>
  <c r="P15" i="13"/>
  <c r="C37"/>
  <c r="M13"/>
  <c r="M12"/>
  <c r="K13" i="14"/>
  <c r="P15"/>
  <c r="M10" i="15"/>
  <c r="J10"/>
  <c r="J8" i="16"/>
  <c r="A9" i="11"/>
  <c r="N6" i="13"/>
  <c r="N5" i="16"/>
  <c r="N6" i="14"/>
  <c r="N9" i="15"/>
  <c r="B10" i="11"/>
  <c r="M13" i="12"/>
  <c r="C11" i="3"/>
  <c r="M14" i="12"/>
  <c r="C12" i="3"/>
  <c r="L5" i="12"/>
  <c r="C4" i="3"/>
  <c r="J14" i="13"/>
  <c r="D13" i="3"/>
  <c r="M10" i="13"/>
  <c r="D8" i="3"/>
  <c r="E9"/>
  <c r="N10" i="14"/>
  <c r="Q15" i="15"/>
  <c r="K6"/>
  <c r="F5" i="3"/>
  <c r="N6" i="15"/>
  <c r="M4"/>
  <c r="F3" i="3"/>
  <c r="M9" i="16"/>
  <c r="G8" i="3"/>
  <c r="N13" i="15"/>
  <c r="N4" i="16"/>
  <c r="N14" i="15"/>
  <c r="N5" i="14"/>
  <c r="N9"/>
  <c r="N13"/>
  <c r="N14" i="13"/>
  <c r="N4" i="15"/>
  <c r="N7"/>
  <c r="N5"/>
  <c r="N14" i="14"/>
  <c r="N5" i="13"/>
  <c r="N9"/>
  <c r="N13"/>
  <c r="N12"/>
  <c r="L13" i="12"/>
  <c r="L11"/>
  <c r="C10" i="3"/>
  <c r="L6" i="12"/>
  <c r="C5" i="3"/>
  <c r="K14" i="13"/>
  <c r="K9"/>
  <c r="M8"/>
  <c r="K7"/>
  <c r="M6"/>
  <c r="K5"/>
  <c r="K12"/>
  <c r="J10"/>
  <c r="L12"/>
  <c r="L10"/>
  <c r="E11" i="3"/>
  <c r="N12" i="14"/>
  <c r="M14"/>
  <c r="M8"/>
  <c r="E6" i="3"/>
  <c r="E3"/>
  <c r="N4" i="14"/>
  <c r="L13"/>
  <c r="J13"/>
  <c r="F7" i="3"/>
  <c r="N8" i="15"/>
  <c r="K12"/>
  <c r="F11" i="3"/>
  <c r="N12" i="15"/>
  <c r="R5"/>
  <c r="F17" i="3" s="1"/>
  <c r="L6" i="16"/>
  <c r="G5" i="3"/>
  <c r="N6" i="16"/>
  <c r="E38"/>
  <c r="E39" s="1"/>
  <c r="N14"/>
  <c r="L8"/>
  <c r="G7" i="3"/>
  <c r="N8" i="16"/>
  <c r="N11" i="15"/>
  <c r="F9" i="3"/>
  <c r="N10" i="15"/>
  <c r="N7" i="14"/>
  <c r="N11"/>
  <c r="N8" i="13"/>
  <c r="H2" i="10"/>
  <c r="N9" i="16"/>
  <c r="N7"/>
  <c r="N8" i="14"/>
  <c r="N7" i="13"/>
  <c r="N11"/>
  <c r="N10"/>
  <c r="K10" i="16"/>
  <c r="C37"/>
  <c r="M12"/>
  <c r="G10" i="3"/>
  <c r="N13" i="16"/>
  <c r="N12"/>
  <c r="N11"/>
  <c r="N10"/>
  <c r="S3" i="12"/>
  <c r="S4" s="1"/>
  <c r="C15" i="3"/>
  <c r="L4" i="12"/>
  <c r="N4" i="13"/>
  <c r="C3" i="3"/>
  <c r="S3" i="14"/>
  <c r="E15" i="3"/>
  <c r="N3" i="15"/>
  <c r="N3" i="14"/>
  <c r="S3" i="15"/>
  <c r="F15" i="3"/>
  <c r="L3" i="16"/>
  <c r="G2" i="3"/>
  <c r="N3" i="16"/>
  <c r="J14"/>
  <c r="J5" i="15"/>
  <c r="P15" i="16"/>
  <c r="J13"/>
  <c r="K13"/>
  <c r="M14"/>
  <c r="M7"/>
  <c r="L4"/>
  <c r="J4"/>
  <c r="L13"/>
  <c r="J6"/>
  <c r="M5"/>
  <c r="I5"/>
  <c r="M4"/>
  <c r="Q15"/>
  <c r="O12"/>
  <c r="R12" s="1"/>
  <c r="G24" i="3" s="1"/>
  <c r="O10" i="16"/>
  <c r="R10" s="1"/>
  <c r="G22" i="3" s="1"/>
  <c r="O9" i="16"/>
  <c r="R9" s="1"/>
  <c r="G21" i="3" s="1"/>
  <c r="O14" i="16"/>
  <c r="R14" s="1"/>
  <c r="G26" i="3" s="1"/>
  <c r="O13" i="16"/>
  <c r="R13" s="1"/>
  <c r="G25" i="3" s="1"/>
  <c r="O11" i="16"/>
  <c r="R11" s="1"/>
  <c r="G23" i="3" s="1"/>
  <c r="T3" i="16"/>
  <c r="R7"/>
  <c r="G19" i="3" s="1"/>
  <c r="J11" i="16"/>
  <c r="K11"/>
  <c r="K14"/>
  <c r="M13"/>
  <c r="L12"/>
  <c r="J12"/>
  <c r="M11"/>
  <c r="L10"/>
  <c r="J10"/>
  <c r="L9"/>
  <c r="J9"/>
  <c r="L14"/>
  <c r="M10"/>
  <c r="L7"/>
  <c r="J7"/>
  <c r="K7"/>
  <c r="L5"/>
  <c r="J5"/>
  <c r="L11"/>
  <c r="M8"/>
  <c r="K5"/>
  <c r="K4"/>
  <c r="O15"/>
  <c r="R15" s="1"/>
  <c r="R3"/>
  <c r="H15"/>
  <c r="L15" s="1"/>
  <c r="K3"/>
  <c r="J3"/>
  <c r="D38"/>
  <c r="C15"/>
  <c r="M6"/>
  <c r="R6"/>
  <c r="G18" i="3" s="1"/>
  <c r="R8" i="16"/>
  <c r="G20" i="3" s="1"/>
  <c r="R6" i="15"/>
  <c r="F18" i="3" s="1"/>
  <c r="J13" i="15"/>
  <c r="K13"/>
  <c r="J11"/>
  <c r="K11"/>
  <c r="M14"/>
  <c r="L9"/>
  <c r="J9"/>
  <c r="M8"/>
  <c r="L7"/>
  <c r="J7"/>
  <c r="M9"/>
  <c r="M7"/>
  <c r="P15"/>
  <c r="O12"/>
  <c r="R12" s="1"/>
  <c r="F24" i="3" s="1"/>
  <c r="O10" i="15"/>
  <c r="R10" s="1"/>
  <c r="F22" i="3" s="1"/>
  <c r="O9" i="15"/>
  <c r="R9" s="1"/>
  <c r="F21" i="3" s="1"/>
  <c r="O14" i="15"/>
  <c r="R14" s="1"/>
  <c r="F26" i="3" s="1"/>
  <c r="O11" i="15"/>
  <c r="R11" s="1"/>
  <c r="F23" i="3" s="1"/>
  <c r="T3" i="15"/>
  <c r="O13"/>
  <c r="R13" s="1"/>
  <c r="F25" i="3" s="1"/>
  <c r="R4" i="15"/>
  <c r="J14"/>
  <c r="J8"/>
  <c r="K8"/>
  <c r="K14"/>
  <c r="L13"/>
  <c r="M13"/>
  <c r="L12"/>
  <c r="J12"/>
  <c r="L8"/>
  <c r="E38"/>
  <c r="E39" s="1"/>
  <c r="L14"/>
  <c r="M12"/>
  <c r="M11"/>
  <c r="L11"/>
  <c r="K9"/>
  <c r="K7"/>
  <c r="L6"/>
  <c r="J6"/>
  <c r="L4"/>
  <c r="J4"/>
  <c r="D38"/>
  <c r="C15"/>
  <c r="F15" s="1"/>
  <c r="M6"/>
  <c r="R8"/>
  <c r="F20" i="3" s="1"/>
  <c r="R7" i="15"/>
  <c r="F19" i="3" s="1"/>
  <c r="K4" i="15"/>
  <c r="H15"/>
  <c r="L15" s="1"/>
  <c r="J12" i="14"/>
  <c r="K12"/>
  <c r="J10"/>
  <c r="K10"/>
  <c r="M7"/>
  <c r="J6"/>
  <c r="K6"/>
  <c r="J4"/>
  <c r="M5"/>
  <c r="K4"/>
  <c r="J3"/>
  <c r="H15"/>
  <c r="K15" s="1"/>
  <c r="K3"/>
  <c r="M4"/>
  <c r="R7"/>
  <c r="E19" i="3" s="1"/>
  <c r="L6" i="14"/>
  <c r="R4"/>
  <c r="C15"/>
  <c r="D38"/>
  <c r="R6"/>
  <c r="E18" i="3" s="1"/>
  <c r="R8" i="14"/>
  <c r="E20" i="3" s="1"/>
  <c r="L4" i="14"/>
  <c r="M12"/>
  <c r="L11"/>
  <c r="J11"/>
  <c r="K11"/>
  <c r="L3"/>
  <c r="E38"/>
  <c r="E39" s="1"/>
  <c r="J9"/>
  <c r="K9"/>
  <c r="M10"/>
  <c r="M13"/>
  <c r="L12"/>
  <c r="L9"/>
  <c r="J7"/>
  <c r="K7"/>
  <c r="J5"/>
  <c r="M6"/>
  <c r="K5"/>
  <c r="L7"/>
  <c r="L5"/>
  <c r="M9"/>
  <c r="L8"/>
  <c r="J8"/>
  <c r="K8"/>
  <c r="C37"/>
  <c r="O14"/>
  <c r="R14" s="1"/>
  <c r="E26" i="3" s="1"/>
  <c r="O13" i="14"/>
  <c r="R13" s="1"/>
  <c r="E25" i="3" s="1"/>
  <c r="O11" i="14"/>
  <c r="R11" s="1"/>
  <c r="E23" i="3" s="1"/>
  <c r="O10" i="14"/>
  <c r="R10" s="1"/>
  <c r="E22" i="3" s="1"/>
  <c r="O12" i="14"/>
  <c r="R12" s="1"/>
  <c r="E24" i="3" s="1"/>
  <c r="O9" i="14"/>
  <c r="R9" s="1"/>
  <c r="E21" i="3" s="1"/>
  <c r="T3" i="14"/>
  <c r="M11"/>
  <c r="L10"/>
  <c r="Q15"/>
  <c r="K3" i="12"/>
  <c r="M4"/>
  <c r="N3" i="13"/>
  <c r="O14"/>
  <c r="R14" s="1"/>
  <c r="D26" i="3" s="1"/>
  <c r="O13" i="13"/>
  <c r="R13" s="1"/>
  <c r="D25" i="3" s="1"/>
  <c r="O11" i="13"/>
  <c r="O9"/>
  <c r="R9" s="1"/>
  <c r="D21" i="3" s="1"/>
  <c r="O12" i="13"/>
  <c r="R12" s="1"/>
  <c r="D24" i="3" s="1"/>
  <c r="O10" i="13"/>
  <c r="R10" s="1"/>
  <c r="D22" i="3" s="1"/>
  <c r="T3" i="13"/>
  <c r="R3"/>
  <c r="H15"/>
  <c r="K15" s="1"/>
  <c r="J3"/>
  <c r="K3"/>
  <c r="E38"/>
  <c r="E39" s="1"/>
  <c r="L15"/>
  <c r="L8"/>
  <c r="J8"/>
  <c r="L6"/>
  <c r="J6"/>
  <c r="L4"/>
  <c r="J4"/>
  <c r="C15"/>
  <c r="D38"/>
  <c r="L3"/>
  <c r="L14"/>
  <c r="L9"/>
  <c r="J9"/>
  <c r="L7"/>
  <c r="J7"/>
  <c r="L5"/>
  <c r="J5"/>
  <c r="S5" i="12"/>
  <c r="S6" s="1"/>
  <c r="L12"/>
  <c r="K14"/>
  <c r="K13"/>
  <c r="M12"/>
  <c r="K6"/>
  <c r="M6"/>
  <c r="K5"/>
  <c r="M5"/>
  <c r="K4"/>
  <c r="S7"/>
  <c r="E38"/>
  <c r="E39" s="1"/>
  <c r="P15"/>
  <c r="L14"/>
  <c r="K12"/>
  <c r="K11"/>
  <c r="M11"/>
  <c r="R8"/>
  <c r="C20" i="3" s="1"/>
  <c r="Q15" i="12"/>
  <c r="H15"/>
  <c r="L15" s="1"/>
  <c r="J3"/>
  <c r="D38"/>
  <c r="C15"/>
  <c r="I4"/>
  <c r="J4" s="1"/>
  <c r="H51" i="10"/>
  <c r="H50"/>
  <c r="H49"/>
  <c r="J48"/>
  <c r="R15" i="12" l="1"/>
  <c r="B15" i="15"/>
  <c r="N15" s="1"/>
  <c r="F15" i="14"/>
  <c r="B15" i="10"/>
  <c r="F15" i="16"/>
  <c r="B15" i="13"/>
  <c r="N15" s="1"/>
  <c r="F15" i="12"/>
  <c r="B15" i="14"/>
  <c r="N15" s="1"/>
  <c r="F15" i="13"/>
  <c r="A10" i="11"/>
  <c r="L15" i="14"/>
  <c r="B15" i="16"/>
  <c r="N15" s="1"/>
  <c r="O15" i="15"/>
  <c r="R15" s="1"/>
  <c r="B11" i="11"/>
  <c r="S3" i="13"/>
  <c r="S4" s="1"/>
  <c r="S5" s="1"/>
  <c r="S6" s="1"/>
  <c r="S7" s="1"/>
  <c r="S8" s="1"/>
  <c r="S9" s="1"/>
  <c r="S10" s="1"/>
  <c r="D15" i="3"/>
  <c r="O15" i="13"/>
  <c r="G14" i="3"/>
  <c r="K15" i="12"/>
  <c r="S4" i="14"/>
  <c r="S5" s="1"/>
  <c r="S6" s="1"/>
  <c r="S7" s="1"/>
  <c r="S8" s="1"/>
  <c r="S9" s="1"/>
  <c r="S10" s="1"/>
  <c r="S11" s="1"/>
  <c r="S12" s="1"/>
  <c r="S13" s="1"/>
  <c r="S14" s="1"/>
  <c r="E16" i="3"/>
  <c r="S4" i="15"/>
  <c r="S5" s="1"/>
  <c r="S6" s="1"/>
  <c r="S7" s="1"/>
  <c r="S8" s="1"/>
  <c r="S9" s="1"/>
  <c r="S10" s="1"/>
  <c r="S11" s="1"/>
  <c r="S12" s="1"/>
  <c r="S13" s="1"/>
  <c r="S14" s="1"/>
  <c r="F16" i="3"/>
  <c r="S3" i="16"/>
  <c r="S4" s="1"/>
  <c r="S5" s="1"/>
  <c r="S6" s="1"/>
  <c r="S7" s="1"/>
  <c r="S8" s="1"/>
  <c r="S9" s="1"/>
  <c r="S10" s="1"/>
  <c r="S11" s="1"/>
  <c r="S12" s="1"/>
  <c r="S13" s="1"/>
  <c r="S14" s="1"/>
  <c r="G15" i="3"/>
  <c r="J15" i="15"/>
  <c r="J15" i="16"/>
  <c r="K15"/>
  <c r="D39"/>
  <c r="C39" s="1"/>
  <c r="C38"/>
  <c r="F14" i="3"/>
  <c r="K15" i="15"/>
  <c r="D39"/>
  <c r="C39" s="1"/>
  <c r="C38"/>
  <c r="C38" i="14"/>
  <c r="D39"/>
  <c r="C39" s="1"/>
  <c r="O15"/>
  <c r="J15"/>
  <c r="R11" i="13"/>
  <c r="D23" i="3" s="1"/>
  <c r="D39" i="13"/>
  <c r="C39" s="1"/>
  <c r="C38"/>
  <c r="J15"/>
  <c r="I5" i="12"/>
  <c r="J5" s="1"/>
  <c r="I6"/>
  <c r="J6" s="1"/>
  <c r="S8"/>
  <c r="S9" s="1"/>
  <c r="S10" s="1"/>
  <c r="S11" s="1"/>
  <c r="S12" s="1"/>
  <c r="S13" s="1"/>
  <c r="S14" s="1"/>
  <c r="D39"/>
  <c r="C39" s="1"/>
  <c r="C38"/>
  <c r="C14" i="3"/>
  <c r="J50" i="10"/>
  <c r="K50" s="1"/>
  <c r="J49"/>
  <c r="K49" s="1"/>
  <c r="J51"/>
  <c r="K51" s="1"/>
  <c r="R15" i="14" l="1"/>
  <c r="E14" i="3" s="1"/>
  <c r="R15" i="13"/>
  <c r="D14" i="3" s="1"/>
  <c r="A11" i="11"/>
  <c r="S11" i="13"/>
  <c r="S12" s="1"/>
  <c r="S13" s="1"/>
  <c r="S14" s="1"/>
  <c r="B12" i="11"/>
  <c r="B39" i="15"/>
  <c r="E29" i="3"/>
  <c r="B39" i="16"/>
  <c r="F29" i="3"/>
  <c r="D29"/>
  <c r="B39" i="14"/>
  <c r="T31" i="16"/>
  <c r="B39" i="10"/>
  <c r="G29" i="3"/>
  <c r="C29"/>
  <c r="B39" i="13"/>
  <c r="I7" i="12"/>
  <c r="J7" s="1"/>
  <c r="R4" i="11"/>
  <c r="R5"/>
  <c r="R6"/>
  <c r="R7"/>
  <c r="R8"/>
  <c r="D2"/>
  <c r="G3" s="1"/>
  <c r="H3" s="1"/>
  <c r="C2"/>
  <c r="E3" s="1"/>
  <c r="F3" s="1"/>
  <c r="V45"/>
  <c r="W45" s="1"/>
  <c r="S45"/>
  <c r="T45" s="1"/>
  <c r="P45"/>
  <c r="Q45" s="1"/>
  <c r="M45"/>
  <c r="Y44"/>
  <c r="V44"/>
  <c r="W44" s="1"/>
  <c r="S44"/>
  <c r="T44" s="1"/>
  <c r="P44"/>
  <c r="Q44" s="1"/>
  <c r="M44"/>
  <c r="N44" s="1"/>
  <c r="Y43"/>
  <c r="V43"/>
  <c r="W43" s="1"/>
  <c r="S43"/>
  <c r="T43" s="1"/>
  <c r="P43"/>
  <c r="Q43" s="1"/>
  <c r="M43"/>
  <c r="N43" s="1"/>
  <c r="Y42"/>
  <c r="V42"/>
  <c r="W42" s="1"/>
  <c r="S42"/>
  <c r="T42" s="1"/>
  <c r="P42"/>
  <c r="Q42" s="1"/>
  <c r="M42"/>
  <c r="N42" s="1"/>
  <c r="I42"/>
  <c r="AB14"/>
  <c r="AC15" s="1"/>
  <c r="Z14"/>
  <c r="F2" i="19"/>
  <c r="E2"/>
  <c r="Z13" i="11"/>
  <c r="T13"/>
  <c r="Z12"/>
  <c r="T12"/>
  <c r="Z11"/>
  <c r="T11"/>
  <c r="Z10"/>
  <c r="T10"/>
  <c r="S10"/>
  <c r="T9"/>
  <c r="S9"/>
  <c r="S7"/>
  <c r="T4"/>
  <c r="R3"/>
  <c r="R15" s="1"/>
  <c r="T2"/>
  <c r="S2"/>
  <c r="I2" i="19" l="1"/>
  <c r="A12" i="11"/>
  <c r="U31"/>
  <c r="S14"/>
  <c r="K14"/>
  <c r="I13" i="3" s="1"/>
  <c r="N45" i="11"/>
  <c r="E45"/>
  <c r="S13"/>
  <c r="U13" s="1"/>
  <c r="I25" i="3" s="1"/>
  <c r="K13" i="11"/>
  <c r="I12" i="3" s="1"/>
  <c r="K12" i="11"/>
  <c r="I11" i="3" s="1"/>
  <c r="S11" i="11"/>
  <c r="U11" s="1"/>
  <c r="I23" i="3" s="1"/>
  <c r="K11" i="11"/>
  <c r="I10" i="3" s="1"/>
  <c r="Z42" i="11"/>
  <c r="E42"/>
  <c r="Z44"/>
  <c r="E44"/>
  <c r="Z43"/>
  <c r="E43"/>
  <c r="F2" i="18"/>
  <c r="T14" i="11"/>
  <c r="S12"/>
  <c r="U12" s="1"/>
  <c r="I24" i="3" s="1"/>
  <c r="G37" i="11"/>
  <c r="Q14"/>
  <c r="E2" i="18"/>
  <c r="B13" i="11"/>
  <c r="A13" s="1"/>
  <c r="U26"/>
  <c r="U27"/>
  <c r="U25"/>
  <c r="K8"/>
  <c r="I7" i="3" s="1"/>
  <c r="E37" i="11"/>
  <c r="T28" s="1"/>
  <c r="U28" s="1"/>
  <c r="K10"/>
  <c r="I9" i="3" s="1"/>
  <c r="I8" i="12"/>
  <c r="J8" s="1"/>
  <c r="S8" i="11"/>
  <c r="S6"/>
  <c r="S4"/>
  <c r="U9"/>
  <c r="I21" i="3" s="1"/>
  <c r="T7" i="11"/>
  <c r="U7" s="1"/>
  <c r="T5"/>
  <c r="Q13"/>
  <c r="K5"/>
  <c r="M5" s="1"/>
  <c r="P13"/>
  <c r="S5"/>
  <c r="T8"/>
  <c r="T6"/>
  <c r="G15"/>
  <c r="T3"/>
  <c r="E15"/>
  <c r="K3"/>
  <c r="S3"/>
  <c r="K4"/>
  <c r="K6"/>
  <c r="M6" s="1"/>
  <c r="K7"/>
  <c r="K9"/>
  <c r="I8" i="3" s="1"/>
  <c r="U10" i="11"/>
  <c r="I22" i="3" s="1"/>
  <c r="J42" i="11"/>
  <c r="G5" i="18"/>
  <c r="G4"/>
  <c r="H8"/>
  <c r="G8"/>
  <c r="G7"/>
  <c r="G6"/>
  <c r="O14" i="10"/>
  <c r="O13"/>
  <c r="O12"/>
  <c r="O11"/>
  <c r="O10"/>
  <c r="O9"/>
  <c r="O8"/>
  <c r="O7"/>
  <c r="O6"/>
  <c r="O5"/>
  <c r="O4"/>
  <c r="H3" i="18"/>
  <c r="G3"/>
  <c r="O3" i="10"/>
  <c r="U14" i="11" l="1"/>
  <c r="I26" i="3" s="1"/>
  <c r="P14" i="11"/>
  <c r="I2" i="18"/>
  <c r="D15" i="11"/>
  <c r="P12"/>
  <c r="Q12"/>
  <c r="G38"/>
  <c r="G39" s="1"/>
  <c r="O12"/>
  <c r="P11"/>
  <c r="N8"/>
  <c r="G4" i="10"/>
  <c r="H4" i="18"/>
  <c r="G5" i="10"/>
  <c r="H5" i="18"/>
  <c r="G6" i="10"/>
  <c r="H6" i="18"/>
  <c r="G7" i="10"/>
  <c r="H7" i="18"/>
  <c r="U6" i="11"/>
  <c r="I18" i="3" s="1"/>
  <c r="I19"/>
  <c r="N5" i="11"/>
  <c r="I6" i="3"/>
  <c r="M7" i="11"/>
  <c r="U8"/>
  <c r="I20" i="3" s="1"/>
  <c r="B14" i="11"/>
  <c r="A14" s="1"/>
  <c r="U5"/>
  <c r="M4"/>
  <c r="M3"/>
  <c r="N12"/>
  <c r="N10"/>
  <c r="O10"/>
  <c r="O8"/>
  <c r="I6"/>
  <c r="F6" i="10"/>
  <c r="F7"/>
  <c r="I8" i="11"/>
  <c r="F8" i="10"/>
  <c r="G8"/>
  <c r="F5"/>
  <c r="I15" i="11"/>
  <c r="E38"/>
  <c r="F4" i="10"/>
  <c r="J3" i="11"/>
  <c r="G3" i="10"/>
  <c r="F3"/>
  <c r="I9" i="12"/>
  <c r="J9" s="1"/>
  <c r="H2" i="3"/>
  <c r="H4"/>
  <c r="P6" i="11"/>
  <c r="I5" i="3"/>
  <c r="P5" i="11"/>
  <c r="I3" i="3"/>
  <c r="O3" i="11"/>
  <c r="I2" i="3"/>
  <c r="O5" i="11"/>
  <c r="I4" i="3"/>
  <c r="I3" i="11"/>
  <c r="J6"/>
  <c r="J5"/>
  <c r="H5" i="3"/>
  <c r="H6"/>
  <c r="Q4" i="11"/>
  <c r="I4"/>
  <c r="I5"/>
  <c r="I7"/>
  <c r="J4"/>
  <c r="J8"/>
  <c r="J7"/>
  <c r="N13"/>
  <c r="N11"/>
  <c r="O11"/>
  <c r="O9"/>
  <c r="O7"/>
  <c r="N14"/>
  <c r="O13"/>
  <c r="P10"/>
  <c r="P8"/>
  <c r="O14"/>
  <c r="N9"/>
  <c r="N7"/>
  <c r="S15"/>
  <c r="U3"/>
  <c r="K15"/>
  <c r="U4"/>
  <c r="P4"/>
  <c r="N3"/>
  <c r="T15"/>
  <c r="P9"/>
  <c r="O6"/>
  <c r="N6"/>
  <c r="P7"/>
  <c r="O4"/>
  <c r="N4"/>
  <c r="D37"/>
  <c r="C15" i="18" l="1"/>
  <c r="O15" s="1"/>
  <c r="C15" i="19"/>
  <c r="O15" s="1"/>
  <c r="U15" i="11"/>
  <c r="Q6"/>
  <c r="Q7"/>
  <c r="H7" i="3"/>
  <c r="Q8" i="11"/>
  <c r="Q5"/>
  <c r="I16" i="3"/>
  <c r="I17"/>
  <c r="Q3" i="11"/>
  <c r="M3" i="10"/>
  <c r="M4"/>
  <c r="N5"/>
  <c r="N8"/>
  <c r="N6"/>
  <c r="V27" i="11"/>
  <c r="V26"/>
  <c r="V25"/>
  <c r="V28"/>
  <c r="N7" i="10"/>
  <c r="H3" i="3"/>
  <c r="M5" i="10"/>
  <c r="N15" i="11"/>
  <c r="N4" i="10"/>
  <c r="N3"/>
  <c r="A10" i="12"/>
  <c r="I10" s="1"/>
  <c r="J10" s="1"/>
  <c r="V3" i="11"/>
  <c r="I15" i="3"/>
  <c r="O15" i="11"/>
  <c r="I14" i="3"/>
  <c r="V4" i="11"/>
  <c r="D38"/>
  <c r="T30" s="1"/>
  <c r="V30" s="1"/>
  <c r="E39"/>
  <c r="D39" s="1"/>
  <c r="C39" i="19" s="1"/>
  <c r="Q2" i="10"/>
  <c r="V5" i="11" l="1"/>
  <c r="V6" s="1"/>
  <c r="U30"/>
  <c r="Y30" s="1"/>
  <c r="C39" i="18"/>
  <c r="U29" i="11"/>
  <c r="U32" s="1"/>
  <c r="T29"/>
  <c r="V29" s="1"/>
  <c r="I29" i="3"/>
  <c r="A11" i="12"/>
  <c r="I11" s="1"/>
  <c r="J11" s="1"/>
  <c r="U3" i="10"/>
  <c r="V3"/>
  <c r="W3"/>
  <c r="V7" i="11" l="1"/>
  <c r="V8" s="1"/>
  <c r="Y32"/>
  <c r="W16" s="1"/>
  <c r="A12" i="12"/>
  <c r="I12" s="1"/>
  <c r="J12" s="1"/>
  <c r="L8" i="11"/>
  <c r="O15" i="10"/>
  <c r="K48"/>
  <c r="F50"/>
  <c r="G50" s="1"/>
  <c r="F49"/>
  <c r="G49" s="1"/>
  <c r="F48"/>
  <c r="G48" s="1"/>
  <c r="S45"/>
  <c r="U45" s="1"/>
  <c r="P45"/>
  <c r="Q45" s="1"/>
  <c r="M45"/>
  <c r="N45" s="1"/>
  <c r="J45"/>
  <c r="K45" s="1"/>
  <c r="W44"/>
  <c r="X44" s="1"/>
  <c r="S44"/>
  <c r="U44" s="1"/>
  <c r="P44"/>
  <c r="Q44" s="1"/>
  <c r="M44"/>
  <c r="N44" s="1"/>
  <c r="J44"/>
  <c r="K44" s="1"/>
  <c r="W43"/>
  <c r="X43" s="1"/>
  <c r="S43"/>
  <c r="U43" s="1"/>
  <c r="P43"/>
  <c r="Q43" s="1"/>
  <c r="M43"/>
  <c r="N43" s="1"/>
  <c r="J43"/>
  <c r="K43" s="1"/>
  <c r="W42"/>
  <c r="X42" s="1"/>
  <c r="S42"/>
  <c r="U42" s="1"/>
  <c r="P42"/>
  <c r="Q42" s="1"/>
  <c r="M42"/>
  <c r="N42" s="1"/>
  <c r="J42"/>
  <c r="K42" s="1"/>
  <c r="F42"/>
  <c r="H14" i="18"/>
  <c r="Y15" i="10"/>
  <c r="G13" i="18"/>
  <c r="Y14" i="10"/>
  <c r="W14"/>
  <c r="G12" i="18"/>
  <c r="W13" i="10"/>
  <c r="G11" i="18"/>
  <c r="W12" i="10"/>
  <c r="G10" i="18"/>
  <c r="W11" i="10"/>
  <c r="H9" i="18"/>
  <c r="G9"/>
  <c r="W10" i="10"/>
  <c r="Q8"/>
  <c r="Q7"/>
  <c r="Q6"/>
  <c r="F2"/>
  <c r="I5" s="1"/>
  <c r="J5" s="1"/>
  <c r="F8" i="11" l="1"/>
  <c r="H8"/>
  <c r="V31" i="10"/>
  <c r="G10"/>
  <c r="H10" i="18"/>
  <c r="G12" i="10"/>
  <c r="H12" i="18"/>
  <c r="G13" i="10"/>
  <c r="H13" i="18"/>
  <c r="E2" i="11"/>
  <c r="G14" i="18"/>
  <c r="G11" i="10"/>
  <c r="H11" i="18"/>
  <c r="M8" i="11"/>
  <c r="V9"/>
  <c r="V10" s="1"/>
  <c r="G14" i="10"/>
  <c r="G2" i="11"/>
  <c r="G9" i="10"/>
  <c r="E37"/>
  <c r="F9"/>
  <c r="D37"/>
  <c r="U28" s="1"/>
  <c r="V28" s="1"/>
  <c r="F10"/>
  <c r="F11"/>
  <c r="F12"/>
  <c r="F14"/>
  <c r="F13"/>
  <c r="A13" i="12"/>
  <c r="I13" s="1"/>
  <c r="J13" s="1"/>
  <c r="Q9" i="10"/>
  <c r="J9" i="11"/>
  <c r="H13" i="3"/>
  <c r="I14" i="11"/>
  <c r="I9"/>
  <c r="Q14" i="10"/>
  <c r="J14" i="11"/>
  <c r="Q13" i="10"/>
  <c r="J13" i="11"/>
  <c r="I13"/>
  <c r="H12" i="3"/>
  <c r="Q12" i="10"/>
  <c r="J12" i="11"/>
  <c r="I12"/>
  <c r="H11" i="3"/>
  <c r="Q11" i="10"/>
  <c r="J11" i="11"/>
  <c r="Q10" i="10"/>
  <c r="J10" i="11"/>
  <c r="I10"/>
  <c r="I11"/>
  <c r="L9"/>
  <c r="D43" i="10"/>
  <c r="P13"/>
  <c r="R13" s="1"/>
  <c r="H25" i="3" s="1"/>
  <c r="P14" i="10"/>
  <c r="P12"/>
  <c r="R12" s="1"/>
  <c r="H24" i="3" s="1"/>
  <c r="P7" i="10"/>
  <c r="R7" s="1"/>
  <c r="H19" i="3" s="1"/>
  <c r="Q3" i="10"/>
  <c r="P6"/>
  <c r="R6" s="1"/>
  <c r="H18" i="3" s="1"/>
  <c r="P8" i="10"/>
  <c r="P9"/>
  <c r="P10"/>
  <c r="P11"/>
  <c r="P3"/>
  <c r="I4"/>
  <c r="J4" s="1"/>
  <c r="I3"/>
  <c r="R9"/>
  <c r="H21" i="3" s="1"/>
  <c r="R8" i="10"/>
  <c r="H20" i="3" s="1"/>
  <c r="D42" i="10"/>
  <c r="G42"/>
  <c r="D44"/>
  <c r="F9" i="11" l="1"/>
  <c r="H9"/>
  <c r="R11" i="10"/>
  <c r="H23" i="3" s="1"/>
  <c r="H10"/>
  <c r="Q11" i="11"/>
  <c r="K2"/>
  <c r="P3" s="1"/>
  <c r="H9" i="3"/>
  <c r="Q10" i="11"/>
  <c r="H8" i="3"/>
  <c r="Q9" i="11"/>
  <c r="M9"/>
  <c r="V11"/>
  <c r="V12" s="1"/>
  <c r="R14" i="10"/>
  <c r="H26" i="3" s="1"/>
  <c r="N12" i="10"/>
  <c r="N11"/>
  <c r="N10"/>
  <c r="M14"/>
  <c r="N14"/>
  <c r="N9"/>
  <c r="R10"/>
  <c r="H22" i="3" s="1"/>
  <c r="M13" i="10"/>
  <c r="N13"/>
  <c r="A14" i="12"/>
  <c r="I14" s="1"/>
  <c r="J14" s="1"/>
  <c r="J15" s="1"/>
  <c r="M12" i="10"/>
  <c r="M11"/>
  <c r="H15"/>
  <c r="X20" s="1"/>
  <c r="L10" i="11"/>
  <c r="M9" i="10"/>
  <c r="K13"/>
  <c r="K12"/>
  <c r="M8"/>
  <c r="M7"/>
  <c r="K10"/>
  <c r="K8"/>
  <c r="P4"/>
  <c r="Q4"/>
  <c r="L9"/>
  <c r="I28" i="3"/>
  <c r="I27"/>
  <c r="K7" i="10"/>
  <c r="J3"/>
  <c r="L3"/>
  <c r="K3"/>
  <c r="I12"/>
  <c r="J12" s="1"/>
  <c r="I6"/>
  <c r="J6" s="1"/>
  <c r="I11"/>
  <c r="J11" s="1"/>
  <c r="I8"/>
  <c r="J8" s="1"/>
  <c r="D45"/>
  <c r="K14"/>
  <c r="K9"/>
  <c r="L13"/>
  <c r="L12"/>
  <c r="L10"/>
  <c r="L8"/>
  <c r="L7"/>
  <c r="L14"/>
  <c r="M10"/>
  <c r="L6"/>
  <c r="K6"/>
  <c r="I9"/>
  <c r="J9" s="1"/>
  <c r="I14"/>
  <c r="J14" s="1"/>
  <c r="I7"/>
  <c r="J7" s="1"/>
  <c r="I10"/>
  <c r="J10" s="1"/>
  <c r="I13"/>
  <c r="J13" s="1"/>
  <c r="K11"/>
  <c r="L11"/>
  <c r="F10" i="11" l="1"/>
  <c r="H10"/>
  <c r="H28" i="3"/>
  <c r="M10" i="11"/>
  <c r="V13"/>
  <c r="V14" s="1"/>
  <c r="W28" i="10"/>
  <c r="W27"/>
  <c r="W26"/>
  <c r="W25"/>
  <c r="C15" i="11"/>
  <c r="Q15" s="1"/>
  <c r="L11"/>
  <c r="K4" i="10"/>
  <c r="Q5"/>
  <c r="Q15" s="1"/>
  <c r="E15"/>
  <c r="L4"/>
  <c r="P5"/>
  <c r="M6"/>
  <c r="D15"/>
  <c r="R4"/>
  <c r="H16" i="3" s="1"/>
  <c r="R3" i="10"/>
  <c r="H15" i="3" s="1"/>
  <c r="F11" i="11" l="1"/>
  <c r="H11"/>
  <c r="M11"/>
  <c r="C15" i="10"/>
  <c r="K15"/>
  <c r="D38"/>
  <c r="L12" i="11"/>
  <c r="C37" i="10"/>
  <c r="E38"/>
  <c r="E39" s="1"/>
  <c r="B2" i="8" s="1"/>
  <c r="D39" i="10"/>
  <c r="B3" i="8" s="1"/>
  <c r="J15" i="10"/>
  <c r="R5"/>
  <c r="H17" i="3" s="1"/>
  <c r="H27" s="1"/>
  <c r="P15" i="10"/>
  <c r="R15" s="1"/>
  <c r="L5"/>
  <c r="L15"/>
  <c r="K5"/>
  <c r="S3"/>
  <c r="S4" s="1"/>
  <c r="F12" i="11" l="1"/>
  <c r="H12"/>
  <c r="N15" i="10"/>
  <c r="F15"/>
  <c r="S5"/>
  <c r="S6" s="1"/>
  <c r="T4"/>
  <c r="M12" i="11"/>
  <c r="H14" i="3"/>
  <c r="C39" i="10"/>
  <c r="V30" s="1"/>
  <c r="Z30" s="1"/>
  <c r="C38"/>
  <c r="U30" s="1"/>
  <c r="L13" i="11"/>
  <c r="F13" l="1"/>
  <c r="H13"/>
  <c r="S7" i="10"/>
  <c r="S8" s="1"/>
  <c r="T6"/>
  <c r="M13" i="11"/>
  <c r="V29" i="10"/>
  <c r="V32" s="1"/>
  <c r="U32" s="1"/>
  <c r="W1" i="11" s="1"/>
  <c r="U29" i="10"/>
  <c r="W29" s="1"/>
  <c r="W30"/>
  <c r="C39" i="11"/>
  <c r="H29" i="3"/>
  <c r="L14" i="11"/>
  <c r="F14" l="1"/>
  <c r="H14"/>
  <c r="W25"/>
  <c r="W4"/>
  <c r="W6"/>
  <c r="W8"/>
  <c r="W10"/>
  <c r="W12"/>
  <c r="W14"/>
  <c r="S9" i="10"/>
  <c r="S10" s="1"/>
  <c r="T8"/>
  <c r="M14" i="11"/>
  <c r="M15" s="1"/>
  <c r="Z32" i="10"/>
  <c r="T16" s="1"/>
  <c r="C7" i="8"/>
  <c r="S11" i="10" l="1"/>
  <c r="S12" s="1"/>
  <c r="T10"/>
  <c r="B4" i="8"/>
  <c r="D4" i="1"/>
  <c r="M4" s="1"/>
  <c r="E4"/>
  <c r="N4" s="1"/>
  <c r="D7"/>
  <c r="E7"/>
  <c r="D6"/>
  <c r="M6" s="1"/>
  <c r="E6"/>
  <c r="D5"/>
  <c r="M5" s="1"/>
  <c r="E5"/>
  <c r="N5" s="1"/>
  <c r="D3"/>
  <c r="E3"/>
  <c r="X3"/>
  <c r="X4"/>
  <c r="X5"/>
  <c r="X7"/>
  <c r="G4"/>
  <c r="G5"/>
  <c r="G6"/>
  <c r="G7"/>
  <c r="AF4"/>
  <c r="W3"/>
  <c r="W4"/>
  <c r="W5"/>
  <c r="W6"/>
  <c r="W7"/>
  <c r="M3"/>
  <c r="M7"/>
  <c r="L3"/>
  <c r="L4"/>
  <c r="L5"/>
  <c r="L6"/>
  <c r="L7"/>
  <c r="T6"/>
  <c r="E8"/>
  <c r="S13" i="10" l="1"/>
  <c r="S14" s="1"/>
  <c r="T14" s="1"/>
  <c r="T12"/>
  <c r="N7" i="1"/>
  <c r="D8"/>
  <c r="C8" s="1"/>
  <c r="N6"/>
  <c r="Y6"/>
  <c r="F5"/>
  <c r="B11" i="3" s="1"/>
  <c r="F7" i="1"/>
  <c r="B13" i="3" s="1"/>
  <c r="I5" i="1"/>
  <c r="Y7"/>
  <c r="AD7" s="1"/>
  <c r="E29"/>
  <c r="E30" s="1"/>
  <c r="G30" s="1"/>
  <c r="J7"/>
  <c r="X6"/>
  <c r="O7"/>
  <c r="B26" i="3" s="1"/>
  <c r="O5" i="1"/>
  <c r="B24" i="3" s="1"/>
  <c r="Y3" i="1"/>
  <c r="AC3" s="1"/>
  <c r="F6"/>
  <c r="I6" s="1"/>
  <c r="F4"/>
  <c r="K5" s="1"/>
  <c r="B12" i="3"/>
  <c r="H4" i="1"/>
  <c r="J4"/>
  <c r="H5"/>
  <c r="H7"/>
  <c r="O6"/>
  <c r="B25" i="3" s="1"/>
  <c r="O4" i="1"/>
  <c r="B23" i="3" s="1"/>
  <c r="N3" i="1"/>
  <c r="O3" s="1"/>
  <c r="M8"/>
  <c r="Y5"/>
  <c r="AC5" s="1"/>
  <c r="Y4"/>
  <c r="AE4" s="1"/>
  <c r="F3"/>
  <c r="D29"/>
  <c r="C29" s="1"/>
  <c r="AD5"/>
  <c r="AD3"/>
  <c r="AE3"/>
  <c r="K6"/>
  <c r="N8"/>
  <c r="S4" s="1"/>
  <c r="AE5" l="1"/>
  <c r="K7"/>
  <c r="AC6"/>
  <c r="AC7"/>
  <c r="F8"/>
  <c r="J8" s="1"/>
  <c r="I4"/>
  <c r="AE6"/>
  <c r="E31"/>
  <c r="AE7"/>
  <c r="J6"/>
  <c r="AD6"/>
  <c r="H6"/>
  <c r="I7"/>
  <c r="B10" i="3"/>
  <c r="J5" i="1"/>
  <c r="S5"/>
  <c r="O8"/>
  <c r="B14" i="3" s="1"/>
  <c r="P3" i="1"/>
  <c r="P4" s="1"/>
  <c r="P5" s="1"/>
  <c r="P6" s="1"/>
  <c r="B22" i="3"/>
  <c r="B27" s="1"/>
  <c r="B9"/>
  <c r="I3" i="1"/>
  <c r="K4"/>
  <c r="H3"/>
  <c r="H8" s="1"/>
  <c r="S6"/>
  <c r="AD4"/>
  <c r="AC4"/>
  <c r="B28" i="3"/>
  <c r="J3" i="1"/>
  <c r="D30"/>
  <c r="R4"/>
  <c r="R6" s="1"/>
  <c r="AD8"/>
  <c r="AE8"/>
  <c r="P7"/>
  <c r="I8" l="1"/>
  <c r="AC8"/>
  <c r="U5" s="1"/>
  <c r="U6" s="1"/>
  <c r="G28" i="3"/>
  <c r="C30" i="1"/>
  <c r="D31"/>
  <c r="C28" i="3"/>
  <c r="F28"/>
  <c r="E28"/>
  <c r="D28"/>
  <c r="C31" i="1" l="1"/>
  <c r="B6" i="8" l="1"/>
  <c r="B5"/>
  <c r="C3" l="1"/>
  <c r="B7"/>
  <c r="C8" s="1"/>
  <c r="E47" s="1"/>
  <c r="E48" s="1"/>
  <c r="E49" s="1"/>
  <c r="E50" s="1"/>
  <c r="E51" s="1"/>
  <c r="E52" s="1"/>
  <c r="E53" s="1"/>
  <c r="E54" s="1"/>
  <c r="E55" s="1"/>
  <c r="E56" s="1"/>
  <c r="E57" s="1"/>
  <c r="E58" s="1"/>
  <c r="E59" s="1"/>
  <c r="E60" s="1"/>
  <c r="E61" s="1"/>
  <c r="E62" s="1"/>
  <c r="E63" s="1"/>
  <c r="E64" s="1"/>
  <c r="E65" s="1"/>
  <c r="E66" s="1"/>
  <c r="E67" s="1"/>
  <c r="E68" l="1"/>
  <c r="E69" s="1"/>
  <c r="E70" s="1"/>
  <c r="E71" s="1"/>
  <c r="E72" s="1"/>
  <c r="E73" s="1"/>
  <c r="B8"/>
  <c r="C47" s="1"/>
  <c r="C48" s="1"/>
  <c r="C49" s="1"/>
  <c r="C50" s="1"/>
  <c r="C51" s="1"/>
  <c r="C52" s="1"/>
  <c r="C53" s="1"/>
  <c r="B47"/>
  <c r="B48" s="1"/>
  <c r="E74" l="1"/>
  <c r="E75" s="1"/>
  <c r="D47"/>
  <c r="F47"/>
  <c r="F48"/>
  <c r="B49"/>
  <c r="D48"/>
  <c r="C54"/>
  <c r="B50" l="1"/>
  <c r="F49"/>
  <c r="D49"/>
  <c r="C55"/>
  <c r="B51" l="1"/>
  <c r="F50"/>
  <c r="D50"/>
  <c r="C56"/>
  <c r="B52" l="1"/>
  <c r="F51"/>
  <c r="D51"/>
  <c r="C57"/>
  <c r="B53" l="1"/>
  <c r="F52"/>
  <c r="D52"/>
  <c r="C58"/>
  <c r="B54" l="1"/>
  <c r="F53"/>
  <c r="D53"/>
  <c r="C59"/>
  <c r="B55" l="1"/>
  <c r="F54"/>
  <c r="D54"/>
  <c r="C60"/>
  <c r="B56" l="1"/>
  <c r="F55"/>
  <c r="D55"/>
  <c r="C61"/>
  <c r="B57" l="1"/>
  <c r="F56"/>
  <c r="D56"/>
  <c r="C62"/>
  <c r="B58" l="1"/>
  <c r="F57"/>
  <c r="D57"/>
  <c r="C63"/>
  <c r="B59" l="1"/>
  <c r="F58"/>
  <c r="D58"/>
  <c r="C64"/>
  <c r="B60" l="1"/>
  <c r="F59"/>
  <c r="D59"/>
  <c r="C65"/>
  <c r="B61" l="1"/>
  <c r="F60"/>
  <c r="D60"/>
  <c r="C66"/>
  <c r="B62" l="1"/>
  <c r="F61"/>
  <c r="D61"/>
  <c r="C67"/>
  <c r="B63" l="1"/>
  <c r="F62"/>
  <c r="D62"/>
  <c r="C68"/>
  <c r="B64" l="1"/>
  <c r="F63"/>
  <c r="D63"/>
  <c r="C69"/>
  <c r="B65" l="1"/>
  <c r="F64"/>
  <c r="D64"/>
  <c r="C70"/>
  <c r="B66" l="1"/>
  <c r="F65"/>
  <c r="D65"/>
  <c r="C71"/>
  <c r="B67" l="1"/>
  <c r="F67" s="1"/>
  <c r="F66"/>
  <c r="D66"/>
  <c r="C72"/>
  <c r="B68" l="1"/>
  <c r="F68" s="1"/>
  <c r="D67"/>
  <c r="C73"/>
  <c r="B69" l="1"/>
  <c r="F69" s="1"/>
  <c r="D68"/>
  <c r="C74"/>
  <c r="B70" l="1"/>
  <c r="F70" s="1"/>
  <c r="D69"/>
  <c r="C75"/>
  <c r="B71" l="1"/>
  <c r="F71" s="1"/>
  <c r="D70"/>
  <c r="B72" l="1"/>
  <c r="F72" s="1"/>
  <c r="D71"/>
  <c r="B73" l="1"/>
  <c r="F73" s="1"/>
  <c r="D72"/>
  <c r="B74" l="1"/>
  <c r="F74" s="1"/>
  <c r="D73"/>
  <c r="B75" l="1"/>
  <c r="D74"/>
  <c r="D75" l="1"/>
  <c r="F75"/>
  <c r="T32" i="11"/>
  <c r="U1" i="18" s="1"/>
  <c r="U10" s="1"/>
  <c r="U12" l="1"/>
  <c r="U4"/>
  <c r="U14"/>
  <c r="U8"/>
  <c r="U6"/>
</calcChain>
</file>

<file path=xl/sharedStrings.xml><?xml version="1.0" encoding="utf-8"?>
<sst xmlns="http://schemas.openxmlformats.org/spreadsheetml/2006/main" count="735" uniqueCount="145">
  <si>
    <t>Bilan</t>
  </si>
  <si>
    <t>Date relevé</t>
  </si>
  <si>
    <t>Relevé Heure      Creuse</t>
  </si>
  <si>
    <t>Relevé Heure Pleine</t>
  </si>
  <si>
    <t>Consommat. H. Creuse</t>
  </si>
  <si>
    <t>Consommat. H. Pleine</t>
  </si>
  <si>
    <t>Moyenne journalière</t>
  </si>
  <si>
    <t>Rapport H. Creuse / H. Pleine   Creuse -- Pleine</t>
  </si>
  <si>
    <t>Variation de conso.</t>
  </si>
  <si>
    <t>Cout H. Creuse</t>
  </si>
  <si>
    <t>Cout H. Pleine</t>
  </si>
  <si>
    <t>Cout mensuel</t>
  </si>
  <si>
    <t>Cumule</t>
  </si>
  <si>
    <t xml:space="preserve">Total </t>
  </si>
  <si>
    <t xml:space="preserve"> abo.      6 Kw</t>
  </si>
  <si>
    <t>6KW</t>
  </si>
  <si>
    <t>9KW j/n</t>
  </si>
  <si>
    <t>6KW J/N</t>
  </si>
  <si>
    <t>9KW Tempo</t>
  </si>
  <si>
    <t>bleu</t>
  </si>
  <si>
    <t>blanc</t>
  </si>
  <si>
    <t>N-1 HC</t>
  </si>
  <si>
    <t>N-1 HP</t>
  </si>
  <si>
    <t>Rouge</t>
  </si>
  <si>
    <t>Blanc</t>
  </si>
  <si>
    <t>Bleu</t>
  </si>
  <si>
    <t>H. P.</t>
  </si>
  <si>
    <t>H. C.</t>
  </si>
  <si>
    <t>abo.</t>
  </si>
  <si>
    <t>Tot.</t>
  </si>
  <si>
    <t>J./M.</t>
  </si>
  <si>
    <t>Moy/J.-H/C-Kw</t>
  </si>
  <si>
    <t>Moy/J.-H/P-Kw</t>
  </si>
  <si>
    <t>J.R.</t>
  </si>
  <si>
    <t>J. Bla</t>
  </si>
  <si>
    <t>J. Ble</t>
  </si>
  <si>
    <t>Variation de conso.  N-1</t>
  </si>
  <si>
    <t>Moyenne journ.</t>
  </si>
  <si>
    <t>avr</t>
  </si>
  <si>
    <t>mai</t>
  </si>
  <si>
    <t>juin</t>
  </si>
  <si>
    <t>janv</t>
  </si>
  <si>
    <t>févr</t>
  </si>
  <si>
    <t>mars</t>
  </si>
  <si>
    <t>janvier</t>
  </si>
  <si>
    <t>fevrier</t>
  </si>
  <si>
    <t>avril</t>
  </si>
  <si>
    <t>juillet</t>
  </si>
  <si>
    <t>août</t>
  </si>
  <si>
    <t>septembre</t>
  </si>
  <si>
    <t>octobre</t>
  </si>
  <si>
    <t>novembre</t>
  </si>
  <si>
    <t>décembre</t>
  </si>
  <si>
    <t>conso electrique</t>
  </si>
  <si>
    <t>conso chauffage</t>
  </si>
  <si>
    <t>N-1</t>
  </si>
  <si>
    <t>H. Creuse</t>
  </si>
  <si>
    <t>H. Pleine</t>
  </si>
  <si>
    <t>Total</t>
  </si>
  <si>
    <t>concommation d'eau</t>
  </si>
  <si>
    <t>Cout</t>
  </si>
  <si>
    <t>abo</t>
  </si>
  <si>
    <t>Hp</t>
  </si>
  <si>
    <t>Hc</t>
  </si>
  <si>
    <t>Jours</t>
  </si>
  <si>
    <t>Mois</t>
  </si>
  <si>
    <t>JOURS</t>
  </si>
  <si>
    <t>Moyenne consomation de chauffage HP</t>
  </si>
  <si>
    <t>Moyenne consomation de chauffage HC</t>
  </si>
  <si>
    <t>Maison</t>
  </si>
  <si>
    <t>6X1000W.</t>
  </si>
  <si>
    <t>1X1500W.</t>
  </si>
  <si>
    <t>Salon</t>
  </si>
  <si>
    <t>1X1000W.</t>
  </si>
  <si>
    <t>Consomation salon HP</t>
  </si>
  <si>
    <t>Consomation salon HC</t>
  </si>
  <si>
    <t>Consomation salon total</t>
  </si>
  <si>
    <t>Consomation radiateurs salon/maison</t>
  </si>
  <si>
    <t>Consomation d'une clim (1/3)</t>
  </si>
  <si>
    <t>par An</t>
  </si>
  <si>
    <t>Année</t>
  </si>
  <si>
    <t>Sans Clim</t>
  </si>
  <si>
    <t>Achat Clim ( une foi, hors entetien)</t>
  </si>
  <si>
    <t>Nombre de radiateurs</t>
  </si>
  <si>
    <t>GAZ</t>
  </si>
  <si>
    <t>Chg / bout.</t>
  </si>
  <si>
    <t>Avec Clim/3</t>
  </si>
  <si>
    <t>Avec Clim/5</t>
  </si>
  <si>
    <t>Carburant</t>
  </si>
  <si>
    <t>Gaz</t>
  </si>
  <si>
    <t>garage</t>
  </si>
  <si>
    <t>Conso,</t>
  </si>
  <si>
    <t>consommation ballon d'eau chaude</t>
  </si>
  <si>
    <t>arrondi à:</t>
  </si>
  <si>
    <t>Par an</t>
  </si>
  <si>
    <t>Lave-linge</t>
  </si>
  <si>
    <t>Lave vaiselle</t>
  </si>
  <si>
    <t>ballon</t>
  </si>
  <si>
    <t>Chauffage</t>
  </si>
  <si>
    <t>février</t>
  </si>
  <si>
    <t>Avril</t>
  </si>
  <si>
    <t>Juin</t>
  </si>
  <si>
    <t>Août</t>
  </si>
  <si>
    <t>Octobre</t>
  </si>
  <si>
    <t>Décembre</t>
  </si>
  <si>
    <t>Payé</t>
  </si>
  <si>
    <t>Seche lin,</t>
  </si>
  <si>
    <t>charbon</t>
  </si>
  <si>
    <t>total chauffage</t>
  </si>
  <si>
    <t>Total energie</t>
  </si>
  <si>
    <t>Divers</t>
  </si>
  <si>
    <t>Ballon</t>
  </si>
  <si>
    <t>Moyenne Relevés sur 6 ans</t>
  </si>
  <si>
    <t>encombrement</t>
  </si>
  <si>
    <t>Nombre total d'éoliennes</t>
  </si>
  <si>
    <t>Moyenne</t>
  </si>
  <si>
    <t>une grosse éolienne</t>
  </si>
  <si>
    <t>Puissances</t>
  </si>
  <si>
    <t>Surface</t>
  </si>
  <si>
    <t>Nombre de tuiles</t>
  </si>
  <si>
    <t>Nombre de réacteur</t>
  </si>
  <si>
    <t>Nombre de fois St Charles</t>
  </si>
  <si>
    <t>Puissance réacteur</t>
  </si>
  <si>
    <t>St Charles</t>
  </si>
  <si>
    <t>Puissance</t>
  </si>
  <si>
    <t>Nombre</t>
  </si>
  <si>
    <t>Encombrement</t>
  </si>
  <si>
    <t>Eolien</t>
  </si>
  <si>
    <t>Photovoltaïque</t>
  </si>
  <si>
    <t>Diamètre des éoliennes</t>
  </si>
  <si>
    <t>Nombre d'éolien/centrale</t>
  </si>
  <si>
    <t>Rapport H. Creuse / H. Pleine          Creuse -- Pleine</t>
  </si>
  <si>
    <t>Rapport H. Creuse / H. Pleine         Creuse -- Pleine</t>
  </si>
  <si>
    <t>18 €/sac</t>
  </si>
  <si>
    <t>Charbon</t>
  </si>
  <si>
    <t>17 €/sac</t>
  </si>
  <si>
    <t xml:space="preserve">charbon </t>
  </si>
  <si>
    <t>16,5 €/sac</t>
  </si>
  <si>
    <t>Consommé</t>
  </si>
  <si>
    <t>H-creuse</t>
  </si>
  <si>
    <t>H-pleine</t>
  </si>
  <si>
    <t>Date</t>
  </si>
  <si>
    <t>Themperature</t>
  </si>
  <si>
    <t>Appuyer sur le bouton le dernier</t>
  </si>
  <si>
    <t xml:space="preserve"> jour du mois</t>
  </si>
</sst>
</file>

<file path=xl/styles.xml><?xml version="1.0" encoding="utf-8"?>
<styleSheet xmlns="http://schemas.openxmlformats.org/spreadsheetml/2006/main">
  <numFmts count="41">
    <numFmt numFmtId="6" formatCode="#,##0\ &quot;€&quot;;[Red]\-#,##0\ &quot;€&quot;"/>
    <numFmt numFmtId="8" formatCode="#,##0.00\ &quot;€&quot;;[Red]\-#,##0.00\ &quot;€&quot;"/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"/>
    <numFmt numFmtId="165" formatCode="[Red]\+#,##0.00%;[Green]\-#,##0.00%"/>
    <numFmt numFmtId="166" formatCode="0.0000"/>
    <numFmt numFmtId="167" formatCode="#,##0.00_ ;\-#,##0.00\ "/>
    <numFmt numFmtId="168" formatCode="_-* #,##0.0\ &quot;€&quot;_-;\-* #,##0.0\ &quot;€&quot;_-;_-* &quot;-&quot;?\ &quot;€&quot;_-;_-@_-"/>
    <numFmt numFmtId="169" formatCode="0&quot; Kw&quot;"/>
    <numFmt numFmtId="170" formatCode="0&quot; m3&quot;"/>
    <numFmt numFmtId="171" formatCode="#,##0_ ;\-#,##0\ "/>
    <numFmt numFmtId="172" formatCode="[$-40C]d\-mmm;@"/>
    <numFmt numFmtId="173" formatCode="0.0"/>
    <numFmt numFmtId="174" formatCode="0.00_ ;[Red]\-0.00\ "/>
    <numFmt numFmtId="175" formatCode="0.0%"/>
    <numFmt numFmtId="176" formatCode="0&quot; W.&quot;"/>
    <numFmt numFmtId="177" formatCode="d/m;@"/>
    <numFmt numFmtId="178" formatCode="0.00&quot; €/M3&quot;"/>
    <numFmt numFmtId="179" formatCode="_-* #,##0.0000\ &quot;€&quot;_-;\-* #,##0.0000\ &quot;€&quot;_-;_-* &quot;-&quot;??\ &quot;€&quot;_-;_-@_-"/>
    <numFmt numFmtId="180" formatCode="[Red]\+0;[Green]\-0"/>
    <numFmt numFmtId="181" formatCode="_-* #,##0.0000\ &quot;€&quot;_-;\-* #,##0.0000\ &quot;€&quot;_-;_-* &quot;-&quot;????\ &quot;€&quot;_-;_-@_-"/>
    <numFmt numFmtId="182" formatCode="#,##0.0000_ ;\-#,##0.0000\ "/>
    <numFmt numFmtId="183" formatCode="_-* #,##0\ _€_-;\-* #,##0\ _€_-;_-* &quot;-&quot;??\ _€_-;_-@_-"/>
    <numFmt numFmtId="184" formatCode="#,##0&quot; m²&quot;"/>
    <numFmt numFmtId="185" formatCode="#,##0&quot; W/m²&quot;"/>
    <numFmt numFmtId="186" formatCode="0.0&quot; MW&quot;"/>
    <numFmt numFmtId="187" formatCode="#,##0&quot; m&quot;"/>
    <numFmt numFmtId="188" formatCode="#,##0&quot; Tuiles&quot;"/>
    <numFmt numFmtId="189" formatCode="#,##0&quot; MW&quot;"/>
    <numFmt numFmtId="190" formatCode="0&quot; MW&quot;"/>
    <numFmt numFmtId="191" formatCode="0&quot; L/Jour&quot;"/>
    <numFmt numFmtId="192" formatCode="[Green]#,##0.00\ &quot;€&quot;;[Red]\-#,##0.00\ &quot;€&quot;"/>
    <numFmt numFmtId="193" formatCode="#,##0.000&quot; K m²&quot;"/>
    <numFmt numFmtId="194" formatCode="#,##0&quot; Km²&quot;"/>
    <numFmt numFmtId="195" formatCode="#,##0.0&quot; Km²&quot;"/>
    <numFmt numFmtId="196" formatCode="#,##0.000&quot; Km²&quot;"/>
    <numFmt numFmtId="197" formatCode="&quot;-&quot;\ 0&quot;/j&quot;"/>
    <numFmt numFmtId="198" formatCode="0.0&quot; °&quot;"/>
    <numFmt numFmtId="199" formatCode="0.00_ ;\-0.00\ "/>
  </numFmts>
  <fonts count="20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Times New Roman"/>
      <family val="1"/>
    </font>
    <font>
      <b/>
      <sz val="10"/>
      <name val="Arial"/>
      <family val="2"/>
    </font>
    <font>
      <b/>
      <sz val="12"/>
      <name val="Times New Roman"/>
      <family val="1"/>
    </font>
    <font>
      <b/>
      <sz val="10"/>
      <color indexed="10"/>
      <name val="Arial"/>
      <family val="2"/>
    </font>
    <font>
      <sz val="10"/>
      <name val="Arial"/>
      <family val="2"/>
    </font>
    <font>
      <sz val="12"/>
      <name val="Times New Roman"/>
      <family val="1"/>
    </font>
    <font>
      <b/>
      <sz val="10"/>
      <color rgb="FFFF0000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"/>
      <color theme="1"/>
      <name val="Arial"/>
      <family val="2"/>
    </font>
    <font>
      <sz val="10"/>
      <color rgb="FF0000FF"/>
      <name val="Arial"/>
      <family val="2"/>
    </font>
    <font>
      <sz val="1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</fills>
  <borders count="1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ck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uble">
        <color auto="1"/>
      </left>
      <right/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/>
      <right style="double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thin">
        <color indexed="64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double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indexed="64"/>
      </left>
      <right style="thick">
        <color indexed="64"/>
      </right>
      <top style="double">
        <color indexed="64"/>
      </top>
      <bottom/>
      <diagonal/>
    </border>
    <border>
      <left style="thin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auto="1"/>
      </right>
      <top/>
      <bottom/>
      <diagonal/>
    </border>
    <border>
      <left style="thick">
        <color indexed="64"/>
      </left>
      <right style="thick">
        <color auto="1"/>
      </right>
      <top/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double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</cellStyleXfs>
  <cellXfs count="411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10" fontId="0" fillId="0" borderId="1" xfId="2" applyNumberFormat="1" applyFont="1" applyBorder="1" applyAlignment="1">
      <alignment horizont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14" fontId="5" fillId="2" borderId="4" xfId="0" applyNumberFormat="1" applyFont="1" applyFill="1" applyBorder="1"/>
    <xf numFmtId="14" fontId="5" fillId="2" borderId="5" xfId="0" applyNumberFormat="1" applyFont="1" applyFill="1" applyBorder="1"/>
    <xf numFmtId="2" fontId="0" fillId="0" borderId="6" xfId="0" applyNumberForma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0" borderId="0" xfId="0" applyFont="1"/>
    <xf numFmtId="0" fontId="7" fillId="0" borderId="8" xfId="0" applyFont="1" applyBorder="1" applyAlignment="1">
      <alignment horizontal="center"/>
    </xf>
    <xf numFmtId="164" fontId="7" fillId="0" borderId="8" xfId="0" applyNumberFormat="1" applyFont="1" applyBorder="1" applyAlignment="1">
      <alignment horizontal="center"/>
    </xf>
    <xf numFmtId="2" fontId="7" fillId="0" borderId="8" xfId="0" applyNumberFormat="1" applyFont="1" applyBorder="1" applyAlignment="1">
      <alignment horizontal="center"/>
    </xf>
    <xf numFmtId="10" fontId="7" fillId="0" borderId="8" xfId="2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7" fillId="0" borderId="8" xfId="0" applyNumberFormat="1" applyFont="1" applyBorder="1" applyAlignment="1">
      <alignment horizontal="center"/>
    </xf>
    <xf numFmtId="0" fontId="4" fillId="2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10" xfId="2" applyNumberFormat="1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0" fillId="0" borderId="12" xfId="0" applyBorder="1"/>
    <xf numFmtId="0" fontId="0" fillId="0" borderId="13" xfId="0" applyBorder="1"/>
    <xf numFmtId="2" fontId="0" fillId="0" borderId="12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0" xfId="0" applyNumberFormat="1"/>
    <xf numFmtId="0" fontId="4" fillId="2" borderId="0" xfId="0" applyFont="1" applyFill="1" applyBorder="1" applyAlignment="1">
      <alignment horizontal="center" vertical="center" wrapText="1"/>
    </xf>
    <xf numFmtId="167" fontId="0" fillId="0" borderId="0" xfId="0" applyNumberFormat="1"/>
    <xf numFmtId="0" fontId="8" fillId="0" borderId="1" xfId="0" applyFont="1" applyBorder="1" applyAlignment="1">
      <alignment horizontal="center"/>
    </xf>
    <xf numFmtId="10" fontId="3" fillId="0" borderId="1" xfId="2" applyNumberFormat="1" applyBorder="1" applyAlignment="1">
      <alignment horizontal="center"/>
    </xf>
    <xf numFmtId="165" fontId="3" fillId="0" borderId="10" xfId="2" applyNumberFormat="1" applyBorder="1" applyAlignment="1">
      <alignment horizontal="center"/>
    </xf>
    <xf numFmtId="10" fontId="3" fillId="0" borderId="6" xfId="2" applyNumberFormat="1" applyBorder="1" applyAlignment="1">
      <alignment horizontal="center"/>
    </xf>
    <xf numFmtId="1" fontId="0" fillId="0" borderId="0" xfId="0" applyNumberFormat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" xfId="0" applyBorder="1"/>
    <xf numFmtId="2" fontId="0" fillId="0" borderId="1" xfId="0" applyNumberFormat="1" applyBorder="1"/>
    <xf numFmtId="0" fontId="4" fillId="0" borderId="17" xfId="0" applyFont="1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/>
    </xf>
    <xf numFmtId="0" fontId="0" fillId="0" borderId="19" xfId="0" applyBorder="1"/>
    <xf numFmtId="0" fontId="0" fillId="0" borderId="20" xfId="0" applyBorder="1"/>
    <xf numFmtId="0" fontId="0" fillId="0" borderId="4" xfId="0" applyBorder="1" applyAlignment="1">
      <alignment horizontal="right"/>
    </xf>
    <xf numFmtId="2" fontId="0" fillId="0" borderId="21" xfId="0" applyNumberFormat="1" applyBorder="1"/>
    <xf numFmtId="2" fontId="0" fillId="0" borderId="4" xfId="0" applyNumberFormat="1" applyBorder="1" applyAlignment="1">
      <alignment horizontal="right"/>
    </xf>
    <xf numFmtId="2" fontId="0" fillId="0" borderId="22" xfId="0" applyNumberFormat="1" applyBorder="1" applyAlignment="1">
      <alignment horizontal="right"/>
    </xf>
    <xf numFmtId="2" fontId="5" fillId="0" borderId="23" xfId="0" applyNumberFormat="1" applyFont="1" applyBorder="1"/>
    <xf numFmtId="0" fontId="0" fillId="0" borderId="24" xfId="0" applyBorder="1" applyAlignment="1">
      <alignment horizontal="center" vertical="center"/>
    </xf>
    <xf numFmtId="1" fontId="0" fillId="0" borderId="16" xfId="0" applyNumberFormat="1" applyBorder="1"/>
    <xf numFmtId="0" fontId="0" fillId="0" borderId="25" xfId="0" applyBorder="1"/>
    <xf numFmtId="0" fontId="0" fillId="0" borderId="4" xfId="0" applyNumberFormat="1" applyBorder="1"/>
    <xf numFmtId="49" fontId="0" fillId="0" borderId="18" xfId="0" applyNumberFormat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17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29" xfId="0" applyBorder="1"/>
    <xf numFmtId="2" fontId="0" fillId="0" borderId="3" xfId="0" applyNumberFormat="1" applyBorder="1"/>
    <xf numFmtId="2" fontId="0" fillId="0" borderId="30" xfId="0" applyNumberFormat="1" applyBorder="1"/>
    <xf numFmtId="0" fontId="0" fillId="0" borderId="0" xfId="0" applyBorder="1"/>
    <xf numFmtId="0" fontId="0" fillId="0" borderId="32" xfId="0" applyBorder="1"/>
    <xf numFmtId="0" fontId="0" fillId="0" borderId="2" xfId="0" applyBorder="1" applyAlignment="1">
      <alignment horizontal="right"/>
    </xf>
    <xf numFmtId="2" fontId="5" fillId="0" borderId="26" xfId="0" applyNumberFormat="1" applyFont="1" applyBorder="1"/>
    <xf numFmtId="0" fontId="0" fillId="0" borderId="31" xfId="0" applyBorder="1" applyAlignment="1">
      <alignment horizontal="center" vertical="center"/>
    </xf>
    <xf numFmtId="0" fontId="0" fillId="0" borderId="33" xfId="0" applyBorder="1"/>
    <xf numFmtId="1" fontId="8" fillId="0" borderId="1" xfId="0" applyNumberFormat="1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8" fillId="0" borderId="0" xfId="0" applyFont="1"/>
    <xf numFmtId="44" fontId="0" fillId="0" borderId="0" xfId="0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0" xfId="0" applyBorder="1" applyAlignment="1">
      <alignment horizontal="center"/>
    </xf>
    <xf numFmtId="44" fontId="0" fillId="0" borderId="22" xfId="3" applyFont="1" applyBorder="1" applyAlignment="1">
      <alignment horizontal="center"/>
    </xf>
    <xf numFmtId="44" fontId="0" fillId="0" borderId="23" xfId="3" applyFont="1" applyBorder="1" applyAlignment="1">
      <alignment horizontal="center"/>
    </xf>
    <xf numFmtId="44" fontId="0" fillId="0" borderId="26" xfId="3" applyFon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69" fontId="0" fillId="0" borderId="4" xfId="0" applyNumberFormat="1" applyBorder="1" applyAlignment="1">
      <alignment horizontal="center" vertical="center"/>
    </xf>
    <xf numFmtId="169" fontId="0" fillId="0" borderId="1" xfId="0" applyNumberFormat="1" applyBorder="1" applyAlignment="1">
      <alignment horizontal="center" vertical="center"/>
    </xf>
    <xf numFmtId="169" fontId="0" fillId="0" borderId="21" xfId="0" applyNumberFormat="1" applyBorder="1" applyAlignment="1">
      <alignment horizontal="center" vertical="center"/>
    </xf>
    <xf numFmtId="44" fontId="0" fillId="0" borderId="23" xfId="3" applyFont="1" applyBorder="1" applyAlignment="1">
      <alignment horizontal="center" vertical="center"/>
    </xf>
    <xf numFmtId="168" fontId="0" fillId="0" borderId="22" xfId="3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8" xfId="0" applyNumberFormat="1" applyBorder="1" applyAlignment="1">
      <alignment horizontal="center"/>
    </xf>
    <xf numFmtId="170" fontId="0" fillId="0" borderId="0" xfId="0" applyNumberFormat="1"/>
    <xf numFmtId="0" fontId="9" fillId="0" borderId="29" xfId="0" applyFont="1" applyFill="1" applyBorder="1" applyAlignment="1">
      <alignment horizontal="right"/>
    </xf>
    <xf numFmtId="171" fontId="0" fillId="0" borderId="0" xfId="0" applyNumberFormat="1"/>
    <xf numFmtId="10" fontId="0" fillId="0" borderId="0" xfId="2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6" xfId="0" applyBorder="1"/>
    <xf numFmtId="0" fontId="0" fillId="0" borderId="39" xfId="0" applyBorder="1"/>
    <xf numFmtId="172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173" fontId="0" fillId="0" borderId="1" xfId="0" applyNumberFormat="1" applyBorder="1" applyAlignment="1">
      <alignment horizontal="center" vertical="center"/>
    </xf>
    <xf numFmtId="173" fontId="0" fillId="0" borderId="40" xfId="0" applyNumberFormat="1" applyBorder="1" applyAlignment="1">
      <alignment horizontal="center" vertical="center"/>
    </xf>
    <xf numFmtId="172" fontId="0" fillId="0" borderId="39" xfId="0" applyNumberFormat="1" applyBorder="1" applyAlignment="1">
      <alignment horizontal="center" vertical="center"/>
    </xf>
    <xf numFmtId="172" fontId="0" fillId="0" borderId="41" xfId="0" applyNumberFormat="1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173" fontId="0" fillId="0" borderId="42" xfId="0" applyNumberFormat="1" applyBorder="1" applyAlignment="1">
      <alignment horizontal="center" vertical="center"/>
    </xf>
    <xf numFmtId="172" fontId="3" fillId="0" borderId="42" xfId="0" applyNumberFormat="1" applyFont="1" applyBorder="1" applyAlignment="1">
      <alignment horizontal="center" vertical="center"/>
    </xf>
    <xf numFmtId="172" fontId="0" fillId="0" borderId="42" xfId="0" applyNumberFormat="1" applyBorder="1" applyAlignment="1">
      <alignment horizontal="center" vertical="center"/>
    </xf>
    <xf numFmtId="173" fontId="0" fillId="0" borderId="43" xfId="0" applyNumberForma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173" fontId="0" fillId="0" borderId="45" xfId="0" applyNumberFormat="1" applyBorder="1" applyAlignment="1">
      <alignment horizontal="center" vertical="center"/>
    </xf>
    <xf numFmtId="173" fontId="0" fillId="0" borderId="46" xfId="0" applyNumberFormat="1" applyBorder="1" applyAlignment="1">
      <alignment horizontal="center" vertical="center"/>
    </xf>
    <xf numFmtId="172" fontId="0" fillId="0" borderId="47" xfId="0" applyNumberFormat="1" applyBorder="1" applyAlignment="1">
      <alignment horizontal="center" vertical="center"/>
    </xf>
    <xf numFmtId="172" fontId="0" fillId="0" borderId="48" xfId="0" applyNumberFormat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39" xfId="0" applyFont="1" applyBorder="1"/>
    <xf numFmtId="1" fontId="0" fillId="0" borderId="40" xfId="0" applyNumberFormat="1" applyBorder="1" applyAlignment="1">
      <alignment horizontal="center" vertical="center"/>
    </xf>
    <xf numFmtId="0" fontId="0" fillId="0" borderId="41" xfId="0" applyBorder="1"/>
    <xf numFmtId="1" fontId="0" fillId="0" borderId="43" xfId="0" applyNumberFormat="1" applyBorder="1" applyAlignment="1">
      <alignment horizontal="center" vertical="center"/>
    </xf>
    <xf numFmtId="14" fontId="0" fillId="0" borderId="0" xfId="0" applyNumberFormat="1"/>
    <xf numFmtId="175" fontId="0" fillId="0" borderId="0" xfId="2" applyNumberFormat="1" applyFont="1"/>
    <xf numFmtId="0" fontId="3" fillId="0" borderId="0" xfId="0" applyFont="1"/>
    <xf numFmtId="0" fontId="3" fillId="0" borderId="21" xfId="0" applyFont="1" applyBorder="1" applyAlignment="1">
      <alignment horizontal="right"/>
    </xf>
    <xf numFmtId="0" fontId="0" fillId="0" borderId="4" xfId="0" applyBorder="1"/>
    <xf numFmtId="44" fontId="0" fillId="0" borderId="21" xfId="0" applyNumberFormat="1" applyBorder="1"/>
    <xf numFmtId="0" fontId="3" fillId="0" borderId="4" xfId="0" applyFont="1" applyBorder="1"/>
    <xf numFmtId="10" fontId="0" fillId="0" borderId="21" xfId="2" applyNumberFormat="1" applyFont="1" applyBorder="1"/>
    <xf numFmtId="0" fontId="3" fillId="0" borderId="22" xfId="0" applyFont="1" applyBorder="1"/>
    <xf numFmtId="0" fontId="0" fillId="0" borderId="5" xfId="0" applyBorder="1" applyAlignment="1">
      <alignment horizontal="right"/>
    </xf>
    <xf numFmtId="0" fontId="3" fillId="0" borderId="51" xfId="0" applyFont="1" applyBorder="1" applyAlignment="1">
      <alignment horizontal="right"/>
    </xf>
    <xf numFmtId="176" fontId="0" fillId="0" borderId="7" xfId="0" applyNumberFormat="1" applyBorder="1"/>
    <xf numFmtId="176" fontId="0" fillId="0" borderId="52" xfId="0" applyNumberFormat="1" applyBorder="1"/>
    <xf numFmtId="44" fontId="0" fillId="0" borderId="51" xfId="0" applyNumberFormat="1" applyBorder="1"/>
    <xf numFmtId="44" fontId="0" fillId="0" borderId="52" xfId="3" applyFont="1" applyBorder="1"/>
    <xf numFmtId="172" fontId="11" fillId="0" borderId="1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/>
    </xf>
    <xf numFmtId="0" fontId="12" fillId="0" borderId="30" xfId="0" applyFont="1" applyBorder="1" applyAlignment="1">
      <alignment horizontal="center" vertical="center"/>
    </xf>
    <xf numFmtId="44" fontId="0" fillId="0" borderId="35" xfId="0" applyNumberFormat="1" applyBorder="1"/>
    <xf numFmtId="177" fontId="0" fillId="0" borderId="0" xfId="0" applyNumberFormat="1"/>
    <xf numFmtId="16" fontId="0" fillId="0" borderId="0" xfId="0" applyNumberFormat="1" applyAlignment="1">
      <alignment horizontal="center" vertical="center"/>
    </xf>
    <xf numFmtId="0" fontId="6" fillId="0" borderId="1" xfId="0" applyFont="1" applyBorder="1"/>
    <xf numFmtId="0" fontId="9" fillId="0" borderId="1" xfId="0" applyFont="1" applyBorder="1" applyAlignment="1">
      <alignment horizontal="right"/>
    </xf>
    <xf numFmtId="44" fontId="0" fillId="0" borderId="0" xfId="3" applyFont="1"/>
    <xf numFmtId="178" fontId="0" fillId="0" borderId="0" xfId="3" applyNumberFormat="1" applyFont="1"/>
    <xf numFmtId="179" fontId="0" fillId="0" borderId="1" xfId="3" applyNumberFormat="1" applyFont="1" applyBorder="1" applyAlignment="1">
      <alignment horizontal="center"/>
    </xf>
    <xf numFmtId="44" fontId="0" fillId="0" borderId="1" xfId="3" applyNumberFormat="1" applyFont="1" applyBorder="1" applyAlignment="1">
      <alignment horizontal="center"/>
    </xf>
    <xf numFmtId="172" fontId="11" fillId="0" borderId="39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/>
    <xf numFmtId="44" fontId="0" fillId="0" borderId="51" xfId="3" applyFont="1" applyBorder="1" applyAlignment="1">
      <alignment horizontal="center" vertical="center"/>
    </xf>
    <xf numFmtId="0" fontId="0" fillId="0" borderId="65" xfId="0" applyBorder="1"/>
    <xf numFmtId="0" fontId="0" fillId="0" borderId="66" xfId="0" applyBorder="1"/>
    <xf numFmtId="0" fontId="0" fillId="0" borderId="53" xfId="0" applyBorder="1"/>
    <xf numFmtId="180" fontId="5" fillId="0" borderId="1" xfId="0" applyNumberFormat="1" applyFont="1" applyBorder="1" applyAlignment="1">
      <alignment horizontal="center"/>
    </xf>
    <xf numFmtId="0" fontId="4" fillId="2" borderId="3" xfId="0" applyFont="1" applyFill="1" applyBorder="1" applyAlignment="1">
      <alignment horizontal="center" vertical="center" wrapText="1"/>
    </xf>
    <xf numFmtId="44" fontId="0" fillId="0" borderId="0" xfId="3" applyFont="1" applyAlignment="1">
      <alignment horizontal="center" vertical="center"/>
    </xf>
    <xf numFmtId="44" fontId="0" fillId="0" borderId="4" xfId="3" applyFont="1" applyBorder="1"/>
    <xf numFmtId="181" fontId="0" fillId="0" borderId="1" xfId="3" applyNumberFormat="1" applyFont="1" applyBorder="1"/>
    <xf numFmtId="182" fontId="0" fillId="0" borderId="1" xfId="0" applyNumberFormat="1" applyBorder="1" applyAlignment="1">
      <alignment horizontal="center"/>
    </xf>
    <xf numFmtId="0" fontId="3" fillId="0" borderId="1" xfId="0" applyFont="1" applyBorder="1"/>
    <xf numFmtId="171" fontId="0" fillId="0" borderId="0" xfId="0" applyNumberFormat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44" fontId="0" fillId="0" borderId="0" xfId="3" applyFont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44" fontId="0" fillId="0" borderId="0" xfId="3" applyFont="1" applyAlignment="1">
      <alignment horizontal="center" vertical="center"/>
    </xf>
    <xf numFmtId="0" fontId="3" fillId="0" borderId="1" xfId="0" applyFont="1" applyBorder="1" applyAlignment="1">
      <alignment horizontal="center"/>
    </xf>
    <xf numFmtId="6" fontId="0" fillId="0" borderId="4" xfId="0" applyNumberFormat="1" applyBorder="1" applyAlignment="1">
      <alignment horizontal="center"/>
    </xf>
    <xf numFmtId="6" fontId="0" fillId="0" borderId="21" xfId="0" applyNumberFormat="1" applyBorder="1" applyAlignment="1">
      <alignment horizontal="center"/>
    </xf>
    <xf numFmtId="2" fontId="3" fillId="0" borderId="8" xfId="0" applyNumberFormat="1" applyFont="1" applyBorder="1" applyAlignment="1">
      <alignment horizontal="center"/>
    </xf>
    <xf numFmtId="183" fontId="3" fillId="0" borderId="13" xfId="4" applyNumberFormat="1" applyFont="1" applyBorder="1" applyAlignment="1">
      <alignment horizontal="center"/>
    </xf>
    <xf numFmtId="169" fontId="0" fillId="0" borderId="0" xfId="0" applyNumberFormat="1"/>
    <xf numFmtId="44" fontId="10" fillId="0" borderId="0" xfId="3" applyFont="1"/>
    <xf numFmtId="169" fontId="0" fillId="0" borderId="1" xfId="0" applyNumberFormat="1" applyBorder="1" applyAlignment="1">
      <alignment horizontal="right" vertical="center"/>
    </xf>
    <xf numFmtId="44" fontId="0" fillId="0" borderId="1" xfId="3" applyFont="1" applyBorder="1" applyAlignment="1">
      <alignment horizontal="right" vertical="center"/>
    </xf>
    <xf numFmtId="4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horizontal="right" vertical="center"/>
    </xf>
    <xf numFmtId="44" fontId="10" fillId="0" borderId="1" xfId="0" applyNumberFormat="1" applyFont="1" applyBorder="1" applyAlignment="1">
      <alignment horizontal="right" vertical="center"/>
    </xf>
    <xf numFmtId="44" fontId="0" fillId="0" borderId="22" xfId="3" applyFont="1" applyBorder="1" applyAlignment="1">
      <alignment horizontal="center" vertical="center"/>
    </xf>
    <xf numFmtId="0" fontId="3" fillId="0" borderId="1" xfId="0" applyFont="1" applyFill="1" applyBorder="1"/>
    <xf numFmtId="44" fontId="0" fillId="0" borderId="67" xfId="3" applyFont="1" applyBorder="1" applyAlignment="1">
      <alignment horizontal="right" vertical="center"/>
    </xf>
    <xf numFmtId="44" fontId="10" fillId="0" borderId="67" xfId="3" applyFont="1" applyBorder="1" applyAlignment="1">
      <alignment horizontal="right" vertical="center"/>
    </xf>
    <xf numFmtId="10" fontId="0" fillId="0" borderId="1" xfId="0" applyNumberFormat="1" applyBorder="1"/>
    <xf numFmtId="10" fontId="0" fillId="0" borderId="1" xfId="2" applyNumberFormat="1" applyFont="1" applyBorder="1" applyAlignment="1">
      <alignment horizontal="center" vertical="center"/>
    </xf>
    <xf numFmtId="0" fontId="3" fillId="0" borderId="10" xfId="0" applyFont="1" applyBorder="1"/>
    <xf numFmtId="0" fontId="0" fillId="0" borderId="10" xfId="0" applyBorder="1"/>
    <xf numFmtId="44" fontId="0" fillId="0" borderId="1" xfId="3" applyFont="1" applyBorder="1" applyAlignment="1">
      <alignment horizontal="center" vertical="center"/>
    </xf>
    <xf numFmtId="44" fontId="3" fillId="0" borderId="1" xfId="3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4" fontId="0" fillId="0" borderId="21" xfId="0" applyNumberFormat="1" applyBorder="1" applyAlignment="1">
      <alignment horizontal="center" vertical="center"/>
    </xf>
    <xf numFmtId="44" fontId="0" fillId="0" borderId="21" xfId="3" applyFont="1" applyBorder="1" applyAlignment="1">
      <alignment horizontal="center" vertical="center"/>
    </xf>
    <xf numFmtId="0" fontId="13" fillId="0" borderId="0" xfId="0" applyFont="1" applyFill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3" fillId="3" borderId="0" xfId="0" applyFont="1" applyFill="1" applyAlignment="1">
      <alignment horizontal="center" vertical="center"/>
    </xf>
    <xf numFmtId="44" fontId="0" fillId="0" borderId="0" xfId="0" applyNumberFormat="1" applyAlignment="1">
      <alignment vertical="center"/>
    </xf>
    <xf numFmtId="8" fontId="0" fillId="0" borderId="0" xfId="0" applyNumberFormat="1" applyAlignment="1">
      <alignment vertical="center"/>
    </xf>
    <xf numFmtId="44" fontId="0" fillId="3" borderId="0" xfId="0" applyNumberFormat="1" applyFill="1" applyAlignment="1">
      <alignment vertical="center"/>
    </xf>
    <xf numFmtId="8" fontId="0" fillId="3" borderId="0" xfId="0" applyNumberFormat="1" applyFill="1" applyAlignment="1">
      <alignment vertical="center"/>
    </xf>
    <xf numFmtId="6" fontId="0" fillId="0" borderId="0" xfId="0" applyNumberFormat="1"/>
    <xf numFmtId="44" fontId="0" fillId="0" borderId="0" xfId="0" applyNumberFormat="1" applyFill="1" applyAlignment="1">
      <alignment vertical="center"/>
    </xf>
    <xf numFmtId="8" fontId="0" fillId="0" borderId="0" xfId="0" applyNumberFormat="1" applyFill="1" applyAlignment="1">
      <alignment vertical="center"/>
    </xf>
    <xf numFmtId="6" fontId="0" fillId="3" borderId="0" xfId="0" applyNumberFormat="1" applyFill="1"/>
    <xf numFmtId="0" fontId="2" fillId="0" borderId="0" xfId="5"/>
    <xf numFmtId="42" fontId="16" fillId="0" borderId="68" xfId="5" applyNumberFormat="1" applyFont="1" applyBorder="1"/>
    <xf numFmtId="3" fontId="2" fillId="0" borderId="0" xfId="5" applyNumberFormat="1" applyFill="1" applyBorder="1"/>
    <xf numFmtId="186" fontId="2" fillId="0" borderId="0" xfId="5" applyNumberFormat="1"/>
    <xf numFmtId="184" fontId="16" fillId="0" borderId="0" xfId="5" applyNumberFormat="1" applyFont="1" applyBorder="1"/>
    <xf numFmtId="188" fontId="16" fillId="0" borderId="68" xfId="5" applyNumberFormat="1" applyFont="1" applyBorder="1"/>
    <xf numFmtId="189" fontId="16" fillId="0" borderId="0" xfId="5" applyNumberFormat="1" applyFont="1" applyFill="1" applyBorder="1"/>
    <xf numFmtId="190" fontId="2" fillId="0" borderId="0" xfId="5" applyNumberFormat="1" applyFill="1" applyBorder="1"/>
    <xf numFmtId="190" fontId="2" fillId="0" borderId="0" xfId="5" applyNumberFormat="1"/>
    <xf numFmtId="0" fontId="2" fillId="0" borderId="0" xfId="5" applyAlignment="1">
      <alignment vertical="center"/>
    </xf>
    <xf numFmtId="186" fontId="15" fillId="3" borderId="0" xfId="5" applyNumberFormat="1" applyFont="1" applyFill="1" applyAlignment="1">
      <alignment vertical="center"/>
    </xf>
    <xf numFmtId="188" fontId="15" fillId="3" borderId="0" xfId="5" applyNumberFormat="1" applyFont="1" applyFill="1" applyAlignment="1">
      <alignment vertical="center"/>
    </xf>
    <xf numFmtId="42" fontId="15" fillId="3" borderId="0" xfId="6" applyNumberFormat="1" applyFont="1" applyFill="1" applyAlignment="1">
      <alignment vertical="center"/>
    </xf>
    <xf numFmtId="0" fontId="2" fillId="0" borderId="84" xfId="5" applyBorder="1" applyAlignment="1">
      <alignment vertical="center"/>
    </xf>
    <xf numFmtId="190" fontId="2" fillId="0" borderId="83" xfId="5" applyNumberFormat="1" applyBorder="1" applyAlignment="1">
      <alignment vertical="center"/>
    </xf>
    <xf numFmtId="190" fontId="2" fillId="0" borderId="82" xfId="5" applyNumberFormat="1" applyBorder="1" applyAlignment="1">
      <alignment vertical="center"/>
    </xf>
    <xf numFmtId="0" fontId="2" fillId="0" borderId="81" xfId="5" applyBorder="1" applyAlignment="1">
      <alignment vertical="center"/>
    </xf>
    <xf numFmtId="2" fontId="2" fillId="0" borderId="14" xfId="5" applyNumberFormat="1" applyBorder="1" applyAlignment="1">
      <alignment vertical="center"/>
    </xf>
    <xf numFmtId="2" fontId="2" fillId="0" borderId="71" xfId="5" applyNumberFormat="1" applyBorder="1" applyAlignment="1">
      <alignment vertical="center"/>
    </xf>
    <xf numFmtId="0" fontId="2" fillId="0" borderId="39" xfId="5" applyBorder="1" applyAlignment="1">
      <alignment vertical="center"/>
    </xf>
    <xf numFmtId="188" fontId="2" fillId="0" borderId="14" xfId="5" applyNumberFormat="1" applyBorder="1" applyAlignment="1">
      <alignment vertical="center"/>
    </xf>
    <xf numFmtId="188" fontId="2" fillId="0" borderId="71" xfId="5" applyNumberFormat="1" applyBorder="1" applyAlignment="1">
      <alignment vertical="center"/>
    </xf>
    <xf numFmtId="42" fontId="2" fillId="0" borderId="14" xfId="5" applyNumberFormat="1" applyBorder="1" applyAlignment="1">
      <alignment vertical="center"/>
    </xf>
    <xf numFmtId="42" fontId="2" fillId="0" borderId="71" xfId="5" applyNumberFormat="1" applyBorder="1" applyAlignment="1">
      <alignment vertical="center"/>
    </xf>
    <xf numFmtId="0" fontId="2" fillId="0" borderId="80" xfId="5" applyBorder="1" applyAlignment="1">
      <alignment vertical="center"/>
    </xf>
    <xf numFmtId="0" fontId="2" fillId="0" borderId="79" xfId="5" applyBorder="1" applyAlignment="1">
      <alignment vertical="center"/>
    </xf>
    <xf numFmtId="0" fontId="2" fillId="0" borderId="78" xfId="5" applyBorder="1" applyAlignment="1">
      <alignment vertical="center"/>
    </xf>
    <xf numFmtId="0" fontId="2" fillId="0" borderId="77" xfId="5" applyBorder="1" applyAlignment="1">
      <alignment vertical="center"/>
    </xf>
    <xf numFmtId="188" fontId="2" fillId="0" borderId="76" xfId="5" applyNumberFormat="1" applyBorder="1" applyAlignment="1">
      <alignment vertical="center"/>
    </xf>
    <xf numFmtId="0" fontId="2" fillId="0" borderId="41" xfId="5" applyBorder="1" applyAlignment="1">
      <alignment vertical="center"/>
    </xf>
    <xf numFmtId="0" fontId="2" fillId="0" borderId="75" xfId="5" applyFill="1" applyBorder="1" applyAlignment="1">
      <alignment vertical="center"/>
    </xf>
    <xf numFmtId="187" fontId="2" fillId="0" borderId="73" xfId="5" applyNumberFormat="1" applyBorder="1" applyAlignment="1">
      <alignment vertical="center"/>
    </xf>
    <xf numFmtId="187" fontId="2" fillId="0" borderId="72" xfId="5" applyNumberFormat="1" applyBorder="1" applyAlignment="1">
      <alignment vertical="center"/>
    </xf>
    <xf numFmtId="0" fontId="2" fillId="0" borderId="74" xfId="5" applyFill="1" applyBorder="1" applyAlignment="1">
      <alignment vertical="center"/>
    </xf>
    <xf numFmtId="186" fontId="2" fillId="0" borderId="70" xfId="5" applyNumberFormat="1" applyBorder="1" applyAlignment="1">
      <alignment vertical="center"/>
    </xf>
    <xf numFmtId="186" fontId="2" fillId="0" borderId="69" xfId="5" applyNumberFormat="1" applyBorder="1" applyAlignment="1">
      <alignment vertical="center"/>
    </xf>
    <xf numFmtId="0" fontId="2" fillId="3" borderId="0" xfId="5" applyFill="1" applyAlignment="1">
      <alignment vertical="center"/>
    </xf>
    <xf numFmtId="0" fontId="2" fillId="0" borderId="36" xfId="5" applyBorder="1" applyAlignment="1">
      <alignment vertical="center"/>
    </xf>
    <xf numFmtId="0" fontId="2" fillId="0" borderId="73" xfId="5" applyBorder="1" applyAlignment="1">
      <alignment vertical="center"/>
    </xf>
    <xf numFmtId="3" fontId="2" fillId="0" borderId="73" xfId="5" applyNumberFormat="1" applyBorder="1" applyAlignment="1">
      <alignment vertical="center"/>
    </xf>
    <xf numFmtId="3" fontId="2" fillId="0" borderId="72" xfId="5" applyNumberFormat="1" applyBorder="1" applyAlignment="1">
      <alignment vertical="center"/>
    </xf>
    <xf numFmtId="3" fontId="2" fillId="0" borderId="14" xfId="5" applyNumberFormat="1" applyBorder="1" applyAlignment="1">
      <alignment vertical="center"/>
    </xf>
    <xf numFmtId="3" fontId="2" fillId="0" borderId="71" xfId="5" applyNumberFormat="1" applyBorder="1" applyAlignment="1">
      <alignment vertical="center"/>
    </xf>
    <xf numFmtId="0" fontId="15" fillId="0" borderId="85" xfId="5" applyFont="1" applyBorder="1" applyAlignment="1">
      <alignment horizontal="center" vertical="center"/>
    </xf>
    <xf numFmtId="0" fontId="2" fillId="3" borderId="86" xfId="5" applyFill="1" applyBorder="1" applyAlignment="1">
      <alignment vertical="center"/>
    </xf>
    <xf numFmtId="0" fontId="15" fillId="3" borderId="86" xfId="5" applyFont="1" applyFill="1" applyBorder="1" applyAlignment="1">
      <alignment vertical="center"/>
    </xf>
    <xf numFmtId="3" fontId="16" fillId="0" borderId="68" xfId="5" applyNumberFormat="1" applyFont="1" applyBorder="1"/>
    <xf numFmtId="185" fontId="15" fillId="3" borderId="87" xfId="5" applyNumberFormat="1" applyFont="1" applyFill="1" applyBorder="1" applyAlignment="1">
      <alignment vertical="center"/>
    </xf>
    <xf numFmtId="0" fontId="2" fillId="0" borderId="90" xfId="5" applyBorder="1"/>
    <xf numFmtId="0" fontId="2" fillId="0" borderId="90" xfId="5" applyBorder="1" applyAlignment="1">
      <alignment vertical="center"/>
    </xf>
    <xf numFmtId="184" fontId="2" fillId="0" borderId="90" xfId="5" applyNumberFormat="1" applyBorder="1" applyAlignment="1">
      <alignment vertical="center"/>
    </xf>
    <xf numFmtId="191" fontId="0" fillId="0" borderId="0" xfId="0" applyNumberFormat="1"/>
    <xf numFmtId="0" fontId="4" fillId="2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44" fontId="7" fillId="0" borderId="0" xfId="1" applyFon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91" xfId="0" applyBorder="1" applyAlignment="1">
      <alignment horizontal="center" vertical="center"/>
    </xf>
    <xf numFmtId="44" fontId="0" fillId="0" borderId="67" xfId="3" applyNumberFormat="1" applyFont="1" applyBorder="1" applyAlignment="1">
      <alignment horizontal="center"/>
    </xf>
    <xf numFmtId="44" fontId="0" fillId="0" borderId="67" xfId="3" applyFont="1" applyBorder="1"/>
    <xf numFmtId="44" fontId="18" fillId="0" borderId="4" xfId="3" applyFont="1" applyBorder="1" applyAlignment="1">
      <alignment horizontal="center"/>
    </xf>
    <xf numFmtId="8" fontId="0" fillId="0" borderId="4" xfId="0" applyNumberFormat="1" applyBorder="1" applyAlignment="1">
      <alignment horizontal="center"/>
    </xf>
    <xf numFmtId="8" fontId="19" fillId="2" borderId="0" xfId="0" applyNumberFormat="1" applyFont="1" applyFill="1" applyBorder="1" applyAlignment="1">
      <alignment horizontal="center" wrapText="1"/>
    </xf>
    <xf numFmtId="8" fontId="0" fillId="0" borderId="1" xfId="0" applyNumberFormat="1" applyBorder="1" applyAlignment="1">
      <alignment horizontal="right" vertical="center"/>
    </xf>
    <xf numFmtId="0" fontId="4" fillId="2" borderId="92" xfId="0" applyFont="1" applyFill="1" applyBorder="1" applyAlignment="1">
      <alignment horizontal="center" vertical="center"/>
    </xf>
    <xf numFmtId="14" fontId="5" fillId="2" borderId="67" xfId="0" applyNumberFormat="1" applyFont="1" applyFill="1" applyBorder="1"/>
    <xf numFmtId="0" fontId="6" fillId="0" borderId="93" xfId="0" applyFont="1" applyBorder="1" applyAlignment="1">
      <alignment horizontal="center"/>
    </xf>
    <xf numFmtId="0" fontId="4" fillId="2" borderId="94" xfId="0" applyFont="1" applyFill="1" applyBorder="1" applyAlignment="1">
      <alignment horizontal="center" vertical="center"/>
    </xf>
    <xf numFmtId="14" fontId="5" fillId="2" borderId="95" xfId="0" applyNumberFormat="1" applyFont="1" applyFill="1" applyBorder="1"/>
    <xf numFmtId="0" fontId="6" fillId="0" borderId="96" xfId="0" applyFont="1" applyBorder="1" applyAlignment="1">
      <alignment horizontal="center" vertical="center"/>
    </xf>
    <xf numFmtId="0" fontId="0" fillId="0" borderId="35" xfId="0" applyBorder="1"/>
    <xf numFmtId="8" fontId="0" fillId="0" borderId="0" xfId="0" applyNumberFormat="1"/>
    <xf numFmtId="8" fontId="10" fillId="0" borderId="67" xfId="3" applyNumberFormat="1" applyFont="1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44" fontId="18" fillId="0" borderId="4" xfId="3" applyFont="1" applyBorder="1" applyAlignment="1">
      <alignment horizontal="center" vertical="center"/>
    </xf>
    <xf numFmtId="192" fontId="0" fillId="0" borderId="4" xfId="0" applyNumberFormat="1" applyBorder="1" applyAlignment="1">
      <alignment horizontal="center" vertical="center"/>
    </xf>
    <xf numFmtId="0" fontId="9" fillId="0" borderId="0" xfId="0" applyFont="1" applyFill="1" applyBorder="1" applyAlignment="1">
      <alignment horizontal="right"/>
    </xf>
    <xf numFmtId="0" fontId="9" fillId="0" borderId="97" xfId="0" applyFont="1" applyFill="1" applyBorder="1" applyAlignment="1">
      <alignment horizontal="right"/>
    </xf>
    <xf numFmtId="0" fontId="1" fillId="0" borderId="0" xfId="5" applyFont="1"/>
    <xf numFmtId="193" fontId="15" fillId="3" borderId="87" xfId="5" applyNumberFormat="1" applyFont="1" applyFill="1" applyBorder="1" applyAlignment="1">
      <alignment vertical="center"/>
    </xf>
    <xf numFmtId="196" fontId="2" fillId="0" borderId="14" xfId="5" applyNumberFormat="1" applyBorder="1" applyAlignment="1">
      <alignment vertical="center"/>
    </xf>
    <xf numFmtId="196" fontId="2" fillId="0" borderId="71" xfId="5" applyNumberFormat="1" applyBorder="1" applyAlignment="1">
      <alignment vertical="center"/>
    </xf>
    <xf numFmtId="194" fontId="2" fillId="0" borderId="70" xfId="5" applyNumberFormat="1" applyBorder="1" applyAlignment="1">
      <alignment vertical="center"/>
    </xf>
    <xf numFmtId="195" fontId="2" fillId="0" borderId="70" xfId="5" applyNumberFormat="1" applyBorder="1" applyAlignment="1">
      <alignment vertical="center"/>
    </xf>
    <xf numFmtId="195" fontId="2" fillId="0" borderId="69" xfId="5" applyNumberFormat="1" applyBorder="1" applyAlignment="1">
      <alignment vertical="center"/>
    </xf>
    <xf numFmtId="194" fontId="16" fillId="0" borderId="68" xfId="5" applyNumberFormat="1" applyFont="1" applyBorder="1"/>
    <xf numFmtId="195" fontId="16" fillId="0" borderId="68" xfId="5" applyNumberFormat="1" applyFont="1" applyBorder="1"/>
    <xf numFmtId="180" fontId="5" fillId="0" borderId="6" xfId="0" applyNumberFormat="1" applyFont="1" applyBorder="1" applyAlignment="1">
      <alignment horizontal="center"/>
    </xf>
    <xf numFmtId="0" fontId="0" fillId="0" borderId="98" xfId="0" applyBorder="1"/>
    <xf numFmtId="165" fontId="3" fillId="0" borderId="99" xfId="2" applyNumberFormat="1" applyBorder="1" applyAlignment="1">
      <alignment horizontal="center"/>
    </xf>
    <xf numFmtId="10" fontId="7" fillId="0" borderId="11" xfId="2" applyNumberFormat="1" applyFont="1" applyBorder="1" applyAlignment="1">
      <alignment horizontal="center" vertical="center"/>
    </xf>
    <xf numFmtId="10" fontId="7" fillId="0" borderId="8" xfId="2" applyNumberFormat="1" applyFont="1" applyBorder="1" applyAlignment="1">
      <alignment horizontal="center" vertical="center"/>
    </xf>
    <xf numFmtId="44" fontId="7" fillId="0" borderId="93" xfId="3" applyFont="1" applyBorder="1" applyAlignment="1">
      <alignment horizontal="center" vertical="center"/>
    </xf>
    <xf numFmtId="172" fontId="3" fillId="0" borderId="47" xfId="0" applyNumberFormat="1" applyFont="1" applyBorder="1" applyAlignment="1">
      <alignment horizontal="center" vertical="center"/>
    </xf>
    <xf numFmtId="172" fontId="3" fillId="0" borderId="48" xfId="0" applyNumberFormat="1" applyFont="1" applyBorder="1" applyAlignment="1">
      <alignment horizontal="center" vertical="center"/>
    </xf>
    <xf numFmtId="172" fontId="0" fillId="0" borderId="80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73" fontId="0" fillId="0" borderId="100" xfId="0" applyNumberFormat="1" applyBorder="1" applyAlignment="1">
      <alignment horizontal="center" vertical="center"/>
    </xf>
    <xf numFmtId="172" fontId="0" fillId="0" borderId="6" xfId="0" applyNumberFormat="1" applyBorder="1" applyAlignment="1">
      <alignment horizontal="center" vertical="center"/>
    </xf>
    <xf numFmtId="172" fontId="0" fillId="0" borderId="63" xfId="0" applyNumberFormat="1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173" fontId="0" fillId="0" borderId="63" xfId="0" applyNumberFormat="1" applyBorder="1" applyAlignment="1">
      <alignment horizontal="center" vertical="center"/>
    </xf>
    <xf numFmtId="1" fontId="7" fillId="0" borderId="11" xfId="0" applyNumberFormat="1" applyFont="1" applyBorder="1" applyAlignment="1">
      <alignment horizontal="center"/>
    </xf>
    <xf numFmtId="1" fontId="7" fillId="0" borderId="93" xfId="0" applyNumberFormat="1" applyFont="1" applyBorder="1" applyAlignment="1">
      <alignment horizontal="center"/>
    </xf>
    <xf numFmtId="0" fontId="4" fillId="2" borderId="3" xfId="0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173" fontId="0" fillId="0" borderId="0" xfId="0" applyNumberFormat="1"/>
    <xf numFmtId="0" fontId="0" fillId="0" borderId="67" xfId="0" applyBorder="1"/>
    <xf numFmtId="0" fontId="0" fillId="0" borderId="101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33" xfId="0" applyFont="1" applyBorder="1" applyAlignment="1">
      <alignment horizontal="center" vertical="center"/>
    </xf>
    <xf numFmtId="1" fontId="0" fillId="0" borderId="102" xfId="0" applyNumberFormat="1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1" fontId="0" fillId="0" borderId="53" xfId="0" applyNumberFormat="1" applyBorder="1" applyAlignment="1">
      <alignment horizontal="center" vertical="center"/>
    </xf>
    <xf numFmtId="172" fontId="0" fillId="0" borderId="67" xfId="0" applyNumberFormat="1" applyBorder="1" applyAlignment="1">
      <alignment horizontal="center" vertical="center"/>
    </xf>
    <xf numFmtId="172" fontId="0" fillId="0" borderId="103" xfId="0" applyNumberFormat="1" applyBorder="1" applyAlignment="1">
      <alignment horizontal="center" vertical="center"/>
    </xf>
    <xf numFmtId="172" fontId="11" fillId="0" borderId="67" xfId="0" applyNumberFormat="1" applyFont="1" applyBorder="1" applyAlignment="1">
      <alignment horizontal="center" vertical="center"/>
    </xf>
    <xf numFmtId="172" fontId="0" fillId="0" borderId="105" xfId="0" applyNumberFormat="1" applyBorder="1" applyAlignment="1">
      <alignment horizontal="center" vertical="center"/>
    </xf>
    <xf numFmtId="1" fontId="0" fillId="0" borderId="97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right"/>
    </xf>
    <xf numFmtId="1" fontId="0" fillId="0" borderId="108" xfId="0" applyNumberFormat="1" applyBorder="1" applyAlignment="1">
      <alignment horizontal="right"/>
    </xf>
    <xf numFmtId="197" fontId="0" fillId="0" borderId="67" xfId="0" applyNumberFormat="1" applyBorder="1" applyAlignment="1">
      <alignment horizontal="left" vertical="center"/>
    </xf>
    <xf numFmtId="197" fontId="0" fillId="0" borderId="109" xfId="0" applyNumberFormat="1" applyBorder="1" applyAlignment="1">
      <alignment horizontal="left" vertical="center"/>
    </xf>
    <xf numFmtId="14" fontId="0" fillId="0" borderId="39" xfId="0" applyNumberFormat="1" applyBorder="1" applyAlignment="1">
      <alignment horizontal="center" vertical="center"/>
    </xf>
    <xf numFmtId="14" fontId="0" fillId="0" borderId="41" xfId="0" applyNumberFormat="1" applyBorder="1" applyAlignment="1">
      <alignment horizontal="center" vertical="center"/>
    </xf>
    <xf numFmtId="14" fontId="0" fillId="0" borderId="81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5" fillId="0" borderId="84" xfId="0" applyNumberFormat="1" applyFont="1" applyBorder="1" applyAlignment="1">
      <alignment horizontal="center" vertical="center"/>
    </xf>
    <xf numFmtId="0" fontId="0" fillId="0" borderId="83" xfId="0" applyBorder="1" applyAlignment="1">
      <alignment horizontal="center" vertical="center"/>
    </xf>
    <xf numFmtId="0" fontId="5" fillId="0" borderId="83" xfId="0" applyFont="1" applyBorder="1" applyAlignment="1">
      <alignment horizontal="center" vertical="center"/>
    </xf>
    <xf numFmtId="0" fontId="5" fillId="0" borderId="82" xfId="0" applyFont="1" applyBorder="1" applyAlignment="1">
      <alignment horizontal="center" vertical="center"/>
    </xf>
    <xf numFmtId="198" fontId="0" fillId="0" borderId="0" xfId="0" applyNumberFormat="1" applyAlignment="1">
      <alignment horizontal="center" vertical="center"/>
    </xf>
    <xf numFmtId="169" fontId="0" fillId="0" borderId="15" xfId="0" applyNumberFormat="1" applyBorder="1" applyAlignment="1">
      <alignment horizontal="center" vertical="center"/>
    </xf>
    <xf numFmtId="169" fontId="0" fillId="0" borderId="110" xfId="0" applyNumberFormat="1" applyBorder="1" applyAlignment="1">
      <alignment horizontal="center" vertical="center"/>
    </xf>
    <xf numFmtId="169" fontId="0" fillId="0" borderId="40" xfId="0" applyNumberFormat="1" applyBorder="1" applyAlignment="1">
      <alignment horizontal="center" vertical="center"/>
    </xf>
    <xf numFmtId="169" fontId="0" fillId="0" borderId="42" xfId="0" applyNumberFormat="1" applyBorder="1" applyAlignment="1">
      <alignment horizontal="center" vertical="center"/>
    </xf>
    <xf numFmtId="169" fontId="0" fillId="0" borderId="43" xfId="0" applyNumberFormat="1" applyBorder="1" applyAlignment="1">
      <alignment horizontal="center" vertical="center"/>
    </xf>
    <xf numFmtId="198" fontId="10" fillId="0" borderId="0" xfId="0" applyNumberFormat="1" applyFont="1" applyBorder="1" applyAlignment="1">
      <alignment vertical="center"/>
    </xf>
    <xf numFmtId="199" fontId="0" fillId="0" borderId="0" xfId="0" applyNumberFormat="1"/>
    <xf numFmtId="169" fontId="0" fillId="0" borderId="0" xfId="0" applyNumberFormat="1" applyAlignment="1">
      <alignment horizontal="center" vertical="center"/>
    </xf>
    <xf numFmtId="174" fontId="0" fillId="0" borderId="0" xfId="0" applyNumberFormat="1" applyAlignment="1">
      <alignment horizontal="left"/>
    </xf>
    <xf numFmtId="44" fontId="0" fillId="0" borderId="0" xfId="0" applyNumberFormat="1" applyAlignment="1">
      <alignment horizontal="center"/>
    </xf>
    <xf numFmtId="0" fontId="4" fillId="2" borderId="3" xfId="0" applyFont="1" applyFill="1" applyBorder="1" applyAlignment="1">
      <alignment horizontal="center" vertical="center" wrapText="1"/>
    </xf>
    <xf numFmtId="44" fontId="7" fillId="0" borderId="11" xfId="1" applyFont="1" applyBorder="1" applyAlignment="1">
      <alignment horizontal="center"/>
    </xf>
    <xf numFmtId="44" fontId="7" fillId="0" borderId="34" xfId="1" applyFont="1" applyBorder="1" applyAlignment="1">
      <alignment horizontal="center"/>
    </xf>
    <xf numFmtId="44" fontId="0" fillId="0" borderId="0" xfId="0" applyNumberFormat="1" applyAlignment="1">
      <alignment horizontal="left" vertical="center"/>
    </xf>
    <xf numFmtId="0" fontId="0" fillId="0" borderId="35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44" fontId="7" fillId="0" borderId="11" xfId="1" applyFont="1" applyBorder="1" applyAlignment="1">
      <alignment horizontal="center" vertical="center"/>
    </xf>
    <xf numFmtId="44" fontId="7" fillId="0" borderId="34" xfId="1" applyFont="1" applyBorder="1" applyAlignment="1">
      <alignment horizontal="center" vertical="center"/>
    </xf>
    <xf numFmtId="0" fontId="5" fillId="0" borderId="55" xfId="0" applyFont="1" applyBorder="1" applyAlignment="1">
      <alignment horizontal="center"/>
    </xf>
    <xf numFmtId="0" fontId="5" fillId="0" borderId="56" xfId="0" applyFont="1" applyBorder="1" applyAlignment="1">
      <alignment horizontal="center"/>
    </xf>
    <xf numFmtId="0" fontId="5" fillId="0" borderId="59" xfId="0" applyFont="1" applyBorder="1" applyAlignment="1">
      <alignment horizontal="center"/>
    </xf>
    <xf numFmtId="0" fontId="5" fillId="0" borderId="60" xfId="0" applyFont="1" applyBorder="1" applyAlignment="1">
      <alignment horizontal="center"/>
    </xf>
    <xf numFmtId="0" fontId="5" fillId="0" borderId="61" xfId="0" applyFont="1" applyBorder="1" applyAlignment="1">
      <alignment horizontal="center"/>
    </xf>
    <xf numFmtId="0" fontId="5" fillId="0" borderId="62" xfId="0" applyFont="1" applyBorder="1" applyAlignment="1">
      <alignment horizontal="center"/>
    </xf>
    <xf numFmtId="0" fontId="5" fillId="0" borderId="63" xfId="0" applyFont="1" applyBorder="1" applyAlignment="1">
      <alignment horizontal="center"/>
    </xf>
    <xf numFmtId="0" fontId="5" fillId="0" borderId="64" xfId="0" applyFont="1" applyBorder="1" applyAlignment="1">
      <alignment horizontal="center"/>
    </xf>
    <xf numFmtId="0" fontId="3" fillId="0" borderId="53" xfId="0" applyFont="1" applyBorder="1" applyAlignment="1">
      <alignment horizontal="center"/>
    </xf>
    <xf numFmtId="0" fontId="3" fillId="0" borderId="54" xfId="0" applyFont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5" fillId="0" borderId="37" xfId="0" applyFont="1" applyBorder="1" applyAlignment="1">
      <alignment horizontal="center"/>
    </xf>
    <xf numFmtId="0" fontId="5" fillId="0" borderId="55" xfId="0" applyFont="1" applyBorder="1" applyAlignment="1">
      <alignment horizontal="center" vertical="center"/>
    </xf>
    <xf numFmtId="0" fontId="5" fillId="0" borderId="56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0" borderId="57" xfId="0" applyFont="1" applyBorder="1" applyAlignment="1">
      <alignment horizontal="center"/>
    </xf>
    <xf numFmtId="0" fontId="5" fillId="0" borderId="58" xfId="0" applyFon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67" xfId="0" applyNumberFormat="1" applyBorder="1" applyAlignment="1">
      <alignment horizontal="center"/>
    </xf>
    <xf numFmtId="169" fontId="0" fillId="0" borderId="10" xfId="0" applyNumberFormat="1" applyBorder="1" applyAlignment="1">
      <alignment horizontal="center" vertical="center"/>
    </xf>
    <xf numFmtId="169" fontId="0" fillId="0" borderId="67" xfId="0" applyNumberFormat="1" applyBorder="1" applyAlignment="1">
      <alignment horizontal="center" vertical="center"/>
    </xf>
    <xf numFmtId="44" fontId="0" fillId="0" borderId="99" xfId="3" applyFont="1" applyBorder="1" applyAlignment="1">
      <alignment horizontal="center" vertical="center"/>
    </xf>
    <xf numFmtId="44" fontId="0" fillId="0" borderId="105" xfId="3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92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169" fontId="0" fillId="0" borderId="106" xfId="0" applyNumberFormat="1" applyBorder="1" applyAlignment="1">
      <alignment horizontal="center" vertical="center"/>
    </xf>
    <xf numFmtId="44" fontId="0" fillId="0" borderId="91" xfId="3" applyFont="1" applyBorder="1" applyAlignment="1">
      <alignment horizontal="center" vertical="center"/>
    </xf>
    <xf numFmtId="44" fontId="0" fillId="0" borderId="107" xfId="3" applyFont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 wrapText="1"/>
    </xf>
    <xf numFmtId="0" fontId="4" fillId="2" borderId="92" xfId="0" applyFont="1" applyFill="1" applyBorder="1" applyAlignment="1">
      <alignment horizontal="center" vertical="center" wrapText="1"/>
    </xf>
    <xf numFmtId="1" fontId="7" fillId="0" borderId="11" xfId="0" applyNumberFormat="1" applyFont="1" applyBorder="1" applyAlignment="1">
      <alignment horizontal="center"/>
    </xf>
    <xf numFmtId="1" fontId="7" fillId="0" borderId="93" xfId="0" applyNumberFormat="1" applyFont="1" applyBorder="1" applyAlignment="1">
      <alignment horizontal="center"/>
    </xf>
    <xf numFmtId="0" fontId="5" fillId="0" borderId="104" xfId="0" applyFont="1" applyBorder="1" applyAlignment="1">
      <alignment horizontal="center"/>
    </xf>
    <xf numFmtId="0" fontId="5" fillId="0" borderId="44" xfId="0" applyFont="1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0" fillId="0" borderId="0" xfId="0" applyNumberFormat="1" applyAlignment="1">
      <alignment horizontal="center"/>
    </xf>
    <xf numFmtId="0" fontId="5" fillId="0" borderId="49" xfId="0" applyFont="1" applyBorder="1" applyAlignment="1">
      <alignment horizontal="center"/>
    </xf>
    <xf numFmtId="0" fontId="5" fillId="0" borderId="50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30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17" fillId="0" borderId="85" xfId="5" applyFont="1" applyBorder="1" applyAlignment="1">
      <alignment horizontal="center" textRotation="255"/>
    </xf>
    <xf numFmtId="0" fontId="17" fillId="0" borderId="88" xfId="5" applyFont="1" applyBorder="1" applyAlignment="1">
      <alignment horizontal="center" textRotation="255"/>
    </xf>
    <xf numFmtId="0" fontId="17" fillId="0" borderId="89" xfId="5" applyFont="1" applyBorder="1" applyAlignment="1">
      <alignment horizontal="center" textRotation="255"/>
    </xf>
    <xf numFmtId="0" fontId="15" fillId="0" borderId="85" xfId="5" applyFont="1" applyBorder="1" applyAlignment="1">
      <alignment horizontal="center" vertical="center" textRotation="255"/>
    </xf>
    <xf numFmtId="0" fontId="15" fillId="0" borderId="88" xfId="5" applyFont="1" applyBorder="1" applyAlignment="1">
      <alignment horizontal="center" vertical="center" textRotation="255"/>
    </xf>
    <xf numFmtId="0" fontId="15" fillId="0" borderId="89" xfId="5" applyFont="1" applyBorder="1" applyAlignment="1">
      <alignment horizontal="center" vertical="center" textRotation="255"/>
    </xf>
    <xf numFmtId="0" fontId="10" fillId="0" borderId="0" xfId="0" applyFont="1" applyAlignment="1">
      <alignment horizontal="center"/>
    </xf>
  </cellXfs>
  <cellStyles count="7">
    <cellStyle name="Euro" xfId="1"/>
    <cellStyle name="Milliers" xfId="4" builtinId="3"/>
    <cellStyle name="Monétaire" xfId="3" builtinId="4"/>
    <cellStyle name="Monétaire 2" xfId="6"/>
    <cellStyle name="Normal" xfId="0" builtinId="0"/>
    <cellStyle name="Normal 2" xfId="5"/>
    <cellStyle name="Pourcentage" xfId="2" builtinId="5"/>
  </cellStyles>
  <dxfs count="9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colors>
    <mruColors>
      <color rgb="FF00FF00"/>
      <color rgb="FF0000FF"/>
      <color rgb="FFFF66CC"/>
      <color rgb="FFF1B00F"/>
      <color rgb="FFFF3300"/>
      <color rgb="FFFF00FF"/>
      <color rgb="FF00CCFF"/>
      <color rgb="FF00FFCC"/>
      <color rgb="FFCC00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8524684644685728E-2"/>
          <c:y val="5.3291617621622794E-2"/>
          <c:w val="0.82623039001706156"/>
          <c:h val="0.7115998353005315"/>
        </c:manualLayout>
      </c:layout>
      <c:lineChart>
        <c:grouping val="standard"/>
        <c:ser>
          <c:idx val="0"/>
          <c:order val="0"/>
          <c:tx>
            <c:strRef>
              <c:f>'05_06'!$D$1</c:f>
              <c:strCache>
                <c:ptCount val="1"/>
                <c:pt idx="0">
                  <c:v>Consommat. H. Creuse</c:v>
                </c:pt>
              </c:strCache>
            </c:strRef>
          </c:tx>
          <c:spPr>
            <a:ln w="25400">
              <a:solidFill>
                <a:srgbClr val="00FF00"/>
              </a:solidFill>
              <a:prstDash val="solid"/>
            </a:ln>
          </c:spPr>
          <c:marker>
            <c:symbol val="none"/>
          </c:marker>
          <c:cat>
            <c:numRef>
              <c:f>'05_06'!$A$3:$A$7</c:f>
              <c:numCache>
                <c:formatCode>dd/mm/yyyy</c:formatCode>
                <c:ptCount val="5"/>
                <c:pt idx="0">
                  <c:v>38593</c:v>
                </c:pt>
                <c:pt idx="1">
                  <c:v>38624</c:v>
                </c:pt>
                <c:pt idx="2">
                  <c:v>38654</c:v>
                </c:pt>
                <c:pt idx="3">
                  <c:v>38685</c:v>
                </c:pt>
                <c:pt idx="4">
                  <c:v>38715</c:v>
                </c:pt>
              </c:numCache>
            </c:numRef>
          </c:cat>
          <c:val>
            <c:numRef>
              <c:f>'05_06'!$D$3:$D$7</c:f>
              <c:numCache>
                <c:formatCode>General</c:formatCode>
                <c:ptCount val="5"/>
                <c:pt idx="0">
                  <c:v>163</c:v>
                </c:pt>
                <c:pt idx="1">
                  <c:v>184</c:v>
                </c:pt>
                <c:pt idx="2">
                  <c:v>222</c:v>
                </c:pt>
                <c:pt idx="3" formatCode="0">
                  <c:v>402</c:v>
                </c:pt>
                <c:pt idx="4" formatCode="0">
                  <c:v>727</c:v>
                </c:pt>
              </c:numCache>
            </c:numRef>
          </c:val>
        </c:ser>
        <c:ser>
          <c:idx val="1"/>
          <c:order val="1"/>
          <c:tx>
            <c:strRef>
              <c:f>'05_06'!$E$1</c:f>
              <c:strCache>
                <c:ptCount val="1"/>
                <c:pt idx="0">
                  <c:v>Consommat. H. Pleine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'05_06'!$A$3:$A$7</c:f>
              <c:numCache>
                <c:formatCode>dd/mm/yyyy</c:formatCode>
                <c:ptCount val="5"/>
                <c:pt idx="0">
                  <c:v>38593</c:v>
                </c:pt>
                <c:pt idx="1">
                  <c:v>38624</c:v>
                </c:pt>
                <c:pt idx="2">
                  <c:v>38654</c:v>
                </c:pt>
                <c:pt idx="3">
                  <c:v>38685</c:v>
                </c:pt>
                <c:pt idx="4">
                  <c:v>38715</c:v>
                </c:pt>
              </c:numCache>
            </c:numRef>
          </c:cat>
          <c:val>
            <c:numRef>
              <c:f>'05_06'!$E$3:$E$7</c:f>
              <c:numCache>
                <c:formatCode>General</c:formatCode>
                <c:ptCount val="5"/>
                <c:pt idx="0">
                  <c:v>150</c:v>
                </c:pt>
                <c:pt idx="1">
                  <c:v>145</c:v>
                </c:pt>
                <c:pt idx="2">
                  <c:v>146</c:v>
                </c:pt>
                <c:pt idx="3" formatCode="0">
                  <c:v>434</c:v>
                </c:pt>
                <c:pt idx="4" formatCode="0">
                  <c:v>1041</c:v>
                </c:pt>
              </c:numCache>
            </c:numRef>
          </c:val>
        </c:ser>
        <c:ser>
          <c:idx val="2"/>
          <c:order val="2"/>
          <c:tx>
            <c:strRef>
              <c:f>'05_06'!$F$1</c:f>
              <c:strCache>
                <c:ptCount val="1"/>
                <c:pt idx="0">
                  <c:v>Total 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val>
            <c:numRef>
              <c:f>'05_06'!$F$3:$F$7</c:f>
              <c:numCache>
                <c:formatCode>General</c:formatCode>
                <c:ptCount val="5"/>
                <c:pt idx="0">
                  <c:v>313</c:v>
                </c:pt>
                <c:pt idx="1">
                  <c:v>329</c:v>
                </c:pt>
                <c:pt idx="2">
                  <c:v>368</c:v>
                </c:pt>
                <c:pt idx="3" formatCode="0">
                  <c:v>836</c:v>
                </c:pt>
                <c:pt idx="4" formatCode="0">
                  <c:v>1768</c:v>
                </c:pt>
              </c:numCache>
            </c:numRef>
          </c:val>
          <c:smooth val="1"/>
        </c:ser>
        <c:marker val="1"/>
        <c:axId val="113686016"/>
        <c:axId val="113687552"/>
      </c:lineChart>
      <c:lineChart>
        <c:grouping val="standard"/>
        <c:ser>
          <c:idx val="3"/>
          <c:order val="3"/>
          <c:tx>
            <c:v>cumul mensuel</c:v>
          </c:tx>
          <c:spPr>
            <a:ln w="25400">
              <a:solidFill>
                <a:srgbClr val="FFFF00"/>
              </a:solidFill>
              <a:prstDash val="solid"/>
            </a:ln>
          </c:spPr>
          <c:marker>
            <c:symbol val="none"/>
          </c:marker>
          <c:val>
            <c:numRef>
              <c:f>'05_06'!$P$3:$P$7</c:f>
              <c:numCache>
                <c:formatCode>0.00</c:formatCode>
                <c:ptCount val="5"/>
                <c:pt idx="0">
                  <c:v>35.125533333333337</c:v>
                </c:pt>
                <c:pt idx="1">
                  <c:v>71.074966666666683</c:v>
                </c:pt>
                <c:pt idx="2">
                  <c:v>109.57730000000001</c:v>
                </c:pt>
                <c:pt idx="3">
                  <c:v>190.11323333333334</c:v>
                </c:pt>
                <c:pt idx="4">
                  <c:v>355.73906666666664</c:v>
                </c:pt>
              </c:numCache>
            </c:numRef>
          </c:val>
          <c:smooth val="1"/>
        </c:ser>
        <c:marker val="1"/>
        <c:axId val="113697536"/>
        <c:axId val="113699072"/>
      </c:lineChart>
      <c:dateAx>
        <c:axId val="113686016"/>
        <c:scaling>
          <c:orientation val="minMax"/>
        </c:scaling>
        <c:axPos val="b"/>
        <c:numFmt formatCode="mmm\-yy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3687552"/>
        <c:crossesAt val="100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13687552"/>
        <c:scaling>
          <c:orientation val="minMax"/>
          <c:max val="1800"/>
          <c:min val="10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\K\w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3686016"/>
        <c:crosses val="autoZero"/>
        <c:crossBetween val="between"/>
        <c:minorUnit val="100"/>
      </c:valAx>
      <c:catAx>
        <c:axId val="113697536"/>
        <c:scaling>
          <c:orientation val="minMax"/>
        </c:scaling>
        <c:delete val="1"/>
        <c:axPos val="b"/>
        <c:tickLblPos val="none"/>
        <c:crossAx val="113699072"/>
        <c:crosses val="autoZero"/>
        <c:auto val="1"/>
        <c:lblAlgn val="ctr"/>
        <c:lblOffset val="100"/>
      </c:catAx>
      <c:valAx>
        <c:axId val="113699072"/>
        <c:scaling>
          <c:orientation val="minMax"/>
          <c:max val="1000"/>
          <c:min val="0"/>
        </c:scaling>
        <c:axPos val="r"/>
        <c:numFmt formatCode="#,##0\ &quot;€&quot;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3697536"/>
        <c:crosses val="max"/>
        <c:crossBetween val="between"/>
      </c:valAx>
      <c:spPr>
        <a:gradFill rotWithShape="0">
          <a:gsLst>
            <a:gs pos="0">
              <a:srgbClr val="C0C0C0">
                <a:gamma/>
                <a:shade val="66275"/>
                <a:invGamma/>
              </a:srgbClr>
            </a:gs>
            <a:gs pos="100000">
              <a:srgbClr val="C0C0C0"/>
            </a:gs>
          </a:gsLst>
          <a:lin ang="5400000" scaled="1"/>
        </a:gradFill>
        <a:ln w="12700">
          <a:solidFill>
            <a:srgbClr val="C0C0C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13333344807308922"/>
          <c:y val="0.8965530405877945"/>
          <c:w val="0.65355260100684109"/>
          <c:h val="8.1504702194358764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35" b="1" i="0" u="none" strike="noStrike" baseline="0">
              <a:solidFill>
                <a:srgbClr val="000000"/>
              </a:solidFill>
              <a:latin typeface="Times New Roman"/>
              <a:ea typeface="Times New Roman"/>
              <a:cs typeface="Times New Roman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8594748736419829E-2"/>
          <c:y val="5.0295857988165681E-2"/>
          <c:w val="0.84215927821856174"/>
          <c:h val="0.71597633136094652"/>
        </c:manualLayout>
      </c:layout>
      <c:barChart>
        <c:barDir val="col"/>
        <c:grouping val="stacked"/>
        <c:ser>
          <c:idx val="1"/>
          <c:order val="0"/>
          <c:tx>
            <c:strRef>
              <c:f>'2006'!$E$1</c:f>
              <c:strCache>
                <c:ptCount val="1"/>
                <c:pt idx="0">
                  <c:v>Consommat. H. Pleine</c:v>
                </c:pt>
              </c:strCache>
            </c:strRef>
          </c:tx>
          <c:spPr>
            <a:solidFill>
              <a:srgbClr val="0000FF"/>
            </a:solidFill>
            <a:ln w="25400">
              <a:solidFill>
                <a:srgbClr val="0000FF"/>
              </a:solidFill>
              <a:prstDash val="solid"/>
            </a:ln>
          </c:spPr>
          <c:cat>
            <c:numRef>
              <c:f>'2006'!$A$3:$A$14</c:f>
              <c:numCache>
                <c:formatCode>dd/mm/yyyy</c:formatCode>
                <c:ptCount val="12"/>
                <c:pt idx="0">
                  <c:v>38746</c:v>
                </c:pt>
                <c:pt idx="1">
                  <c:v>38776</c:v>
                </c:pt>
                <c:pt idx="2">
                  <c:v>38805</c:v>
                </c:pt>
                <c:pt idx="3">
                  <c:v>38836</c:v>
                </c:pt>
                <c:pt idx="4">
                  <c:v>38866</c:v>
                </c:pt>
                <c:pt idx="5">
                  <c:v>38897</c:v>
                </c:pt>
                <c:pt idx="6">
                  <c:v>38927</c:v>
                </c:pt>
                <c:pt idx="7">
                  <c:v>38958</c:v>
                </c:pt>
                <c:pt idx="8">
                  <c:v>38989</c:v>
                </c:pt>
                <c:pt idx="9">
                  <c:v>39019</c:v>
                </c:pt>
                <c:pt idx="10">
                  <c:v>39050</c:v>
                </c:pt>
                <c:pt idx="11">
                  <c:v>39080</c:v>
                </c:pt>
              </c:numCache>
            </c:numRef>
          </c:cat>
          <c:val>
            <c:numRef>
              <c:f>'2006'!$E$3:$E$14</c:f>
              <c:numCache>
                <c:formatCode>0</c:formatCode>
                <c:ptCount val="12"/>
                <c:pt idx="0">
                  <c:v>853</c:v>
                </c:pt>
                <c:pt idx="1">
                  <c:v>948</c:v>
                </c:pt>
                <c:pt idx="2">
                  <c:v>924</c:v>
                </c:pt>
                <c:pt idx="3">
                  <c:v>230</c:v>
                </c:pt>
                <c:pt idx="4">
                  <c:v>129</c:v>
                </c:pt>
                <c:pt idx="5">
                  <c:v>141</c:v>
                </c:pt>
                <c:pt idx="6">
                  <c:v>147</c:v>
                </c:pt>
                <c:pt idx="7">
                  <c:v>152</c:v>
                </c:pt>
                <c:pt idx="8">
                  <c:v>155</c:v>
                </c:pt>
                <c:pt idx="9">
                  <c:v>148</c:v>
                </c:pt>
                <c:pt idx="10">
                  <c:v>271</c:v>
                </c:pt>
                <c:pt idx="11">
                  <c:v>528</c:v>
                </c:pt>
              </c:numCache>
            </c:numRef>
          </c:val>
        </c:ser>
        <c:ser>
          <c:idx val="0"/>
          <c:order val="1"/>
          <c:tx>
            <c:strRef>
              <c:f>'2006'!$D$1</c:f>
              <c:strCache>
                <c:ptCount val="1"/>
                <c:pt idx="0">
                  <c:v>Consommat. H. Creuse</c:v>
                </c:pt>
              </c:strCache>
            </c:strRef>
          </c:tx>
          <c:spPr>
            <a:solidFill>
              <a:srgbClr val="00FF00"/>
            </a:solidFill>
            <a:ln w="25400">
              <a:solidFill>
                <a:srgbClr val="00FF00"/>
              </a:solidFill>
              <a:prstDash val="solid"/>
            </a:ln>
          </c:spPr>
          <c:cat>
            <c:numRef>
              <c:f>'2006'!$A$3:$A$14</c:f>
              <c:numCache>
                <c:formatCode>dd/mm/yyyy</c:formatCode>
                <c:ptCount val="12"/>
                <c:pt idx="0">
                  <c:v>38746</c:v>
                </c:pt>
                <c:pt idx="1">
                  <c:v>38776</c:v>
                </c:pt>
                <c:pt idx="2">
                  <c:v>38805</c:v>
                </c:pt>
                <c:pt idx="3">
                  <c:v>38836</c:v>
                </c:pt>
                <c:pt idx="4">
                  <c:v>38866</c:v>
                </c:pt>
                <c:pt idx="5">
                  <c:v>38897</c:v>
                </c:pt>
                <c:pt idx="6">
                  <c:v>38927</c:v>
                </c:pt>
                <c:pt idx="7">
                  <c:v>38958</c:v>
                </c:pt>
                <c:pt idx="8">
                  <c:v>38989</c:v>
                </c:pt>
                <c:pt idx="9">
                  <c:v>39019</c:v>
                </c:pt>
                <c:pt idx="10">
                  <c:v>39050</c:v>
                </c:pt>
                <c:pt idx="11">
                  <c:v>39080</c:v>
                </c:pt>
              </c:numCache>
            </c:numRef>
          </c:cat>
          <c:val>
            <c:numRef>
              <c:f>'2006'!$D$3:$D$14</c:f>
              <c:numCache>
                <c:formatCode>0</c:formatCode>
                <c:ptCount val="12"/>
                <c:pt idx="0">
                  <c:v>675</c:v>
                </c:pt>
                <c:pt idx="1">
                  <c:v>701</c:v>
                </c:pt>
                <c:pt idx="2">
                  <c:v>651</c:v>
                </c:pt>
                <c:pt idx="3">
                  <c:v>348</c:v>
                </c:pt>
                <c:pt idx="4">
                  <c:v>201</c:v>
                </c:pt>
                <c:pt idx="5">
                  <c:v>183</c:v>
                </c:pt>
                <c:pt idx="6">
                  <c:v>153</c:v>
                </c:pt>
                <c:pt idx="7">
                  <c:v>173</c:v>
                </c:pt>
                <c:pt idx="8">
                  <c:v>191</c:v>
                </c:pt>
                <c:pt idx="9">
                  <c:v>217</c:v>
                </c:pt>
                <c:pt idx="10">
                  <c:v>415</c:v>
                </c:pt>
                <c:pt idx="11">
                  <c:v>531</c:v>
                </c:pt>
              </c:numCache>
            </c:numRef>
          </c:val>
        </c:ser>
        <c:gapWidth val="404"/>
        <c:overlap val="-5"/>
        <c:axId val="119461760"/>
        <c:axId val="119463296"/>
      </c:barChart>
      <c:lineChart>
        <c:grouping val="standard"/>
        <c:ser>
          <c:idx val="2"/>
          <c:order val="2"/>
          <c:tx>
            <c:strRef>
              <c:f>'2006'!$H$1</c:f>
              <c:strCache>
                <c:ptCount val="1"/>
                <c:pt idx="0">
                  <c:v>Total 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'2006'!$A$3:$A$14</c:f>
              <c:numCache>
                <c:formatCode>dd/mm/yyyy</c:formatCode>
                <c:ptCount val="12"/>
                <c:pt idx="0">
                  <c:v>38746</c:v>
                </c:pt>
                <c:pt idx="1">
                  <c:v>38776</c:v>
                </c:pt>
                <c:pt idx="2">
                  <c:v>38805</c:v>
                </c:pt>
                <c:pt idx="3">
                  <c:v>38836</c:v>
                </c:pt>
                <c:pt idx="4">
                  <c:v>38866</c:v>
                </c:pt>
                <c:pt idx="5">
                  <c:v>38897</c:v>
                </c:pt>
                <c:pt idx="6">
                  <c:v>38927</c:v>
                </c:pt>
                <c:pt idx="7">
                  <c:v>38958</c:v>
                </c:pt>
                <c:pt idx="8">
                  <c:v>38989</c:v>
                </c:pt>
                <c:pt idx="9">
                  <c:v>39019</c:v>
                </c:pt>
                <c:pt idx="10">
                  <c:v>39050</c:v>
                </c:pt>
                <c:pt idx="11">
                  <c:v>39080</c:v>
                </c:pt>
              </c:numCache>
            </c:numRef>
          </c:cat>
          <c:val>
            <c:numRef>
              <c:f>'2006'!$H$3:$H$14</c:f>
              <c:numCache>
                <c:formatCode>0</c:formatCode>
                <c:ptCount val="12"/>
                <c:pt idx="0">
                  <c:v>1528</c:v>
                </c:pt>
                <c:pt idx="1">
                  <c:v>1649</c:v>
                </c:pt>
                <c:pt idx="2">
                  <c:v>1575</c:v>
                </c:pt>
                <c:pt idx="3">
                  <c:v>578</c:v>
                </c:pt>
                <c:pt idx="4">
                  <c:v>330</c:v>
                </c:pt>
                <c:pt idx="5">
                  <c:v>324</c:v>
                </c:pt>
                <c:pt idx="6">
                  <c:v>300</c:v>
                </c:pt>
                <c:pt idx="7">
                  <c:v>325</c:v>
                </c:pt>
                <c:pt idx="8">
                  <c:v>346</c:v>
                </c:pt>
                <c:pt idx="9">
                  <c:v>365</c:v>
                </c:pt>
                <c:pt idx="10">
                  <c:v>686</c:v>
                </c:pt>
                <c:pt idx="11">
                  <c:v>1059</c:v>
                </c:pt>
              </c:numCache>
            </c:numRef>
          </c:val>
          <c:smooth val="1"/>
        </c:ser>
        <c:marker val="1"/>
        <c:axId val="119461760"/>
        <c:axId val="119463296"/>
      </c:lineChart>
      <c:lineChart>
        <c:grouping val="standard"/>
        <c:ser>
          <c:idx val="3"/>
          <c:order val="3"/>
          <c:tx>
            <c:v>cumul mensuel</c:v>
          </c:tx>
          <c:spPr>
            <a:ln w="25400">
              <a:solidFill>
                <a:srgbClr val="FFFF00"/>
              </a:solidFill>
              <a:prstDash val="solid"/>
            </a:ln>
          </c:spPr>
          <c:marker>
            <c:symbol val="none"/>
          </c:marker>
          <c:val>
            <c:numRef>
              <c:f>'2006'!$S$3:$S$14</c:f>
              <c:numCache>
                <c:formatCode>0.00</c:formatCode>
                <c:ptCount val="12"/>
                <c:pt idx="0">
                  <c:v>167.03883333333334</c:v>
                </c:pt>
                <c:pt idx="1">
                  <c:v>357.24856666666665</c:v>
                </c:pt>
                <c:pt idx="2">
                  <c:v>540.07830000000001</c:v>
                </c:pt>
                <c:pt idx="3">
                  <c:v>608.24383333333333</c:v>
                </c:pt>
                <c:pt idx="4">
                  <c:v>650.83106666666663</c:v>
                </c:pt>
                <c:pt idx="5">
                  <c:v>693.3931</c:v>
                </c:pt>
                <c:pt idx="6">
                  <c:v>734.5610333333334</c:v>
                </c:pt>
                <c:pt idx="7">
                  <c:v>778.12546666666674</c:v>
                </c:pt>
                <c:pt idx="8">
                  <c:v>823.65280000000007</c:v>
                </c:pt>
                <c:pt idx="9">
                  <c:v>870.55003333333343</c:v>
                </c:pt>
                <c:pt idx="10">
                  <c:v>950.67616666666675</c:v>
                </c:pt>
                <c:pt idx="11">
                  <c:v>1074.1824000000001</c:v>
                </c:pt>
              </c:numCache>
            </c:numRef>
          </c:val>
          <c:smooth val="1"/>
        </c:ser>
        <c:marker val="1"/>
        <c:axId val="119542912"/>
        <c:axId val="119544448"/>
      </c:lineChart>
      <c:dateAx>
        <c:axId val="119461760"/>
        <c:scaling>
          <c:orientation val="minMax"/>
        </c:scaling>
        <c:axPos val="b"/>
        <c:numFmt formatCode="mmm\-yy" sourceLinked="0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463296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19463296"/>
        <c:scaling>
          <c:orientation val="minMax"/>
          <c:min val="0"/>
        </c:scaling>
        <c:axPos val="l"/>
        <c:majorGridlines>
          <c:spPr>
            <a:ln w="3175">
              <a:solidFill>
                <a:srgbClr val="0000FF"/>
              </a:solidFill>
              <a:prstDash val="dash"/>
            </a:ln>
          </c:spPr>
        </c:majorGridlines>
        <c:numFmt formatCode="0\K\w" sourceLinked="0"/>
        <c:minorTickMark val="cross"/>
        <c:tickLblPos val="nextTo"/>
        <c:spPr>
          <a:ln w="3175">
            <a:solidFill>
              <a:srgbClr val="0000FF"/>
            </a:solidFill>
            <a:prstDash val="dash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461760"/>
        <c:crosses val="autoZero"/>
        <c:crossBetween val="between"/>
        <c:majorUnit val="200"/>
        <c:minorUnit val="100"/>
      </c:valAx>
      <c:catAx>
        <c:axId val="119542912"/>
        <c:scaling>
          <c:orientation val="minMax"/>
        </c:scaling>
        <c:delete val="1"/>
        <c:axPos val="b"/>
        <c:tickLblPos val="none"/>
        <c:crossAx val="119544448"/>
        <c:crosses val="autoZero"/>
        <c:auto val="1"/>
        <c:lblAlgn val="ctr"/>
        <c:lblOffset val="100"/>
      </c:catAx>
      <c:valAx>
        <c:axId val="119544448"/>
        <c:scaling>
          <c:orientation val="minMax"/>
          <c:min val="0"/>
        </c:scaling>
        <c:axPos val="r"/>
        <c:majorGridlines>
          <c:spPr>
            <a:ln w="3175">
              <a:solidFill>
                <a:srgbClr val="FFFF00"/>
              </a:solidFill>
              <a:prstDash val="lgDash"/>
            </a:ln>
          </c:spPr>
        </c:majorGridlines>
        <c:numFmt formatCode="#,##0\ &quot;€&quot;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542912"/>
        <c:crosses val="max"/>
        <c:crossBetween val="between"/>
      </c:valAx>
      <c:spPr>
        <a:gradFill rotWithShape="0">
          <a:gsLst>
            <a:gs pos="0">
              <a:srgbClr val="C0C0C0">
                <a:gamma/>
                <a:shade val="66275"/>
                <a:invGamma/>
              </a:srgbClr>
            </a:gs>
            <a:gs pos="100000">
              <a:srgbClr val="C0C0C0"/>
            </a:gs>
          </a:gsLst>
          <a:lin ang="5400000" scaled="1"/>
        </a:gradFill>
        <a:ln w="12700">
          <a:solidFill>
            <a:srgbClr val="C0C0C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9.3686354378818767E-2"/>
          <c:y val="0.89940828402366857"/>
          <c:w val="0.80768499982699848"/>
          <c:h val="7.1235148860830266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0" b="1" i="0" u="none" strike="noStrike" baseline="0">
              <a:solidFill>
                <a:srgbClr val="000000"/>
              </a:solidFill>
              <a:latin typeface="Times New Roman"/>
              <a:ea typeface="Times New Roman"/>
              <a:cs typeface="Times New Roman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8594748736419829E-2"/>
          <c:y val="5.0295857988165681E-2"/>
          <c:w val="0.84215927821856174"/>
          <c:h val="0.71597633136094652"/>
        </c:manualLayout>
      </c:layout>
      <c:barChart>
        <c:barDir val="col"/>
        <c:grouping val="stacked"/>
        <c:ser>
          <c:idx val="1"/>
          <c:order val="0"/>
          <c:tx>
            <c:strRef>
              <c:f>'2007'!$E$1</c:f>
              <c:strCache>
                <c:ptCount val="1"/>
                <c:pt idx="0">
                  <c:v>Consommat. H. Pleine</c:v>
                </c:pt>
              </c:strCache>
            </c:strRef>
          </c:tx>
          <c:spPr>
            <a:solidFill>
              <a:srgbClr val="0000FF"/>
            </a:solidFill>
            <a:ln w="25400">
              <a:solidFill>
                <a:srgbClr val="0000FF"/>
              </a:solidFill>
              <a:prstDash val="solid"/>
            </a:ln>
          </c:spPr>
          <c:cat>
            <c:numRef>
              <c:f>'2007'!$A$3:$A$14</c:f>
              <c:numCache>
                <c:formatCode>dd/mm/yyyy</c:formatCode>
                <c:ptCount val="12"/>
                <c:pt idx="0">
                  <c:v>39111</c:v>
                </c:pt>
                <c:pt idx="1">
                  <c:v>39141</c:v>
                </c:pt>
                <c:pt idx="2">
                  <c:v>39170</c:v>
                </c:pt>
                <c:pt idx="3">
                  <c:v>39201</c:v>
                </c:pt>
                <c:pt idx="4">
                  <c:v>39231</c:v>
                </c:pt>
                <c:pt idx="5">
                  <c:v>39262</c:v>
                </c:pt>
                <c:pt idx="6">
                  <c:v>39292</c:v>
                </c:pt>
                <c:pt idx="7">
                  <c:v>39323</c:v>
                </c:pt>
                <c:pt idx="8">
                  <c:v>39354</c:v>
                </c:pt>
                <c:pt idx="9">
                  <c:v>39384</c:v>
                </c:pt>
                <c:pt idx="10">
                  <c:v>39415</c:v>
                </c:pt>
                <c:pt idx="11">
                  <c:v>39445</c:v>
                </c:pt>
              </c:numCache>
            </c:numRef>
          </c:cat>
          <c:val>
            <c:numRef>
              <c:f>'2007'!$E$3:$E$14</c:f>
              <c:numCache>
                <c:formatCode>0</c:formatCode>
                <c:ptCount val="12"/>
                <c:pt idx="0">
                  <c:v>636</c:v>
                </c:pt>
                <c:pt idx="1">
                  <c:v>479</c:v>
                </c:pt>
                <c:pt idx="2">
                  <c:v>584</c:v>
                </c:pt>
                <c:pt idx="3">
                  <c:v>368</c:v>
                </c:pt>
                <c:pt idx="4">
                  <c:v>150</c:v>
                </c:pt>
                <c:pt idx="5">
                  <c:v>155</c:v>
                </c:pt>
                <c:pt idx="6">
                  <c:v>147</c:v>
                </c:pt>
                <c:pt idx="7">
                  <c:v>181</c:v>
                </c:pt>
                <c:pt idx="8">
                  <c:v>162</c:v>
                </c:pt>
                <c:pt idx="9">
                  <c:v>183</c:v>
                </c:pt>
                <c:pt idx="10">
                  <c:v>425</c:v>
                </c:pt>
                <c:pt idx="11">
                  <c:v>613</c:v>
                </c:pt>
              </c:numCache>
            </c:numRef>
          </c:val>
        </c:ser>
        <c:ser>
          <c:idx val="0"/>
          <c:order val="1"/>
          <c:tx>
            <c:strRef>
              <c:f>'2007'!$D$1</c:f>
              <c:strCache>
                <c:ptCount val="1"/>
                <c:pt idx="0">
                  <c:v>Consommat. H. Creuse</c:v>
                </c:pt>
              </c:strCache>
            </c:strRef>
          </c:tx>
          <c:spPr>
            <a:solidFill>
              <a:srgbClr val="00FF00"/>
            </a:solidFill>
            <a:ln w="25400">
              <a:solidFill>
                <a:srgbClr val="00FF00"/>
              </a:solidFill>
              <a:prstDash val="solid"/>
            </a:ln>
          </c:spPr>
          <c:cat>
            <c:numRef>
              <c:f>'2007'!$A$3:$A$14</c:f>
              <c:numCache>
                <c:formatCode>dd/mm/yyyy</c:formatCode>
                <c:ptCount val="12"/>
                <c:pt idx="0">
                  <c:v>39111</c:v>
                </c:pt>
                <c:pt idx="1">
                  <c:v>39141</c:v>
                </c:pt>
                <c:pt idx="2">
                  <c:v>39170</c:v>
                </c:pt>
                <c:pt idx="3">
                  <c:v>39201</c:v>
                </c:pt>
                <c:pt idx="4">
                  <c:v>39231</c:v>
                </c:pt>
                <c:pt idx="5">
                  <c:v>39262</c:v>
                </c:pt>
                <c:pt idx="6">
                  <c:v>39292</c:v>
                </c:pt>
                <c:pt idx="7">
                  <c:v>39323</c:v>
                </c:pt>
                <c:pt idx="8">
                  <c:v>39354</c:v>
                </c:pt>
                <c:pt idx="9">
                  <c:v>39384</c:v>
                </c:pt>
                <c:pt idx="10">
                  <c:v>39415</c:v>
                </c:pt>
                <c:pt idx="11">
                  <c:v>39445</c:v>
                </c:pt>
              </c:numCache>
            </c:numRef>
          </c:cat>
          <c:val>
            <c:numRef>
              <c:f>'2007'!$D$3:$D$14</c:f>
              <c:numCache>
                <c:formatCode>0</c:formatCode>
                <c:ptCount val="12"/>
                <c:pt idx="0">
                  <c:v>551</c:v>
                </c:pt>
                <c:pt idx="1">
                  <c:v>479</c:v>
                </c:pt>
                <c:pt idx="2">
                  <c:v>537</c:v>
                </c:pt>
                <c:pt idx="3">
                  <c:v>391</c:v>
                </c:pt>
                <c:pt idx="4">
                  <c:v>227</c:v>
                </c:pt>
                <c:pt idx="5">
                  <c:v>212</c:v>
                </c:pt>
                <c:pt idx="6">
                  <c:v>176</c:v>
                </c:pt>
                <c:pt idx="7">
                  <c:v>194</c:v>
                </c:pt>
                <c:pt idx="8">
                  <c:v>193</c:v>
                </c:pt>
                <c:pt idx="9">
                  <c:v>250</c:v>
                </c:pt>
                <c:pt idx="10">
                  <c:v>448</c:v>
                </c:pt>
                <c:pt idx="11">
                  <c:v>526</c:v>
                </c:pt>
              </c:numCache>
            </c:numRef>
          </c:val>
        </c:ser>
        <c:gapWidth val="404"/>
        <c:overlap val="-5"/>
        <c:axId val="119712000"/>
        <c:axId val="119721984"/>
      </c:barChart>
      <c:lineChart>
        <c:grouping val="standard"/>
        <c:ser>
          <c:idx val="2"/>
          <c:order val="2"/>
          <c:tx>
            <c:strRef>
              <c:f>'2007'!$H$1</c:f>
              <c:strCache>
                <c:ptCount val="1"/>
                <c:pt idx="0">
                  <c:v>Total 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'2007'!$A$3:$A$14</c:f>
              <c:numCache>
                <c:formatCode>dd/mm/yyyy</c:formatCode>
                <c:ptCount val="12"/>
                <c:pt idx="0">
                  <c:v>39111</c:v>
                </c:pt>
                <c:pt idx="1">
                  <c:v>39141</c:v>
                </c:pt>
                <c:pt idx="2">
                  <c:v>39170</c:v>
                </c:pt>
                <c:pt idx="3">
                  <c:v>39201</c:v>
                </c:pt>
                <c:pt idx="4">
                  <c:v>39231</c:v>
                </c:pt>
                <c:pt idx="5">
                  <c:v>39262</c:v>
                </c:pt>
                <c:pt idx="6">
                  <c:v>39292</c:v>
                </c:pt>
                <c:pt idx="7">
                  <c:v>39323</c:v>
                </c:pt>
                <c:pt idx="8">
                  <c:v>39354</c:v>
                </c:pt>
                <c:pt idx="9">
                  <c:v>39384</c:v>
                </c:pt>
                <c:pt idx="10">
                  <c:v>39415</c:v>
                </c:pt>
                <c:pt idx="11">
                  <c:v>39445</c:v>
                </c:pt>
              </c:numCache>
            </c:numRef>
          </c:cat>
          <c:val>
            <c:numRef>
              <c:f>'2007'!$H$3:$H$14</c:f>
              <c:numCache>
                <c:formatCode>0</c:formatCode>
                <c:ptCount val="12"/>
                <c:pt idx="0">
                  <c:v>1187</c:v>
                </c:pt>
                <c:pt idx="1">
                  <c:v>958</c:v>
                </c:pt>
                <c:pt idx="2">
                  <c:v>1121</c:v>
                </c:pt>
                <c:pt idx="3">
                  <c:v>759</c:v>
                </c:pt>
                <c:pt idx="4">
                  <c:v>377</c:v>
                </c:pt>
                <c:pt idx="5">
                  <c:v>367</c:v>
                </c:pt>
                <c:pt idx="6">
                  <c:v>323</c:v>
                </c:pt>
                <c:pt idx="7">
                  <c:v>375</c:v>
                </c:pt>
                <c:pt idx="8">
                  <c:v>355</c:v>
                </c:pt>
                <c:pt idx="9">
                  <c:v>433</c:v>
                </c:pt>
                <c:pt idx="10">
                  <c:v>873</c:v>
                </c:pt>
                <c:pt idx="11">
                  <c:v>1139</c:v>
                </c:pt>
              </c:numCache>
            </c:numRef>
          </c:val>
          <c:smooth val="1"/>
        </c:ser>
        <c:marker val="1"/>
        <c:axId val="119712000"/>
        <c:axId val="119721984"/>
      </c:lineChart>
      <c:lineChart>
        <c:grouping val="standard"/>
        <c:ser>
          <c:idx val="3"/>
          <c:order val="3"/>
          <c:tx>
            <c:v>cumul mensuel</c:v>
          </c:tx>
          <c:spPr>
            <a:ln w="25400">
              <a:solidFill>
                <a:srgbClr val="FFFF00"/>
              </a:solidFill>
              <a:prstDash val="solid"/>
            </a:ln>
          </c:spPr>
          <c:marker>
            <c:symbol val="none"/>
          </c:marker>
          <c:val>
            <c:numRef>
              <c:f>'2007'!$S$3:$S$14</c:f>
              <c:numCache>
                <c:formatCode>0.00</c:formatCode>
                <c:ptCount val="12"/>
                <c:pt idx="0">
                  <c:v>130.65940000000001</c:v>
                </c:pt>
                <c:pt idx="1">
                  <c:v>242.0325</c:v>
                </c:pt>
                <c:pt idx="2">
                  <c:v>371.80430000000001</c:v>
                </c:pt>
                <c:pt idx="3">
                  <c:v>461.42169999999999</c:v>
                </c:pt>
                <c:pt idx="4">
                  <c:v>509.0745</c:v>
                </c:pt>
                <c:pt idx="5">
                  <c:v>556.06880000000001</c:v>
                </c:pt>
                <c:pt idx="6">
                  <c:v>599.39089999999999</c:v>
                </c:pt>
                <c:pt idx="7">
                  <c:v>648.68420000000003</c:v>
                </c:pt>
                <c:pt idx="8">
                  <c:v>695.43330000000003</c:v>
                </c:pt>
                <c:pt idx="9">
                  <c:v>749.88520000000005</c:v>
                </c:pt>
                <c:pt idx="10">
                  <c:v>852.95270000000005</c:v>
                </c:pt>
                <c:pt idx="11">
                  <c:v>987.1536000000001</c:v>
                </c:pt>
              </c:numCache>
            </c:numRef>
          </c:val>
          <c:smooth val="1"/>
        </c:ser>
        <c:marker val="1"/>
        <c:axId val="119723520"/>
        <c:axId val="119725056"/>
      </c:lineChart>
      <c:dateAx>
        <c:axId val="119712000"/>
        <c:scaling>
          <c:orientation val="minMax"/>
        </c:scaling>
        <c:axPos val="b"/>
        <c:numFmt formatCode="mmm\-yy" sourceLinked="0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721984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19721984"/>
        <c:scaling>
          <c:orientation val="minMax"/>
          <c:max val="1800"/>
          <c:min val="0"/>
        </c:scaling>
        <c:axPos val="l"/>
        <c:majorGridlines>
          <c:spPr>
            <a:ln w="3175">
              <a:solidFill>
                <a:srgbClr val="0000FF"/>
              </a:solidFill>
              <a:prstDash val="dash"/>
            </a:ln>
          </c:spPr>
        </c:majorGridlines>
        <c:numFmt formatCode="0\K\w" sourceLinked="0"/>
        <c:minorTickMark val="cross"/>
        <c:tickLblPos val="nextTo"/>
        <c:spPr>
          <a:ln w="3175">
            <a:solidFill>
              <a:srgbClr val="0000FF"/>
            </a:solidFill>
            <a:prstDash val="dash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712000"/>
        <c:crosses val="autoZero"/>
        <c:crossBetween val="between"/>
        <c:majorUnit val="200"/>
        <c:minorUnit val="100"/>
      </c:valAx>
      <c:catAx>
        <c:axId val="119723520"/>
        <c:scaling>
          <c:orientation val="minMax"/>
        </c:scaling>
        <c:delete val="1"/>
        <c:axPos val="b"/>
        <c:tickLblPos val="none"/>
        <c:crossAx val="119725056"/>
        <c:crosses val="autoZero"/>
        <c:auto val="1"/>
        <c:lblAlgn val="ctr"/>
        <c:lblOffset val="100"/>
      </c:catAx>
      <c:valAx>
        <c:axId val="119725056"/>
        <c:scaling>
          <c:orientation val="minMax"/>
          <c:min val="0"/>
        </c:scaling>
        <c:axPos val="r"/>
        <c:majorGridlines>
          <c:spPr>
            <a:ln w="3175">
              <a:solidFill>
                <a:srgbClr val="FFFF00"/>
              </a:solidFill>
              <a:prstDash val="lgDash"/>
            </a:ln>
          </c:spPr>
        </c:majorGridlines>
        <c:numFmt formatCode="#,##0\ &quot;€&quot;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723520"/>
        <c:crosses val="max"/>
        <c:crossBetween val="between"/>
      </c:valAx>
      <c:spPr>
        <a:gradFill rotWithShape="0">
          <a:gsLst>
            <a:gs pos="0">
              <a:srgbClr val="C0C0C0">
                <a:gamma/>
                <a:shade val="66275"/>
                <a:invGamma/>
              </a:srgbClr>
            </a:gs>
            <a:gs pos="100000">
              <a:srgbClr val="C0C0C0"/>
            </a:gs>
          </a:gsLst>
          <a:lin ang="5400000" scaled="1"/>
        </a:gradFill>
        <a:ln w="12700">
          <a:solidFill>
            <a:srgbClr val="C0C0C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9.3686354378818767E-2"/>
          <c:y val="0.89940828402366857"/>
          <c:w val="0.80768499982699848"/>
          <c:h val="7.1235148860830266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0" b="1" i="0" u="none" strike="noStrike" baseline="0">
              <a:solidFill>
                <a:srgbClr val="000000"/>
              </a:solidFill>
              <a:latin typeface="Times New Roman"/>
              <a:ea typeface="Times New Roman"/>
              <a:cs typeface="Times New Roman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8594748736419829E-2"/>
          <c:y val="5.0295857988165681E-2"/>
          <c:w val="0.84215927821856174"/>
          <c:h val="0.71597633136094652"/>
        </c:manualLayout>
      </c:layout>
      <c:barChart>
        <c:barDir val="col"/>
        <c:grouping val="stacked"/>
        <c:ser>
          <c:idx val="1"/>
          <c:order val="0"/>
          <c:tx>
            <c:strRef>
              <c:f>'2008'!$E$1</c:f>
              <c:strCache>
                <c:ptCount val="1"/>
                <c:pt idx="0">
                  <c:v>Consommat. H. Pleine</c:v>
                </c:pt>
              </c:strCache>
            </c:strRef>
          </c:tx>
          <c:spPr>
            <a:solidFill>
              <a:srgbClr val="0000FF"/>
            </a:solidFill>
            <a:ln w="25400">
              <a:solidFill>
                <a:srgbClr val="0000FF"/>
              </a:solidFill>
              <a:prstDash val="solid"/>
            </a:ln>
          </c:spPr>
          <c:cat>
            <c:numRef>
              <c:f>'2008'!$A$3:$A$14</c:f>
              <c:numCache>
                <c:formatCode>dd/mm/yyyy</c:formatCode>
                <c:ptCount val="12"/>
                <c:pt idx="0">
                  <c:v>39476</c:v>
                </c:pt>
                <c:pt idx="1">
                  <c:v>39507</c:v>
                </c:pt>
                <c:pt idx="2">
                  <c:v>39536</c:v>
                </c:pt>
                <c:pt idx="3">
                  <c:v>39567</c:v>
                </c:pt>
                <c:pt idx="4">
                  <c:v>39597</c:v>
                </c:pt>
                <c:pt idx="5">
                  <c:v>39628</c:v>
                </c:pt>
                <c:pt idx="6">
                  <c:v>39658</c:v>
                </c:pt>
                <c:pt idx="7">
                  <c:v>39689</c:v>
                </c:pt>
                <c:pt idx="8">
                  <c:v>39720</c:v>
                </c:pt>
                <c:pt idx="9">
                  <c:v>39750</c:v>
                </c:pt>
                <c:pt idx="10">
                  <c:v>39781</c:v>
                </c:pt>
                <c:pt idx="11">
                  <c:v>39811</c:v>
                </c:pt>
              </c:numCache>
            </c:numRef>
          </c:cat>
          <c:val>
            <c:numRef>
              <c:f>'2008'!$E$3:$E$14</c:f>
              <c:numCache>
                <c:formatCode>0</c:formatCode>
                <c:ptCount val="12"/>
                <c:pt idx="0">
                  <c:v>523</c:v>
                </c:pt>
                <c:pt idx="1">
                  <c:v>583</c:v>
                </c:pt>
                <c:pt idx="2">
                  <c:v>836</c:v>
                </c:pt>
                <c:pt idx="3">
                  <c:v>519</c:v>
                </c:pt>
                <c:pt idx="4">
                  <c:v>168</c:v>
                </c:pt>
                <c:pt idx="5">
                  <c:v>154</c:v>
                </c:pt>
                <c:pt idx="6">
                  <c:v>164</c:v>
                </c:pt>
                <c:pt idx="7">
                  <c:v>177</c:v>
                </c:pt>
                <c:pt idx="8">
                  <c:v>170</c:v>
                </c:pt>
                <c:pt idx="9">
                  <c:v>168</c:v>
                </c:pt>
                <c:pt idx="10">
                  <c:v>399</c:v>
                </c:pt>
                <c:pt idx="11">
                  <c:v>762</c:v>
                </c:pt>
              </c:numCache>
            </c:numRef>
          </c:val>
        </c:ser>
        <c:ser>
          <c:idx val="0"/>
          <c:order val="1"/>
          <c:tx>
            <c:strRef>
              <c:f>'2008'!$D$1</c:f>
              <c:strCache>
                <c:ptCount val="1"/>
                <c:pt idx="0">
                  <c:v>Consommat. H. Creuse</c:v>
                </c:pt>
              </c:strCache>
            </c:strRef>
          </c:tx>
          <c:spPr>
            <a:solidFill>
              <a:srgbClr val="00FF00"/>
            </a:solidFill>
            <a:ln w="25400">
              <a:solidFill>
                <a:srgbClr val="00FF00"/>
              </a:solidFill>
              <a:prstDash val="solid"/>
            </a:ln>
          </c:spPr>
          <c:cat>
            <c:numRef>
              <c:f>'2008'!$A$3:$A$14</c:f>
              <c:numCache>
                <c:formatCode>dd/mm/yyyy</c:formatCode>
                <c:ptCount val="12"/>
                <c:pt idx="0">
                  <c:v>39476</c:v>
                </c:pt>
                <c:pt idx="1">
                  <c:v>39507</c:v>
                </c:pt>
                <c:pt idx="2">
                  <c:v>39536</c:v>
                </c:pt>
                <c:pt idx="3">
                  <c:v>39567</c:v>
                </c:pt>
                <c:pt idx="4">
                  <c:v>39597</c:v>
                </c:pt>
                <c:pt idx="5">
                  <c:v>39628</c:v>
                </c:pt>
                <c:pt idx="6">
                  <c:v>39658</c:v>
                </c:pt>
                <c:pt idx="7">
                  <c:v>39689</c:v>
                </c:pt>
                <c:pt idx="8">
                  <c:v>39720</c:v>
                </c:pt>
                <c:pt idx="9">
                  <c:v>39750</c:v>
                </c:pt>
                <c:pt idx="10">
                  <c:v>39781</c:v>
                </c:pt>
                <c:pt idx="11">
                  <c:v>39811</c:v>
                </c:pt>
              </c:numCache>
            </c:numRef>
          </c:cat>
          <c:val>
            <c:numRef>
              <c:f>'2008'!$D$3:$D$14</c:f>
              <c:numCache>
                <c:formatCode>0</c:formatCode>
                <c:ptCount val="12"/>
                <c:pt idx="0">
                  <c:v>499</c:v>
                </c:pt>
                <c:pt idx="1">
                  <c:v>578</c:v>
                </c:pt>
                <c:pt idx="2">
                  <c:v>657</c:v>
                </c:pt>
                <c:pt idx="3">
                  <c:v>500</c:v>
                </c:pt>
                <c:pt idx="4">
                  <c:v>230</c:v>
                </c:pt>
                <c:pt idx="5">
                  <c:v>214</c:v>
                </c:pt>
                <c:pt idx="6">
                  <c:v>168</c:v>
                </c:pt>
                <c:pt idx="7">
                  <c:v>178</c:v>
                </c:pt>
                <c:pt idx="8">
                  <c:v>188</c:v>
                </c:pt>
                <c:pt idx="9">
                  <c:v>257</c:v>
                </c:pt>
                <c:pt idx="10">
                  <c:v>405</c:v>
                </c:pt>
                <c:pt idx="11">
                  <c:v>591</c:v>
                </c:pt>
              </c:numCache>
            </c:numRef>
          </c:val>
        </c:ser>
        <c:gapWidth val="404"/>
        <c:overlap val="-5"/>
        <c:axId val="119908992"/>
        <c:axId val="119918976"/>
      </c:barChart>
      <c:lineChart>
        <c:grouping val="standard"/>
        <c:ser>
          <c:idx val="2"/>
          <c:order val="2"/>
          <c:tx>
            <c:strRef>
              <c:f>'2008'!$H$1</c:f>
              <c:strCache>
                <c:ptCount val="1"/>
                <c:pt idx="0">
                  <c:v>Total 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'2008'!$A$3:$A$14</c:f>
              <c:numCache>
                <c:formatCode>dd/mm/yyyy</c:formatCode>
                <c:ptCount val="12"/>
                <c:pt idx="0">
                  <c:v>39476</c:v>
                </c:pt>
                <c:pt idx="1">
                  <c:v>39507</c:v>
                </c:pt>
                <c:pt idx="2">
                  <c:v>39536</c:v>
                </c:pt>
                <c:pt idx="3">
                  <c:v>39567</c:v>
                </c:pt>
                <c:pt idx="4">
                  <c:v>39597</c:v>
                </c:pt>
                <c:pt idx="5">
                  <c:v>39628</c:v>
                </c:pt>
                <c:pt idx="6">
                  <c:v>39658</c:v>
                </c:pt>
                <c:pt idx="7">
                  <c:v>39689</c:v>
                </c:pt>
                <c:pt idx="8">
                  <c:v>39720</c:v>
                </c:pt>
                <c:pt idx="9">
                  <c:v>39750</c:v>
                </c:pt>
                <c:pt idx="10">
                  <c:v>39781</c:v>
                </c:pt>
                <c:pt idx="11">
                  <c:v>39811</c:v>
                </c:pt>
              </c:numCache>
            </c:numRef>
          </c:cat>
          <c:val>
            <c:numRef>
              <c:f>'2008'!$H$3:$H$14</c:f>
              <c:numCache>
                <c:formatCode>0</c:formatCode>
                <c:ptCount val="12"/>
                <c:pt idx="0">
                  <c:v>1022</c:v>
                </c:pt>
                <c:pt idx="1">
                  <c:v>1161</c:v>
                </c:pt>
                <c:pt idx="2">
                  <c:v>1493</c:v>
                </c:pt>
                <c:pt idx="3">
                  <c:v>1019</c:v>
                </c:pt>
                <c:pt idx="4">
                  <c:v>398</c:v>
                </c:pt>
                <c:pt idx="5">
                  <c:v>368</c:v>
                </c:pt>
                <c:pt idx="6">
                  <c:v>332</c:v>
                </c:pt>
                <c:pt idx="7">
                  <c:v>355</c:v>
                </c:pt>
                <c:pt idx="8">
                  <c:v>358</c:v>
                </c:pt>
                <c:pt idx="9">
                  <c:v>425</c:v>
                </c:pt>
                <c:pt idx="10">
                  <c:v>804</c:v>
                </c:pt>
                <c:pt idx="11">
                  <c:v>1353</c:v>
                </c:pt>
              </c:numCache>
            </c:numRef>
          </c:val>
          <c:smooth val="1"/>
        </c:ser>
        <c:marker val="1"/>
        <c:axId val="119908992"/>
        <c:axId val="119918976"/>
      </c:lineChart>
      <c:lineChart>
        <c:grouping val="standard"/>
        <c:ser>
          <c:idx val="3"/>
          <c:order val="3"/>
          <c:tx>
            <c:v>cumul mensuel</c:v>
          </c:tx>
          <c:spPr>
            <a:ln w="25400">
              <a:solidFill>
                <a:srgbClr val="FFFF00"/>
              </a:solidFill>
              <a:prstDash val="solid"/>
            </a:ln>
          </c:spPr>
          <c:marker>
            <c:symbol val="none"/>
          </c:marker>
          <c:val>
            <c:numRef>
              <c:f>'2008'!$S$3:$S$14</c:f>
              <c:numCache>
                <c:formatCode>0.00</c:formatCode>
                <c:ptCount val="12"/>
                <c:pt idx="0">
                  <c:v>112.80043333333333</c:v>
                </c:pt>
                <c:pt idx="1">
                  <c:v>246.16046666666665</c:v>
                </c:pt>
                <c:pt idx="2">
                  <c:v>418.60359999999997</c:v>
                </c:pt>
                <c:pt idx="3">
                  <c:v>537.06443333333334</c:v>
                </c:pt>
                <c:pt idx="4">
                  <c:v>587.44476666666662</c:v>
                </c:pt>
                <c:pt idx="5">
                  <c:v>634.65769999999998</c:v>
                </c:pt>
                <c:pt idx="6">
                  <c:v>679.65123333333327</c:v>
                </c:pt>
                <c:pt idx="7">
                  <c:v>727.20066666666662</c:v>
                </c:pt>
                <c:pt idx="8">
                  <c:v>774.71999999999991</c:v>
                </c:pt>
                <c:pt idx="9">
                  <c:v>828.01823333333323</c:v>
                </c:pt>
                <c:pt idx="10">
                  <c:v>924.13476666666656</c:v>
                </c:pt>
                <c:pt idx="11">
                  <c:v>1083.4621999999999</c:v>
                </c:pt>
              </c:numCache>
            </c:numRef>
          </c:val>
          <c:smooth val="1"/>
        </c:ser>
        <c:marker val="1"/>
        <c:axId val="119920512"/>
        <c:axId val="119922048"/>
      </c:lineChart>
      <c:dateAx>
        <c:axId val="119908992"/>
        <c:scaling>
          <c:orientation val="minMax"/>
        </c:scaling>
        <c:axPos val="b"/>
        <c:numFmt formatCode="mmm\-yy" sourceLinked="0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918976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19918976"/>
        <c:scaling>
          <c:orientation val="minMax"/>
          <c:max val="1800"/>
          <c:min val="0"/>
        </c:scaling>
        <c:axPos val="l"/>
        <c:majorGridlines>
          <c:spPr>
            <a:ln w="3175">
              <a:solidFill>
                <a:srgbClr val="0000FF"/>
              </a:solidFill>
              <a:prstDash val="dash"/>
            </a:ln>
          </c:spPr>
        </c:majorGridlines>
        <c:numFmt formatCode="0\K\w" sourceLinked="0"/>
        <c:minorTickMark val="cross"/>
        <c:tickLblPos val="nextTo"/>
        <c:spPr>
          <a:ln w="3175">
            <a:solidFill>
              <a:srgbClr val="0000FF"/>
            </a:solidFill>
            <a:prstDash val="dash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908992"/>
        <c:crosses val="autoZero"/>
        <c:crossBetween val="between"/>
        <c:majorUnit val="200"/>
        <c:minorUnit val="100"/>
      </c:valAx>
      <c:catAx>
        <c:axId val="119920512"/>
        <c:scaling>
          <c:orientation val="minMax"/>
        </c:scaling>
        <c:delete val="1"/>
        <c:axPos val="b"/>
        <c:tickLblPos val="none"/>
        <c:crossAx val="119922048"/>
        <c:crosses val="autoZero"/>
        <c:auto val="1"/>
        <c:lblAlgn val="ctr"/>
        <c:lblOffset val="100"/>
      </c:catAx>
      <c:valAx>
        <c:axId val="119922048"/>
        <c:scaling>
          <c:orientation val="minMax"/>
          <c:min val="0"/>
        </c:scaling>
        <c:axPos val="r"/>
        <c:majorGridlines>
          <c:spPr>
            <a:ln w="3175">
              <a:solidFill>
                <a:srgbClr val="FFFF00"/>
              </a:solidFill>
              <a:prstDash val="lgDash"/>
            </a:ln>
          </c:spPr>
        </c:majorGridlines>
        <c:numFmt formatCode="#,##0\ &quot;€&quot;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920512"/>
        <c:crosses val="max"/>
        <c:crossBetween val="between"/>
      </c:valAx>
      <c:spPr>
        <a:gradFill rotWithShape="0">
          <a:gsLst>
            <a:gs pos="0">
              <a:srgbClr val="C0C0C0">
                <a:gamma/>
                <a:shade val="66275"/>
                <a:invGamma/>
              </a:srgbClr>
            </a:gs>
            <a:gs pos="100000">
              <a:srgbClr val="C0C0C0"/>
            </a:gs>
          </a:gsLst>
          <a:lin ang="5400000" scaled="1"/>
        </a:gradFill>
        <a:ln w="12700">
          <a:solidFill>
            <a:srgbClr val="C0C0C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9.3686354378818767E-2"/>
          <c:y val="0.89940828402366857"/>
          <c:w val="0.80768499982699848"/>
          <c:h val="7.1235148860830266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0" b="1" i="0" u="none" strike="noStrike" baseline="0">
              <a:solidFill>
                <a:srgbClr val="000000"/>
              </a:solidFill>
              <a:latin typeface="Times New Roman"/>
              <a:ea typeface="Times New Roman"/>
              <a:cs typeface="Times New Roman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8594748736419829E-2"/>
          <c:y val="5.0295857988165681E-2"/>
          <c:w val="0.84215927821856174"/>
          <c:h val="0.71597633136094652"/>
        </c:manualLayout>
      </c:layout>
      <c:barChart>
        <c:barDir val="col"/>
        <c:grouping val="stacked"/>
        <c:ser>
          <c:idx val="1"/>
          <c:order val="0"/>
          <c:tx>
            <c:strRef>
              <c:f>'2009'!$E$1</c:f>
              <c:strCache>
                <c:ptCount val="1"/>
                <c:pt idx="0">
                  <c:v>Consommat. H. Pleine</c:v>
                </c:pt>
              </c:strCache>
            </c:strRef>
          </c:tx>
          <c:spPr>
            <a:solidFill>
              <a:srgbClr val="0000FF"/>
            </a:solidFill>
            <a:ln w="25400">
              <a:solidFill>
                <a:srgbClr val="0000FF"/>
              </a:solidFill>
              <a:prstDash val="solid"/>
            </a:ln>
          </c:spPr>
          <c:cat>
            <c:numRef>
              <c:f>'2009'!$A$3:$A$14</c:f>
              <c:numCache>
                <c:formatCode>dd/mm/yyyy</c:formatCode>
                <c:ptCount val="12"/>
                <c:pt idx="0">
                  <c:v>39842</c:v>
                </c:pt>
                <c:pt idx="1">
                  <c:v>39872</c:v>
                </c:pt>
                <c:pt idx="2">
                  <c:v>39901</c:v>
                </c:pt>
                <c:pt idx="3">
                  <c:v>39932</c:v>
                </c:pt>
                <c:pt idx="4">
                  <c:v>39962</c:v>
                </c:pt>
                <c:pt idx="5">
                  <c:v>39993</c:v>
                </c:pt>
                <c:pt idx="6">
                  <c:v>40023</c:v>
                </c:pt>
                <c:pt idx="7">
                  <c:v>40054</c:v>
                </c:pt>
                <c:pt idx="8">
                  <c:v>40085</c:v>
                </c:pt>
                <c:pt idx="9">
                  <c:v>40115</c:v>
                </c:pt>
                <c:pt idx="10">
                  <c:v>40146</c:v>
                </c:pt>
                <c:pt idx="11">
                  <c:v>40176</c:v>
                </c:pt>
              </c:numCache>
            </c:numRef>
          </c:cat>
          <c:val>
            <c:numRef>
              <c:f>'2009'!$E$3:$E$14</c:f>
              <c:numCache>
                <c:formatCode>0</c:formatCode>
                <c:ptCount val="12"/>
                <c:pt idx="0">
                  <c:v>1014</c:v>
                </c:pt>
                <c:pt idx="1">
                  <c:v>769</c:v>
                </c:pt>
                <c:pt idx="2">
                  <c:v>749</c:v>
                </c:pt>
                <c:pt idx="3">
                  <c:v>631</c:v>
                </c:pt>
                <c:pt idx="4">
                  <c:v>149</c:v>
                </c:pt>
                <c:pt idx="5">
                  <c:v>148</c:v>
                </c:pt>
                <c:pt idx="6">
                  <c:v>150</c:v>
                </c:pt>
                <c:pt idx="7">
                  <c:v>155</c:v>
                </c:pt>
                <c:pt idx="8">
                  <c:v>142</c:v>
                </c:pt>
                <c:pt idx="9">
                  <c:v>202</c:v>
                </c:pt>
                <c:pt idx="10">
                  <c:v>323</c:v>
                </c:pt>
                <c:pt idx="11">
                  <c:v>435</c:v>
                </c:pt>
              </c:numCache>
            </c:numRef>
          </c:val>
        </c:ser>
        <c:ser>
          <c:idx val="0"/>
          <c:order val="1"/>
          <c:tx>
            <c:strRef>
              <c:f>'2009'!$D$1</c:f>
              <c:strCache>
                <c:ptCount val="1"/>
                <c:pt idx="0">
                  <c:v>Consommat. H. Creuse</c:v>
                </c:pt>
              </c:strCache>
            </c:strRef>
          </c:tx>
          <c:spPr>
            <a:solidFill>
              <a:srgbClr val="00FF00"/>
            </a:solidFill>
            <a:ln w="25400">
              <a:solidFill>
                <a:srgbClr val="00FF00"/>
              </a:solidFill>
              <a:prstDash val="solid"/>
            </a:ln>
          </c:spPr>
          <c:cat>
            <c:numRef>
              <c:f>'2009'!$A$3:$A$14</c:f>
              <c:numCache>
                <c:formatCode>dd/mm/yyyy</c:formatCode>
                <c:ptCount val="12"/>
                <c:pt idx="0">
                  <c:v>39842</c:v>
                </c:pt>
                <c:pt idx="1">
                  <c:v>39872</c:v>
                </c:pt>
                <c:pt idx="2">
                  <c:v>39901</c:v>
                </c:pt>
                <c:pt idx="3">
                  <c:v>39932</c:v>
                </c:pt>
                <c:pt idx="4">
                  <c:v>39962</c:v>
                </c:pt>
                <c:pt idx="5">
                  <c:v>39993</c:v>
                </c:pt>
                <c:pt idx="6">
                  <c:v>40023</c:v>
                </c:pt>
                <c:pt idx="7">
                  <c:v>40054</c:v>
                </c:pt>
                <c:pt idx="8">
                  <c:v>40085</c:v>
                </c:pt>
                <c:pt idx="9">
                  <c:v>40115</c:v>
                </c:pt>
                <c:pt idx="10">
                  <c:v>40146</c:v>
                </c:pt>
                <c:pt idx="11">
                  <c:v>40176</c:v>
                </c:pt>
              </c:numCache>
            </c:numRef>
          </c:cat>
          <c:val>
            <c:numRef>
              <c:f>'2009'!$D$3:$D$14</c:f>
              <c:numCache>
                <c:formatCode>0</c:formatCode>
                <c:ptCount val="12"/>
                <c:pt idx="0">
                  <c:v>593</c:v>
                </c:pt>
                <c:pt idx="1">
                  <c:v>590</c:v>
                </c:pt>
                <c:pt idx="2">
                  <c:v>559</c:v>
                </c:pt>
                <c:pt idx="3">
                  <c:v>485</c:v>
                </c:pt>
                <c:pt idx="4">
                  <c:v>199</c:v>
                </c:pt>
                <c:pt idx="5">
                  <c:v>181</c:v>
                </c:pt>
                <c:pt idx="6">
                  <c:v>155</c:v>
                </c:pt>
                <c:pt idx="7">
                  <c:v>153</c:v>
                </c:pt>
                <c:pt idx="8">
                  <c:v>141</c:v>
                </c:pt>
                <c:pt idx="9">
                  <c:v>191</c:v>
                </c:pt>
                <c:pt idx="10">
                  <c:v>310</c:v>
                </c:pt>
                <c:pt idx="11">
                  <c:v>347</c:v>
                </c:pt>
              </c:numCache>
            </c:numRef>
          </c:val>
        </c:ser>
        <c:gapWidth val="404"/>
        <c:overlap val="-5"/>
        <c:axId val="119995008"/>
        <c:axId val="119804288"/>
      </c:barChart>
      <c:lineChart>
        <c:grouping val="standard"/>
        <c:ser>
          <c:idx val="2"/>
          <c:order val="2"/>
          <c:tx>
            <c:strRef>
              <c:f>'2009'!$H$1</c:f>
              <c:strCache>
                <c:ptCount val="1"/>
                <c:pt idx="0">
                  <c:v>Total 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'2009'!$A$3:$A$14</c:f>
              <c:numCache>
                <c:formatCode>dd/mm/yyyy</c:formatCode>
                <c:ptCount val="12"/>
                <c:pt idx="0">
                  <c:v>39842</c:v>
                </c:pt>
                <c:pt idx="1">
                  <c:v>39872</c:v>
                </c:pt>
                <c:pt idx="2">
                  <c:v>39901</c:v>
                </c:pt>
                <c:pt idx="3">
                  <c:v>39932</c:v>
                </c:pt>
                <c:pt idx="4">
                  <c:v>39962</c:v>
                </c:pt>
                <c:pt idx="5">
                  <c:v>39993</c:v>
                </c:pt>
                <c:pt idx="6">
                  <c:v>40023</c:v>
                </c:pt>
                <c:pt idx="7">
                  <c:v>40054</c:v>
                </c:pt>
                <c:pt idx="8">
                  <c:v>40085</c:v>
                </c:pt>
                <c:pt idx="9">
                  <c:v>40115</c:v>
                </c:pt>
                <c:pt idx="10">
                  <c:v>40146</c:v>
                </c:pt>
                <c:pt idx="11">
                  <c:v>40176</c:v>
                </c:pt>
              </c:numCache>
            </c:numRef>
          </c:cat>
          <c:val>
            <c:numRef>
              <c:f>'2009'!$H$3:$H$14</c:f>
              <c:numCache>
                <c:formatCode>0</c:formatCode>
                <c:ptCount val="12"/>
                <c:pt idx="0">
                  <c:v>1607</c:v>
                </c:pt>
                <c:pt idx="1">
                  <c:v>1359</c:v>
                </c:pt>
                <c:pt idx="2">
                  <c:v>1308</c:v>
                </c:pt>
                <c:pt idx="3">
                  <c:v>1116</c:v>
                </c:pt>
                <c:pt idx="4">
                  <c:v>348</c:v>
                </c:pt>
                <c:pt idx="5">
                  <c:v>329</c:v>
                </c:pt>
                <c:pt idx="6">
                  <c:v>305</c:v>
                </c:pt>
                <c:pt idx="7">
                  <c:v>308</c:v>
                </c:pt>
                <c:pt idx="8">
                  <c:v>283</c:v>
                </c:pt>
                <c:pt idx="9">
                  <c:v>393</c:v>
                </c:pt>
                <c:pt idx="10">
                  <c:v>633</c:v>
                </c:pt>
                <c:pt idx="11">
                  <c:v>782</c:v>
                </c:pt>
              </c:numCache>
            </c:numRef>
          </c:val>
          <c:smooth val="1"/>
        </c:ser>
        <c:marker val="1"/>
        <c:axId val="119995008"/>
        <c:axId val="119804288"/>
      </c:lineChart>
      <c:lineChart>
        <c:grouping val="standard"/>
        <c:ser>
          <c:idx val="3"/>
          <c:order val="3"/>
          <c:tx>
            <c:v>cumul mensuel</c:v>
          </c:tx>
          <c:spPr>
            <a:ln w="25400">
              <a:solidFill>
                <a:srgbClr val="FFFF00"/>
              </a:solidFill>
              <a:prstDash val="solid"/>
            </a:ln>
          </c:spPr>
          <c:marker>
            <c:symbol val="none"/>
          </c:marker>
          <c:val>
            <c:numRef>
              <c:f>'2009'!$S$3:$S$14</c:f>
              <c:numCache>
                <c:formatCode>0.00</c:formatCode>
                <c:ptCount val="12"/>
                <c:pt idx="0">
                  <c:v>180.23269999999999</c:v>
                </c:pt>
                <c:pt idx="1">
                  <c:v>337.76869999999997</c:v>
                </c:pt>
                <c:pt idx="2">
                  <c:v>490.07629999999995</c:v>
                </c:pt>
                <c:pt idx="3">
                  <c:v>620.94529999999997</c:v>
                </c:pt>
                <c:pt idx="4">
                  <c:v>665.64889999999991</c:v>
                </c:pt>
                <c:pt idx="5">
                  <c:v>708.6697999999999</c:v>
                </c:pt>
                <c:pt idx="6">
                  <c:v>750.13979999999992</c:v>
                </c:pt>
                <c:pt idx="7">
                  <c:v>792.08129999999994</c:v>
                </c:pt>
                <c:pt idx="8">
                  <c:v>831.29189999999994</c:v>
                </c:pt>
                <c:pt idx="9">
                  <c:v>882.63549999999998</c:v>
                </c:pt>
                <c:pt idx="10">
                  <c:v>960.03689999999995</c:v>
                </c:pt>
                <c:pt idx="11">
                  <c:v>1055.1574000000001</c:v>
                </c:pt>
              </c:numCache>
            </c:numRef>
          </c:val>
          <c:smooth val="1"/>
        </c:ser>
        <c:marker val="1"/>
        <c:axId val="119805824"/>
        <c:axId val="119807360"/>
      </c:lineChart>
      <c:dateAx>
        <c:axId val="119995008"/>
        <c:scaling>
          <c:orientation val="minMax"/>
        </c:scaling>
        <c:axPos val="b"/>
        <c:numFmt formatCode="mmm\-yy" sourceLinked="0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804288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19804288"/>
        <c:scaling>
          <c:orientation val="minMax"/>
          <c:min val="0"/>
        </c:scaling>
        <c:axPos val="l"/>
        <c:majorGridlines>
          <c:spPr>
            <a:ln w="3175">
              <a:solidFill>
                <a:srgbClr val="0000FF"/>
              </a:solidFill>
              <a:prstDash val="dash"/>
            </a:ln>
          </c:spPr>
        </c:majorGridlines>
        <c:numFmt formatCode="0\K\w" sourceLinked="0"/>
        <c:minorTickMark val="cross"/>
        <c:tickLblPos val="nextTo"/>
        <c:spPr>
          <a:ln w="3175">
            <a:solidFill>
              <a:srgbClr val="0000FF"/>
            </a:solidFill>
            <a:prstDash val="dash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995008"/>
        <c:crosses val="autoZero"/>
        <c:crossBetween val="between"/>
        <c:majorUnit val="200"/>
        <c:minorUnit val="100"/>
      </c:valAx>
      <c:catAx>
        <c:axId val="119805824"/>
        <c:scaling>
          <c:orientation val="minMax"/>
        </c:scaling>
        <c:delete val="1"/>
        <c:axPos val="b"/>
        <c:tickLblPos val="none"/>
        <c:crossAx val="119807360"/>
        <c:crosses val="autoZero"/>
        <c:auto val="1"/>
        <c:lblAlgn val="ctr"/>
        <c:lblOffset val="100"/>
      </c:catAx>
      <c:valAx>
        <c:axId val="119807360"/>
        <c:scaling>
          <c:orientation val="minMax"/>
          <c:min val="0"/>
        </c:scaling>
        <c:axPos val="r"/>
        <c:majorGridlines>
          <c:spPr>
            <a:ln w="3175">
              <a:solidFill>
                <a:srgbClr val="FFFF00"/>
              </a:solidFill>
              <a:prstDash val="lgDash"/>
            </a:ln>
          </c:spPr>
        </c:majorGridlines>
        <c:numFmt formatCode="#,##0\ &quot;€&quot;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19805824"/>
        <c:crosses val="max"/>
        <c:crossBetween val="between"/>
      </c:valAx>
      <c:spPr>
        <a:gradFill rotWithShape="0">
          <a:gsLst>
            <a:gs pos="0">
              <a:srgbClr val="C0C0C0">
                <a:gamma/>
                <a:shade val="66275"/>
                <a:invGamma/>
              </a:srgbClr>
            </a:gs>
            <a:gs pos="100000">
              <a:srgbClr val="C0C0C0"/>
            </a:gs>
          </a:gsLst>
          <a:lin ang="5400000" scaled="1"/>
        </a:gradFill>
        <a:ln w="12700">
          <a:solidFill>
            <a:srgbClr val="C0C0C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9.3686354378818767E-2"/>
          <c:y val="0.89940828402366857"/>
          <c:w val="0.80768499982699848"/>
          <c:h val="7.1235148860830266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0" b="1" i="0" u="none" strike="noStrike" baseline="0">
              <a:solidFill>
                <a:srgbClr val="000000"/>
              </a:solidFill>
              <a:latin typeface="Times New Roman"/>
              <a:ea typeface="Times New Roman"/>
              <a:cs typeface="Times New Roman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8594748736419829E-2"/>
          <c:y val="5.0295857988165681E-2"/>
          <c:w val="0.84215927821856174"/>
          <c:h val="0.71597633136094652"/>
        </c:manualLayout>
      </c:layout>
      <c:barChart>
        <c:barDir val="col"/>
        <c:grouping val="stacked"/>
        <c:ser>
          <c:idx val="1"/>
          <c:order val="0"/>
          <c:tx>
            <c:strRef>
              <c:f>'2010'!$E$1</c:f>
              <c:strCache>
                <c:ptCount val="1"/>
                <c:pt idx="0">
                  <c:v>Consommat. H. Pleine</c:v>
                </c:pt>
              </c:strCache>
            </c:strRef>
          </c:tx>
          <c:spPr>
            <a:solidFill>
              <a:srgbClr val="0000FF"/>
            </a:solidFill>
            <a:ln w="25400">
              <a:solidFill>
                <a:srgbClr val="0000FF"/>
              </a:solidFill>
              <a:prstDash val="solid"/>
            </a:ln>
          </c:spPr>
          <c:cat>
            <c:numRef>
              <c:f>'2010'!$A$3:$A$14</c:f>
              <c:numCache>
                <c:formatCode>dd/mm/yyyy</c:formatCode>
                <c:ptCount val="12"/>
                <c:pt idx="0">
                  <c:v>40207</c:v>
                </c:pt>
                <c:pt idx="1">
                  <c:v>40237</c:v>
                </c:pt>
                <c:pt idx="2">
                  <c:v>40266</c:v>
                </c:pt>
                <c:pt idx="3">
                  <c:v>40297</c:v>
                </c:pt>
                <c:pt idx="4">
                  <c:v>40327</c:v>
                </c:pt>
                <c:pt idx="5">
                  <c:v>40358</c:v>
                </c:pt>
                <c:pt idx="6">
                  <c:v>40388</c:v>
                </c:pt>
                <c:pt idx="7">
                  <c:v>40419</c:v>
                </c:pt>
                <c:pt idx="8">
                  <c:v>40450</c:v>
                </c:pt>
                <c:pt idx="9">
                  <c:v>40480</c:v>
                </c:pt>
                <c:pt idx="10">
                  <c:v>40511</c:v>
                </c:pt>
                <c:pt idx="11">
                  <c:v>40541</c:v>
                </c:pt>
              </c:numCache>
            </c:numRef>
          </c:cat>
          <c:val>
            <c:numRef>
              <c:f>'2010'!$E$3:$E$14</c:f>
              <c:numCache>
                <c:formatCode>0</c:formatCode>
                <c:ptCount val="12"/>
                <c:pt idx="0">
                  <c:v>588</c:v>
                </c:pt>
                <c:pt idx="1">
                  <c:v>697</c:v>
                </c:pt>
                <c:pt idx="2">
                  <c:v>921</c:v>
                </c:pt>
                <c:pt idx="3">
                  <c:v>457</c:v>
                </c:pt>
                <c:pt idx="4">
                  <c:v>230</c:v>
                </c:pt>
                <c:pt idx="5">
                  <c:v>129</c:v>
                </c:pt>
                <c:pt idx="6">
                  <c:v>188</c:v>
                </c:pt>
                <c:pt idx="7">
                  <c:v>162</c:v>
                </c:pt>
                <c:pt idx="8">
                  <c:v>118</c:v>
                </c:pt>
                <c:pt idx="9">
                  <c:v>153</c:v>
                </c:pt>
                <c:pt idx="10">
                  <c:v>322</c:v>
                </c:pt>
                <c:pt idx="11">
                  <c:v>553</c:v>
                </c:pt>
              </c:numCache>
            </c:numRef>
          </c:val>
        </c:ser>
        <c:ser>
          <c:idx val="0"/>
          <c:order val="1"/>
          <c:tx>
            <c:strRef>
              <c:f>'2010'!$D$1</c:f>
              <c:strCache>
                <c:ptCount val="1"/>
                <c:pt idx="0">
                  <c:v>Consommat. H. Creuse</c:v>
                </c:pt>
              </c:strCache>
            </c:strRef>
          </c:tx>
          <c:spPr>
            <a:solidFill>
              <a:srgbClr val="00FF00"/>
            </a:solidFill>
            <a:ln w="25400">
              <a:solidFill>
                <a:srgbClr val="00FF00"/>
              </a:solidFill>
              <a:prstDash val="solid"/>
            </a:ln>
          </c:spPr>
          <c:cat>
            <c:numRef>
              <c:f>'2010'!$A$3:$A$14</c:f>
              <c:numCache>
                <c:formatCode>dd/mm/yyyy</c:formatCode>
                <c:ptCount val="12"/>
                <c:pt idx="0">
                  <c:v>40207</c:v>
                </c:pt>
                <c:pt idx="1">
                  <c:v>40237</c:v>
                </c:pt>
                <c:pt idx="2">
                  <c:v>40266</c:v>
                </c:pt>
                <c:pt idx="3">
                  <c:v>40297</c:v>
                </c:pt>
                <c:pt idx="4">
                  <c:v>40327</c:v>
                </c:pt>
                <c:pt idx="5">
                  <c:v>40358</c:v>
                </c:pt>
                <c:pt idx="6">
                  <c:v>40388</c:v>
                </c:pt>
                <c:pt idx="7">
                  <c:v>40419</c:v>
                </c:pt>
                <c:pt idx="8">
                  <c:v>40450</c:v>
                </c:pt>
                <c:pt idx="9">
                  <c:v>40480</c:v>
                </c:pt>
                <c:pt idx="10">
                  <c:v>40511</c:v>
                </c:pt>
                <c:pt idx="11">
                  <c:v>40541</c:v>
                </c:pt>
              </c:numCache>
            </c:numRef>
          </c:cat>
          <c:val>
            <c:numRef>
              <c:f>'2010'!$D$3:$D$14</c:f>
              <c:numCache>
                <c:formatCode>0</c:formatCode>
                <c:ptCount val="12"/>
                <c:pt idx="0">
                  <c:v>481</c:v>
                </c:pt>
                <c:pt idx="1">
                  <c:v>537</c:v>
                </c:pt>
                <c:pt idx="2">
                  <c:v>621</c:v>
                </c:pt>
                <c:pt idx="3">
                  <c:v>325</c:v>
                </c:pt>
                <c:pt idx="4">
                  <c:v>206</c:v>
                </c:pt>
                <c:pt idx="5">
                  <c:v>157</c:v>
                </c:pt>
                <c:pt idx="6">
                  <c:v>142</c:v>
                </c:pt>
                <c:pt idx="7">
                  <c:v>151</c:v>
                </c:pt>
                <c:pt idx="8">
                  <c:v>152</c:v>
                </c:pt>
                <c:pt idx="9">
                  <c:v>196</c:v>
                </c:pt>
                <c:pt idx="10">
                  <c:v>335</c:v>
                </c:pt>
                <c:pt idx="11">
                  <c:v>463</c:v>
                </c:pt>
              </c:numCache>
            </c:numRef>
          </c:val>
        </c:ser>
        <c:gapWidth val="404"/>
        <c:overlap val="-5"/>
        <c:axId val="120208384"/>
        <c:axId val="120218368"/>
      </c:barChart>
      <c:lineChart>
        <c:grouping val="standard"/>
        <c:ser>
          <c:idx val="2"/>
          <c:order val="2"/>
          <c:tx>
            <c:strRef>
              <c:f>'2010'!$H$1</c:f>
              <c:strCache>
                <c:ptCount val="1"/>
                <c:pt idx="0">
                  <c:v>Total 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'2010'!$A$3:$A$14</c:f>
              <c:numCache>
                <c:formatCode>dd/mm/yyyy</c:formatCode>
                <c:ptCount val="12"/>
                <c:pt idx="0">
                  <c:v>40207</c:v>
                </c:pt>
                <c:pt idx="1">
                  <c:v>40237</c:v>
                </c:pt>
                <c:pt idx="2">
                  <c:v>40266</c:v>
                </c:pt>
                <c:pt idx="3">
                  <c:v>40297</c:v>
                </c:pt>
                <c:pt idx="4">
                  <c:v>40327</c:v>
                </c:pt>
                <c:pt idx="5">
                  <c:v>40358</c:v>
                </c:pt>
                <c:pt idx="6">
                  <c:v>40388</c:v>
                </c:pt>
                <c:pt idx="7">
                  <c:v>40419</c:v>
                </c:pt>
                <c:pt idx="8">
                  <c:v>40450</c:v>
                </c:pt>
                <c:pt idx="9">
                  <c:v>40480</c:v>
                </c:pt>
                <c:pt idx="10">
                  <c:v>40511</c:v>
                </c:pt>
                <c:pt idx="11">
                  <c:v>40541</c:v>
                </c:pt>
              </c:numCache>
            </c:numRef>
          </c:cat>
          <c:val>
            <c:numRef>
              <c:f>'2010'!$H$3:$H$14</c:f>
              <c:numCache>
                <c:formatCode>0</c:formatCode>
                <c:ptCount val="12"/>
                <c:pt idx="0">
                  <c:v>1069</c:v>
                </c:pt>
                <c:pt idx="1">
                  <c:v>1234</c:v>
                </c:pt>
                <c:pt idx="2">
                  <c:v>1542</c:v>
                </c:pt>
                <c:pt idx="3">
                  <c:v>782</c:v>
                </c:pt>
                <c:pt idx="4">
                  <c:v>436</c:v>
                </c:pt>
                <c:pt idx="5">
                  <c:v>286</c:v>
                </c:pt>
                <c:pt idx="6">
                  <c:v>330</c:v>
                </c:pt>
                <c:pt idx="7">
                  <c:v>313</c:v>
                </c:pt>
                <c:pt idx="8">
                  <c:v>270</c:v>
                </c:pt>
                <c:pt idx="9">
                  <c:v>349</c:v>
                </c:pt>
                <c:pt idx="10">
                  <c:v>657</c:v>
                </c:pt>
                <c:pt idx="11">
                  <c:v>1016</c:v>
                </c:pt>
              </c:numCache>
            </c:numRef>
          </c:val>
          <c:smooth val="1"/>
        </c:ser>
        <c:marker val="1"/>
        <c:axId val="120208384"/>
        <c:axId val="120218368"/>
      </c:lineChart>
      <c:lineChart>
        <c:grouping val="standard"/>
        <c:ser>
          <c:idx val="3"/>
          <c:order val="3"/>
          <c:tx>
            <c:v>cumul mensuel</c:v>
          </c:tx>
          <c:spPr>
            <a:ln w="25400">
              <a:solidFill>
                <a:srgbClr val="FFFF00"/>
              </a:solidFill>
              <a:prstDash val="solid"/>
            </a:ln>
          </c:spPr>
          <c:marker>
            <c:symbol val="none"/>
          </c:marker>
          <c:val>
            <c:numRef>
              <c:f>'2010'!$S$3:$S$14</c:f>
              <c:numCache>
                <c:formatCode>0.00</c:formatCode>
                <c:ptCount val="12"/>
                <c:pt idx="0">
                  <c:v>118.13339999999999</c:v>
                </c:pt>
                <c:pt idx="1">
                  <c:v>261.20269999999999</c:v>
                </c:pt>
                <c:pt idx="2">
                  <c:v>440.08960000000002</c:v>
                </c:pt>
                <c:pt idx="3">
                  <c:v>534.24210000000005</c:v>
                </c:pt>
                <c:pt idx="4">
                  <c:v>589.17050000000006</c:v>
                </c:pt>
                <c:pt idx="5">
                  <c:v>626.98780000000011</c:v>
                </c:pt>
                <c:pt idx="6">
                  <c:v>671.52620000000013</c:v>
                </c:pt>
                <c:pt idx="7">
                  <c:v>713.49030000000016</c:v>
                </c:pt>
                <c:pt idx="8">
                  <c:v>749.85270000000014</c:v>
                </c:pt>
                <c:pt idx="9">
                  <c:v>794.59060000000011</c:v>
                </c:pt>
                <c:pt idx="10">
                  <c:v>873.34270000000015</c:v>
                </c:pt>
                <c:pt idx="11">
                  <c:v>993.1631000000001</c:v>
                </c:pt>
              </c:numCache>
            </c:numRef>
          </c:val>
          <c:smooth val="1"/>
        </c:ser>
        <c:marker val="1"/>
        <c:axId val="120219904"/>
        <c:axId val="120221696"/>
      </c:lineChart>
      <c:dateAx>
        <c:axId val="120208384"/>
        <c:scaling>
          <c:orientation val="minMax"/>
        </c:scaling>
        <c:axPos val="b"/>
        <c:numFmt formatCode="mmm\-yy" sourceLinked="0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218368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20218368"/>
        <c:scaling>
          <c:orientation val="minMax"/>
          <c:max val="1800"/>
          <c:min val="0"/>
        </c:scaling>
        <c:axPos val="l"/>
        <c:majorGridlines>
          <c:spPr>
            <a:ln w="3175">
              <a:solidFill>
                <a:srgbClr val="0000FF"/>
              </a:solidFill>
              <a:prstDash val="dash"/>
            </a:ln>
          </c:spPr>
        </c:majorGridlines>
        <c:numFmt formatCode="0\K\w" sourceLinked="0"/>
        <c:minorTickMark val="cross"/>
        <c:tickLblPos val="nextTo"/>
        <c:spPr>
          <a:ln w="3175">
            <a:solidFill>
              <a:srgbClr val="0000FF"/>
            </a:solidFill>
            <a:prstDash val="dash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208384"/>
        <c:crosses val="autoZero"/>
        <c:crossBetween val="between"/>
        <c:majorUnit val="200"/>
        <c:minorUnit val="100"/>
      </c:valAx>
      <c:catAx>
        <c:axId val="120219904"/>
        <c:scaling>
          <c:orientation val="minMax"/>
        </c:scaling>
        <c:delete val="1"/>
        <c:axPos val="b"/>
        <c:tickLblPos val="none"/>
        <c:crossAx val="120221696"/>
        <c:crosses val="autoZero"/>
        <c:auto val="1"/>
        <c:lblAlgn val="ctr"/>
        <c:lblOffset val="100"/>
      </c:catAx>
      <c:valAx>
        <c:axId val="120221696"/>
        <c:scaling>
          <c:orientation val="minMax"/>
          <c:min val="0"/>
        </c:scaling>
        <c:axPos val="r"/>
        <c:majorGridlines>
          <c:spPr>
            <a:ln w="3175">
              <a:solidFill>
                <a:srgbClr val="FFFF00"/>
              </a:solidFill>
              <a:prstDash val="lgDash"/>
            </a:ln>
          </c:spPr>
        </c:majorGridlines>
        <c:numFmt formatCode="#,##0\ &quot;€&quot;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219904"/>
        <c:crosses val="max"/>
        <c:crossBetween val="between"/>
      </c:valAx>
      <c:spPr>
        <a:gradFill rotWithShape="0">
          <a:gsLst>
            <a:gs pos="0">
              <a:srgbClr val="C0C0C0">
                <a:gamma/>
                <a:shade val="66275"/>
                <a:invGamma/>
              </a:srgbClr>
            </a:gs>
            <a:gs pos="100000">
              <a:srgbClr val="C0C0C0"/>
            </a:gs>
          </a:gsLst>
          <a:lin ang="5400000" scaled="1"/>
        </a:gradFill>
        <a:ln w="12700">
          <a:solidFill>
            <a:srgbClr val="C0C0C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9.3686354378818767E-2"/>
          <c:y val="0.89940828402366857"/>
          <c:w val="0.80768499982699848"/>
          <c:h val="7.1235148860830266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0" b="1" i="0" u="none" strike="noStrike" baseline="0">
              <a:solidFill>
                <a:srgbClr val="000000"/>
              </a:solidFill>
              <a:latin typeface="Times New Roman"/>
              <a:ea typeface="Times New Roman"/>
              <a:cs typeface="Times New Roman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8594748736419829E-2"/>
          <c:y val="5.0295857988165681E-2"/>
          <c:w val="0.84215927821856174"/>
          <c:h val="0.71597633136094652"/>
        </c:manualLayout>
      </c:layout>
      <c:barChart>
        <c:barDir val="col"/>
        <c:grouping val="stacked"/>
        <c:ser>
          <c:idx val="1"/>
          <c:order val="0"/>
          <c:tx>
            <c:strRef>
              <c:f>'2011'!$E$1</c:f>
              <c:strCache>
                <c:ptCount val="1"/>
                <c:pt idx="0">
                  <c:v>Consommat. H. Pleine</c:v>
                </c:pt>
              </c:strCache>
            </c:strRef>
          </c:tx>
          <c:spPr>
            <a:solidFill>
              <a:srgbClr val="0000FF"/>
            </a:solidFill>
            <a:ln w="25400">
              <a:solidFill>
                <a:srgbClr val="0000FF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 baseline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'2011'!$A$3:$A$14</c:f>
              <c:numCache>
                <c:formatCode>dd/mm/yyyy</c:formatCode>
                <c:ptCount val="12"/>
                <c:pt idx="0">
                  <c:v>40574</c:v>
                </c:pt>
                <c:pt idx="1">
                  <c:v>40602</c:v>
                </c:pt>
                <c:pt idx="2">
                  <c:v>40633</c:v>
                </c:pt>
                <c:pt idx="3">
                  <c:v>40663</c:v>
                </c:pt>
                <c:pt idx="4">
                  <c:v>40694</c:v>
                </c:pt>
                <c:pt idx="5">
                  <c:v>40724</c:v>
                </c:pt>
                <c:pt idx="6">
                  <c:v>40755</c:v>
                </c:pt>
                <c:pt idx="7">
                  <c:v>40786</c:v>
                </c:pt>
                <c:pt idx="8">
                  <c:v>40816</c:v>
                </c:pt>
                <c:pt idx="9">
                  <c:v>40847</c:v>
                </c:pt>
                <c:pt idx="10">
                  <c:v>40877</c:v>
                </c:pt>
                <c:pt idx="11">
                  <c:v>40908</c:v>
                </c:pt>
              </c:numCache>
            </c:numRef>
          </c:cat>
          <c:val>
            <c:numRef>
              <c:f>'2011'!$E$3:$E$14</c:f>
              <c:numCache>
                <c:formatCode>0</c:formatCode>
                <c:ptCount val="12"/>
                <c:pt idx="0">
                  <c:v>571</c:v>
                </c:pt>
                <c:pt idx="1">
                  <c:v>564</c:v>
                </c:pt>
                <c:pt idx="2">
                  <c:v>499</c:v>
                </c:pt>
                <c:pt idx="3">
                  <c:v>117</c:v>
                </c:pt>
                <c:pt idx="4">
                  <c:v>113</c:v>
                </c:pt>
                <c:pt idx="5">
                  <c:v>109</c:v>
                </c:pt>
                <c:pt idx="6">
                  <c:v>127</c:v>
                </c:pt>
                <c:pt idx="7">
                  <c:v>134</c:v>
                </c:pt>
                <c:pt idx="8">
                  <c:v>126</c:v>
                </c:pt>
                <c:pt idx="9">
                  <c:v>127</c:v>
                </c:pt>
                <c:pt idx="10">
                  <c:v>120</c:v>
                </c:pt>
                <c:pt idx="11">
                  <c:v>171</c:v>
                </c:pt>
              </c:numCache>
            </c:numRef>
          </c:val>
        </c:ser>
        <c:ser>
          <c:idx val="0"/>
          <c:order val="1"/>
          <c:tx>
            <c:strRef>
              <c:f>'2011'!$D$1</c:f>
              <c:strCache>
                <c:ptCount val="1"/>
                <c:pt idx="0">
                  <c:v>Consommat. H. Creuse</c:v>
                </c:pt>
              </c:strCache>
            </c:strRef>
          </c:tx>
          <c:spPr>
            <a:solidFill>
              <a:srgbClr val="00FF00"/>
            </a:solidFill>
            <a:ln w="25400">
              <a:solidFill>
                <a:srgbClr val="00FF00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'2011'!$A$3:$A$14</c:f>
              <c:numCache>
                <c:formatCode>dd/mm/yyyy</c:formatCode>
                <c:ptCount val="12"/>
                <c:pt idx="0">
                  <c:v>40574</c:v>
                </c:pt>
                <c:pt idx="1">
                  <c:v>40602</c:v>
                </c:pt>
                <c:pt idx="2">
                  <c:v>40633</c:v>
                </c:pt>
                <c:pt idx="3">
                  <c:v>40663</c:v>
                </c:pt>
                <c:pt idx="4">
                  <c:v>40694</c:v>
                </c:pt>
                <c:pt idx="5">
                  <c:v>40724</c:v>
                </c:pt>
                <c:pt idx="6">
                  <c:v>40755</c:v>
                </c:pt>
                <c:pt idx="7">
                  <c:v>40786</c:v>
                </c:pt>
                <c:pt idx="8">
                  <c:v>40816</c:v>
                </c:pt>
                <c:pt idx="9">
                  <c:v>40847</c:v>
                </c:pt>
                <c:pt idx="10">
                  <c:v>40877</c:v>
                </c:pt>
                <c:pt idx="11">
                  <c:v>40908</c:v>
                </c:pt>
              </c:numCache>
            </c:numRef>
          </c:cat>
          <c:val>
            <c:numRef>
              <c:f>'2011'!$D$3:$D$14</c:f>
              <c:numCache>
                <c:formatCode>0</c:formatCode>
                <c:ptCount val="12"/>
                <c:pt idx="0">
                  <c:v>476</c:v>
                </c:pt>
                <c:pt idx="1">
                  <c:v>501</c:v>
                </c:pt>
                <c:pt idx="2">
                  <c:v>457</c:v>
                </c:pt>
                <c:pt idx="3">
                  <c:v>178</c:v>
                </c:pt>
                <c:pt idx="4">
                  <c:v>148</c:v>
                </c:pt>
                <c:pt idx="5">
                  <c:v>132</c:v>
                </c:pt>
                <c:pt idx="6">
                  <c:v>134</c:v>
                </c:pt>
                <c:pt idx="7">
                  <c:v>135</c:v>
                </c:pt>
                <c:pt idx="8">
                  <c:v>153</c:v>
                </c:pt>
                <c:pt idx="9">
                  <c:v>160</c:v>
                </c:pt>
                <c:pt idx="10">
                  <c:v>194</c:v>
                </c:pt>
                <c:pt idx="11">
                  <c:v>246</c:v>
                </c:pt>
              </c:numCache>
            </c:numRef>
          </c:val>
        </c:ser>
        <c:gapWidth val="404"/>
        <c:overlap val="-5"/>
        <c:axId val="120334592"/>
        <c:axId val="120344576"/>
      </c:barChart>
      <c:lineChart>
        <c:grouping val="standard"/>
        <c:ser>
          <c:idx val="2"/>
          <c:order val="2"/>
          <c:tx>
            <c:strRef>
              <c:f>'2011'!$H$1</c:f>
              <c:strCache>
                <c:ptCount val="1"/>
                <c:pt idx="0">
                  <c:v>Total 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'2011'!$A$2:$A$14</c:f>
              <c:numCache>
                <c:formatCode>dd/mm/yyyy</c:formatCode>
                <c:ptCount val="12"/>
                <c:pt idx="0">
                  <c:v>40574</c:v>
                </c:pt>
                <c:pt idx="1">
                  <c:v>40602</c:v>
                </c:pt>
                <c:pt idx="2">
                  <c:v>40633</c:v>
                </c:pt>
                <c:pt idx="3">
                  <c:v>40663</c:v>
                </c:pt>
                <c:pt idx="4">
                  <c:v>40694</c:v>
                </c:pt>
                <c:pt idx="5">
                  <c:v>40724</c:v>
                </c:pt>
                <c:pt idx="6">
                  <c:v>40755</c:v>
                </c:pt>
                <c:pt idx="7">
                  <c:v>40786</c:v>
                </c:pt>
                <c:pt idx="8">
                  <c:v>40816</c:v>
                </c:pt>
                <c:pt idx="9">
                  <c:v>40847</c:v>
                </c:pt>
                <c:pt idx="10">
                  <c:v>40877</c:v>
                </c:pt>
                <c:pt idx="11">
                  <c:v>40908</c:v>
                </c:pt>
              </c:numCache>
            </c:numRef>
          </c:cat>
          <c:val>
            <c:numRef>
              <c:f>'2011'!$H$3:$H$14</c:f>
              <c:numCache>
                <c:formatCode>0</c:formatCode>
                <c:ptCount val="12"/>
                <c:pt idx="0">
                  <c:v>1047</c:v>
                </c:pt>
                <c:pt idx="1">
                  <c:v>1065</c:v>
                </c:pt>
                <c:pt idx="2">
                  <c:v>956</c:v>
                </c:pt>
                <c:pt idx="3">
                  <c:v>295</c:v>
                </c:pt>
                <c:pt idx="4">
                  <c:v>261</c:v>
                </c:pt>
                <c:pt idx="5">
                  <c:v>241</c:v>
                </c:pt>
                <c:pt idx="6">
                  <c:v>261</c:v>
                </c:pt>
                <c:pt idx="7">
                  <c:v>269</c:v>
                </c:pt>
                <c:pt idx="8">
                  <c:v>279</c:v>
                </c:pt>
                <c:pt idx="9">
                  <c:v>287</c:v>
                </c:pt>
                <c:pt idx="10">
                  <c:v>314</c:v>
                </c:pt>
                <c:pt idx="11">
                  <c:v>417</c:v>
                </c:pt>
              </c:numCache>
            </c:numRef>
          </c:val>
          <c:smooth val="1"/>
        </c:ser>
        <c:ser>
          <c:idx val="4"/>
          <c:order val="4"/>
          <c:tx>
            <c:v>2010</c:v>
          </c:tx>
          <c:spPr>
            <a:ln w="25400">
              <a:solidFill>
                <a:srgbClr val="7030A0"/>
              </a:solidFill>
              <a:prstDash val="sysDash"/>
            </a:ln>
          </c:spPr>
          <c:marker>
            <c:symbol val="none"/>
          </c:marker>
          <c:cat>
            <c:numRef>
              <c:f>'2011'!$A$2:$A$14</c:f>
              <c:numCache>
                <c:formatCode>dd/mm/yyyy</c:formatCode>
                <c:ptCount val="12"/>
                <c:pt idx="0">
                  <c:v>40574</c:v>
                </c:pt>
                <c:pt idx="1">
                  <c:v>40602</c:v>
                </c:pt>
                <c:pt idx="2">
                  <c:v>40633</c:v>
                </c:pt>
                <c:pt idx="3">
                  <c:v>40663</c:v>
                </c:pt>
                <c:pt idx="4">
                  <c:v>40694</c:v>
                </c:pt>
                <c:pt idx="5">
                  <c:v>40724</c:v>
                </c:pt>
                <c:pt idx="6">
                  <c:v>40755</c:v>
                </c:pt>
                <c:pt idx="7">
                  <c:v>40786</c:v>
                </c:pt>
                <c:pt idx="8">
                  <c:v>40816</c:v>
                </c:pt>
                <c:pt idx="9">
                  <c:v>40847</c:v>
                </c:pt>
                <c:pt idx="10">
                  <c:v>40877</c:v>
                </c:pt>
                <c:pt idx="11">
                  <c:v>40908</c:v>
                </c:pt>
              </c:numCache>
            </c:numRef>
          </c:cat>
          <c:val>
            <c:numRef>
              <c:f>'2010'!$H$3:$H$14</c:f>
              <c:numCache>
                <c:formatCode>0</c:formatCode>
                <c:ptCount val="12"/>
                <c:pt idx="0">
                  <c:v>1069</c:v>
                </c:pt>
                <c:pt idx="1">
                  <c:v>1234</c:v>
                </c:pt>
                <c:pt idx="2">
                  <c:v>1542</c:v>
                </c:pt>
                <c:pt idx="3">
                  <c:v>782</c:v>
                </c:pt>
                <c:pt idx="4">
                  <c:v>436</c:v>
                </c:pt>
                <c:pt idx="5">
                  <c:v>286</c:v>
                </c:pt>
                <c:pt idx="6">
                  <c:v>330</c:v>
                </c:pt>
                <c:pt idx="7">
                  <c:v>313</c:v>
                </c:pt>
                <c:pt idx="8">
                  <c:v>270</c:v>
                </c:pt>
                <c:pt idx="9">
                  <c:v>349</c:v>
                </c:pt>
                <c:pt idx="10">
                  <c:v>657</c:v>
                </c:pt>
                <c:pt idx="11">
                  <c:v>1016</c:v>
                </c:pt>
              </c:numCache>
            </c:numRef>
          </c:val>
          <c:smooth val="1"/>
        </c:ser>
        <c:ser>
          <c:idx val="5"/>
          <c:order val="5"/>
          <c:tx>
            <c:v>2009</c:v>
          </c:tx>
          <c:spPr>
            <a:ln w="25400">
              <a:solidFill>
                <a:schemeClr val="accent6"/>
              </a:solidFill>
              <a:prstDash val="sysDash"/>
            </a:ln>
          </c:spPr>
          <c:marker>
            <c:symbol val="none"/>
          </c:marker>
          <c:cat>
            <c:numRef>
              <c:f>'2011'!$A$2:$A$14</c:f>
              <c:numCache>
                <c:formatCode>dd/mm/yyyy</c:formatCode>
                <c:ptCount val="12"/>
                <c:pt idx="0">
                  <c:v>40574</c:v>
                </c:pt>
                <c:pt idx="1">
                  <c:v>40602</c:v>
                </c:pt>
                <c:pt idx="2">
                  <c:v>40633</c:v>
                </c:pt>
                <c:pt idx="3">
                  <c:v>40663</c:v>
                </c:pt>
                <c:pt idx="4">
                  <c:v>40694</c:v>
                </c:pt>
                <c:pt idx="5">
                  <c:v>40724</c:v>
                </c:pt>
                <c:pt idx="6">
                  <c:v>40755</c:v>
                </c:pt>
                <c:pt idx="7">
                  <c:v>40786</c:v>
                </c:pt>
                <c:pt idx="8">
                  <c:v>40816</c:v>
                </c:pt>
                <c:pt idx="9">
                  <c:v>40847</c:v>
                </c:pt>
                <c:pt idx="10">
                  <c:v>40877</c:v>
                </c:pt>
                <c:pt idx="11">
                  <c:v>40908</c:v>
                </c:pt>
              </c:numCache>
            </c:numRef>
          </c:cat>
          <c:val>
            <c:numRef>
              <c:f>'2009'!$H$3:$H$14</c:f>
              <c:numCache>
                <c:formatCode>0</c:formatCode>
                <c:ptCount val="12"/>
                <c:pt idx="0">
                  <c:v>1607</c:v>
                </c:pt>
                <c:pt idx="1">
                  <c:v>1359</c:v>
                </c:pt>
                <c:pt idx="2">
                  <c:v>1308</c:v>
                </c:pt>
                <c:pt idx="3">
                  <c:v>1116</c:v>
                </c:pt>
                <c:pt idx="4">
                  <c:v>348</c:v>
                </c:pt>
                <c:pt idx="5">
                  <c:v>329</c:v>
                </c:pt>
                <c:pt idx="6">
                  <c:v>305</c:v>
                </c:pt>
                <c:pt idx="7">
                  <c:v>308</c:v>
                </c:pt>
                <c:pt idx="8">
                  <c:v>283</c:v>
                </c:pt>
                <c:pt idx="9">
                  <c:v>393</c:v>
                </c:pt>
                <c:pt idx="10">
                  <c:v>633</c:v>
                </c:pt>
                <c:pt idx="11">
                  <c:v>782</c:v>
                </c:pt>
              </c:numCache>
            </c:numRef>
          </c:val>
          <c:smooth val="1"/>
        </c:ser>
        <c:marker val="1"/>
        <c:axId val="120334592"/>
        <c:axId val="120344576"/>
      </c:lineChart>
      <c:lineChart>
        <c:grouping val="standard"/>
        <c:ser>
          <c:idx val="3"/>
          <c:order val="3"/>
          <c:tx>
            <c:v>cumul mensuel</c:v>
          </c:tx>
          <c:spPr>
            <a:ln w="25400">
              <a:solidFill>
                <a:srgbClr val="FFFF00"/>
              </a:solidFill>
              <a:prstDash val="solid"/>
            </a:ln>
          </c:spPr>
          <c:marker>
            <c:symbol val="none"/>
          </c:marker>
          <c:val>
            <c:numRef>
              <c:f>'2011'!$S$3:$S$14</c:f>
              <c:numCache>
                <c:formatCode>0.00</c:formatCode>
                <c:ptCount val="12"/>
                <c:pt idx="0">
                  <c:v>117.83356666666667</c:v>
                </c:pt>
                <c:pt idx="1">
                  <c:v>240.71913333333333</c:v>
                </c:pt>
                <c:pt idx="2">
                  <c:v>351.51560000000001</c:v>
                </c:pt>
                <c:pt idx="3">
                  <c:v>389.50146666666666</c:v>
                </c:pt>
                <c:pt idx="4">
                  <c:v>424.38533333333334</c:v>
                </c:pt>
                <c:pt idx="5">
                  <c:v>457.3768</c:v>
                </c:pt>
                <c:pt idx="6">
                  <c:v>493.83103333333332</c:v>
                </c:pt>
                <c:pt idx="7">
                  <c:v>531.29226666666671</c:v>
                </c:pt>
                <c:pt idx="8">
                  <c:v>569.3121000000001</c:v>
                </c:pt>
                <c:pt idx="9">
                  <c:v>608.08813333333342</c:v>
                </c:pt>
                <c:pt idx="10">
                  <c:v>648.98266666666677</c:v>
                </c:pt>
                <c:pt idx="11">
                  <c:v>701.20690000000013</c:v>
                </c:pt>
              </c:numCache>
            </c:numRef>
          </c:val>
          <c:smooth val="1"/>
        </c:ser>
        <c:marker val="1"/>
        <c:axId val="120346112"/>
        <c:axId val="120347648"/>
      </c:lineChart>
      <c:dateAx>
        <c:axId val="120334592"/>
        <c:scaling>
          <c:orientation val="minMax"/>
        </c:scaling>
        <c:axPos val="b"/>
        <c:numFmt formatCode="mmm\-yy" sourceLinked="0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344576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20344576"/>
        <c:scaling>
          <c:orientation val="minMax"/>
          <c:max val="1800"/>
          <c:min val="0"/>
        </c:scaling>
        <c:axPos val="l"/>
        <c:majorGridlines>
          <c:spPr>
            <a:ln w="3175">
              <a:solidFill>
                <a:srgbClr val="0000FF"/>
              </a:solidFill>
              <a:prstDash val="dash"/>
            </a:ln>
          </c:spPr>
        </c:majorGridlines>
        <c:numFmt formatCode="0\K\w" sourceLinked="0"/>
        <c:minorTickMark val="cross"/>
        <c:tickLblPos val="nextTo"/>
        <c:spPr>
          <a:ln w="3175">
            <a:solidFill>
              <a:srgbClr val="0000FF"/>
            </a:solidFill>
            <a:prstDash val="dash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334592"/>
        <c:crosses val="autoZero"/>
        <c:crossBetween val="between"/>
        <c:majorUnit val="200"/>
        <c:minorUnit val="100"/>
      </c:valAx>
      <c:catAx>
        <c:axId val="120346112"/>
        <c:scaling>
          <c:orientation val="minMax"/>
        </c:scaling>
        <c:delete val="1"/>
        <c:axPos val="b"/>
        <c:tickLblPos val="none"/>
        <c:crossAx val="120347648"/>
        <c:crosses val="autoZero"/>
        <c:auto val="1"/>
        <c:lblAlgn val="ctr"/>
        <c:lblOffset val="100"/>
      </c:catAx>
      <c:valAx>
        <c:axId val="120347648"/>
        <c:scaling>
          <c:orientation val="minMax"/>
          <c:min val="0"/>
        </c:scaling>
        <c:axPos val="r"/>
        <c:majorGridlines>
          <c:spPr>
            <a:ln w="3175">
              <a:solidFill>
                <a:srgbClr val="FFFF00"/>
              </a:solidFill>
              <a:prstDash val="lgDash"/>
            </a:ln>
          </c:spPr>
        </c:majorGridlines>
        <c:numFmt formatCode="#,##0\ &quot;€&quot;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346112"/>
        <c:crosses val="max"/>
        <c:crossBetween val="between"/>
      </c:valAx>
      <c:spPr>
        <a:gradFill rotWithShape="0">
          <a:gsLst>
            <a:gs pos="0">
              <a:srgbClr val="C0C0C0">
                <a:gamma/>
                <a:shade val="66275"/>
                <a:invGamma/>
              </a:srgbClr>
            </a:gs>
            <a:gs pos="100000">
              <a:srgbClr val="C0C0C0"/>
            </a:gs>
          </a:gsLst>
          <a:lin ang="5400000" scaled="1"/>
        </a:gradFill>
        <a:ln w="12700">
          <a:solidFill>
            <a:srgbClr val="C0C0C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9.3686354378818767E-2"/>
          <c:y val="0.89940828402366857"/>
          <c:w val="0.80768499982699848"/>
          <c:h val="7.1235148860830266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0" b="1" i="0" u="none" strike="noStrike" baseline="0">
              <a:solidFill>
                <a:srgbClr val="000000"/>
              </a:solidFill>
              <a:latin typeface="Times New Roman"/>
              <a:ea typeface="Times New Roman"/>
              <a:cs typeface="Times New Roman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8594748736419829E-2"/>
          <c:y val="5.0295857988165681E-2"/>
          <c:w val="0.84215927821856174"/>
          <c:h val="0.71597633136094652"/>
        </c:manualLayout>
      </c:layout>
      <c:barChart>
        <c:barDir val="col"/>
        <c:grouping val="stacked"/>
        <c:ser>
          <c:idx val="0"/>
          <c:order val="0"/>
          <c:tx>
            <c:strRef>
              <c:f>'2012'!$E$1</c:f>
              <c:strCache>
                <c:ptCount val="1"/>
                <c:pt idx="0">
                  <c:v>Consommat. H. Creuse</c:v>
                </c:pt>
              </c:strCache>
            </c:strRef>
          </c:tx>
          <c:spPr>
            <a:solidFill>
              <a:srgbClr val="0000FF"/>
            </a:solidFill>
            <a:ln w="25400">
              <a:solidFill>
                <a:srgbClr val="0000FF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 sz="900" baseline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'2012'!$B$3:$B$14</c:f>
              <c:numCache>
                <c:formatCode>dd/mm/yyyy</c:formatCode>
                <c:ptCount val="12"/>
                <c:pt idx="0">
                  <c:v>40939</c:v>
                </c:pt>
                <c:pt idx="1">
                  <c:v>40968</c:v>
                </c:pt>
                <c:pt idx="2">
                  <c:v>40999</c:v>
                </c:pt>
                <c:pt idx="3">
                  <c:v>41029</c:v>
                </c:pt>
                <c:pt idx="4">
                  <c:v>41060</c:v>
                </c:pt>
                <c:pt idx="5">
                  <c:v>41090</c:v>
                </c:pt>
                <c:pt idx="6">
                  <c:v>41121</c:v>
                </c:pt>
                <c:pt idx="7">
                  <c:v>41152</c:v>
                </c:pt>
                <c:pt idx="8">
                  <c:v>41182</c:v>
                </c:pt>
                <c:pt idx="9">
                  <c:v>41213</c:v>
                </c:pt>
                <c:pt idx="10">
                  <c:v>41243</c:v>
                </c:pt>
                <c:pt idx="11">
                  <c:v>41274</c:v>
                </c:pt>
              </c:numCache>
            </c:numRef>
          </c:cat>
          <c:val>
            <c:numRef>
              <c:f>'2012'!$E$3:$E$14</c:f>
              <c:numCache>
                <c:formatCode>0</c:formatCode>
                <c:ptCount val="12"/>
                <c:pt idx="0">
                  <c:v>269</c:v>
                </c:pt>
                <c:pt idx="1">
                  <c:v>420</c:v>
                </c:pt>
                <c:pt idx="2">
                  <c:v>250</c:v>
                </c:pt>
                <c:pt idx="3">
                  <c:v>203</c:v>
                </c:pt>
                <c:pt idx="4">
                  <c:v>152</c:v>
                </c:pt>
                <c:pt idx="5">
                  <c:v>132</c:v>
                </c:pt>
                <c:pt idx="6">
                  <c:v>130</c:v>
                </c:pt>
                <c:pt idx="7">
                  <c:v>121</c:v>
                </c:pt>
                <c:pt idx="8">
                  <c:v>147</c:v>
                </c:pt>
                <c:pt idx="9">
                  <c:v>160</c:v>
                </c:pt>
                <c:pt idx="10">
                  <c:v>211</c:v>
                </c:pt>
                <c:pt idx="11">
                  <c:v>121</c:v>
                </c:pt>
              </c:numCache>
            </c:numRef>
          </c:val>
        </c:ser>
        <c:ser>
          <c:idx val="1"/>
          <c:order val="1"/>
          <c:tx>
            <c:strRef>
              <c:f>'2012'!$G$1</c:f>
              <c:strCache>
                <c:ptCount val="1"/>
                <c:pt idx="0">
                  <c:v>Consommat. H. Pleine</c:v>
                </c:pt>
              </c:strCache>
            </c:strRef>
          </c:tx>
          <c:spPr>
            <a:solidFill>
              <a:srgbClr val="00FF00"/>
            </a:solidFill>
            <a:ln w="25400">
              <a:solidFill>
                <a:srgbClr val="00FF00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 sz="900" baseline="0"/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'2012'!$B$3:$B$14</c:f>
              <c:numCache>
                <c:formatCode>dd/mm/yyyy</c:formatCode>
                <c:ptCount val="12"/>
                <c:pt idx="0">
                  <c:v>40939</c:v>
                </c:pt>
                <c:pt idx="1">
                  <c:v>40968</c:v>
                </c:pt>
                <c:pt idx="2">
                  <c:v>40999</c:v>
                </c:pt>
                <c:pt idx="3">
                  <c:v>41029</c:v>
                </c:pt>
                <c:pt idx="4">
                  <c:v>41060</c:v>
                </c:pt>
                <c:pt idx="5">
                  <c:v>41090</c:v>
                </c:pt>
                <c:pt idx="6">
                  <c:v>41121</c:v>
                </c:pt>
                <c:pt idx="7">
                  <c:v>41152</c:v>
                </c:pt>
                <c:pt idx="8">
                  <c:v>41182</c:v>
                </c:pt>
                <c:pt idx="9">
                  <c:v>41213</c:v>
                </c:pt>
                <c:pt idx="10">
                  <c:v>41243</c:v>
                </c:pt>
                <c:pt idx="11">
                  <c:v>41274</c:v>
                </c:pt>
              </c:numCache>
            </c:numRef>
          </c:cat>
          <c:val>
            <c:numRef>
              <c:f>'2012'!$G$3:$G$14</c:f>
              <c:numCache>
                <c:formatCode>0</c:formatCode>
                <c:ptCount val="12"/>
                <c:pt idx="0">
                  <c:v>191</c:v>
                </c:pt>
                <c:pt idx="1">
                  <c:v>593</c:v>
                </c:pt>
                <c:pt idx="2">
                  <c:v>193</c:v>
                </c:pt>
                <c:pt idx="3">
                  <c:v>173</c:v>
                </c:pt>
                <c:pt idx="4">
                  <c:v>114</c:v>
                </c:pt>
                <c:pt idx="5">
                  <c:v>120</c:v>
                </c:pt>
                <c:pt idx="6">
                  <c:v>111</c:v>
                </c:pt>
                <c:pt idx="7">
                  <c:v>125</c:v>
                </c:pt>
                <c:pt idx="8">
                  <c:v>112</c:v>
                </c:pt>
                <c:pt idx="9">
                  <c:v>119</c:v>
                </c:pt>
                <c:pt idx="10">
                  <c:v>153</c:v>
                </c:pt>
                <c:pt idx="11">
                  <c:v>147</c:v>
                </c:pt>
              </c:numCache>
            </c:numRef>
          </c:val>
        </c:ser>
        <c:gapWidth val="402"/>
        <c:overlap val="-7"/>
        <c:axId val="120629120"/>
        <c:axId val="120630656"/>
      </c:barChart>
      <c:lineChart>
        <c:grouping val="standard"/>
        <c:ser>
          <c:idx val="2"/>
          <c:order val="2"/>
          <c:tx>
            <c:strRef>
              <c:f>'2012'!$K$1</c:f>
              <c:strCache>
                <c:ptCount val="1"/>
                <c:pt idx="0">
                  <c:v>Total 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'2012'!$B$3:$B$14</c:f>
              <c:numCache>
                <c:formatCode>dd/mm/yyyy</c:formatCode>
                <c:ptCount val="12"/>
                <c:pt idx="0">
                  <c:v>40939</c:v>
                </c:pt>
                <c:pt idx="1">
                  <c:v>40968</c:v>
                </c:pt>
                <c:pt idx="2">
                  <c:v>40999</c:v>
                </c:pt>
                <c:pt idx="3">
                  <c:v>41029</c:v>
                </c:pt>
                <c:pt idx="4">
                  <c:v>41060</c:v>
                </c:pt>
                <c:pt idx="5">
                  <c:v>41090</c:v>
                </c:pt>
                <c:pt idx="6">
                  <c:v>41121</c:v>
                </c:pt>
                <c:pt idx="7">
                  <c:v>41152</c:v>
                </c:pt>
                <c:pt idx="8">
                  <c:v>41182</c:v>
                </c:pt>
                <c:pt idx="9">
                  <c:v>41213</c:v>
                </c:pt>
                <c:pt idx="10">
                  <c:v>41243</c:v>
                </c:pt>
                <c:pt idx="11">
                  <c:v>41274</c:v>
                </c:pt>
              </c:numCache>
            </c:numRef>
          </c:cat>
          <c:val>
            <c:numRef>
              <c:f>'2012'!$K$3:$K$14</c:f>
              <c:numCache>
                <c:formatCode>0</c:formatCode>
                <c:ptCount val="12"/>
                <c:pt idx="0">
                  <c:v>460</c:v>
                </c:pt>
                <c:pt idx="1">
                  <c:v>1013</c:v>
                </c:pt>
                <c:pt idx="2">
                  <c:v>443</c:v>
                </c:pt>
                <c:pt idx="3">
                  <c:v>376</c:v>
                </c:pt>
                <c:pt idx="4">
                  <c:v>266</c:v>
                </c:pt>
                <c:pt idx="5">
                  <c:v>252</c:v>
                </c:pt>
                <c:pt idx="6">
                  <c:v>241</c:v>
                </c:pt>
                <c:pt idx="7">
                  <c:v>246</c:v>
                </c:pt>
                <c:pt idx="8">
                  <c:v>259</c:v>
                </c:pt>
                <c:pt idx="9">
                  <c:v>279</c:v>
                </c:pt>
                <c:pt idx="10">
                  <c:v>364</c:v>
                </c:pt>
                <c:pt idx="11">
                  <c:v>268</c:v>
                </c:pt>
              </c:numCache>
            </c:numRef>
          </c:val>
        </c:ser>
        <c:ser>
          <c:idx val="4"/>
          <c:order val="4"/>
          <c:tx>
            <c:v>2011</c:v>
          </c:tx>
          <c:spPr>
            <a:ln w="25400">
              <a:solidFill>
                <a:srgbClr val="7030A0"/>
              </a:solidFill>
              <a:prstDash val="sysDash"/>
            </a:ln>
          </c:spPr>
          <c:marker>
            <c:symbol val="none"/>
          </c:marker>
          <c:cat>
            <c:numRef>
              <c:f>'2012'!$B$3:$B$14</c:f>
              <c:numCache>
                <c:formatCode>dd/mm/yyyy</c:formatCode>
                <c:ptCount val="12"/>
                <c:pt idx="0">
                  <c:v>40939</c:v>
                </c:pt>
                <c:pt idx="1">
                  <c:v>40968</c:v>
                </c:pt>
                <c:pt idx="2">
                  <c:v>40999</c:v>
                </c:pt>
                <c:pt idx="3">
                  <c:v>41029</c:v>
                </c:pt>
                <c:pt idx="4">
                  <c:v>41060</c:v>
                </c:pt>
                <c:pt idx="5">
                  <c:v>41090</c:v>
                </c:pt>
                <c:pt idx="6">
                  <c:v>41121</c:v>
                </c:pt>
                <c:pt idx="7">
                  <c:v>41152</c:v>
                </c:pt>
                <c:pt idx="8">
                  <c:v>41182</c:v>
                </c:pt>
                <c:pt idx="9">
                  <c:v>41213</c:v>
                </c:pt>
                <c:pt idx="10">
                  <c:v>41243</c:v>
                </c:pt>
                <c:pt idx="11">
                  <c:v>41274</c:v>
                </c:pt>
              </c:numCache>
            </c:numRef>
          </c:cat>
          <c:val>
            <c:numRef>
              <c:f>'2011'!$H$3:$H$14</c:f>
              <c:numCache>
                <c:formatCode>0</c:formatCode>
                <c:ptCount val="12"/>
                <c:pt idx="0">
                  <c:v>1047</c:v>
                </c:pt>
                <c:pt idx="1">
                  <c:v>1065</c:v>
                </c:pt>
                <c:pt idx="2">
                  <c:v>956</c:v>
                </c:pt>
                <c:pt idx="3">
                  <c:v>295</c:v>
                </c:pt>
                <c:pt idx="4">
                  <c:v>261</c:v>
                </c:pt>
                <c:pt idx="5">
                  <c:v>241</c:v>
                </c:pt>
                <c:pt idx="6">
                  <c:v>261</c:v>
                </c:pt>
                <c:pt idx="7">
                  <c:v>269</c:v>
                </c:pt>
                <c:pt idx="8">
                  <c:v>279</c:v>
                </c:pt>
                <c:pt idx="9">
                  <c:v>287</c:v>
                </c:pt>
                <c:pt idx="10">
                  <c:v>314</c:v>
                </c:pt>
                <c:pt idx="11">
                  <c:v>417</c:v>
                </c:pt>
              </c:numCache>
            </c:numRef>
          </c:val>
          <c:smooth val="1"/>
        </c:ser>
        <c:ser>
          <c:idx val="5"/>
          <c:order val="5"/>
          <c:tx>
            <c:v>2010</c:v>
          </c:tx>
          <c:spPr>
            <a:ln w="25400">
              <a:solidFill>
                <a:schemeClr val="accent6"/>
              </a:solidFill>
              <a:prstDash val="sysDash"/>
            </a:ln>
          </c:spPr>
          <c:marker>
            <c:symbol val="none"/>
          </c:marker>
          <c:cat>
            <c:numRef>
              <c:f>'2012'!$B$3:$B$14</c:f>
              <c:numCache>
                <c:formatCode>dd/mm/yyyy</c:formatCode>
                <c:ptCount val="12"/>
                <c:pt idx="0">
                  <c:v>40939</c:v>
                </c:pt>
                <c:pt idx="1">
                  <c:v>40968</c:v>
                </c:pt>
                <c:pt idx="2">
                  <c:v>40999</c:v>
                </c:pt>
                <c:pt idx="3">
                  <c:v>41029</c:v>
                </c:pt>
                <c:pt idx="4">
                  <c:v>41060</c:v>
                </c:pt>
                <c:pt idx="5">
                  <c:v>41090</c:v>
                </c:pt>
                <c:pt idx="6">
                  <c:v>41121</c:v>
                </c:pt>
                <c:pt idx="7">
                  <c:v>41152</c:v>
                </c:pt>
                <c:pt idx="8">
                  <c:v>41182</c:v>
                </c:pt>
                <c:pt idx="9">
                  <c:v>41213</c:v>
                </c:pt>
                <c:pt idx="10">
                  <c:v>41243</c:v>
                </c:pt>
                <c:pt idx="11">
                  <c:v>41274</c:v>
                </c:pt>
              </c:numCache>
            </c:numRef>
          </c:cat>
          <c:val>
            <c:numRef>
              <c:f>'2010'!$H$3:$H$14</c:f>
              <c:numCache>
                <c:formatCode>0</c:formatCode>
                <c:ptCount val="12"/>
                <c:pt idx="0">
                  <c:v>1069</c:v>
                </c:pt>
                <c:pt idx="1">
                  <c:v>1234</c:v>
                </c:pt>
                <c:pt idx="2">
                  <c:v>1542</c:v>
                </c:pt>
                <c:pt idx="3">
                  <c:v>782</c:v>
                </c:pt>
                <c:pt idx="4">
                  <c:v>436</c:v>
                </c:pt>
                <c:pt idx="5">
                  <c:v>286</c:v>
                </c:pt>
                <c:pt idx="6">
                  <c:v>330</c:v>
                </c:pt>
                <c:pt idx="7">
                  <c:v>313</c:v>
                </c:pt>
                <c:pt idx="8">
                  <c:v>270</c:v>
                </c:pt>
                <c:pt idx="9">
                  <c:v>349</c:v>
                </c:pt>
                <c:pt idx="10">
                  <c:v>657</c:v>
                </c:pt>
                <c:pt idx="11">
                  <c:v>1016</c:v>
                </c:pt>
              </c:numCache>
            </c:numRef>
          </c:val>
          <c:smooth val="1"/>
        </c:ser>
        <c:marker val="1"/>
        <c:axId val="120629120"/>
        <c:axId val="120630656"/>
      </c:lineChart>
      <c:lineChart>
        <c:grouping val="standard"/>
        <c:ser>
          <c:idx val="3"/>
          <c:order val="3"/>
          <c:tx>
            <c:v>cumul mensuel</c:v>
          </c:tx>
          <c:spPr>
            <a:ln w="25400">
              <a:solidFill>
                <a:srgbClr val="FFFF00"/>
              </a:solidFill>
              <a:prstDash val="solid"/>
            </a:ln>
          </c:spPr>
          <c:marker>
            <c:symbol val="none"/>
          </c:marker>
          <c:val>
            <c:numRef>
              <c:f>'2012'!$V$3:$V$14</c:f>
              <c:numCache>
                <c:formatCode>0.00</c:formatCode>
                <c:ptCount val="12"/>
                <c:pt idx="0">
                  <c:v>56.973033333333333</c:v>
                </c:pt>
                <c:pt idx="1">
                  <c:v>180.20296666666667</c:v>
                </c:pt>
                <c:pt idx="2">
                  <c:v>235.73790000000002</c:v>
                </c:pt>
                <c:pt idx="3">
                  <c:v>284.44233333333335</c:v>
                </c:pt>
                <c:pt idx="4">
                  <c:v>320.84146666666669</c:v>
                </c:pt>
                <c:pt idx="5">
                  <c:v>356.23780000000005</c:v>
                </c:pt>
                <c:pt idx="6">
                  <c:v>390.70813333333336</c:v>
                </c:pt>
                <c:pt idx="7">
                  <c:v>426.82273333333336</c:v>
                </c:pt>
                <c:pt idx="8">
                  <c:v>463.58603333333338</c:v>
                </c:pt>
                <c:pt idx="9">
                  <c:v>502.50023333333337</c:v>
                </c:pt>
                <c:pt idx="10">
                  <c:v>550.73723333333339</c:v>
                </c:pt>
                <c:pt idx="11">
                  <c:v>589.82843333333335</c:v>
                </c:pt>
              </c:numCache>
            </c:numRef>
          </c:val>
          <c:smooth val="1"/>
        </c:ser>
        <c:marker val="1"/>
        <c:axId val="120648832"/>
        <c:axId val="120650368"/>
      </c:lineChart>
      <c:dateAx>
        <c:axId val="120629120"/>
        <c:scaling>
          <c:orientation val="minMax"/>
        </c:scaling>
        <c:axPos val="b"/>
        <c:numFmt formatCode="mmm\-yy" sourceLinked="0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630656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20630656"/>
        <c:scaling>
          <c:orientation val="minMax"/>
          <c:max val="1600"/>
          <c:min val="0"/>
        </c:scaling>
        <c:axPos val="l"/>
        <c:majorGridlines>
          <c:spPr>
            <a:ln w="3175">
              <a:solidFill>
                <a:srgbClr val="0000FF"/>
              </a:solidFill>
              <a:prstDash val="dash"/>
            </a:ln>
          </c:spPr>
        </c:majorGridlines>
        <c:numFmt formatCode="0\K\w" sourceLinked="0"/>
        <c:minorTickMark val="cross"/>
        <c:tickLblPos val="nextTo"/>
        <c:spPr>
          <a:ln w="3175">
            <a:solidFill>
              <a:srgbClr val="0000FF"/>
            </a:solidFill>
            <a:prstDash val="dash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FF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629120"/>
        <c:crosses val="autoZero"/>
        <c:crossBetween val="between"/>
        <c:majorUnit val="200"/>
        <c:minorUnit val="200"/>
      </c:valAx>
      <c:catAx>
        <c:axId val="120648832"/>
        <c:scaling>
          <c:orientation val="minMax"/>
        </c:scaling>
        <c:delete val="1"/>
        <c:axPos val="b"/>
        <c:tickLblPos val="none"/>
        <c:crossAx val="120650368"/>
        <c:crosses val="autoZero"/>
        <c:auto val="1"/>
        <c:lblAlgn val="ctr"/>
        <c:lblOffset val="100"/>
      </c:catAx>
      <c:valAx>
        <c:axId val="120650368"/>
        <c:scaling>
          <c:orientation val="minMax"/>
          <c:min val="0"/>
        </c:scaling>
        <c:axPos val="r"/>
        <c:majorGridlines>
          <c:spPr>
            <a:ln w="3175">
              <a:solidFill>
                <a:srgbClr val="FFFF00"/>
              </a:solidFill>
              <a:prstDash val="lgDash"/>
            </a:ln>
          </c:spPr>
        </c:majorGridlines>
        <c:numFmt formatCode="#,##0\ &quot;€&quot;" sourceLinked="0"/>
        <c:majorTickMark val="cross"/>
        <c:tickLblPos val="nextTo"/>
        <c:txPr>
          <a:bodyPr rot="0" vert="horz"/>
          <a:lstStyle/>
          <a:p>
            <a:pPr>
              <a:defRPr sz="1150" b="1" i="0" u="none" strike="noStrike" baseline="0">
                <a:solidFill>
                  <a:srgbClr val="FFC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648832"/>
        <c:crosses val="max"/>
        <c:crossBetween val="between"/>
      </c:valAx>
      <c:spPr>
        <a:gradFill rotWithShape="0">
          <a:gsLst>
            <a:gs pos="0">
              <a:srgbClr val="C0C0C0">
                <a:gamma/>
                <a:shade val="66275"/>
                <a:invGamma/>
              </a:srgbClr>
            </a:gs>
            <a:gs pos="100000">
              <a:srgbClr val="C0C0C0"/>
            </a:gs>
          </a:gsLst>
          <a:lin ang="5400000" scaled="1"/>
        </a:gradFill>
        <a:ln w="12700">
          <a:solidFill>
            <a:srgbClr val="C0C0C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9.3686354378818767E-2"/>
          <c:y val="0.89940828402366857"/>
          <c:w val="0.80768499982699848"/>
          <c:h val="7.1235148860830266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0" b="1" i="0" u="none" strike="noStrike" baseline="0">
              <a:solidFill>
                <a:srgbClr val="000000"/>
              </a:solidFill>
              <a:latin typeface="Times New Roman"/>
              <a:ea typeface="Times New Roman"/>
              <a:cs typeface="Times New Roman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8594748736419829E-2"/>
          <c:y val="5.0295857988165681E-2"/>
          <c:w val="0.84215927821856174"/>
          <c:h val="0.71597633136094652"/>
        </c:manualLayout>
      </c:layout>
      <c:barChart>
        <c:barDir val="col"/>
        <c:grouping val="stacked"/>
        <c:ser>
          <c:idx val="0"/>
          <c:order val="0"/>
          <c:tx>
            <c:strRef>
              <c:f>'2013'!$E$1</c:f>
              <c:strCache>
                <c:ptCount val="1"/>
                <c:pt idx="0">
                  <c:v>Consommat. H. Creuse</c:v>
                </c:pt>
              </c:strCache>
            </c:strRef>
          </c:tx>
          <c:spPr>
            <a:solidFill>
              <a:srgbClr val="0000FF"/>
            </a:solidFill>
            <a:ln w="25400">
              <a:solidFill>
                <a:srgbClr val="0000FF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 baseline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'2013'!$B$3:$B$14</c:f>
              <c:numCache>
                <c:formatCode>dd/mm/yyyy</c:formatCode>
                <c:ptCount val="12"/>
                <c:pt idx="0">
                  <c:v>41305</c:v>
                </c:pt>
                <c:pt idx="1">
                  <c:v>41333</c:v>
                </c:pt>
                <c:pt idx="2">
                  <c:v>41364</c:v>
                </c:pt>
                <c:pt idx="3">
                  <c:v>41394</c:v>
                </c:pt>
                <c:pt idx="4">
                  <c:v>41425</c:v>
                </c:pt>
                <c:pt idx="5">
                  <c:v>41455</c:v>
                </c:pt>
                <c:pt idx="6">
                  <c:v>41486</c:v>
                </c:pt>
                <c:pt idx="7">
                  <c:v>41517</c:v>
                </c:pt>
                <c:pt idx="8">
                  <c:v>41547</c:v>
                </c:pt>
                <c:pt idx="9">
                  <c:v>41578</c:v>
                </c:pt>
                <c:pt idx="10">
                  <c:v>41608</c:v>
                </c:pt>
                <c:pt idx="11">
                  <c:v>41639</c:v>
                </c:pt>
              </c:numCache>
            </c:numRef>
          </c:cat>
          <c:val>
            <c:numRef>
              <c:f>'2013'!$E$3:$E$14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'2013'!$F$1</c:f>
              <c:strCache>
                <c:ptCount val="1"/>
                <c:pt idx="0">
                  <c:v>Consommat. H. Pleine</c:v>
                </c:pt>
              </c:strCache>
            </c:strRef>
          </c:tx>
          <c:spPr>
            <a:solidFill>
              <a:srgbClr val="00FF00"/>
            </a:solidFill>
            <a:ln w="25400">
              <a:solidFill>
                <a:srgbClr val="00FF00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numRef>
              <c:f>'2013'!$B$3:$B$14</c:f>
              <c:numCache>
                <c:formatCode>dd/mm/yyyy</c:formatCode>
                <c:ptCount val="12"/>
                <c:pt idx="0">
                  <c:v>41305</c:v>
                </c:pt>
                <c:pt idx="1">
                  <c:v>41333</c:v>
                </c:pt>
                <c:pt idx="2">
                  <c:v>41364</c:v>
                </c:pt>
                <c:pt idx="3">
                  <c:v>41394</c:v>
                </c:pt>
                <c:pt idx="4">
                  <c:v>41425</c:v>
                </c:pt>
                <c:pt idx="5">
                  <c:v>41455</c:v>
                </c:pt>
                <c:pt idx="6">
                  <c:v>41486</c:v>
                </c:pt>
                <c:pt idx="7">
                  <c:v>41517</c:v>
                </c:pt>
                <c:pt idx="8">
                  <c:v>41547</c:v>
                </c:pt>
                <c:pt idx="9">
                  <c:v>41578</c:v>
                </c:pt>
                <c:pt idx="10">
                  <c:v>41608</c:v>
                </c:pt>
                <c:pt idx="11">
                  <c:v>41639</c:v>
                </c:pt>
              </c:numCache>
            </c:numRef>
          </c:cat>
          <c:val>
            <c:numRef>
              <c:f>'2013'!$F$3:$F$14</c:f>
              <c:numCache>
                <c:formatCode>0</c:formatCode>
                <c:ptCount val="12"/>
                <c:pt idx="0">
                  <c:v>1E-8</c:v>
                </c:pt>
                <c:pt idx="1">
                  <c:v>1E-8</c:v>
                </c:pt>
                <c:pt idx="2">
                  <c:v>1E-8</c:v>
                </c:pt>
                <c:pt idx="3">
                  <c:v>1E-8</c:v>
                </c:pt>
                <c:pt idx="4">
                  <c:v>1E-8</c:v>
                </c:pt>
                <c:pt idx="5">
                  <c:v>1E-8</c:v>
                </c:pt>
                <c:pt idx="6">
                  <c:v>1E-8</c:v>
                </c:pt>
                <c:pt idx="7">
                  <c:v>1E-8</c:v>
                </c:pt>
                <c:pt idx="8">
                  <c:v>1E-8</c:v>
                </c:pt>
                <c:pt idx="9">
                  <c:v>1E-8</c:v>
                </c:pt>
                <c:pt idx="10">
                  <c:v>1E-8</c:v>
                </c:pt>
                <c:pt idx="11">
                  <c:v>1E-8</c:v>
                </c:pt>
              </c:numCache>
            </c:numRef>
          </c:val>
        </c:ser>
        <c:gapWidth val="400"/>
        <c:axId val="120751616"/>
        <c:axId val="120753152"/>
      </c:barChart>
      <c:lineChart>
        <c:grouping val="standard"/>
        <c:ser>
          <c:idx val="2"/>
          <c:order val="2"/>
          <c:tx>
            <c:strRef>
              <c:f>'2013'!$I$1</c:f>
              <c:strCache>
                <c:ptCount val="1"/>
                <c:pt idx="0">
                  <c:v>Total 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'2013'!$B$3:$B$14</c:f>
              <c:numCache>
                <c:formatCode>dd/mm/yyyy</c:formatCode>
                <c:ptCount val="12"/>
                <c:pt idx="0">
                  <c:v>41305</c:v>
                </c:pt>
                <c:pt idx="1">
                  <c:v>41333</c:v>
                </c:pt>
                <c:pt idx="2">
                  <c:v>41364</c:v>
                </c:pt>
                <c:pt idx="3">
                  <c:v>41394</c:v>
                </c:pt>
                <c:pt idx="4">
                  <c:v>41425</c:v>
                </c:pt>
                <c:pt idx="5">
                  <c:v>41455</c:v>
                </c:pt>
                <c:pt idx="6">
                  <c:v>41486</c:v>
                </c:pt>
                <c:pt idx="7">
                  <c:v>41517</c:v>
                </c:pt>
                <c:pt idx="8">
                  <c:v>41547</c:v>
                </c:pt>
                <c:pt idx="9">
                  <c:v>41578</c:v>
                </c:pt>
                <c:pt idx="10">
                  <c:v>41608</c:v>
                </c:pt>
                <c:pt idx="11">
                  <c:v>41639</c:v>
                </c:pt>
              </c:numCache>
            </c:numRef>
          </c:cat>
          <c:val>
            <c:numRef>
              <c:f>'2013'!$I$3:$I$14</c:f>
              <c:numCache>
                <c:formatCode>0</c:formatCode>
                <c:ptCount val="12"/>
                <c:pt idx="0">
                  <c:v>1E-8</c:v>
                </c:pt>
                <c:pt idx="1">
                  <c:v>1E-8</c:v>
                </c:pt>
                <c:pt idx="2">
                  <c:v>1E-8</c:v>
                </c:pt>
                <c:pt idx="3">
                  <c:v>1E-8</c:v>
                </c:pt>
                <c:pt idx="4">
                  <c:v>1E-8</c:v>
                </c:pt>
                <c:pt idx="5">
                  <c:v>1E-8</c:v>
                </c:pt>
                <c:pt idx="6">
                  <c:v>1E-8</c:v>
                </c:pt>
                <c:pt idx="7">
                  <c:v>1E-8</c:v>
                </c:pt>
                <c:pt idx="8">
                  <c:v>1E-8</c:v>
                </c:pt>
                <c:pt idx="9">
                  <c:v>1E-8</c:v>
                </c:pt>
                <c:pt idx="10">
                  <c:v>1E-8</c:v>
                </c:pt>
                <c:pt idx="11">
                  <c:v>1E-8</c:v>
                </c:pt>
              </c:numCache>
            </c:numRef>
          </c:val>
          <c:smooth val="1"/>
        </c:ser>
        <c:ser>
          <c:idx val="4"/>
          <c:order val="4"/>
          <c:tx>
            <c:v>2012</c:v>
          </c:tx>
          <c:spPr>
            <a:ln w="25400">
              <a:solidFill>
                <a:srgbClr val="7030A0"/>
              </a:solidFill>
              <a:prstDash val="sysDash"/>
            </a:ln>
          </c:spPr>
          <c:marker>
            <c:symbol val="none"/>
          </c:marker>
          <c:cat>
            <c:numRef>
              <c:f>'2013'!$B$3:$B$14</c:f>
              <c:numCache>
                <c:formatCode>dd/mm/yyyy</c:formatCode>
                <c:ptCount val="12"/>
                <c:pt idx="0">
                  <c:v>41305</c:v>
                </c:pt>
                <c:pt idx="1">
                  <c:v>41333</c:v>
                </c:pt>
                <c:pt idx="2">
                  <c:v>41364</c:v>
                </c:pt>
                <c:pt idx="3">
                  <c:v>41394</c:v>
                </c:pt>
                <c:pt idx="4">
                  <c:v>41425</c:v>
                </c:pt>
                <c:pt idx="5">
                  <c:v>41455</c:v>
                </c:pt>
                <c:pt idx="6">
                  <c:v>41486</c:v>
                </c:pt>
                <c:pt idx="7">
                  <c:v>41517</c:v>
                </c:pt>
                <c:pt idx="8">
                  <c:v>41547</c:v>
                </c:pt>
                <c:pt idx="9">
                  <c:v>41578</c:v>
                </c:pt>
                <c:pt idx="10">
                  <c:v>41608</c:v>
                </c:pt>
                <c:pt idx="11">
                  <c:v>41639</c:v>
                </c:pt>
              </c:numCache>
            </c:numRef>
          </c:cat>
          <c:val>
            <c:numRef>
              <c:f>'2012'!$K$3:$K$14</c:f>
              <c:numCache>
                <c:formatCode>0</c:formatCode>
                <c:ptCount val="12"/>
                <c:pt idx="0">
                  <c:v>460</c:v>
                </c:pt>
                <c:pt idx="1">
                  <c:v>1013</c:v>
                </c:pt>
                <c:pt idx="2">
                  <c:v>443</c:v>
                </c:pt>
                <c:pt idx="3">
                  <c:v>376</c:v>
                </c:pt>
                <c:pt idx="4">
                  <c:v>266</c:v>
                </c:pt>
                <c:pt idx="5">
                  <c:v>252</c:v>
                </c:pt>
                <c:pt idx="6">
                  <c:v>241</c:v>
                </c:pt>
                <c:pt idx="7">
                  <c:v>246</c:v>
                </c:pt>
                <c:pt idx="8">
                  <c:v>259</c:v>
                </c:pt>
                <c:pt idx="9">
                  <c:v>279</c:v>
                </c:pt>
                <c:pt idx="10">
                  <c:v>364</c:v>
                </c:pt>
                <c:pt idx="11">
                  <c:v>268</c:v>
                </c:pt>
              </c:numCache>
            </c:numRef>
          </c:val>
          <c:smooth val="1"/>
        </c:ser>
        <c:ser>
          <c:idx val="5"/>
          <c:order val="5"/>
          <c:tx>
            <c:v>2011</c:v>
          </c:tx>
          <c:spPr>
            <a:ln w="25400">
              <a:solidFill>
                <a:schemeClr val="accent6"/>
              </a:solidFill>
              <a:prstDash val="sysDash"/>
            </a:ln>
          </c:spPr>
          <c:marker>
            <c:symbol val="none"/>
          </c:marker>
          <c:cat>
            <c:numRef>
              <c:f>'2013'!$B$3:$B$14</c:f>
              <c:numCache>
                <c:formatCode>dd/mm/yyyy</c:formatCode>
                <c:ptCount val="12"/>
                <c:pt idx="0">
                  <c:v>41305</c:v>
                </c:pt>
                <c:pt idx="1">
                  <c:v>41333</c:v>
                </c:pt>
                <c:pt idx="2">
                  <c:v>41364</c:v>
                </c:pt>
                <c:pt idx="3">
                  <c:v>41394</c:v>
                </c:pt>
                <c:pt idx="4">
                  <c:v>41425</c:v>
                </c:pt>
                <c:pt idx="5">
                  <c:v>41455</c:v>
                </c:pt>
                <c:pt idx="6">
                  <c:v>41486</c:v>
                </c:pt>
                <c:pt idx="7">
                  <c:v>41517</c:v>
                </c:pt>
                <c:pt idx="8">
                  <c:v>41547</c:v>
                </c:pt>
                <c:pt idx="9">
                  <c:v>41578</c:v>
                </c:pt>
                <c:pt idx="10">
                  <c:v>41608</c:v>
                </c:pt>
                <c:pt idx="11">
                  <c:v>41639</c:v>
                </c:pt>
              </c:numCache>
            </c:numRef>
          </c:cat>
          <c:val>
            <c:numRef>
              <c:f>'2011'!$H$3:$H$14</c:f>
              <c:numCache>
                <c:formatCode>0</c:formatCode>
                <c:ptCount val="12"/>
                <c:pt idx="0">
                  <c:v>1047</c:v>
                </c:pt>
                <c:pt idx="1">
                  <c:v>1065</c:v>
                </c:pt>
                <c:pt idx="2">
                  <c:v>956</c:v>
                </c:pt>
                <c:pt idx="3">
                  <c:v>295</c:v>
                </c:pt>
                <c:pt idx="4">
                  <c:v>261</c:v>
                </c:pt>
                <c:pt idx="5">
                  <c:v>241</c:v>
                </c:pt>
                <c:pt idx="6">
                  <c:v>261</c:v>
                </c:pt>
                <c:pt idx="7">
                  <c:v>269</c:v>
                </c:pt>
                <c:pt idx="8">
                  <c:v>279</c:v>
                </c:pt>
                <c:pt idx="9">
                  <c:v>287</c:v>
                </c:pt>
                <c:pt idx="10">
                  <c:v>314</c:v>
                </c:pt>
                <c:pt idx="11">
                  <c:v>417</c:v>
                </c:pt>
              </c:numCache>
            </c:numRef>
          </c:val>
          <c:smooth val="1"/>
        </c:ser>
        <c:marker val="1"/>
        <c:axId val="120751616"/>
        <c:axId val="120753152"/>
      </c:lineChart>
      <c:lineChart>
        <c:grouping val="standard"/>
        <c:ser>
          <c:idx val="3"/>
          <c:order val="3"/>
          <c:tx>
            <c:v>cumul mensuel</c:v>
          </c:tx>
          <c:spPr>
            <a:ln w="25400">
              <a:solidFill>
                <a:srgbClr val="FFFF00"/>
              </a:solidFill>
              <a:prstDash val="solid"/>
            </a:ln>
          </c:spPr>
          <c:marker>
            <c:symbol val="none"/>
          </c:marker>
          <c:val>
            <c:numRef>
              <c:f>'2013'!$T$3:$T$14</c:f>
              <c:numCache>
                <c:formatCode>0.00</c:formatCode>
                <c:ptCount val="12"/>
                <c:pt idx="0">
                  <c:v>7.997500001353</c:v>
                </c:pt>
                <c:pt idx="1">
                  <c:v>15.995000002706</c:v>
                </c:pt>
                <c:pt idx="2">
                  <c:v>23.992500004059</c:v>
                </c:pt>
                <c:pt idx="3">
                  <c:v>31.990000005412</c:v>
                </c:pt>
                <c:pt idx="4">
                  <c:v>39.987500006765003</c:v>
                </c:pt>
                <c:pt idx="5">
                  <c:v>47.985000008118007</c:v>
                </c:pt>
                <c:pt idx="6">
                  <c:v>55.982500009471011</c:v>
                </c:pt>
                <c:pt idx="7">
                  <c:v>63.980000010824014</c:v>
                </c:pt>
                <c:pt idx="8">
                  <c:v>71.977500012177018</c:v>
                </c:pt>
                <c:pt idx="9">
                  <c:v>79.975000013530021</c:v>
                </c:pt>
                <c:pt idx="10">
                  <c:v>87.972500014883025</c:v>
                </c:pt>
                <c:pt idx="11">
                  <c:v>95.970000016236028</c:v>
                </c:pt>
              </c:numCache>
            </c:numRef>
          </c:val>
          <c:smooth val="1"/>
        </c:ser>
        <c:marker val="1"/>
        <c:axId val="120759040"/>
        <c:axId val="120760576"/>
      </c:lineChart>
      <c:dateAx>
        <c:axId val="120751616"/>
        <c:scaling>
          <c:orientation val="minMax"/>
        </c:scaling>
        <c:axPos val="b"/>
        <c:numFmt formatCode="mmm\-yy" sourceLinked="0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753152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20753152"/>
        <c:scaling>
          <c:orientation val="minMax"/>
          <c:max val="1100"/>
          <c:min val="0"/>
        </c:scaling>
        <c:axPos val="l"/>
        <c:majorGridlines>
          <c:spPr>
            <a:ln w="3175">
              <a:solidFill>
                <a:srgbClr val="0000FF"/>
              </a:solidFill>
              <a:prstDash val="dash"/>
            </a:ln>
          </c:spPr>
        </c:majorGridlines>
        <c:numFmt formatCode="0\K\w" sourceLinked="0"/>
        <c:minorTickMark val="cross"/>
        <c:tickLblPos val="nextTo"/>
        <c:spPr>
          <a:ln w="3175">
            <a:solidFill>
              <a:srgbClr val="0000FF"/>
            </a:solidFill>
            <a:prstDash val="dash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FF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751616"/>
        <c:crosses val="autoZero"/>
        <c:crossBetween val="between"/>
        <c:majorUnit val="200"/>
        <c:minorUnit val="200"/>
      </c:valAx>
      <c:catAx>
        <c:axId val="120759040"/>
        <c:scaling>
          <c:orientation val="minMax"/>
        </c:scaling>
        <c:delete val="1"/>
        <c:axPos val="b"/>
        <c:tickLblPos val="none"/>
        <c:crossAx val="120760576"/>
        <c:crosses val="autoZero"/>
        <c:auto val="1"/>
        <c:lblAlgn val="ctr"/>
        <c:lblOffset val="100"/>
      </c:catAx>
      <c:valAx>
        <c:axId val="120760576"/>
        <c:scaling>
          <c:orientation val="minMax"/>
          <c:min val="0"/>
        </c:scaling>
        <c:axPos val="r"/>
        <c:majorGridlines>
          <c:spPr>
            <a:ln w="3175">
              <a:solidFill>
                <a:srgbClr val="FFFF00"/>
              </a:solidFill>
              <a:prstDash val="lgDash"/>
            </a:ln>
          </c:spPr>
        </c:majorGridlines>
        <c:numFmt formatCode="#,##0\ &quot;€&quot;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1" i="0" u="none" strike="noStrike" baseline="0">
                <a:solidFill>
                  <a:srgbClr val="FFC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759040"/>
        <c:crosses val="max"/>
        <c:crossBetween val="between"/>
      </c:valAx>
      <c:spPr>
        <a:gradFill rotWithShape="0">
          <a:gsLst>
            <a:gs pos="0">
              <a:srgbClr val="C0C0C0">
                <a:gamma/>
                <a:shade val="66275"/>
                <a:invGamma/>
              </a:srgbClr>
            </a:gs>
            <a:gs pos="100000">
              <a:srgbClr val="C0C0C0"/>
            </a:gs>
          </a:gsLst>
          <a:lin ang="5400000" scaled="1"/>
        </a:gradFill>
        <a:ln w="12700">
          <a:solidFill>
            <a:srgbClr val="C0C0C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9.3686354378818767E-2"/>
          <c:y val="0.89940828402366857"/>
          <c:w val="0.80768499982699848"/>
          <c:h val="7.1235148860830266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0" b="1" i="0" u="none" strike="noStrike" baseline="0">
              <a:solidFill>
                <a:srgbClr val="000000"/>
              </a:solidFill>
              <a:latin typeface="Times New Roman"/>
              <a:ea typeface="Times New Roman"/>
              <a:cs typeface="Times New Roman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8.859474873641994E-2"/>
          <c:y val="5.0295857988165681E-2"/>
          <c:w val="0.84215927821856196"/>
          <c:h val="0.71597633136094652"/>
        </c:manualLayout>
      </c:layout>
      <c:barChart>
        <c:barDir val="col"/>
        <c:grouping val="stacked"/>
        <c:ser>
          <c:idx val="0"/>
          <c:order val="0"/>
          <c:tx>
            <c:strRef>
              <c:f>'2014'!$E$1</c:f>
              <c:strCache>
                <c:ptCount val="1"/>
                <c:pt idx="0">
                  <c:v>Consommat. H. Creuse</c:v>
                </c:pt>
              </c:strCache>
            </c:strRef>
          </c:tx>
          <c:spPr>
            <a:solidFill>
              <a:srgbClr val="0000FF"/>
            </a:solidFill>
            <a:ln w="25400">
              <a:solidFill>
                <a:srgbClr val="0000FF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 baseline="0">
                    <a:solidFill>
                      <a:schemeClr val="bg1"/>
                    </a:solidFill>
                  </a:defRPr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'2014'!$B$3:$B$14</c:f>
              <c:numCache>
                <c:formatCode>dd/mm/yyyy</c:formatCode>
                <c:ptCount val="12"/>
                <c:pt idx="0">
                  <c:v>41670</c:v>
                </c:pt>
                <c:pt idx="1">
                  <c:v>41698</c:v>
                </c:pt>
                <c:pt idx="2">
                  <c:v>41729</c:v>
                </c:pt>
                <c:pt idx="3">
                  <c:v>41759</c:v>
                </c:pt>
                <c:pt idx="4">
                  <c:v>41790</c:v>
                </c:pt>
                <c:pt idx="5">
                  <c:v>41820</c:v>
                </c:pt>
                <c:pt idx="6">
                  <c:v>41851</c:v>
                </c:pt>
                <c:pt idx="7">
                  <c:v>41882</c:v>
                </c:pt>
                <c:pt idx="8">
                  <c:v>41912</c:v>
                </c:pt>
                <c:pt idx="9">
                  <c:v>41943</c:v>
                </c:pt>
                <c:pt idx="10">
                  <c:v>41973</c:v>
                </c:pt>
                <c:pt idx="11">
                  <c:v>42004</c:v>
                </c:pt>
              </c:numCache>
            </c:numRef>
          </c:cat>
          <c:val>
            <c:numRef>
              <c:f>'2014'!$E$3:$E$14</c:f>
              <c:numCache>
                <c:formatCode>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'2014'!$F$1</c:f>
              <c:strCache>
                <c:ptCount val="1"/>
                <c:pt idx="0">
                  <c:v>Consommat. H. Pleine</c:v>
                </c:pt>
              </c:strCache>
            </c:strRef>
          </c:tx>
          <c:spPr>
            <a:solidFill>
              <a:srgbClr val="00FF00"/>
            </a:solidFill>
            <a:ln w="25400">
              <a:solidFill>
                <a:srgbClr val="00FF00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/>
                </a:pPr>
                <a:endParaRPr lang="fr-FR"/>
              </a:p>
            </c:txPr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'2014'!$B$3:$B$14</c:f>
              <c:numCache>
                <c:formatCode>dd/mm/yyyy</c:formatCode>
                <c:ptCount val="12"/>
                <c:pt idx="0">
                  <c:v>41670</c:v>
                </c:pt>
                <c:pt idx="1">
                  <c:v>41698</c:v>
                </c:pt>
                <c:pt idx="2">
                  <c:v>41729</c:v>
                </c:pt>
                <c:pt idx="3">
                  <c:v>41759</c:v>
                </c:pt>
                <c:pt idx="4">
                  <c:v>41790</c:v>
                </c:pt>
                <c:pt idx="5">
                  <c:v>41820</c:v>
                </c:pt>
                <c:pt idx="6">
                  <c:v>41851</c:v>
                </c:pt>
                <c:pt idx="7">
                  <c:v>41882</c:v>
                </c:pt>
                <c:pt idx="8">
                  <c:v>41912</c:v>
                </c:pt>
                <c:pt idx="9">
                  <c:v>41943</c:v>
                </c:pt>
                <c:pt idx="10">
                  <c:v>41973</c:v>
                </c:pt>
                <c:pt idx="11">
                  <c:v>42004</c:v>
                </c:pt>
              </c:numCache>
            </c:numRef>
          </c:cat>
          <c:val>
            <c:numRef>
              <c:f>'2014'!$F$3:$F$14</c:f>
              <c:numCache>
                <c:formatCode>0</c:formatCode>
                <c:ptCount val="12"/>
                <c:pt idx="0">
                  <c:v>1E-8</c:v>
                </c:pt>
                <c:pt idx="1">
                  <c:v>1E-8</c:v>
                </c:pt>
                <c:pt idx="2">
                  <c:v>1E-8</c:v>
                </c:pt>
                <c:pt idx="3">
                  <c:v>1E-8</c:v>
                </c:pt>
                <c:pt idx="4">
                  <c:v>1E-8</c:v>
                </c:pt>
                <c:pt idx="5">
                  <c:v>1E-8</c:v>
                </c:pt>
                <c:pt idx="6">
                  <c:v>1E-8</c:v>
                </c:pt>
                <c:pt idx="7">
                  <c:v>1E-8</c:v>
                </c:pt>
                <c:pt idx="8">
                  <c:v>1E-8</c:v>
                </c:pt>
                <c:pt idx="9">
                  <c:v>1E-8</c:v>
                </c:pt>
                <c:pt idx="10">
                  <c:v>1E-8</c:v>
                </c:pt>
                <c:pt idx="11">
                  <c:v>1E-8</c:v>
                </c:pt>
              </c:numCache>
            </c:numRef>
          </c:val>
        </c:ser>
        <c:gapWidth val="400"/>
        <c:axId val="120971648"/>
        <c:axId val="120973184"/>
      </c:barChart>
      <c:lineChart>
        <c:grouping val="standard"/>
        <c:ser>
          <c:idx val="2"/>
          <c:order val="2"/>
          <c:tx>
            <c:strRef>
              <c:f>'2014'!$I$1</c:f>
              <c:strCache>
                <c:ptCount val="1"/>
                <c:pt idx="0">
                  <c:v>Total </c:v>
                </c:pt>
              </c:strCache>
            </c:strRef>
          </c:tx>
          <c:spPr>
            <a:ln w="254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numRef>
              <c:f>'2014'!$B$3:$B$14</c:f>
              <c:numCache>
                <c:formatCode>dd/mm/yyyy</c:formatCode>
                <c:ptCount val="12"/>
                <c:pt idx="0">
                  <c:v>41670</c:v>
                </c:pt>
                <c:pt idx="1">
                  <c:v>41698</c:v>
                </c:pt>
                <c:pt idx="2">
                  <c:v>41729</c:v>
                </c:pt>
                <c:pt idx="3">
                  <c:v>41759</c:v>
                </c:pt>
                <c:pt idx="4">
                  <c:v>41790</c:v>
                </c:pt>
                <c:pt idx="5">
                  <c:v>41820</c:v>
                </c:pt>
                <c:pt idx="6">
                  <c:v>41851</c:v>
                </c:pt>
                <c:pt idx="7">
                  <c:v>41882</c:v>
                </c:pt>
                <c:pt idx="8">
                  <c:v>41912</c:v>
                </c:pt>
                <c:pt idx="9">
                  <c:v>41943</c:v>
                </c:pt>
                <c:pt idx="10">
                  <c:v>41973</c:v>
                </c:pt>
                <c:pt idx="11">
                  <c:v>42004</c:v>
                </c:pt>
              </c:numCache>
            </c:numRef>
          </c:cat>
          <c:val>
            <c:numRef>
              <c:f>'2014'!$I$3:$I$14</c:f>
              <c:numCache>
                <c:formatCode>0</c:formatCode>
                <c:ptCount val="12"/>
                <c:pt idx="0">
                  <c:v>1E-8</c:v>
                </c:pt>
                <c:pt idx="1">
                  <c:v>1E-8</c:v>
                </c:pt>
                <c:pt idx="2">
                  <c:v>1E-8</c:v>
                </c:pt>
                <c:pt idx="3">
                  <c:v>1E-8</c:v>
                </c:pt>
                <c:pt idx="4">
                  <c:v>1E-8</c:v>
                </c:pt>
                <c:pt idx="5">
                  <c:v>1E-8</c:v>
                </c:pt>
                <c:pt idx="6">
                  <c:v>1E-8</c:v>
                </c:pt>
                <c:pt idx="7">
                  <c:v>1E-8</c:v>
                </c:pt>
                <c:pt idx="8">
                  <c:v>1E-8</c:v>
                </c:pt>
                <c:pt idx="9">
                  <c:v>1E-8</c:v>
                </c:pt>
                <c:pt idx="10">
                  <c:v>1E-8</c:v>
                </c:pt>
                <c:pt idx="11">
                  <c:v>1E-8</c:v>
                </c:pt>
              </c:numCache>
            </c:numRef>
          </c:val>
          <c:smooth val="1"/>
        </c:ser>
        <c:ser>
          <c:idx val="4"/>
          <c:order val="4"/>
          <c:tx>
            <c:v>2013</c:v>
          </c:tx>
          <c:spPr>
            <a:ln w="25400">
              <a:solidFill>
                <a:srgbClr val="7030A0"/>
              </a:solidFill>
              <a:prstDash val="sysDash"/>
            </a:ln>
          </c:spPr>
          <c:marker>
            <c:symbol val="none"/>
          </c:marker>
          <c:cat>
            <c:numRef>
              <c:f>'2014'!$B$3:$B$14</c:f>
              <c:numCache>
                <c:formatCode>dd/mm/yyyy</c:formatCode>
                <c:ptCount val="12"/>
                <c:pt idx="0">
                  <c:v>41670</c:v>
                </c:pt>
                <c:pt idx="1">
                  <c:v>41698</c:v>
                </c:pt>
                <c:pt idx="2">
                  <c:v>41729</c:v>
                </c:pt>
                <c:pt idx="3">
                  <c:v>41759</c:v>
                </c:pt>
                <c:pt idx="4">
                  <c:v>41790</c:v>
                </c:pt>
                <c:pt idx="5">
                  <c:v>41820</c:v>
                </c:pt>
                <c:pt idx="6">
                  <c:v>41851</c:v>
                </c:pt>
                <c:pt idx="7">
                  <c:v>41882</c:v>
                </c:pt>
                <c:pt idx="8">
                  <c:v>41912</c:v>
                </c:pt>
                <c:pt idx="9">
                  <c:v>41943</c:v>
                </c:pt>
                <c:pt idx="10">
                  <c:v>41973</c:v>
                </c:pt>
                <c:pt idx="11">
                  <c:v>42004</c:v>
                </c:pt>
              </c:numCache>
            </c:numRef>
          </c:cat>
          <c:val>
            <c:numRef>
              <c:f>'2013'!$I$3:$I$14</c:f>
              <c:numCache>
                <c:formatCode>0</c:formatCode>
                <c:ptCount val="12"/>
                <c:pt idx="0">
                  <c:v>1E-8</c:v>
                </c:pt>
                <c:pt idx="1">
                  <c:v>1E-8</c:v>
                </c:pt>
                <c:pt idx="2">
                  <c:v>1E-8</c:v>
                </c:pt>
                <c:pt idx="3">
                  <c:v>1E-8</c:v>
                </c:pt>
                <c:pt idx="4">
                  <c:v>1E-8</c:v>
                </c:pt>
                <c:pt idx="5">
                  <c:v>1E-8</c:v>
                </c:pt>
                <c:pt idx="6">
                  <c:v>1E-8</c:v>
                </c:pt>
                <c:pt idx="7">
                  <c:v>1E-8</c:v>
                </c:pt>
                <c:pt idx="8">
                  <c:v>1E-8</c:v>
                </c:pt>
                <c:pt idx="9">
                  <c:v>1E-8</c:v>
                </c:pt>
                <c:pt idx="10">
                  <c:v>1E-8</c:v>
                </c:pt>
                <c:pt idx="11">
                  <c:v>1E-8</c:v>
                </c:pt>
              </c:numCache>
            </c:numRef>
          </c:val>
          <c:smooth val="1"/>
        </c:ser>
        <c:ser>
          <c:idx val="5"/>
          <c:order val="5"/>
          <c:tx>
            <c:v>2012</c:v>
          </c:tx>
          <c:spPr>
            <a:ln w="25400">
              <a:solidFill>
                <a:schemeClr val="accent6"/>
              </a:solidFill>
              <a:prstDash val="sysDash"/>
            </a:ln>
          </c:spPr>
          <c:marker>
            <c:symbol val="none"/>
          </c:marker>
          <c:cat>
            <c:numRef>
              <c:f>'2014'!$B$3:$B$14</c:f>
              <c:numCache>
                <c:formatCode>dd/mm/yyyy</c:formatCode>
                <c:ptCount val="12"/>
                <c:pt idx="0">
                  <c:v>41670</c:v>
                </c:pt>
                <c:pt idx="1">
                  <c:v>41698</c:v>
                </c:pt>
                <c:pt idx="2">
                  <c:v>41729</c:v>
                </c:pt>
                <c:pt idx="3">
                  <c:v>41759</c:v>
                </c:pt>
                <c:pt idx="4">
                  <c:v>41790</c:v>
                </c:pt>
                <c:pt idx="5">
                  <c:v>41820</c:v>
                </c:pt>
                <c:pt idx="6">
                  <c:v>41851</c:v>
                </c:pt>
                <c:pt idx="7">
                  <c:v>41882</c:v>
                </c:pt>
                <c:pt idx="8">
                  <c:v>41912</c:v>
                </c:pt>
                <c:pt idx="9">
                  <c:v>41943</c:v>
                </c:pt>
                <c:pt idx="10">
                  <c:v>41973</c:v>
                </c:pt>
                <c:pt idx="11">
                  <c:v>42004</c:v>
                </c:pt>
              </c:numCache>
            </c:numRef>
          </c:cat>
          <c:val>
            <c:numRef>
              <c:f>'2012'!$K$3:$K$14</c:f>
              <c:numCache>
                <c:formatCode>0</c:formatCode>
                <c:ptCount val="12"/>
                <c:pt idx="0">
                  <c:v>460</c:v>
                </c:pt>
                <c:pt idx="1">
                  <c:v>1013</c:v>
                </c:pt>
                <c:pt idx="2">
                  <c:v>443</c:v>
                </c:pt>
                <c:pt idx="3">
                  <c:v>376</c:v>
                </c:pt>
                <c:pt idx="4">
                  <c:v>266</c:v>
                </c:pt>
                <c:pt idx="5">
                  <c:v>252</c:v>
                </c:pt>
                <c:pt idx="6">
                  <c:v>241</c:v>
                </c:pt>
                <c:pt idx="7">
                  <c:v>246</c:v>
                </c:pt>
                <c:pt idx="8">
                  <c:v>259</c:v>
                </c:pt>
                <c:pt idx="9">
                  <c:v>279</c:v>
                </c:pt>
                <c:pt idx="10">
                  <c:v>364</c:v>
                </c:pt>
                <c:pt idx="11">
                  <c:v>268</c:v>
                </c:pt>
              </c:numCache>
            </c:numRef>
          </c:val>
          <c:smooth val="1"/>
        </c:ser>
        <c:marker val="1"/>
        <c:axId val="120971648"/>
        <c:axId val="120973184"/>
      </c:lineChart>
      <c:lineChart>
        <c:grouping val="standard"/>
        <c:ser>
          <c:idx val="3"/>
          <c:order val="3"/>
          <c:tx>
            <c:v>cumul mensuel</c:v>
          </c:tx>
          <c:spPr>
            <a:ln w="25400">
              <a:solidFill>
                <a:srgbClr val="FFFF00"/>
              </a:solidFill>
              <a:prstDash val="solid"/>
            </a:ln>
          </c:spPr>
          <c:marker>
            <c:symbol val="none"/>
          </c:marker>
          <c:val>
            <c:numRef>
              <c:f>'2014'!$T$3:$T$14</c:f>
              <c:numCache>
                <c:formatCode>0.00</c:formatCode>
                <c:ptCount val="12"/>
                <c:pt idx="0">
                  <c:v>7.997500001353</c:v>
                </c:pt>
                <c:pt idx="1">
                  <c:v>15.995000002706</c:v>
                </c:pt>
                <c:pt idx="2">
                  <c:v>23.992500004059</c:v>
                </c:pt>
                <c:pt idx="3">
                  <c:v>31.990000005412</c:v>
                </c:pt>
                <c:pt idx="4">
                  <c:v>39.987500006765003</c:v>
                </c:pt>
                <c:pt idx="5">
                  <c:v>47.985000008118007</c:v>
                </c:pt>
                <c:pt idx="6">
                  <c:v>55.982500009471011</c:v>
                </c:pt>
                <c:pt idx="7">
                  <c:v>63.980000010824014</c:v>
                </c:pt>
                <c:pt idx="8">
                  <c:v>71.977500012177018</c:v>
                </c:pt>
                <c:pt idx="9">
                  <c:v>79.975000013530021</c:v>
                </c:pt>
                <c:pt idx="10">
                  <c:v>87.972500014883025</c:v>
                </c:pt>
                <c:pt idx="11">
                  <c:v>95.970000016236028</c:v>
                </c:pt>
              </c:numCache>
            </c:numRef>
          </c:val>
          <c:smooth val="1"/>
        </c:ser>
        <c:marker val="1"/>
        <c:axId val="120974720"/>
        <c:axId val="120005760"/>
      </c:lineChart>
      <c:dateAx>
        <c:axId val="120971648"/>
        <c:scaling>
          <c:orientation val="minMax"/>
        </c:scaling>
        <c:axPos val="b"/>
        <c:numFmt formatCode="mmm\-yy" sourceLinked="0"/>
        <c:minorTickMark val="in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973184"/>
        <c:crosses val="autoZero"/>
        <c:auto val="1"/>
        <c:lblOffset val="100"/>
        <c:baseTimeUnit val="months"/>
        <c:majorUnit val="1"/>
        <c:majorTimeUnit val="months"/>
        <c:minorUnit val="1"/>
        <c:minorTimeUnit val="months"/>
      </c:dateAx>
      <c:valAx>
        <c:axId val="120973184"/>
        <c:scaling>
          <c:orientation val="minMax"/>
          <c:max val="1100"/>
          <c:min val="0"/>
        </c:scaling>
        <c:axPos val="l"/>
        <c:majorGridlines>
          <c:spPr>
            <a:ln w="3175">
              <a:solidFill>
                <a:srgbClr val="0000FF"/>
              </a:solidFill>
              <a:prstDash val="dash"/>
            </a:ln>
          </c:spPr>
        </c:majorGridlines>
        <c:numFmt formatCode="0\K\w" sourceLinked="0"/>
        <c:minorTickMark val="cross"/>
        <c:tickLblPos val="nextTo"/>
        <c:spPr>
          <a:ln w="3175">
            <a:solidFill>
              <a:srgbClr val="0000FF"/>
            </a:solidFill>
            <a:prstDash val="dash"/>
          </a:ln>
        </c:spPr>
        <c:txPr>
          <a:bodyPr rot="0" vert="horz"/>
          <a:lstStyle/>
          <a:p>
            <a:pPr>
              <a:defRPr sz="1150" b="0" i="0" u="none" strike="noStrike" baseline="0">
                <a:solidFill>
                  <a:srgbClr val="0000FF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971648"/>
        <c:crosses val="autoZero"/>
        <c:crossBetween val="between"/>
        <c:majorUnit val="200"/>
        <c:minorUnit val="200"/>
      </c:valAx>
      <c:catAx>
        <c:axId val="120974720"/>
        <c:scaling>
          <c:orientation val="minMax"/>
        </c:scaling>
        <c:delete val="1"/>
        <c:axPos val="b"/>
        <c:tickLblPos val="none"/>
        <c:crossAx val="120005760"/>
        <c:crosses val="autoZero"/>
        <c:auto val="1"/>
        <c:lblAlgn val="ctr"/>
        <c:lblOffset val="100"/>
      </c:catAx>
      <c:valAx>
        <c:axId val="120005760"/>
        <c:scaling>
          <c:orientation val="minMax"/>
          <c:min val="0"/>
        </c:scaling>
        <c:axPos val="r"/>
        <c:majorGridlines>
          <c:spPr>
            <a:ln w="3175">
              <a:solidFill>
                <a:srgbClr val="FFFF00"/>
              </a:solidFill>
              <a:prstDash val="lgDash"/>
            </a:ln>
          </c:spPr>
        </c:majorGridlines>
        <c:numFmt formatCode="#,##0\ &quot;€&quot;" sourceLinked="0"/>
        <c:majorTickMark val="cross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50" b="1" i="0" u="none" strike="noStrike" baseline="0">
                <a:solidFill>
                  <a:srgbClr val="FFC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20974720"/>
        <c:crosses val="max"/>
        <c:crossBetween val="between"/>
      </c:valAx>
      <c:spPr>
        <a:gradFill rotWithShape="0">
          <a:gsLst>
            <a:gs pos="0">
              <a:srgbClr val="C0C0C0">
                <a:gamma/>
                <a:shade val="66275"/>
                <a:invGamma/>
              </a:srgbClr>
            </a:gs>
            <a:gs pos="100000">
              <a:srgbClr val="C0C0C0"/>
            </a:gs>
          </a:gsLst>
          <a:lin ang="5400000" scaled="1"/>
        </a:gradFill>
        <a:ln w="12700">
          <a:solidFill>
            <a:srgbClr val="C0C0C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9.3686354378818767E-2"/>
          <c:y val="0.89940828402366857"/>
          <c:w val="0.80768499982699848"/>
          <c:h val="7.1235148860830266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0" b="1" i="0" u="none" strike="noStrike" baseline="0">
              <a:solidFill>
                <a:srgbClr val="000000"/>
              </a:solidFill>
              <a:latin typeface="Times New Roman"/>
              <a:ea typeface="Times New Roman"/>
              <a:cs typeface="Times New Roman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15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>
        <c:manualLayout>
          <c:layoutTarget val="inner"/>
          <c:xMode val="edge"/>
          <c:yMode val="edge"/>
          <c:x val="6.2692734441614995E-2"/>
          <c:y val="0.10810829833245061"/>
          <c:w val="0.92291927096009863"/>
          <c:h val="0.7963977977157195"/>
        </c:manualLayout>
      </c:layout>
      <c:barChart>
        <c:barDir val="col"/>
        <c:grouping val="clustered"/>
        <c:ser>
          <c:idx val="0"/>
          <c:order val="0"/>
          <c:tx>
            <c:strRef>
              <c:f>'recap annuel'!$B$1</c:f>
              <c:strCache>
                <c:ptCount val="1"/>
                <c:pt idx="0">
                  <c:v>2005</c:v>
                </c:pt>
              </c:strCache>
            </c:strRef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 sz="800" baseline="0"/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'recap annuel'!$A$2:$A$13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'recap annuel'!$B$2:$B$13</c:f>
              <c:numCache>
                <c:formatCode>General</c:formatCode>
                <c:ptCount val="12"/>
                <c:pt idx="7">
                  <c:v>313</c:v>
                </c:pt>
                <c:pt idx="8">
                  <c:v>329</c:v>
                </c:pt>
                <c:pt idx="9">
                  <c:v>368</c:v>
                </c:pt>
                <c:pt idx="10">
                  <c:v>836</c:v>
                </c:pt>
                <c:pt idx="11">
                  <c:v>1768</c:v>
                </c:pt>
              </c:numCache>
            </c:numRef>
          </c:val>
        </c:ser>
        <c:ser>
          <c:idx val="1"/>
          <c:order val="1"/>
          <c:tx>
            <c:strRef>
              <c:f>'recap annuel'!$C$1</c:f>
              <c:strCache>
                <c:ptCount val="1"/>
                <c:pt idx="0">
                  <c:v>2006</c:v>
                </c:pt>
              </c:strCache>
            </c:strRef>
          </c:tx>
          <c:spPr>
            <a:solidFill>
              <a:srgbClr val="00FF00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 sz="800" baseline="0"/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'recap annuel'!$A$2:$A$13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'recap annuel'!$C$2:$C$13</c:f>
              <c:numCache>
                <c:formatCode>0</c:formatCode>
                <c:ptCount val="12"/>
                <c:pt idx="0">
                  <c:v>1528</c:v>
                </c:pt>
                <c:pt idx="1">
                  <c:v>1649</c:v>
                </c:pt>
                <c:pt idx="2">
                  <c:v>1575</c:v>
                </c:pt>
                <c:pt idx="3">
                  <c:v>578</c:v>
                </c:pt>
                <c:pt idx="4">
                  <c:v>330</c:v>
                </c:pt>
                <c:pt idx="5">
                  <c:v>324</c:v>
                </c:pt>
                <c:pt idx="6">
                  <c:v>300</c:v>
                </c:pt>
                <c:pt idx="7">
                  <c:v>325</c:v>
                </c:pt>
                <c:pt idx="8">
                  <c:v>346</c:v>
                </c:pt>
                <c:pt idx="9">
                  <c:v>365</c:v>
                </c:pt>
                <c:pt idx="10">
                  <c:v>686</c:v>
                </c:pt>
                <c:pt idx="11">
                  <c:v>1059</c:v>
                </c:pt>
              </c:numCache>
            </c:numRef>
          </c:val>
        </c:ser>
        <c:ser>
          <c:idx val="2"/>
          <c:order val="2"/>
          <c:tx>
            <c:strRef>
              <c:f>'recap annuel'!$D$1</c:f>
              <c:strCache>
                <c:ptCount val="1"/>
                <c:pt idx="0">
                  <c:v>2007</c:v>
                </c:pt>
              </c:strCache>
            </c:strRef>
          </c:tx>
          <c:spPr>
            <a:solidFill>
              <a:srgbClr val="0000FF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 sz="800" baseline="0"/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'recap annuel'!$A$2:$A$13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'recap annuel'!$D$2:$D$13</c:f>
              <c:numCache>
                <c:formatCode>0</c:formatCode>
                <c:ptCount val="12"/>
                <c:pt idx="0">
                  <c:v>1187</c:v>
                </c:pt>
                <c:pt idx="1">
                  <c:v>958</c:v>
                </c:pt>
                <c:pt idx="2">
                  <c:v>1121</c:v>
                </c:pt>
                <c:pt idx="3">
                  <c:v>759</c:v>
                </c:pt>
                <c:pt idx="4">
                  <c:v>377</c:v>
                </c:pt>
                <c:pt idx="5">
                  <c:v>367</c:v>
                </c:pt>
                <c:pt idx="6">
                  <c:v>323</c:v>
                </c:pt>
                <c:pt idx="7">
                  <c:v>375</c:v>
                </c:pt>
                <c:pt idx="8">
                  <c:v>355</c:v>
                </c:pt>
                <c:pt idx="9">
                  <c:v>433</c:v>
                </c:pt>
                <c:pt idx="10">
                  <c:v>873</c:v>
                </c:pt>
                <c:pt idx="11">
                  <c:v>1139</c:v>
                </c:pt>
              </c:numCache>
            </c:numRef>
          </c:val>
        </c:ser>
        <c:ser>
          <c:idx val="3"/>
          <c:order val="3"/>
          <c:tx>
            <c:strRef>
              <c:f>'recap annuel'!$E$1</c:f>
              <c:strCache>
                <c:ptCount val="1"/>
                <c:pt idx="0">
                  <c:v>2008</c:v>
                </c:pt>
              </c:strCache>
            </c:strRef>
          </c:tx>
          <c:spPr>
            <a:solidFill>
              <a:srgbClr val="FF00FF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 sz="800" baseline="0"/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'recap annuel'!$A$2:$A$13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'recap annuel'!$E$2:$E$13</c:f>
              <c:numCache>
                <c:formatCode>0</c:formatCode>
                <c:ptCount val="12"/>
                <c:pt idx="0">
                  <c:v>1022</c:v>
                </c:pt>
                <c:pt idx="1">
                  <c:v>1161</c:v>
                </c:pt>
                <c:pt idx="2">
                  <c:v>1493</c:v>
                </c:pt>
                <c:pt idx="3">
                  <c:v>1019</c:v>
                </c:pt>
                <c:pt idx="4">
                  <c:v>398</c:v>
                </c:pt>
                <c:pt idx="5">
                  <c:v>368</c:v>
                </c:pt>
                <c:pt idx="6">
                  <c:v>332</c:v>
                </c:pt>
                <c:pt idx="7">
                  <c:v>355</c:v>
                </c:pt>
                <c:pt idx="8">
                  <c:v>358</c:v>
                </c:pt>
                <c:pt idx="9">
                  <c:v>425</c:v>
                </c:pt>
                <c:pt idx="10">
                  <c:v>804</c:v>
                </c:pt>
                <c:pt idx="11">
                  <c:v>1353</c:v>
                </c:pt>
              </c:numCache>
            </c:numRef>
          </c:val>
        </c:ser>
        <c:ser>
          <c:idx val="4"/>
          <c:order val="4"/>
          <c:tx>
            <c:strRef>
              <c:f>'recap annuel'!$F$1</c:f>
              <c:strCache>
                <c:ptCount val="1"/>
                <c:pt idx="0">
                  <c:v>2009</c:v>
                </c:pt>
              </c:strCache>
            </c:strRef>
          </c:tx>
          <c:spPr>
            <a:solidFill>
              <a:srgbClr val="FFC000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 sz="800" baseline="0"/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'recap annuel'!$A$2:$A$13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'recap annuel'!$F$2:$F$13</c:f>
              <c:numCache>
                <c:formatCode>0</c:formatCode>
                <c:ptCount val="12"/>
                <c:pt idx="0">
                  <c:v>1607</c:v>
                </c:pt>
                <c:pt idx="1">
                  <c:v>1359</c:v>
                </c:pt>
                <c:pt idx="2">
                  <c:v>1308</c:v>
                </c:pt>
                <c:pt idx="3">
                  <c:v>1116</c:v>
                </c:pt>
                <c:pt idx="4">
                  <c:v>348</c:v>
                </c:pt>
                <c:pt idx="5">
                  <c:v>329</c:v>
                </c:pt>
                <c:pt idx="6">
                  <c:v>305</c:v>
                </c:pt>
                <c:pt idx="7">
                  <c:v>308</c:v>
                </c:pt>
                <c:pt idx="8">
                  <c:v>283</c:v>
                </c:pt>
                <c:pt idx="9">
                  <c:v>393</c:v>
                </c:pt>
                <c:pt idx="10">
                  <c:v>633</c:v>
                </c:pt>
                <c:pt idx="11">
                  <c:v>782</c:v>
                </c:pt>
              </c:numCache>
            </c:numRef>
          </c:val>
        </c:ser>
        <c:ser>
          <c:idx val="5"/>
          <c:order val="5"/>
          <c:tx>
            <c:strRef>
              <c:f>'recap annuel'!$G$1</c:f>
              <c:strCache>
                <c:ptCount val="1"/>
                <c:pt idx="0">
                  <c:v>2010</c:v>
                </c:pt>
              </c:strCache>
            </c:strRef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 sz="800" baseline="0"/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'recap annuel'!$A$2:$A$13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'recap annuel'!$G$2:$G$13</c:f>
              <c:numCache>
                <c:formatCode>0</c:formatCode>
                <c:ptCount val="12"/>
                <c:pt idx="0">
                  <c:v>1069</c:v>
                </c:pt>
                <c:pt idx="1">
                  <c:v>1234</c:v>
                </c:pt>
                <c:pt idx="2">
                  <c:v>1542</c:v>
                </c:pt>
                <c:pt idx="3">
                  <c:v>782</c:v>
                </c:pt>
                <c:pt idx="4">
                  <c:v>436</c:v>
                </c:pt>
                <c:pt idx="5">
                  <c:v>286</c:v>
                </c:pt>
                <c:pt idx="6">
                  <c:v>330</c:v>
                </c:pt>
                <c:pt idx="7">
                  <c:v>313</c:v>
                </c:pt>
                <c:pt idx="8">
                  <c:v>270</c:v>
                </c:pt>
                <c:pt idx="9">
                  <c:v>349</c:v>
                </c:pt>
                <c:pt idx="10">
                  <c:v>657</c:v>
                </c:pt>
                <c:pt idx="11">
                  <c:v>1016</c:v>
                </c:pt>
              </c:numCache>
            </c:numRef>
          </c:val>
        </c:ser>
        <c:ser>
          <c:idx val="6"/>
          <c:order val="6"/>
          <c:tx>
            <c:strRef>
              <c:f>'recap annuel'!$H$1</c:f>
              <c:strCache>
                <c:ptCount val="1"/>
                <c:pt idx="0">
                  <c:v>2011</c:v>
                </c:pt>
              </c:strCache>
            </c:strRef>
          </c:tx>
          <c:spPr>
            <a:solidFill>
              <a:srgbClr val="FF0066"/>
            </a:solidFill>
            <a:ln w="0">
              <a:solidFill>
                <a:schemeClr val="tx1"/>
              </a:solidFill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 sz="800" baseline="0"/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'recap annuel'!$H$2:$H$13</c:f>
              <c:numCache>
                <c:formatCode>0</c:formatCode>
                <c:ptCount val="12"/>
                <c:pt idx="0">
                  <c:v>1047</c:v>
                </c:pt>
                <c:pt idx="1">
                  <c:v>1065</c:v>
                </c:pt>
                <c:pt idx="2">
                  <c:v>956</c:v>
                </c:pt>
                <c:pt idx="3">
                  <c:v>295</c:v>
                </c:pt>
                <c:pt idx="4">
                  <c:v>261</c:v>
                </c:pt>
                <c:pt idx="5">
                  <c:v>241</c:v>
                </c:pt>
                <c:pt idx="6">
                  <c:v>261</c:v>
                </c:pt>
                <c:pt idx="7">
                  <c:v>269</c:v>
                </c:pt>
                <c:pt idx="8">
                  <c:v>279</c:v>
                </c:pt>
                <c:pt idx="9">
                  <c:v>287</c:v>
                </c:pt>
                <c:pt idx="10">
                  <c:v>314</c:v>
                </c:pt>
                <c:pt idx="11">
                  <c:v>417</c:v>
                </c:pt>
              </c:numCache>
            </c:numRef>
          </c:val>
        </c:ser>
        <c:ser>
          <c:idx val="7"/>
          <c:order val="7"/>
          <c:tx>
            <c:strRef>
              <c:f>'recap annuel'!$I$1</c:f>
              <c:strCache>
                <c:ptCount val="1"/>
                <c:pt idx="0">
                  <c:v>2012</c:v>
                </c:pt>
              </c:strCache>
            </c:strRef>
          </c:tx>
          <c:spPr>
            <a:ln>
              <a:solidFill>
                <a:schemeClr val="tx1"/>
              </a:solidFill>
            </a:ln>
          </c:spPr>
          <c:dLbls>
            <c:spPr>
              <a:noFill/>
              <a:ln>
                <a:noFill/>
              </a:ln>
              <a:effectLst/>
            </c:spPr>
            <c:txPr>
              <a:bodyPr rot="-5400000" vert="horz"/>
              <a:lstStyle/>
              <a:p>
                <a:pPr>
                  <a:defRPr sz="800" baseline="0"/>
                </a:pPr>
                <a:endParaRPr lang="fr-FR"/>
              </a:p>
            </c:txPr>
            <c:dLblPos val="ctr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'recap annuel'!$I$2:$I$13</c:f>
              <c:numCache>
                <c:formatCode>0</c:formatCode>
                <c:ptCount val="12"/>
                <c:pt idx="0">
                  <c:v>460</c:v>
                </c:pt>
                <c:pt idx="1">
                  <c:v>1013</c:v>
                </c:pt>
                <c:pt idx="2">
                  <c:v>443</c:v>
                </c:pt>
                <c:pt idx="3">
                  <c:v>376</c:v>
                </c:pt>
                <c:pt idx="4">
                  <c:v>266</c:v>
                </c:pt>
                <c:pt idx="5">
                  <c:v>252</c:v>
                </c:pt>
                <c:pt idx="6">
                  <c:v>241</c:v>
                </c:pt>
                <c:pt idx="7">
                  <c:v>246</c:v>
                </c:pt>
                <c:pt idx="8">
                  <c:v>259</c:v>
                </c:pt>
                <c:pt idx="9">
                  <c:v>279</c:v>
                </c:pt>
                <c:pt idx="10">
                  <c:v>364</c:v>
                </c:pt>
                <c:pt idx="11">
                  <c:v>268</c:v>
                </c:pt>
              </c:numCache>
            </c:numRef>
          </c:val>
        </c:ser>
        <c:ser>
          <c:idx val="8"/>
          <c:order val="8"/>
          <c:tx>
            <c:strRef>
              <c:f>'recap annuel'!$J$1</c:f>
              <c:strCache>
                <c:ptCount val="1"/>
                <c:pt idx="0">
                  <c:v>2013</c:v>
                </c:pt>
              </c:strCache>
            </c:strRef>
          </c:tx>
          <c:val>
            <c:numRef>
              <c:f>'recap annuel'!$J$2:$J$13</c:f>
              <c:numCache>
                <c:formatCode>0</c:formatCode>
                <c:ptCount val="12"/>
                <c:pt idx="0">
                  <c:v>1E-8</c:v>
                </c:pt>
                <c:pt idx="1">
                  <c:v>1E-8</c:v>
                </c:pt>
                <c:pt idx="2">
                  <c:v>1E-8</c:v>
                </c:pt>
                <c:pt idx="3">
                  <c:v>1E-8</c:v>
                </c:pt>
                <c:pt idx="4">
                  <c:v>1E-8</c:v>
                </c:pt>
                <c:pt idx="5">
                  <c:v>1E-8</c:v>
                </c:pt>
                <c:pt idx="6">
                  <c:v>1E-8</c:v>
                </c:pt>
                <c:pt idx="7">
                  <c:v>1E-8</c:v>
                </c:pt>
                <c:pt idx="8">
                  <c:v>1E-8</c:v>
                </c:pt>
                <c:pt idx="9">
                  <c:v>1E-8</c:v>
                </c:pt>
                <c:pt idx="10">
                  <c:v>1E-8</c:v>
                </c:pt>
                <c:pt idx="11">
                  <c:v>1E-8</c:v>
                </c:pt>
              </c:numCache>
            </c:numRef>
          </c:val>
        </c:ser>
        <c:gapWidth val="0"/>
        <c:axId val="121108736"/>
        <c:axId val="120999936"/>
      </c:barChart>
      <c:catAx>
        <c:axId val="121108736"/>
        <c:scaling>
          <c:orientation val="minMax"/>
        </c:scaling>
        <c:axPos val="b"/>
        <c:numFmt formatCode="General" sourceLinked="1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Times New Roman"/>
                <a:ea typeface="Times New Roman"/>
                <a:cs typeface="Times New Roman"/>
              </a:defRPr>
            </a:pPr>
            <a:endParaRPr lang="fr-FR"/>
          </a:p>
        </c:txPr>
        <c:crossAx val="120999936"/>
        <c:crosses val="autoZero"/>
        <c:auto val="1"/>
        <c:lblAlgn val="ctr"/>
        <c:lblOffset val="100"/>
        <c:tickLblSkip val="1"/>
        <c:tickMarkSkip val="1"/>
      </c:catAx>
      <c:valAx>
        <c:axId val="120999936"/>
        <c:scaling>
          <c:orientation val="minMax"/>
          <c:max val="1800"/>
          <c:min val="0"/>
        </c:scaling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&quot; Kw&quot;" sourceLinked="0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Times New Roman"/>
                <a:ea typeface="Times New Roman"/>
                <a:cs typeface="Times New Roman"/>
              </a:defRPr>
            </a:pPr>
            <a:endParaRPr lang="fr-FR"/>
          </a:p>
        </c:txPr>
        <c:crossAx val="12110873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t"/>
      <c:layout>
        <c:manualLayout>
          <c:xMode val="edge"/>
          <c:yMode val="edge"/>
          <c:x val="0.35765694755782895"/>
          <c:y val="1.4414414414414415E-2"/>
          <c:w val="0.42379668166479517"/>
          <c:h val="5.3864609205729032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100" b="1" i="0" u="none" strike="noStrike" baseline="0">
              <a:solidFill>
                <a:srgbClr val="000000"/>
              </a:solidFill>
              <a:latin typeface="Times New Roman"/>
              <a:ea typeface="Times New Roman"/>
              <a:cs typeface="Times New Roman"/>
            </a:defRPr>
          </a:pPr>
          <a:endParaRPr lang="fr-FR"/>
        </a:p>
      </c:txPr>
    </c:legend>
    <c:plotVisOnly val="1"/>
    <c:dispBlanksAs val="gap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2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899999956" l="0.78740157499999996" r="0.78740157499999996" t="0.98425196899999956" header="0.49212598450000788" footer="0.49212598450000788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>
        <c:manualLayout>
          <c:layoutTarget val="inner"/>
          <c:xMode val="edge"/>
          <c:yMode val="edge"/>
          <c:x val="4.5606886191303139E-2"/>
          <c:y val="6.0494508250162997E-2"/>
          <c:w val="0.87811784568831563"/>
          <c:h val="0.77875361733632487"/>
        </c:manualLayout>
      </c:layout>
      <c:barChart>
        <c:barDir val="col"/>
        <c:grouping val="clustered"/>
        <c:ser>
          <c:idx val="0"/>
          <c:order val="0"/>
          <c:tx>
            <c:strRef>
              <c:f>'recap annuel'!$A$27</c:f>
              <c:strCache>
                <c:ptCount val="1"/>
                <c:pt idx="0">
                  <c:v>Cout</c:v>
                </c:pt>
              </c:strCache>
            </c:strRef>
          </c:tx>
          <c:spPr>
            <a:gradFill>
              <a:gsLst>
                <a:gs pos="2000">
                  <a:srgbClr val="C00000"/>
                </a:gs>
                <a:gs pos="100000">
                  <a:srgbClr val="FFFF00"/>
                </a:gs>
              </a:gsLst>
              <a:lin ang="5400000" scaled="0"/>
            </a:gradFill>
          </c:spPr>
          <c:dLbls>
            <c:dLbl>
              <c:idx val="0"/>
              <c:layout>
                <c:manualLayout>
                  <c:x val="2.6213881441763821E-2"/>
                  <c:y val="0.29161382539553132"/>
                </c:manualLayout>
              </c:layout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>
                <c:manualLayout>
                  <c:x val="2.6213881441763821E-2"/>
                  <c:y val="0.71064483795094502"/>
                </c:manualLayout>
              </c:layout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>
                <c:manualLayout>
                  <c:x val="2.7405327685246443E-2"/>
                  <c:y val="0.67308199830865789"/>
                </c:manualLayout>
              </c:layout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>
                <c:manualLayout>
                  <c:x val="2.8596961572832869E-2"/>
                  <c:y val="0.71064483795094502"/>
                </c:manualLayout>
              </c:layout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>
                <c:manualLayout>
                  <c:x val="2.7405421507298182E-2"/>
                  <c:y val="0.71064483795094502"/>
                </c:manualLayout>
              </c:layout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>
                <c:manualLayout>
                  <c:x val="2.8596961572832869E-2"/>
                  <c:y val="0.66276181712758853"/>
                </c:manualLayout>
              </c:layout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>
                <c:manualLayout>
                  <c:x val="2.7405421507298182E-2"/>
                  <c:y val="0.57480782900553962"/>
                </c:manualLayout>
              </c:layout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>
                <c:manualLayout>
                  <c:x val="2.6213881441763821E-2"/>
                  <c:y val="0.30247370992919764"/>
                </c:manualLayout>
              </c:layout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>
                <c:manualLayout>
                  <c:x val="2.5022341376228791E-2"/>
                  <c:y val="8.5259645150665267E-2"/>
                </c:manualLayout>
              </c:layout>
              <c:dLblPos val="outEnd"/>
              <c:showVal val="1"/>
              <c:extLst>
                <c:ext xmlns:c15="http://schemas.microsoft.com/office/drawing/2012/chart" uri="{CE6537A1-D6FC-4f65-9D91-7224C49458BB}"/>
              </c:extLst>
            </c:dLbl>
            <c:numFmt formatCode="#,##0\ &quot;€&quot;" sourceLinked="0"/>
            <c:spPr>
              <a:noFill/>
              <a:ln>
                <a:noFill/>
              </a:ln>
              <a:effectLst/>
            </c:spPr>
            <c:txPr>
              <a:bodyPr rot="-5400000" vert="horz" anchor="t" anchorCtr="0"/>
              <a:lstStyle/>
              <a:p>
                <a:pPr>
                  <a:defRPr/>
                </a:pPr>
                <a:endParaRPr lang="fr-FR"/>
              </a:p>
            </c:txPr>
            <c:dLblPos val="inBase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'recap annuel'!$B$1:$J$1</c:f>
              <c:numCache>
                <c:formatCode>General</c:formatCode>
                <c:ptCount val="9"/>
                <c:pt idx="0">
                  <c:v>2005</c:v>
                </c:pt>
                <c:pt idx="1">
                  <c:v>2006</c:v>
                </c:pt>
                <c:pt idx="2">
                  <c:v>2007</c:v>
                </c:pt>
                <c:pt idx="3">
                  <c:v>2008</c:v>
                </c:pt>
                <c:pt idx="4">
                  <c:v>2009</c:v>
                </c:pt>
                <c:pt idx="5">
                  <c:v>2010</c:v>
                </c:pt>
                <c:pt idx="6">
                  <c:v>2011</c:v>
                </c:pt>
                <c:pt idx="7">
                  <c:v>2012</c:v>
                </c:pt>
                <c:pt idx="8">
                  <c:v>2013</c:v>
                </c:pt>
              </c:numCache>
            </c:numRef>
          </c:cat>
          <c:val>
            <c:numRef>
              <c:f>'recap annuel'!$B$27:$J$27</c:f>
              <c:numCache>
                <c:formatCode>_-* #,##0\ _€_-;\-* #,##0\ _€_-;_-* "-"??\ _€_-;_-@_-</c:formatCode>
                <c:ptCount val="9"/>
                <c:pt idx="0" formatCode="#,##0_ ;\-#,##0\ ">
                  <c:v>355.73906666666664</c:v>
                </c:pt>
                <c:pt idx="1">
                  <c:v>883.75243763422577</c:v>
                </c:pt>
                <c:pt idx="2" formatCode="#,##0_ ;\-#,##0\ ">
                  <c:v>821.09114204242405</c:v>
                </c:pt>
                <c:pt idx="3" formatCode="#,##0_ ;\-#,##0\ ">
                  <c:v>909.94363848043349</c:v>
                </c:pt>
                <c:pt idx="4" formatCode="#,##0_ ;\-#,##0\ ">
                  <c:v>920.52581290322564</c:v>
                </c:pt>
                <c:pt idx="5" formatCode="#,##0_ ;\-#,##0\ ">
                  <c:v>808.50181111111124</c:v>
                </c:pt>
                <c:pt idx="6" formatCode="#,##0_ ;\-#,##0\ ">
                  <c:v>701.20690000000013</c:v>
                </c:pt>
                <c:pt idx="7" formatCode="#,##0_ ;\-#,##0\ ">
                  <c:v>589.82843333333335</c:v>
                </c:pt>
                <c:pt idx="8" formatCode="#,##0_ ;\-#,##0\ ">
                  <c:v>95.970000016236028</c:v>
                </c:pt>
              </c:numCache>
            </c:numRef>
          </c:val>
        </c:ser>
        <c:gapWidth val="29"/>
        <c:axId val="121027968"/>
        <c:axId val="121119872"/>
      </c:barChart>
      <c:barChart>
        <c:barDir val="col"/>
        <c:grouping val="clustered"/>
        <c:ser>
          <c:idx val="1"/>
          <c:order val="1"/>
          <c:tx>
            <c:strRef>
              <c:f>'recap annuel'!$A$28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0070C0"/>
            </a:solidFill>
          </c:spPr>
          <c:dLbls>
            <c:numFmt formatCode="0&quot; KW/h&quot;" sourceLinked="0"/>
            <c:spPr>
              <a:noFill/>
              <a:ln>
                <a:noFill/>
              </a:ln>
              <a:effectLst/>
            </c:spPr>
            <c:txPr>
              <a:bodyPr rot="-5400000" vert="horz" anchor="b" anchorCtr="1"/>
              <a:lstStyle/>
              <a:p>
                <a:pPr>
                  <a:defRPr/>
                </a:pPr>
                <a:endParaRPr lang="fr-FR"/>
              </a:p>
            </c:txPr>
            <c:dLblPos val="inBase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'recap annuel'!$B$28:$J$28</c:f>
              <c:numCache>
                <c:formatCode>0</c:formatCode>
                <c:ptCount val="9"/>
                <c:pt idx="0">
                  <c:v>3614</c:v>
                </c:pt>
                <c:pt idx="1">
                  <c:v>9065</c:v>
                </c:pt>
                <c:pt idx="2">
                  <c:v>8267</c:v>
                </c:pt>
                <c:pt idx="3">
                  <c:v>9088</c:v>
                </c:pt>
                <c:pt idx="4">
                  <c:v>8771</c:v>
                </c:pt>
                <c:pt idx="5">
                  <c:v>8284</c:v>
                </c:pt>
                <c:pt idx="6">
                  <c:v>5692</c:v>
                </c:pt>
                <c:pt idx="7">
                  <c:v>4467</c:v>
                </c:pt>
                <c:pt idx="8">
                  <c:v>1.1999999999999999E-7</c:v>
                </c:pt>
              </c:numCache>
            </c:numRef>
          </c:val>
        </c:ser>
        <c:gapWidth val="147"/>
        <c:overlap val="-1"/>
        <c:axId val="121127296"/>
        <c:axId val="121121408"/>
      </c:barChart>
      <c:lineChart>
        <c:grouping val="standard"/>
        <c:ser>
          <c:idx val="2"/>
          <c:order val="2"/>
          <c:tx>
            <c:strRef>
              <c:f>'recap annuel'!$A$29</c:f>
              <c:strCache>
                <c:ptCount val="1"/>
                <c:pt idx="0">
                  <c:v>Chauffage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dLblPos val="t"/>
            <c:showVal val="1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'recap annuel'!$B$29:$J$29</c:f>
              <c:numCache>
                <c:formatCode>0.0</c:formatCode>
                <c:ptCount val="9"/>
                <c:pt idx="1">
                  <c:v>446.50060000000002</c:v>
                </c:pt>
                <c:pt idx="2">
                  <c:v>338.31180000000001</c:v>
                </c:pt>
                <c:pt idx="3" formatCode="General">
                  <c:v>416.24799999999999</c:v>
                </c:pt>
                <c:pt idx="4" formatCode="General">
                  <c:v>454.48220000000003</c:v>
                </c:pt>
                <c:pt idx="5" formatCode="General">
                  <c:v>472.11693333333335</c:v>
                </c:pt>
                <c:pt idx="6" formatCode="General">
                  <c:v>267.13386666666662</c:v>
                </c:pt>
                <c:pt idx="7" formatCode="General">
                  <c:v>157.3381</c:v>
                </c:pt>
                <c:pt idx="8" formatCode="General">
                  <c:v>0</c:v>
                </c:pt>
              </c:numCache>
            </c:numRef>
          </c:val>
        </c:ser>
        <c:marker val="1"/>
        <c:axId val="121027968"/>
        <c:axId val="121119872"/>
      </c:lineChart>
      <c:catAx>
        <c:axId val="121027968"/>
        <c:scaling>
          <c:orientation val="minMax"/>
        </c:scaling>
        <c:axPos val="b"/>
        <c:numFmt formatCode="General" sourceLinked="0"/>
        <c:tickLblPos val="nextTo"/>
        <c:crossAx val="121119872"/>
        <c:crosses val="autoZero"/>
        <c:auto val="1"/>
        <c:lblAlgn val="ctr"/>
        <c:lblOffset val="100"/>
      </c:catAx>
      <c:valAx>
        <c:axId val="121119872"/>
        <c:scaling>
          <c:orientation val="minMax"/>
          <c:max val="950"/>
          <c:min val="0"/>
        </c:scaling>
        <c:axPos val="l"/>
        <c:majorGridlines/>
        <c:numFmt formatCode="#,##0\ &quot;€&quot;" sourceLinked="0"/>
        <c:tickLblPos val="nextTo"/>
        <c:crossAx val="121027968"/>
        <c:crosses val="autoZero"/>
        <c:crossBetween val="between"/>
      </c:valAx>
      <c:valAx>
        <c:axId val="121121408"/>
        <c:scaling>
          <c:orientation val="minMax"/>
          <c:max val="9500"/>
          <c:min val="0"/>
        </c:scaling>
        <c:axPos val="r"/>
        <c:numFmt formatCode="0&quot; KW/h&quot;" sourceLinked="0"/>
        <c:tickLblPos val="nextTo"/>
        <c:crossAx val="121127296"/>
        <c:crosses val="max"/>
        <c:crossBetween val="between"/>
      </c:valAx>
      <c:catAx>
        <c:axId val="121127296"/>
        <c:scaling>
          <c:orientation val="minMax"/>
        </c:scaling>
        <c:delete val="1"/>
        <c:axPos val="b"/>
        <c:tickLblPos val="none"/>
        <c:crossAx val="121121408"/>
        <c:crosses val="autoZero"/>
        <c:auto val="1"/>
        <c:lblAlgn val="ctr"/>
        <c:lblOffset val="100"/>
      </c:catAx>
    </c:plotArea>
    <c:legend>
      <c:legendPos val="b"/>
    </c:legend>
    <c:plotVisOnly val="1"/>
    <c:dispBlanksAs val="gap"/>
  </c:chart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Nombre d'années pour amortissement de la clim en chauffage</a:t>
            </a:r>
          </a:p>
        </c:rich>
      </c:tx>
      <c:layout>
        <c:manualLayout>
          <c:xMode val="edge"/>
          <c:yMode val="edge"/>
          <c:x val="0.12149521734302762"/>
          <c:y val="1.4214641080312722E-2"/>
        </c:manualLayout>
      </c:layout>
    </c:title>
    <c:plotArea>
      <c:layout>
        <c:manualLayout>
          <c:layoutTarget val="inner"/>
          <c:xMode val="edge"/>
          <c:yMode val="edge"/>
          <c:x val="9.0146596473462764E-2"/>
          <c:y val="9.7232932175578782E-2"/>
          <c:w val="0.80256547074237317"/>
          <c:h val="0.8448776420934434"/>
        </c:manualLayout>
      </c:layout>
      <c:lineChart>
        <c:grouping val="standard"/>
        <c:ser>
          <c:idx val="0"/>
          <c:order val="0"/>
          <c:tx>
            <c:strRef>
              <c:f>'Etude Clim'!$B$46</c:f>
              <c:strCache>
                <c:ptCount val="1"/>
                <c:pt idx="0">
                  <c:v>Sans Clim</c:v>
                </c:pt>
              </c:strCache>
            </c:strRef>
          </c:tx>
          <c:spPr>
            <a:ln>
              <a:solidFill>
                <a:srgbClr val="0000FF"/>
              </a:solidFill>
            </a:ln>
          </c:spPr>
          <c:marker>
            <c:symbol val="none"/>
          </c:marker>
          <c:val>
            <c:numRef>
              <c:f>'Etude Clim'!$B$47:$B$75</c:f>
              <c:numCache>
                <c:formatCode>_-* #,##0.00\ "€"_-;\-* #,##0.00\ "€"_-;_-* "-"??\ "€"_-;_-@_-</c:formatCode>
                <c:ptCount val="29"/>
                <c:pt idx="0">
                  <c:v>153.51239743589744</c:v>
                </c:pt>
                <c:pt idx="1">
                  <c:v>307.02479487179488</c:v>
                </c:pt>
                <c:pt idx="2">
                  <c:v>460.53719230769229</c:v>
                </c:pt>
                <c:pt idx="3">
                  <c:v>614.04958974358976</c:v>
                </c:pt>
                <c:pt idx="4">
                  <c:v>767.56198717948723</c:v>
                </c:pt>
                <c:pt idx="5">
                  <c:v>921.0743846153847</c:v>
                </c:pt>
                <c:pt idx="6">
                  <c:v>1074.5867820512822</c:v>
                </c:pt>
                <c:pt idx="7">
                  <c:v>1228.0991794871795</c:v>
                </c:pt>
                <c:pt idx="8">
                  <c:v>1381.6115769230769</c:v>
                </c:pt>
                <c:pt idx="9">
                  <c:v>1535.1239743589742</c:v>
                </c:pt>
                <c:pt idx="10">
                  <c:v>1688.6363717948716</c:v>
                </c:pt>
                <c:pt idx="11">
                  <c:v>1842.1487692307689</c:v>
                </c:pt>
                <c:pt idx="12">
                  <c:v>1995.6611666666663</c:v>
                </c:pt>
                <c:pt idx="13">
                  <c:v>2149.1735641025639</c:v>
                </c:pt>
                <c:pt idx="14">
                  <c:v>2302.6859615384615</c:v>
                </c:pt>
                <c:pt idx="15">
                  <c:v>2456.1983589743591</c:v>
                </c:pt>
                <c:pt idx="16">
                  <c:v>2609.7107564102566</c:v>
                </c:pt>
                <c:pt idx="17">
                  <c:v>2763.2231538461542</c:v>
                </c:pt>
                <c:pt idx="18">
                  <c:v>2916.7355512820518</c:v>
                </c:pt>
                <c:pt idx="19">
                  <c:v>3070.2479487179494</c:v>
                </c:pt>
                <c:pt idx="20">
                  <c:v>3223.760346153847</c:v>
                </c:pt>
                <c:pt idx="21">
                  <c:v>3377.2727435897446</c:v>
                </c:pt>
                <c:pt idx="22">
                  <c:v>3530.7851410256421</c:v>
                </c:pt>
                <c:pt idx="23">
                  <c:v>3684.2975384615397</c:v>
                </c:pt>
                <c:pt idx="24">
                  <c:v>3837.8099358974373</c:v>
                </c:pt>
                <c:pt idx="25">
                  <c:v>3991.3223333333349</c:v>
                </c:pt>
                <c:pt idx="26">
                  <c:v>4144.834730769232</c:v>
                </c:pt>
                <c:pt idx="27">
                  <c:v>4298.3471282051296</c:v>
                </c:pt>
                <c:pt idx="28">
                  <c:v>4451.8595256410272</c:v>
                </c:pt>
              </c:numCache>
            </c:numRef>
          </c:val>
        </c:ser>
        <c:ser>
          <c:idx val="1"/>
          <c:order val="1"/>
          <c:tx>
            <c:strRef>
              <c:f>'Etude Clim'!$C$46</c:f>
              <c:strCache>
                <c:ptCount val="1"/>
                <c:pt idx="0">
                  <c:v>Avec Clim/3</c:v>
                </c:pt>
              </c:strCache>
            </c:strRef>
          </c:tx>
          <c:spPr>
            <a:ln>
              <a:solidFill>
                <a:srgbClr val="FFFF00"/>
              </a:solidFill>
            </a:ln>
          </c:spPr>
          <c:marker>
            <c:symbol val="none"/>
          </c:marker>
          <c:val>
            <c:numRef>
              <c:f>'Etude Clim'!$C$47:$C$75</c:f>
              <c:numCache>
                <c:formatCode>_-* #,##0.00\ "€"_-;\-* #,##0.00\ "€"_-;_-* "-"??\ "€"_-;_-@_-</c:formatCode>
                <c:ptCount val="29"/>
                <c:pt idx="0">
                  <c:v>2551.170799145299</c:v>
                </c:pt>
                <c:pt idx="1">
                  <c:v>2602.3415982905981</c:v>
                </c:pt>
                <c:pt idx="2">
                  <c:v>2653.5123974358971</c:v>
                </c:pt>
                <c:pt idx="3">
                  <c:v>2704.6831965811962</c:v>
                </c:pt>
                <c:pt idx="4">
                  <c:v>2755.8539957264952</c:v>
                </c:pt>
                <c:pt idx="5">
                  <c:v>2807.0247948717943</c:v>
                </c:pt>
                <c:pt idx="6">
                  <c:v>2858.1955940170933</c:v>
                </c:pt>
                <c:pt idx="7">
                  <c:v>2909.3663931623923</c:v>
                </c:pt>
                <c:pt idx="8">
                  <c:v>2960.5371923076914</c:v>
                </c:pt>
                <c:pt idx="9">
                  <c:v>3011.7079914529904</c:v>
                </c:pt>
                <c:pt idx="10">
                  <c:v>3062.8787905982895</c:v>
                </c:pt>
                <c:pt idx="11">
                  <c:v>3114.0495897435885</c:v>
                </c:pt>
                <c:pt idx="12">
                  <c:v>3165.2203888888876</c:v>
                </c:pt>
                <c:pt idx="13">
                  <c:v>3216.3911880341866</c:v>
                </c:pt>
                <c:pt idx="14">
                  <c:v>3267.5619871794856</c:v>
                </c:pt>
                <c:pt idx="15">
                  <c:v>3318.7327863247847</c:v>
                </c:pt>
                <c:pt idx="16">
                  <c:v>3369.9035854700837</c:v>
                </c:pt>
                <c:pt idx="17">
                  <c:v>3421.0743846153828</c:v>
                </c:pt>
                <c:pt idx="18">
                  <c:v>3472.2451837606818</c:v>
                </c:pt>
                <c:pt idx="19">
                  <c:v>3523.4159829059809</c:v>
                </c:pt>
                <c:pt idx="20">
                  <c:v>3574.5867820512799</c:v>
                </c:pt>
                <c:pt idx="21">
                  <c:v>3625.7575811965789</c:v>
                </c:pt>
                <c:pt idx="22">
                  <c:v>3676.928380341878</c:v>
                </c:pt>
                <c:pt idx="23">
                  <c:v>3728.099179487177</c:v>
                </c:pt>
                <c:pt idx="24">
                  <c:v>3779.2699786324761</c:v>
                </c:pt>
                <c:pt idx="25">
                  <c:v>3830.4407777777751</c:v>
                </c:pt>
                <c:pt idx="26">
                  <c:v>3881.6115769230742</c:v>
                </c:pt>
                <c:pt idx="27">
                  <c:v>3932.7823760683732</c:v>
                </c:pt>
                <c:pt idx="28">
                  <c:v>3983.9531752136722</c:v>
                </c:pt>
              </c:numCache>
            </c:numRef>
          </c:val>
        </c:ser>
        <c:ser>
          <c:idx val="2"/>
          <c:order val="2"/>
          <c:tx>
            <c:strRef>
              <c:f>'Etude Clim'!$E$46</c:f>
              <c:strCache>
                <c:ptCount val="1"/>
                <c:pt idx="0">
                  <c:v>Avec Clim/5</c:v>
                </c:pt>
              </c:strCache>
            </c:strRef>
          </c:tx>
          <c:spPr>
            <a:ln>
              <a:solidFill>
                <a:srgbClr val="00FF00"/>
              </a:solidFill>
            </a:ln>
          </c:spPr>
          <c:marker>
            <c:symbol val="none"/>
          </c:marker>
          <c:val>
            <c:numRef>
              <c:f>'Etude Clim'!$E$47:$E$75</c:f>
              <c:numCache>
                <c:formatCode>_-* #,##0.00\ "€"_-;\-* #,##0.00\ "€"_-;_-* "-"??\ "€"_-;_-@_-</c:formatCode>
                <c:ptCount val="29"/>
                <c:pt idx="0">
                  <c:v>2530.7024794871795</c:v>
                </c:pt>
                <c:pt idx="1">
                  <c:v>2561.404958974359</c:v>
                </c:pt>
                <c:pt idx="2">
                  <c:v>2592.1074384615385</c:v>
                </c:pt>
                <c:pt idx="3">
                  <c:v>2622.8099179487181</c:v>
                </c:pt>
                <c:pt idx="4">
                  <c:v>2653.5123974358976</c:v>
                </c:pt>
                <c:pt idx="5">
                  <c:v>2684.2148769230771</c:v>
                </c:pt>
                <c:pt idx="6">
                  <c:v>2714.9173564102566</c:v>
                </c:pt>
                <c:pt idx="7">
                  <c:v>2745.6198358974361</c:v>
                </c:pt>
                <c:pt idx="8">
                  <c:v>2776.3223153846156</c:v>
                </c:pt>
                <c:pt idx="9">
                  <c:v>2807.0247948717952</c:v>
                </c:pt>
                <c:pt idx="10">
                  <c:v>2837.7272743589747</c:v>
                </c:pt>
                <c:pt idx="11">
                  <c:v>2868.4297538461542</c:v>
                </c:pt>
                <c:pt idx="12">
                  <c:v>2899.1322333333337</c:v>
                </c:pt>
                <c:pt idx="13">
                  <c:v>2929.8347128205132</c:v>
                </c:pt>
                <c:pt idx="14">
                  <c:v>2960.5371923076927</c:v>
                </c:pt>
                <c:pt idx="15">
                  <c:v>2991.2396717948723</c:v>
                </c:pt>
                <c:pt idx="16">
                  <c:v>3021.9421512820518</c:v>
                </c:pt>
                <c:pt idx="17">
                  <c:v>3052.6446307692313</c:v>
                </c:pt>
                <c:pt idx="18">
                  <c:v>3083.3471102564108</c:v>
                </c:pt>
                <c:pt idx="19">
                  <c:v>3114.0495897435903</c:v>
                </c:pt>
                <c:pt idx="20">
                  <c:v>3144.7520692307698</c:v>
                </c:pt>
                <c:pt idx="21">
                  <c:v>3175.4545487179494</c:v>
                </c:pt>
                <c:pt idx="22">
                  <c:v>3206.1570282051289</c:v>
                </c:pt>
                <c:pt idx="23">
                  <c:v>3236.8595076923084</c:v>
                </c:pt>
                <c:pt idx="24">
                  <c:v>3267.5619871794879</c:v>
                </c:pt>
                <c:pt idx="25">
                  <c:v>3298.2644666666674</c:v>
                </c:pt>
                <c:pt idx="26">
                  <c:v>3328.9669461538469</c:v>
                </c:pt>
                <c:pt idx="27">
                  <c:v>3359.6694256410265</c:v>
                </c:pt>
                <c:pt idx="28">
                  <c:v>3390.371905128206</c:v>
                </c:pt>
              </c:numCache>
            </c:numRef>
          </c:val>
        </c:ser>
        <c:ser>
          <c:idx val="3"/>
          <c:order val="3"/>
          <c:tx>
            <c:strRef>
              <c:f>'Etude Clim'!$H$46</c:f>
              <c:strCache>
                <c:ptCount val="1"/>
                <c:pt idx="0">
                  <c:v>Ballon</c:v>
                </c:pt>
              </c:strCache>
            </c:strRef>
          </c:tx>
          <c:spPr>
            <a:ln>
              <a:solidFill>
                <a:srgbClr val="FF0000"/>
              </a:solidFill>
            </a:ln>
          </c:spPr>
          <c:marker>
            <c:symbol val="none"/>
          </c:marker>
          <c:val>
            <c:numRef>
              <c:f>'Etude Clim'!$H$47:$H$75</c:f>
              <c:numCache>
                <c:formatCode>#,##0\ "€";[Red]\-#,##0\ "€"</c:formatCode>
                <c:ptCount val="29"/>
                <c:pt idx="0">
                  <c:v>150</c:v>
                </c:pt>
                <c:pt idx="1">
                  <c:v>300</c:v>
                </c:pt>
                <c:pt idx="2">
                  <c:v>450</c:v>
                </c:pt>
                <c:pt idx="3">
                  <c:v>600</c:v>
                </c:pt>
                <c:pt idx="4">
                  <c:v>750</c:v>
                </c:pt>
                <c:pt idx="5">
                  <c:v>900</c:v>
                </c:pt>
                <c:pt idx="6">
                  <c:v>1050</c:v>
                </c:pt>
                <c:pt idx="7">
                  <c:v>1200</c:v>
                </c:pt>
                <c:pt idx="8">
                  <c:v>1350</c:v>
                </c:pt>
                <c:pt idx="9">
                  <c:v>1500</c:v>
                </c:pt>
                <c:pt idx="10">
                  <c:v>1650</c:v>
                </c:pt>
                <c:pt idx="11">
                  <c:v>1800</c:v>
                </c:pt>
                <c:pt idx="12">
                  <c:v>1950</c:v>
                </c:pt>
                <c:pt idx="13">
                  <c:v>2100</c:v>
                </c:pt>
                <c:pt idx="14">
                  <c:v>2250</c:v>
                </c:pt>
                <c:pt idx="15">
                  <c:v>2400</c:v>
                </c:pt>
                <c:pt idx="16">
                  <c:v>2550</c:v>
                </c:pt>
                <c:pt idx="17">
                  <c:v>2700</c:v>
                </c:pt>
                <c:pt idx="18">
                  <c:v>2850</c:v>
                </c:pt>
                <c:pt idx="19">
                  <c:v>3000</c:v>
                </c:pt>
                <c:pt idx="20">
                  <c:v>3150</c:v>
                </c:pt>
                <c:pt idx="21">
                  <c:v>3300</c:v>
                </c:pt>
                <c:pt idx="22">
                  <c:v>3450</c:v>
                </c:pt>
                <c:pt idx="23">
                  <c:v>3600</c:v>
                </c:pt>
                <c:pt idx="24">
                  <c:v>3750</c:v>
                </c:pt>
                <c:pt idx="25">
                  <c:v>3900</c:v>
                </c:pt>
                <c:pt idx="26">
                  <c:v>4050</c:v>
                </c:pt>
                <c:pt idx="27">
                  <c:v>4200</c:v>
                </c:pt>
                <c:pt idx="28">
                  <c:v>4350</c:v>
                </c:pt>
              </c:numCache>
            </c:numRef>
          </c:val>
        </c:ser>
        <c:ser>
          <c:idx val="4"/>
          <c:order val="4"/>
          <c:spPr>
            <a:ln w="12700">
              <a:solidFill>
                <a:srgbClr val="FF0000"/>
              </a:solidFill>
              <a:prstDash val="dash"/>
            </a:ln>
          </c:spPr>
          <c:marker>
            <c:symbol val="none"/>
          </c:marker>
          <c:val>
            <c:numRef>
              <c:f>'Etude Clim'!$I$47:$I$75</c:f>
              <c:numCache>
                <c:formatCode>General</c:formatCode>
                <c:ptCount val="29"/>
                <c:pt idx="0">
                  <c:v>4000</c:v>
                </c:pt>
                <c:pt idx="1">
                  <c:v>4000</c:v>
                </c:pt>
                <c:pt idx="2">
                  <c:v>4000</c:v>
                </c:pt>
                <c:pt idx="3">
                  <c:v>4000</c:v>
                </c:pt>
                <c:pt idx="4">
                  <c:v>4000</c:v>
                </c:pt>
                <c:pt idx="5">
                  <c:v>4000</c:v>
                </c:pt>
                <c:pt idx="6">
                  <c:v>4000</c:v>
                </c:pt>
                <c:pt idx="7">
                  <c:v>4000</c:v>
                </c:pt>
                <c:pt idx="8">
                  <c:v>4000</c:v>
                </c:pt>
                <c:pt idx="9">
                  <c:v>4000</c:v>
                </c:pt>
                <c:pt idx="10">
                  <c:v>4000</c:v>
                </c:pt>
                <c:pt idx="11">
                  <c:v>4000</c:v>
                </c:pt>
                <c:pt idx="12">
                  <c:v>4000</c:v>
                </c:pt>
                <c:pt idx="13">
                  <c:v>4000</c:v>
                </c:pt>
                <c:pt idx="14">
                  <c:v>4000</c:v>
                </c:pt>
                <c:pt idx="15">
                  <c:v>4000</c:v>
                </c:pt>
                <c:pt idx="16">
                  <c:v>4000</c:v>
                </c:pt>
                <c:pt idx="17">
                  <c:v>4000</c:v>
                </c:pt>
                <c:pt idx="18">
                  <c:v>4000</c:v>
                </c:pt>
                <c:pt idx="19">
                  <c:v>4000</c:v>
                </c:pt>
                <c:pt idx="20">
                  <c:v>4000</c:v>
                </c:pt>
                <c:pt idx="21">
                  <c:v>4000</c:v>
                </c:pt>
                <c:pt idx="22">
                  <c:v>4000</c:v>
                </c:pt>
                <c:pt idx="23">
                  <c:v>4000</c:v>
                </c:pt>
                <c:pt idx="24">
                  <c:v>4000</c:v>
                </c:pt>
                <c:pt idx="25">
                  <c:v>4000</c:v>
                </c:pt>
                <c:pt idx="26">
                  <c:v>4000</c:v>
                </c:pt>
                <c:pt idx="27">
                  <c:v>4000</c:v>
                </c:pt>
                <c:pt idx="28">
                  <c:v>4000</c:v>
                </c:pt>
              </c:numCache>
            </c:numRef>
          </c:val>
        </c:ser>
        <c:marker val="1"/>
        <c:axId val="121206656"/>
        <c:axId val="121208192"/>
      </c:lineChart>
      <c:catAx>
        <c:axId val="121206656"/>
        <c:scaling>
          <c:orientation val="minMax"/>
        </c:scaling>
        <c:axPos val="b"/>
        <c:majorTickMark val="none"/>
        <c:tickLblPos val="nextTo"/>
        <c:crossAx val="121208192"/>
        <c:crosses val="autoZero"/>
        <c:auto val="1"/>
        <c:lblAlgn val="ctr"/>
        <c:lblOffset val="100"/>
      </c:catAx>
      <c:valAx>
        <c:axId val="121208192"/>
        <c:scaling>
          <c:orientation val="minMax"/>
          <c:max val="5000"/>
        </c:scaling>
        <c:axPos val="l"/>
        <c:majorGridlines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Coût Annuelle cumulés</a:t>
                </a:r>
              </a:p>
            </c:rich>
          </c:tx>
        </c:title>
        <c:numFmt formatCode="_-* #,##0.00\ &quot;€&quot;_-;\-* #,##0.00\ &quot;€&quot;_-;_-* &quot;-&quot;??\ &quot;€&quot;_-;_-@_-" sourceLinked="1"/>
        <c:majorTickMark val="none"/>
        <c:tickLblPos val="nextTo"/>
        <c:crossAx val="121206656"/>
        <c:crosses val="autoZero"/>
        <c:crossBetween val="between"/>
      </c:valAx>
    </c:plotArea>
    <c:legend>
      <c:legendPos val="r"/>
      <c:legendEntry>
        <c:idx val="4"/>
        <c:delete val="1"/>
      </c:legendEntry>
    </c:legend>
    <c:plotVisOnly val="1"/>
    <c:dispBlanksAs val="gap"/>
  </c:chart>
  <c:printSettings>
    <c:headerFooter/>
    <c:pageMargins b="0.75000000000000944" l="0.70000000000000062" r="0.70000000000000062" t="0.75000000000000944" header="0.30000000000000032" footer="0.30000000000000032"/>
    <c:pageSetup paperSize="9" orientation="portrait" horizontalDpi="0" verticalDpi="0"/>
  </c:printSettings>
  <c:userShapes r:id="rId1"/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lineChart>
        <c:grouping val="standard"/>
        <c:ser>
          <c:idx val="0"/>
          <c:order val="0"/>
          <c:tx>
            <c:strRef>
              <c:f>'Jour le Jour'!$E$2</c:f>
              <c:strCache>
                <c:ptCount val="1"/>
                <c:pt idx="0">
                  <c:v>H-pleine</c:v>
                </c:pt>
              </c:strCache>
            </c:strRef>
          </c:tx>
          <c:marker>
            <c:symbol val="none"/>
          </c:marker>
          <c:cat>
            <c:numRef>
              <c:f>'Jour le Jour'!$A$3:$A$33</c:f>
              <c:numCache>
                <c:formatCode>dd/mm/yyyy</c:formatCode>
                <c:ptCount val="31"/>
                <c:pt idx="0">
                  <c:v>41244</c:v>
                </c:pt>
                <c:pt idx="1">
                  <c:v>41245</c:v>
                </c:pt>
                <c:pt idx="2">
                  <c:v>41246</c:v>
                </c:pt>
                <c:pt idx="3">
                  <c:v>41247</c:v>
                </c:pt>
                <c:pt idx="4">
                  <c:v>41248</c:v>
                </c:pt>
                <c:pt idx="5">
                  <c:v>41249</c:v>
                </c:pt>
                <c:pt idx="6">
                  <c:v>41250</c:v>
                </c:pt>
                <c:pt idx="7">
                  <c:v>41251</c:v>
                </c:pt>
                <c:pt idx="8">
                  <c:v>41252</c:v>
                </c:pt>
                <c:pt idx="9">
                  <c:v>41253</c:v>
                </c:pt>
                <c:pt idx="10">
                  <c:v>41254</c:v>
                </c:pt>
                <c:pt idx="11">
                  <c:v>41255</c:v>
                </c:pt>
                <c:pt idx="12">
                  <c:v>41256</c:v>
                </c:pt>
                <c:pt idx="13">
                  <c:v>41257</c:v>
                </c:pt>
                <c:pt idx="14">
                  <c:v>41258</c:v>
                </c:pt>
                <c:pt idx="15">
                  <c:v>41259</c:v>
                </c:pt>
                <c:pt idx="16">
                  <c:v>41260</c:v>
                </c:pt>
                <c:pt idx="17">
                  <c:v>41261</c:v>
                </c:pt>
                <c:pt idx="18">
                  <c:v>41262</c:v>
                </c:pt>
                <c:pt idx="19">
                  <c:v>41263</c:v>
                </c:pt>
                <c:pt idx="20">
                  <c:v>41264</c:v>
                </c:pt>
                <c:pt idx="21">
                  <c:v>41265</c:v>
                </c:pt>
                <c:pt idx="22">
                  <c:v>41266</c:v>
                </c:pt>
                <c:pt idx="23">
                  <c:v>41267</c:v>
                </c:pt>
                <c:pt idx="24">
                  <c:v>41268</c:v>
                </c:pt>
                <c:pt idx="25">
                  <c:v>41269</c:v>
                </c:pt>
                <c:pt idx="26">
                  <c:v>41270</c:v>
                </c:pt>
                <c:pt idx="27">
                  <c:v>41271</c:v>
                </c:pt>
                <c:pt idx="28">
                  <c:v>41272</c:v>
                </c:pt>
                <c:pt idx="29">
                  <c:v>41273</c:v>
                </c:pt>
                <c:pt idx="30">
                  <c:v>41274</c:v>
                </c:pt>
              </c:numCache>
            </c:numRef>
          </c:cat>
          <c:val>
            <c:numRef>
              <c:f>'Jour le Jour'!$E$3:$E$33</c:f>
              <c:numCache>
                <c:formatCode>0" Kw"</c:formatCode>
                <c:ptCount val="31"/>
                <c:pt idx="0">
                  <c:v>14</c:v>
                </c:pt>
                <c:pt idx="1">
                  <c:v>13</c:v>
                </c:pt>
                <c:pt idx="2">
                  <c:v>13</c:v>
                </c:pt>
                <c:pt idx="3">
                  <c:v>14</c:v>
                </c:pt>
                <c:pt idx="4">
                  <c:v>13</c:v>
                </c:pt>
                <c:pt idx="5">
                  <c:v>13</c:v>
                </c:pt>
                <c:pt idx="6">
                  <c:v>14</c:v>
                </c:pt>
                <c:pt idx="7">
                  <c:v>13</c:v>
                </c:pt>
                <c:pt idx="8">
                  <c:v>13</c:v>
                </c:pt>
                <c:pt idx="9">
                  <c:v>13</c:v>
                </c:pt>
                <c:pt idx="10">
                  <c:v>14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</c:ser>
        <c:ser>
          <c:idx val="1"/>
          <c:order val="1"/>
          <c:tx>
            <c:strRef>
              <c:f>'Jour le Jour'!$D$2</c:f>
              <c:strCache>
                <c:ptCount val="1"/>
                <c:pt idx="0">
                  <c:v>H-creuse</c:v>
                </c:pt>
              </c:strCache>
            </c:strRef>
          </c:tx>
          <c:marker>
            <c:symbol val="none"/>
          </c:marker>
          <c:val>
            <c:numRef>
              <c:f>'Jour le Jour'!$D$3:$D$33</c:f>
              <c:numCache>
                <c:formatCode>0" Kw"</c:formatCode>
                <c:ptCount val="31"/>
                <c:pt idx="0">
                  <c:v>10</c:v>
                </c:pt>
                <c:pt idx="1">
                  <c:v>10</c:v>
                </c:pt>
                <c:pt idx="2">
                  <c:v>10</c:v>
                </c:pt>
                <c:pt idx="3">
                  <c:v>11</c:v>
                </c:pt>
                <c:pt idx="4">
                  <c:v>10</c:v>
                </c:pt>
                <c:pt idx="5">
                  <c:v>10</c:v>
                </c:pt>
                <c:pt idx="6">
                  <c:v>11</c:v>
                </c:pt>
                <c:pt idx="7">
                  <c:v>10</c:v>
                </c:pt>
                <c:pt idx="8">
                  <c:v>10</c:v>
                </c:pt>
                <c:pt idx="9">
                  <c:v>10</c:v>
                </c:pt>
                <c:pt idx="10">
                  <c:v>19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</c:ser>
        <c:marker val="1"/>
        <c:axId val="121482624"/>
        <c:axId val="121488512"/>
      </c:lineChart>
      <c:lineChart>
        <c:grouping val="standard"/>
        <c:ser>
          <c:idx val="2"/>
          <c:order val="2"/>
          <c:tx>
            <c:strRef>
              <c:f>'Jour le Jour'!$F$2</c:f>
              <c:strCache>
                <c:ptCount val="1"/>
                <c:pt idx="0">
                  <c:v>Themperature</c:v>
                </c:pt>
              </c:strCache>
            </c:strRef>
          </c:tx>
          <c:marker>
            <c:symbol val="none"/>
          </c:marker>
          <c:val>
            <c:numRef>
              <c:f>'Jour le Jour'!$F$3:$F$33</c:f>
              <c:numCache>
                <c:formatCode>0.0" °"</c:formatCode>
                <c:ptCount val="31"/>
                <c:pt idx="0">
                  <c:v>4.3</c:v>
                </c:pt>
                <c:pt idx="1">
                  <c:v>6.1</c:v>
                </c:pt>
                <c:pt idx="2">
                  <c:v>12.3</c:v>
                </c:pt>
                <c:pt idx="3">
                  <c:v>1.2</c:v>
                </c:pt>
                <c:pt idx="4">
                  <c:v>7.6</c:v>
                </c:pt>
                <c:pt idx="5">
                  <c:v>6.6</c:v>
                </c:pt>
                <c:pt idx="6">
                  <c:v>0</c:v>
                </c:pt>
                <c:pt idx="7">
                  <c:v>7.7</c:v>
                </c:pt>
                <c:pt idx="8">
                  <c:v>5.9</c:v>
                </c:pt>
                <c:pt idx="9">
                  <c:v>5.8</c:v>
                </c:pt>
                <c:pt idx="10">
                  <c:v>5.4</c:v>
                </c:pt>
              </c:numCache>
            </c:numRef>
          </c:val>
        </c:ser>
        <c:marker val="1"/>
        <c:axId val="121491840"/>
        <c:axId val="121490048"/>
      </c:lineChart>
      <c:dateAx>
        <c:axId val="121482624"/>
        <c:scaling>
          <c:orientation val="minMax"/>
        </c:scaling>
        <c:axPos val="b"/>
        <c:numFmt formatCode="dd/mm/yyyy" sourceLinked="1"/>
        <c:tickLblPos val="nextTo"/>
        <c:crossAx val="121488512"/>
        <c:crosses val="autoZero"/>
        <c:auto val="1"/>
        <c:lblOffset val="100"/>
      </c:dateAx>
      <c:valAx>
        <c:axId val="121488512"/>
        <c:scaling>
          <c:orientation val="minMax"/>
        </c:scaling>
        <c:axPos val="l"/>
        <c:majorGridlines/>
        <c:numFmt formatCode="0&quot; Kw&quot;" sourceLinked="1"/>
        <c:tickLblPos val="nextTo"/>
        <c:crossAx val="121482624"/>
        <c:crosses val="autoZero"/>
        <c:crossBetween val="between"/>
      </c:valAx>
      <c:valAx>
        <c:axId val="121490048"/>
        <c:scaling>
          <c:orientation val="minMax"/>
        </c:scaling>
        <c:axPos val="r"/>
        <c:numFmt formatCode="0.0&quot; °&quot;" sourceLinked="1"/>
        <c:tickLblPos val="nextTo"/>
        <c:crossAx val="121491840"/>
        <c:crosses val="max"/>
        <c:crossBetween val="between"/>
      </c:valAx>
      <c:catAx>
        <c:axId val="121491840"/>
        <c:scaling>
          <c:orientation val="minMax"/>
        </c:scaling>
        <c:delete val="1"/>
        <c:axPos val="b"/>
        <c:tickLblPos val="none"/>
        <c:crossAx val="121490048"/>
        <c:crosses val="autoZero"/>
        <c:auto val="1"/>
        <c:lblAlgn val="ctr"/>
        <c:lblOffset val="100"/>
      </c:catAx>
    </c:plotArea>
    <c:legend>
      <c:legendPos val="b"/>
      <c:layout/>
    </c:legend>
    <c:plotVisOnly val="1"/>
  </c:chart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8</xdr:row>
      <xdr:rowOff>19050</xdr:rowOff>
    </xdr:from>
    <xdr:to>
      <xdr:col>16</xdr:col>
      <xdr:colOff>0</xdr:colOff>
      <xdr:row>26</xdr:row>
      <xdr:rowOff>142875</xdr:rowOff>
    </xdr:to>
    <xdr:graphicFrame macro="">
      <xdr:nvGraphicFramePr>
        <xdr:cNvPr id="1035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200025</xdr:rowOff>
    </xdr:from>
    <xdr:to>
      <xdr:col>19</xdr:col>
      <xdr:colOff>0</xdr:colOff>
      <xdr:row>34</xdr:row>
      <xdr:rowOff>123825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200025</xdr:rowOff>
    </xdr:from>
    <xdr:to>
      <xdr:col>19</xdr:col>
      <xdr:colOff>0</xdr:colOff>
      <xdr:row>34</xdr:row>
      <xdr:rowOff>123825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200025</xdr:rowOff>
    </xdr:from>
    <xdr:to>
      <xdr:col>19</xdr:col>
      <xdr:colOff>0</xdr:colOff>
      <xdr:row>34</xdr:row>
      <xdr:rowOff>123825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200025</xdr:rowOff>
    </xdr:from>
    <xdr:to>
      <xdr:col>19</xdr:col>
      <xdr:colOff>0</xdr:colOff>
      <xdr:row>34</xdr:row>
      <xdr:rowOff>123825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200025</xdr:rowOff>
    </xdr:from>
    <xdr:to>
      <xdr:col>19</xdr:col>
      <xdr:colOff>0</xdr:colOff>
      <xdr:row>34</xdr:row>
      <xdr:rowOff>123825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14</xdr:row>
      <xdr:rowOff>200025</xdr:rowOff>
    </xdr:from>
    <xdr:to>
      <xdr:col>19</xdr:col>
      <xdr:colOff>0</xdr:colOff>
      <xdr:row>34</xdr:row>
      <xdr:rowOff>123825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15</xdr:row>
      <xdr:rowOff>0</xdr:rowOff>
    </xdr:from>
    <xdr:to>
      <xdr:col>18</xdr:col>
      <xdr:colOff>9525</xdr:colOff>
      <xdr:row>34</xdr:row>
      <xdr:rowOff>123825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</xdr:colOff>
      <xdr:row>15</xdr:row>
      <xdr:rowOff>28575</xdr:rowOff>
    </xdr:from>
    <xdr:to>
      <xdr:col>19</xdr:col>
      <xdr:colOff>485774</xdr:colOff>
      <xdr:row>34</xdr:row>
      <xdr:rowOff>152400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28574</xdr:colOff>
      <xdr:row>15</xdr:row>
      <xdr:rowOff>28575</xdr:rowOff>
    </xdr:from>
    <xdr:to>
      <xdr:col>19</xdr:col>
      <xdr:colOff>485774</xdr:colOff>
      <xdr:row>34</xdr:row>
      <xdr:rowOff>152400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38100</xdr:colOff>
      <xdr:row>0</xdr:row>
      <xdr:rowOff>0</xdr:rowOff>
    </xdr:from>
    <xdr:to>
      <xdr:col>24</xdr:col>
      <xdr:colOff>38100</xdr:colOff>
      <xdr:row>21</xdr:row>
      <xdr:rowOff>57150</xdr:rowOff>
    </xdr:to>
    <xdr:graphicFrame macro="">
      <xdr:nvGraphicFramePr>
        <xdr:cNvPr id="5131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47625</xdr:colOff>
      <xdr:row>21</xdr:row>
      <xdr:rowOff>104776</xdr:rowOff>
    </xdr:from>
    <xdr:to>
      <xdr:col>24</xdr:col>
      <xdr:colOff>38100</xdr:colOff>
      <xdr:row>38</xdr:row>
      <xdr:rowOff>123825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9</xdr:row>
      <xdr:rowOff>104774</xdr:rowOff>
    </xdr:from>
    <xdr:to>
      <xdr:col>13</xdr:col>
      <xdr:colOff>114300</xdr:colOff>
      <xdr:row>43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314325</xdr:colOff>
      <xdr:row>20</xdr:row>
      <xdr:rowOff>66680</xdr:rowOff>
    </xdr:from>
    <xdr:to>
      <xdr:col>9</xdr:col>
      <xdr:colOff>314328</xdr:colOff>
      <xdr:row>41</xdr:row>
      <xdr:rowOff>47627</xdr:rowOff>
    </xdr:to>
    <xdr:cxnSp macro="">
      <xdr:nvCxnSpPr>
        <xdr:cNvPr id="5" name="Connecteur droit 4"/>
        <xdr:cNvCxnSpPr/>
      </xdr:nvCxnSpPr>
      <xdr:spPr>
        <a:xfrm rot="5400000">
          <a:off x="7015166" y="5072064"/>
          <a:ext cx="3381372" cy="3"/>
        </a:xfrm>
        <a:prstGeom prst="line">
          <a:avLst/>
        </a:prstGeom>
        <a:ln w="12700">
          <a:solidFill>
            <a:srgbClr val="FFC000"/>
          </a:solidFill>
          <a:prstDash val="dash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514350</xdr:colOff>
      <xdr:row>23</xdr:row>
      <xdr:rowOff>123829</xdr:rowOff>
    </xdr:from>
    <xdr:to>
      <xdr:col>7</xdr:col>
      <xdr:colOff>533401</xdr:colOff>
      <xdr:row>41</xdr:row>
      <xdr:rowOff>76205</xdr:rowOff>
    </xdr:to>
    <xdr:cxnSp macro="">
      <xdr:nvCxnSpPr>
        <xdr:cNvPr id="4" name="Connecteur droit 3"/>
        <xdr:cNvCxnSpPr/>
      </xdr:nvCxnSpPr>
      <xdr:spPr>
        <a:xfrm rot="5400000">
          <a:off x="5957888" y="5348291"/>
          <a:ext cx="2867026" cy="19051"/>
        </a:xfrm>
        <a:prstGeom prst="line">
          <a:avLst/>
        </a:prstGeom>
        <a:ln>
          <a:solidFill>
            <a:srgbClr val="00FF00"/>
          </a:solidFill>
          <a:prstDash val="dash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323850</xdr:colOff>
      <xdr:row>18</xdr:row>
      <xdr:rowOff>95256</xdr:rowOff>
    </xdr:from>
    <xdr:to>
      <xdr:col>10</xdr:col>
      <xdr:colOff>323854</xdr:colOff>
      <xdr:row>41</xdr:row>
      <xdr:rowOff>104778</xdr:rowOff>
    </xdr:to>
    <xdr:cxnSp macro="">
      <xdr:nvCxnSpPr>
        <xdr:cNvPr id="7" name="Connecteur droit 6"/>
        <xdr:cNvCxnSpPr/>
      </xdr:nvCxnSpPr>
      <xdr:spPr>
        <a:xfrm flipH="1">
          <a:off x="9477375" y="3086106"/>
          <a:ext cx="4" cy="3733797"/>
        </a:xfrm>
        <a:prstGeom prst="line">
          <a:avLst/>
        </a:prstGeom>
        <a:ln>
          <a:solidFill>
            <a:srgbClr val="FF0000"/>
          </a:solidFill>
          <a:prstDash val="dashDot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13.xml><?xml version="1.0" encoding="utf-8"?>
<c:userShapes xmlns:c="http://schemas.openxmlformats.org/drawingml/2006/chart">
  <cdr:relSizeAnchor xmlns:cdr="http://schemas.openxmlformats.org/drawingml/2006/chartDrawing">
    <cdr:from>
      <cdr:x>0</cdr:x>
      <cdr:y>0</cdr:y>
    </cdr:from>
    <cdr:to>
      <cdr:x>4.78846E-7</cdr:x>
      <cdr:y>0.54371</cdr:y>
    </cdr:to>
    <cdr:cxnSp macro="">
      <cdr:nvCxnSpPr>
        <cdr:cNvPr id="2" name="Connecteur droit 1"/>
        <cdr:cNvCxnSpPr/>
      </cdr:nvCxnSpPr>
      <cdr:spPr>
        <a:xfrm xmlns:a="http://schemas.openxmlformats.org/drawingml/2006/main" rot="5400000">
          <a:off x="-1214434" y="1214434"/>
          <a:ext cx="2428872" cy="4"/>
        </a:xfrm>
        <a:prstGeom xmlns:a="http://schemas.openxmlformats.org/drawingml/2006/main" prst="line">
          <a:avLst/>
        </a:prstGeom>
        <a:noFill xmlns:a="http://schemas.openxmlformats.org/drawingml/2006/main"/>
        <a:ln xmlns:a="http://schemas.openxmlformats.org/drawingml/2006/main" w="9525" cap="flat" cmpd="sng" algn="ctr">
          <a:solidFill>
            <a:sysClr val="windowText" lastClr="000000"/>
          </a:solidFill>
          <a:prstDash val="dashDot"/>
        </a:ln>
        <a:effectLst xmlns:a="http://schemas.openxmlformats.org/drawingml/2006/main"/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</xdr:colOff>
      <xdr:row>2</xdr:row>
      <xdr:rowOff>19050</xdr:rowOff>
    </xdr:from>
    <xdr:to>
      <xdr:col>15</xdr:col>
      <xdr:colOff>95250</xdr:colOff>
      <xdr:row>19</xdr:row>
      <xdr:rowOff>9525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53"/>
  <sheetViews>
    <sheetView workbookViewId="0">
      <selection activeCell="H39" sqref="H39"/>
    </sheetView>
  </sheetViews>
  <sheetFormatPr baseColWidth="10" defaultColWidth="11.42578125" defaultRowHeight="12.75"/>
  <cols>
    <col min="1" max="1" width="10.140625" bestFit="1" customWidth="1"/>
    <col min="2" max="2" width="6.7109375" bestFit="1" customWidth="1"/>
    <col min="3" max="3" width="9.28515625" bestFit="1" customWidth="1"/>
    <col min="4" max="4" width="10.5703125" customWidth="1"/>
    <col min="5" max="5" width="10.5703125" bestFit="1" customWidth="1"/>
    <col min="6" max="6" width="6.7109375" customWidth="1"/>
    <col min="7" max="7" width="11.42578125" hidden="1" customWidth="1"/>
    <col min="8" max="8" width="9.85546875" bestFit="1" customWidth="1"/>
    <col min="9" max="9" width="7.28515625" bestFit="1" customWidth="1"/>
    <col min="10" max="10" width="8.28515625" bestFit="1" customWidth="1"/>
    <col min="11" max="11" width="9.42578125" bestFit="1" customWidth="1"/>
    <col min="12" max="12" width="6.85546875" customWidth="1"/>
    <col min="13" max="13" width="7.7109375" customWidth="1"/>
    <col min="14" max="14" width="8.5703125" bestFit="1" customWidth="1"/>
    <col min="15" max="15" width="7.85546875" customWidth="1"/>
    <col min="16" max="16" width="7.28515625" customWidth="1"/>
    <col min="17" max="17" width="5.28515625" bestFit="1" customWidth="1"/>
    <col min="18" max="18" width="7.5703125" bestFit="1" customWidth="1"/>
    <col min="19" max="19" width="7.7109375" bestFit="1" customWidth="1"/>
    <col min="20" max="20" width="8.42578125" bestFit="1" customWidth="1"/>
    <col min="21" max="21" width="11.28515625" bestFit="1" customWidth="1"/>
    <col min="22" max="22" width="5.140625" bestFit="1" customWidth="1"/>
    <col min="23" max="23" width="3.140625" bestFit="1" customWidth="1"/>
    <col min="24" max="25" width="6" bestFit="1" customWidth="1"/>
    <col min="26" max="26" width="2.85546875" bestFit="1" customWidth="1"/>
    <col min="27" max="28" width="3.7109375" bestFit="1" customWidth="1"/>
    <col min="29" max="31" width="6.5703125" bestFit="1" customWidth="1"/>
    <col min="32" max="32" width="7" bestFit="1" customWidth="1"/>
  </cols>
  <sheetData>
    <row r="1" spans="1:32" ht="38.25" customHeight="1" thickBot="1">
      <c r="A1" s="5" t="s">
        <v>1</v>
      </c>
      <c r="B1" s="6" t="s">
        <v>2</v>
      </c>
      <c r="C1" s="6" t="s">
        <v>3</v>
      </c>
      <c r="D1" s="6" t="s">
        <v>4</v>
      </c>
      <c r="E1" s="6" t="s">
        <v>5</v>
      </c>
      <c r="F1" s="6" t="s">
        <v>13</v>
      </c>
      <c r="G1" s="6"/>
      <c r="H1" s="6" t="s">
        <v>6</v>
      </c>
      <c r="I1" s="350" t="s">
        <v>7</v>
      </c>
      <c r="J1" s="350"/>
      <c r="K1" s="19" t="s">
        <v>8</v>
      </c>
      <c r="L1" s="24" t="s">
        <v>14</v>
      </c>
      <c r="M1" s="24" t="s">
        <v>9</v>
      </c>
      <c r="N1" s="24" t="s">
        <v>10</v>
      </c>
      <c r="O1" s="26" t="s">
        <v>11</v>
      </c>
      <c r="P1" s="27" t="s">
        <v>12</v>
      </c>
      <c r="Q1" s="45"/>
      <c r="R1" s="46" t="s">
        <v>15</v>
      </c>
      <c r="S1" s="46" t="s">
        <v>16</v>
      </c>
      <c r="T1" s="46" t="s">
        <v>17</v>
      </c>
      <c r="U1" s="54" t="s">
        <v>18</v>
      </c>
      <c r="V1" s="70"/>
      <c r="W1" s="60" t="s">
        <v>30</v>
      </c>
      <c r="X1" s="58" t="s">
        <v>31</v>
      </c>
      <c r="Y1" s="58" t="s">
        <v>32</v>
      </c>
      <c r="Z1" s="61" t="s">
        <v>33</v>
      </c>
      <c r="AA1" s="61" t="s">
        <v>34</v>
      </c>
      <c r="AB1" s="61" t="s">
        <v>35</v>
      </c>
      <c r="AC1" s="61" t="s">
        <v>23</v>
      </c>
      <c r="AD1" s="61" t="s">
        <v>24</v>
      </c>
      <c r="AE1" s="62" t="s">
        <v>25</v>
      </c>
    </row>
    <row r="2" spans="1:32" ht="13.5" hidden="1" thickBot="1">
      <c r="A2" s="7"/>
      <c r="B2" s="1">
        <v>0</v>
      </c>
      <c r="C2" s="1">
        <v>0</v>
      </c>
      <c r="D2" s="1"/>
      <c r="E2" s="1"/>
      <c r="F2" s="1"/>
      <c r="G2" s="1"/>
      <c r="H2" s="1"/>
      <c r="I2" s="1"/>
      <c r="J2" s="1"/>
      <c r="K2" s="20"/>
      <c r="L2" s="1"/>
      <c r="M2" s="28">
        <v>6.4399999999999999E-2</v>
      </c>
      <c r="N2" s="29">
        <v>0.1057</v>
      </c>
      <c r="O2" s="28"/>
      <c r="P2" s="29"/>
      <c r="Q2" s="63"/>
      <c r="R2" s="40"/>
      <c r="S2" s="40"/>
      <c r="T2" s="40"/>
      <c r="U2" s="67"/>
      <c r="V2" s="71"/>
      <c r="W2" s="47"/>
      <c r="X2" s="41"/>
      <c r="Y2" s="41"/>
      <c r="Z2" s="41"/>
      <c r="AA2" s="41"/>
      <c r="AB2" s="41"/>
      <c r="AC2" s="41"/>
      <c r="AD2" s="41"/>
      <c r="AE2" s="48"/>
      <c r="AF2" s="42"/>
    </row>
    <row r="3" spans="1:32" ht="13.5" thickBot="1">
      <c r="A3" s="7">
        <v>38593</v>
      </c>
      <c r="B3" s="1">
        <v>163</v>
      </c>
      <c r="C3" s="1">
        <v>150</v>
      </c>
      <c r="D3" s="1">
        <f>B3</f>
        <v>163</v>
      </c>
      <c r="E3" s="1">
        <f>C3</f>
        <v>150</v>
      </c>
      <c r="F3" s="1">
        <f>D3+E3</f>
        <v>313</v>
      </c>
      <c r="G3" s="2">
        <v>31</v>
      </c>
      <c r="H3" s="3">
        <f>F3/G3</f>
        <v>10.096774193548388</v>
      </c>
      <c r="I3" s="4">
        <f>D3/F3</f>
        <v>0.52076677316293929</v>
      </c>
      <c r="J3" s="4">
        <f>E3/F3</f>
        <v>0.47923322683706071</v>
      </c>
      <c r="K3" s="21">
        <v>0</v>
      </c>
      <c r="L3" s="3">
        <f>$L$8/12</f>
        <v>8.7733333333333334</v>
      </c>
      <c r="M3" s="25">
        <f t="shared" ref="M3:M7" si="0">D3*$M$2</f>
        <v>10.497199999999999</v>
      </c>
      <c r="N3" s="25">
        <f>E3*$N$2</f>
        <v>15.855</v>
      </c>
      <c r="O3" s="30">
        <f>SUM(L3:N3)</f>
        <v>35.125533333333337</v>
      </c>
      <c r="P3" s="31">
        <f>O3</f>
        <v>35.125533333333337</v>
      </c>
      <c r="Q3" s="68" t="s">
        <v>28</v>
      </c>
      <c r="R3" s="64">
        <v>60.78</v>
      </c>
      <c r="S3" s="64">
        <v>189.09</v>
      </c>
      <c r="T3" s="64">
        <v>105.87</v>
      </c>
      <c r="U3" s="65">
        <v>163.31</v>
      </c>
      <c r="V3" t="s">
        <v>41</v>
      </c>
      <c r="W3" s="57">
        <f t="shared" ref="W3:W7" si="1">SUM(Z3:AB3)</f>
        <v>30</v>
      </c>
      <c r="X3" s="44" t="e">
        <f>#REF!/#REF!</f>
        <v>#REF!</v>
      </c>
      <c r="Y3" s="44" t="e">
        <f>#REF!/#REF!</f>
        <v>#REF!</v>
      </c>
      <c r="Z3" s="43">
        <v>5</v>
      </c>
      <c r="AA3" s="43">
        <v>4</v>
      </c>
      <c r="AB3" s="43">
        <v>21</v>
      </c>
      <c r="AC3" s="44" t="e">
        <f>((X3*#REF!)+(Y3*#REF!))*Z3</f>
        <v>#REF!</v>
      </c>
      <c r="AD3" s="44" t="e">
        <f>((X3*#REF!)+(Y3*#REF!))*AA3</f>
        <v>#REF!</v>
      </c>
      <c r="AE3" s="50" t="e">
        <f t="shared" ref="AE3:AE7" si="2">((X3*$AF$6)+(Y3*$AF$5))*AB3</f>
        <v>#REF!</v>
      </c>
      <c r="AF3" s="59" t="s">
        <v>19</v>
      </c>
    </row>
    <row r="4" spans="1:32">
      <c r="A4" s="7">
        <v>38624</v>
      </c>
      <c r="B4" s="1">
        <v>347</v>
      </c>
      <c r="C4" s="1">
        <v>295</v>
      </c>
      <c r="D4" s="1">
        <f>B4-B3</f>
        <v>184</v>
      </c>
      <c r="E4" s="1">
        <f>C4-C3</f>
        <v>145</v>
      </c>
      <c r="F4" s="1">
        <f t="shared" ref="F4:F7" si="3">D4+E4</f>
        <v>329</v>
      </c>
      <c r="G4" s="2">
        <f t="shared" ref="G4:G7" si="4">A4-A3</f>
        <v>31</v>
      </c>
      <c r="H4" s="3">
        <f>F4/G4</f>
        <v>10.612903225806452</v>
      </c>
      <c r="I4" s="4">
        <f>D4/F4</f>
        <v>0.55927051671732519</v>
      </c>
      <c r="J4" s="4">
        <f>E4/F4</f>
        <v>0.44072948328267475</v>
      </c>
      <c r="K4" s="22">
        <f>1/(F3/(F4-F3))</f>
        <v>5.1118210862619806E-2</v>
      </c>
      <c r="L4" s="3">
        <f>$L$8/12</f>
        <v>8.7733333333333334</v>
      </c>
      <c r="M4" s="25">
        <f t="shared" si="0"/>
        <v>11.849600000000001</v>
      </c>
      <c r="N4" s="25">
        <f t="shared" ref="N4:N7" si="5">E4*$N$2</f>
        <v>15.326500000000001</v>
      </c>
      <c r="O4" s="30">
        <f t="shared" ref="O4:O7" si="6">SUM(L4:N4)</f>
        <v>35.949433333333339</v>
      </c>
      <c r="P4" s="31">
        <f>P3+O4</f>
        <v>71.074966666666683</v>
      </c>
      <c r="Q4" s="51" t="s">
        <v>26</v>
      </c>
      <c r="R4" s="44">
        <f>N2*F8</f>
        <v>381.99979999999999</v>
      </c>
      <c r="S4" s="44">
        <f>N8</f>
        <v>202.52120000000002</v>
      </c>
      <c r="T4" s="44">
        <v>567.93119999999988</v>
      </c>
      <c r="U4" s="50"/>
      <c r="V4" t="s">
        <v>42</v>
      </c>
      <c r="W4" s="57">
        <f t="shared" si="1"/>
        <v>29</v>
      </c>
      <c r="X4" s="44" t="e">
        <f>#REF!/#REF!</f>
        <v>#REF!</v>
      </c>
      <c r="Y4" s="44" t="e">
        <f>#REF!/#REF!</f>
        <v>#REF!</v>
      </c>
      <c r="Z4" s="43">
        <v>4</v>
      </c>
      <c r="AA4" s="43">
        <v>4</v>
      </c>
      <c r="AB4" s="43">
        <v>21</v>
      </c>
      <c r="AC4" s="44" t="e">
        <f>((X4*#REF!)+(Y4*#REF!))*Z4</f>
        <v>#REF!</v>
      </c>
      <c r="AD4" s="44" t="e">
        <f>((X4*#REF!)+(Y4*#REF!))*AA4</f>
        <v>#REF!</v>
      </c>
      <c r="AE4" s="50" t="e">
        <f t="shared" si="2"/>
        <v>#REF!</v>
      </c>
      <c r="AF4" s="55">
        <f>SUM(AB3:AB7)</f>
        <v>122</v>
      </c>
    </row>
    <row r="5" spans="1:32">
      <c r="A5" s="7">
        <v>38654</v>
      </c>
      <c r="B5" s="1">
        <v>569</v>
      </c>
      <c r="C5" s="1">
        <v>441</v>
      </c>
      <c r="D5" s="1">
        <f>B5-B4</f>
        <v>222</v>
      </c>
      <c r="E5" s="1">
        <f>C5-C4</f>
        <v>146</v>
      </c>
      <c r="F5" s="1">
        <f t="shared" si="3"/>
        <v>368</v>
      </c>
      <c r="G5" s="2">
        <f t="shared" si="4"/>
        <v>30</v>
      </c>
      <c r="H5" s="3">
        <f t="shared" ref="H5:H7" si="7">F5/G5</f>
        <v>12.266666666666667</v>
      </c>
      <c r="I5" s="4">
        <f t="shared" ref="I5:I8" si="8">D5/F5</f>
        <v>0.60326086956521741</v>
      </c>
      <c r="J5" s="4">
        <f t="shared" ref="J5:J8" si="9">E5/F5</f>
        <v>0.39673913043478259</v>
      </c>
      <c r="K5" s="22">
        <f>1/(F4/(F5-F4))</f>
        <v>0.11854103343465046</v>
      </c>
      <c r="L5" s="3">
        <f>$L$8/12</f>
        <v>8.7733333333333334</v>
      </c>
      <c r="M5" s="25">
        <f t="shared" si="0"/>
        <v>14.296799999999999</v>
      </c>
      <c r="N5" s="25">
        <f t="shared" si="5"/>
        <v>15.4322</v>
      </c>
      <c r="O5" s="30">
        <f t="shared" si="6"/>
        <v>38.502333333333333</v>
      </c>
      <c r="P5" s="31">
        <f>P4+O5</f>
        <v>109.57730000000001</v>
      </c>
      <c r="Q5" s="49" t="s">
        <v>27</v>
      </c>
      <c r="R5" s="43"/>
      <c r="S5" s="44">
        <f>M8</f>
        <v>109.35119999999999</v>
      </c>
      <c r="T5" s="44">
        <v>301.49400000000003</v>
      </c>
      <c r="U5" s="50" t="e">
        <f>SUM(AC8:AE8)</f>
        <v>#REF!</v>
      </c>
      <c r="V5" t="s">
        <v>43</v>
      </c>
      <c r="W5" s="57">
        <f t="shared" si="1"/>
        <v>31</v>
      </c>
      <c r="X5" s="44" t="e">
        <f>#REF!/#REF!</f>
        <v>#REF!</v>
      </c>
      <c r="Y5" s="44" t="e">
        <f>#REF!/#REF!</f>
        <v>#REF!</v>
      </c>
      <c r="Z5" s="43"/>
      <c r="AA5" s="43">
        <v>4</v>
      </c>
      <c r="AB5" s="43">
        <v>27</v>
      </c>
      <c r="AC5" s="44" t="e">
        <f>((X5*#REF!)+(Y5*#REF!))*Z5</f>
        <v>#REF!</v>
      </c>
      <c r="AD5" s="44" t="e">
        <f>((X5*#REF!)+(Y5*#REF!))*AA5</f>
        <v>#REF!</v>
      </c>
      <c r="AE5" s="50" t="e">
        <f t="shared" si="2"/>
        <v>#REF!</v>
      </c>
      <c r="AF5" s="42">
        <v>5.6099999999999997E-2</v>
      </c>
    </row>
    <row r="6" spans="1:32" ht="13.5" thickBot="1">
      <c r="A6" s="7">
        <v>38685</v>
      </c>
      <c r="B6" s="1">
        <v>971</v>
      </c>
      <c r="C6" s="1">
        <v>875</v>
      </c>
      <c r="D6" s="17">
        <f>IF(B6-B5&lt;=0,0,B6-B5)</f>
        <v>402</v>
      </c>
      <c r="E6" s="17">
        <f>IF(C6-C5&lt;=0,0.00000001,C6-C5)</f>
        <v>434</v>
      </c>
      <c r="F6" s="17">
        <f>D6+E6</f>
        <v>836</v>
      </c>
      <c r="G6" s="2">
        <f t="shared" si="4"/>
        <v>31</v>
      </c>
      <c r="H6" s="3">
        <f t="shared" si="7"/>
        <v>26.967741935483872</v>
      </c>
      <c r="I6" s="4">
        <f t="shared" si="8"/>
        <v>0.48086124401913877</v>
      </c>
      <c r="J6" s="4">
        <f t="shared" si="9"/>
        <v>0.51913875598086123</v>
      </c>
      <c r="K6" s="22">
        <f>IF(D6=0,"",1/(F5/(F6-F5)))</f>
        <v>1.2717391304347827</v>
      </c>
      <c r="L6" s="3">
        <f>$L$8/12</f>
        <v>8.7733333333333334</v>
      </c>
      <c r="M6" s="25">
        <f t="shared" si="0"/>
        <v>25.8888</v>
      </c>
      <c r="N6" s="25">
        <f t="shared" si="5"/>
        <v>45.873800000000003</v>
      </c>
      <c r="O6" s="30">
        <f t="shared" si="6"/>
        <v>80.535933333333332</v>
      </c>
      <c r="P6" s="31">
        <f t="shared" ref="P6:P7" si="10">P5+O6</f>
        <v>190.11323333333334</v>
      </c>
      <c r="Q6" s="52" t="s">
        <v>29</v>
      </c>
      <c r="R6" s="53">
        <f>SUM(R3:R5)</f>
        <v>442.77980000000002</v>
      </c>
      <c r="S6" s="53">
        <f>SUM(S3:S5)</f>
        <v>500.96240000000006</v>
      </c>
      <c r="T6" s="53">
        <f>SUM(T3:T5)</f>
        <v>975.29519999999991</v>
      </c>
      <c r="U6" s="69" t="e">
        <f>SUM(U3:U5)</f>
        <v>#REF!</v>
      </c>
      <c r="V6" t="s">
        <v>38</v>
      </c>
      <c r="W6" s="57">
        <f t="shared" si="1"/>
        <v>30</v>
      </c>
      <c r="X6" s="44" t="e">
        <f>#REF!/#REF!</f>
        <v>#REF!</v>
      </c>
      <c r="Y6" s="44" t="e">
        <f>#REF!/#REF!</f>
        <v>#REF!</v>
      </c>
      <c r="Z6" s="43"/>
      <c r="AA6" s="43">
        <v>4</v>
      </c>
      <c r="AB6" s="43">
        <v>26</v>
      </c>
      <c r="AC6" s="44" t="e">
        <f>((X6*#REF!)+(Y6*#REF!))*Z6</f>
        <v>#REF!</v>
      </c>
      <c r="AD6" s="44" t="e">
        <f>((X6*#REF!)+(Y6*#REF!))*AA6</f>
        <v>#REF!</v>
      </c>
      <c r="AE6" s="50" t="e">
        <f t="shared" si="2"/>
        <v>#REF!</v>
      </c>
      <c r="AF6" s="56">
        <v>4.5199999999999997E-2</v>
      </c>
    </row>
    <row r="7" spans="1:32" ht="13.5" thickBot="1">
      <c r="A7" s="7">
        <v>38715</v>
      </c>
      <c r="B7" s="1">
        <v>1698</v>
      </c>
      <c r="C7" s="1">
        <v>1916</v>
      </c>
      <c r="D7" s="17">
        <f t="shared" ref="D7" si="11">IF(B7-B6&lt;=0,0,B7-B6)</f>
        <v>727</v>
      </c>
      <c r="E7" s="17">
        <f t="shared" ref="E7" si="12">IF(C7-C6&lt;=0,0.00000001,C7-C6)</f>
        <v>1041</v>
      </c>
      <c r="F7" s="17">
        <f t="shared" si="3"/>
        <v>1768</v>
      </c>
      <c r="G7" s="2">
        <f t="shared" si="4"/>
        <v>30</v>
      </c>
      <c r="H7" s="3">
        <f t="shared" si="7"/>
        <v>58.93333333333333</v>
      </c>
      <c r="I7" s="4">
        <f t="shared" si="8"/>
        <v>0.41119909502262442</v>
      </c>
      <c r="J7" s="4">
        <f t="shared" si="9"/>
        <v>0.58880090497737558</v>
      </c>
      <c r="K7" s="22">
        <f t="shared" ref="K7" si="13">IF(D7=0,"",1/(F6/(F7-F6)))</f>
        <v>1.1148325358851674</v>
      </c>
      <c r="L7" s="3">
        <f>$L$8/12</f>
        <v>8.7733333333333334</v>
      </c>
      <c r="M7" s="25">
        <f t="shared" si="0"/>
        <v>46.818799999999996</v>
      </c>
      <c r="N7" s="25">
        <f t="shared" si="5"/>
        <v>110.0337</v>
      </c>
      <c r="O7" s="30">
        <f t="shared" si="6"/>
        <v>165.62583333333333</v>
      </c>
      <c r="P7" s="31">
        <f t="shared" si="10"/>
        <v>355.73906666666664</v>
      </c>
      <c r="R7" s="32"/>
      <c r="S7" s="32"/>
      <c r="T7" s="32"/>
      <c r="V7" t="s">
        <v>39</v>
      </c>
      <c r="W7" s="57">
        <f t="shared" si="1"/>
        <v>31</v>
      </c>
      <c r="X7" s="44" t="e">
        <f>#REF!/#REF!</f>
        <v>#REF!</v>
      </c>
      <c r="Y7" s="44" t="e">
        <f>#REF!/#REF!</f>
        <v>#REF!</v>
      </c>
      <c r="Z7" s="43"/>
      <c r="AA7" s="43">
        <v>4</v>
      </c>
      <c r="AB7" s="43">
        <v>27</v>
      </c>
      <c r="AC7" s="44" t="e">
        <f>((X7*#REF!)+(Y7*#REF!))*Z7</f>
        <v>#REF!</v>
      </c>
      <c r="AD7" s="44" t="e">
        <f>((X7*#REF!)+(Y7*#REF!))*AA7</f>
        <v>#REF!</v>
      </c>
      <c r="AE7" s="50" t="e">
        <f t="shared" si="2"/>
        <v>#REF!</v>
      </c>
      <c r="AF7" s="59" t="s">
        <v>20</v>
      </c>
    </row>
    <row r="8" spans="1:32" ht="17.25" thickTop="1" thickBot="1">
      <c r="A8" s="10" t="s">
        <v>0</v>
      </c>
      <c r="B8" s="11"/>
      <c r="C8" s="18">
        <f>D8+E8</f>
        <v>3614</v>
      </c>
      <c r="D8" s="13">
        <f>SUM(D3:D7)</f>
        <v>1698</v>
      </c>
      <c r="E8" s="18">
        <f>SUM(E3:E7)</f>
        <v>1916</v>
      </c>
      <c r="F8" s="13">
        <f>SUM(F3:F7)</f>
        <v>3614</v>
      </c>
      <c r="G8" s="14"/>
      <c r="H8" s="15">
        <f>AVERAGE(H3:H7)</f>
        <v>23.77548387096774</v>
      </c>
      <c r="I8" s="16">
        <f t="shared" si="8"/>
        <v>0.46983951300498061</v>
      </c>
      <c r="J8" s="16">
        <f t="shared" si="9"/>
        <v>0.53016048699501939</v>
      </c>
      <c r="K8" s="23"/>
      <c r="L8" s="15">
        <v>105.28</v>
      </c>
      <c r="M8" s="15">
        <f>SUM(M3:M7)</f>
        <v>109.35119999999999</v>
      </c>
      <c r="N8" s="15">
        <f>SUM(N3:N7)</f>
        <v>202.52120000000002</v>
      </c>
      <c r="O8" s="351">
        <f>SUM(L8:N8)</f>
        <v>417.1524</v>
      </c>
      <c r="P8" s="352"/>
      <c r="Q8" s="34"/>
      <c r="X8" s="32"/>
      <c r="Y8" s="32"/>
      <c r="AC8" s="32" t="e">
        <f>SUM(AC3:AC7)</f>
        <v>#REF!</v>
      </c>
      <c r="AD8" s="32" t="e">
        <f>SUM(AD3:AD7)</f>
        <v>#REF!</v>
      </c>
      <c r="AE8" s="32" t="e">
        <f>SUM(AE3:AE7)</f>
        <v>#REF!</v>
      </c>
    </row>
    <row r="19" spans="1:21">
      <c r="J19" s="12"/>
    </row>
    <row r="27" spans="1:21" ht="13.5" thickBot="1"/>
    <row r="28" spans="1:21">
      <c r="C28" s="76" t="s">
        <v>58</v>
      </c>
      <c r="D28" s="77" t="s">
        <v>56</v>
      </c>
      <c r="E28" s="78" t="s">
        <v>57</v>
      </c>
    </row>
    <row r="29" spans="1:21">
      <c r="A29" t="s">
        <v>53</v>
      </c>
      <c r="C29" s="82" t="e">
        <f>D29+E29</f>
        <v>#REF!</v>
      </c>
      <c r="D29" s="82" t="e">
        <f>AVERAGE(D3,D4,#REF!,#REF!,D5,#REF!)*12</f>
        <v>#REF!</v>
      </c>
      <c r="E29" s="82" t="e">
        <f>AVERAGE(E3,E4,#REF!,#REF!,E5,#REF!)*12</f>
        <v>#REF!</v>
      </c>
    </row>
    <row r="30" spans="1:21">
      <c r="A30" t="s">
        <v>54</v>
      </c>
      <c r="C30" s="82" t="e">
        <f>D30+E30</f>
        <v>#REF!</v>
      </c>
      <c r="D30" s="82" t="e">
        <f>D8-D29</f>
        <v>#REF!</v>
      </c>
      <c r="E30" s="82" t="e">
        <f>E8-E29</f>
        <v>#REF!</v>
      </c>
      <c r="G30" t="e">
        <f>E30*N2</f>
        <v>#REF!</v>
      </c>
    </row>
    <row r="31" spans="1:21" ht="13.5" thickBot="1">
      <c r="C31" s="79" t="e">
        <f>D31+E31</f>
        <v>#REF!</v>
      </c>
      <c r="D31" s="80" t="e">
        <f>D30*M2</f>
        <v>#REF!</v>
      </c>
      <c r="E31" s="81" t="e">
        <f>E30*N2</f>
        <v>#REF!</v>
      </c>
      <c r="H31" s="349"/>
      <c r="I31" s="349"/>
      <c r="J31" s="349"/>
      <c r="K31" s="349"/>
      <c r="M31" s="75"/>
      <c r="N31" s="353"/>
      <c r="O31" s="353"/>
      <c r="U31" s="123"/>
    </row>
    <row r="32" spans="1:21">
      <c r="H32" s="349"/>
      <c r="I32" s="349"/>
      <c r="M32" s="32"/>
      <c r="N32" s="32"/>
      <c r="O32" s="348"/>
      <c r="P32" s="348"/>
    </row>
    <row r="33" spans="13:16">
      <c r="M33" s="32"/>
      <c r="N33" s="32"/>
      <c r="O33" s="348"/>
      <c r="P33" s="348"/>
    </row>
    <row r="34" spans="13:16">
      <c r="M34" s="32"/>
      <c r="N34" s="32"/>
      <c r="O34" s="348"/>
      <c r="P34" s="348"/>
    </row>
    <row r="35" spans="13:16">
      <c r="M35" s="32"/>
      <c r="N35" s="32"/>
      <c r="O35" s="348"/>
      <c r="P35" s="348"/>
    </row>
    <row r="36" spans="13:16">
      <c r="M36" s="32"/>
      <c r="N36" s="32"/>
      <c r="O36" s="348"/>
      <c r="P36" s="348"/>
    </row>
    <row r="37" spans="13:16">
      <c r="M37" s="32"/>
      <c r="N37" s="32"/>
      <c r="O37" s="348"/>
      <c r="P37" s="348"/>
    </row>
    <row r="38" spans="13:16">
      <c r="M38" s="32"/>
      <c r="N38" s="32"/>
      <c r="O38" s="348"/>
      <c r="P38" s="348"/>
    </row>
    <row r="39" spans="13:16">
      <c r="M39" s="32"/>
      <c r="N39" s="32"/>
      <c r="O39" s="348"/>
      <c r="P39" s="348"/>
    </row>
    <row r="40" spans="13:16">
      <c r="M40" s="32"/>
      <c r="N40" s="32"/>
      <c r="O40" s="348"/>
      <c r="P40" s="348"/>
    </row>
    <row r="41" spans="13:16">
      <c r="M41" s="32"/>
      <c r="N41" s="32"/>
      <c r="O41" s="348"/>
      <c r="P41" s="348"/>
    </row>
    <row r="42" spans="13:16">
      <c r="M42" s="32"/>
      <c r="N42" s="32"/>
      <c r="O42" s="348"/>
      <c r="P42" s="348"/>
    </row>
    <row r="43" spans="13:16">
      <c r="M43" s="32"/>
      <c r="N43" s="32"/>
      <c r="O43" s="348"/>
      <c r="P43" s="348"/>
    </row>
    <row r="44" spans="13:16">
      <c r="M44" s="32"/>
      <c r="N44" s="32"/>
      <c r="O44" s="348"/>
      <c r="P44" s="348"/>
    </row>
    <row r="45" spans="13:16">
      <c r="M45" s="32"/>
      <c r="N45" s="32"/>
      <c r="O45" s="348"/>
      <c r="P45" s="348"/>
    </row>
    <row r="46" spans="13:16">
      <c r="M46" s="32"/>
      <c r="N46" s="32"/>
      <c r="O46" s="348"/>
      <c r="P46" s="348"/>
    </row>
    <row r="47" spans="13:16">
      <c r="M47" s="32"/>
      <c r="N47" s="32"/>
      <c r="O47" s="348"/>
      <c r="P47" s="348"/>
    </row>
    <row r="48" spans="13:16">
      <c r="M48" s="32"/>
      <c r="N48" s="32"/>
      <c r="O48" s="348"/>
      <c r="P48" s="348"/>
    </row>
    <row r="49" spans="13:16">
      <c r="M49" s="32"/>
      <c r="N49" s="32"/>
      <c r="O49" s="348"/>
      <c r="P49" s="348"/>
    </row>
    <row r="50" spans="13:16">
      <c r="M50" s="32"/>
      <c r="N50" s="32"/>
      <c r="O50" s="348"/>
      <c r="P50" s="348"/>
    </row>
    <row r="51" spans="13:16">
      <c r="M51" s="32"/>
      <c r="N51" s="32"/>
      <c r="O51" s="348"/>
      <c r="P51" s="348"/>
    </row>
    <row r="52" spans="13:16">
      <c r="M52" s="32"/>
      <c r="N52" s="32"/>
      <c r="O52" s="348"/>
      <c r="P52" s="348"/>
    </row>
    <row r="53" spans="13:16">
      <c r="M53" s="32"/>
      <c r="N53" s="32"/>
      <c r="O53" s="348"/>
      <c r="P53" s="348"/>
    </row>
  </sheetData>
  <mergeCells count="28">
    <mergeCell ref="I1:J1"/>
    <mergeCell ref="O8:P8"/>
    <mergeCell ref="H31:I31"/>
    <mergeCell ref="J31:K31"/>
    <mergeCell ref="N31:O31"/>
    <mergeCell ref="H32:I32"/>
    <mergeCell ref="O32:P32"/>
    <mergeCell ref="O33:P33"/>
    <mergeCell ref="O34:P34"/>
    <mergeCell ref="O35:P35"/>
    <mergeCell ref="O36:P36"/>
    <mergeCell ref="O37:P37"/>
    <mergeCell ref="O38:P38"/>
    <mergeCell ref="O39:P39"/>
    <mergeCell ref="O40:P40"/>
    <mergeCell ref="O41:P41"/>
    <mergeCell ref="O42:P42"/>
    <mergeCell ref="O43:P43"/>
    <mergeCell ref="O44:P44"/>
    <mergeCell ref="O45:P45"/>
    <mergeCell ref="O51:P51"/>
    <mergeCell ref="O52:P52"/>
    <mergeCell ref="O53:P53"/>
    <mergeCell ref="O46:P46"/>
    <mergeCell ref="O47:P47"/>
    <mergeCell ref="O48:P48"/>
    <mergeCell ref="O49:P49"/>
    <mergeCell ref="O50:P50"/>
  </mergeCells>
  <phoneticPr fontId="0" type="noConversion"/>
  <pageMargins left="0.78740157499999996" right="0.78740157499999996" top="0.984251969" bottom="0.984251969" header="0.4921259845" footer="0.4921259845"/>
  <pageSetup paperSize="9" scale="90" orientation="landscape" horizontalDpi="360" verticalDpi="36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B52"/>
  <sheetViews>
    <sheetView workbookViewId="0">
      <selection activeCell="T16" sqref="T16"/>
    </sheetView>
  </sheetViews>
  <sheetFormatPr baseColWidth="10" defaultColWidth="11.42578125" defaultRowHeight="12.75"/>
  <cols>
    <col min="1" max="1" width="10.28515625" customWidth="1"/>
    <col min="2" max="2" width="9.140625" customWidth="1"/>
    <col min="3" max="3" width="9.28515625" customWidth="1"/>
    <col min="4" max="4" width="10.42578125" customWidth="1"/>
    <col min="5" max="5" width="10.7109375" customWidth="1"/>
    <col min="6" max="7" width="6.140625" bestFit="1" customWidth="1"/>
    <col min="8" max="8" width="7.7109375" customWidth="1"/>
    <col min="9" max="9" width="6.140625" hidden="1" customWidth="1"/>
    <col min="10" max="10" width="7.7109375" customWidth="1"/>
    <col min="11" max="11" width="8.42578125" customWidth="1"/>
    <col min="12" max="12" width="8.140625" customWidth="1"/>
    <col min="13" max="13" width="10.140625" customWidth="1"/>
    <col min="14" max="14" width="8.7109375" customWidth="1"/>
    <col min="15" max="15" width="6.5703125" customWidth="1"/>
    <col min="16" max="17" width="7.85546875" customWidth="1"/>
    <col min="18" max="18" width="8.85546875" customWidth="1"/>
    <col min="19" max="19" width="7.5703125" bestFit="1" customWidth="1"/>
    <col min="20" max="22" width="9.28515625" bestFit="1" customWidth="1"/>
    <col min="23" max="23" width="10.140625" bestFit="1" customWidth="1"/>
    <col min="24" max="24" width="9.85546875" bestFit="1" customWidth="1"/>
  </cols>
  <sheetData>
    <row r="1" spans="1:28" ht="38.25" customHeight="1">
      <c r="A1" s="5" t="s">
        <v>1</v>
      </c>
      <c r="B1" s="168" t="s">
        <v>2</v>
      </c>
      <c r="C1" s="168" t="s">
        <v>3</v>
      </c>
      <c r="D1" s="168" t="s">
        <v>4</v>
      </c>
      <c r="E1" s="168" t="s">
        <v>5</v>
      </c>
      <c r="F1" s="168" t="s">
        <v>21</v>
      </c>
      <c r="G1" s="168" t="s">
        <v>22</v>
      </c>
      <c r="H1" s="168" t="s">
        <v>13</v>
      </c>
      <c r="I1" s="168"/>
      <c r="J1" s="168" t="s">
        <v>37</v>
      </c>
      <c r="K1" s="350" t="s">
        <v>7</v>
      </c>
      <c r="L1" s="350"/>
      <c r="M1" s="19" t="s">
        <v>8</v>
      </c>
      <c r="N1" s="19" t="s">
        <v>36</v>
      </c>
      <c r="O1" s="24" t="s">
        <v>14</v>
      </c>
      <c r="P1" s="24" t="s">
        <v>9</v>
      </c>
      <c r="Q1" s="24" t="s">
        <v>10</v>
      </c>
      <c r="R1" s="26" t="s">
        <v>11</v>
      </c>
      <c r="S1" s="27" t="s">
        <v>12</v>
      </c>
      <c r="T1" s="33" t="s">
        <v>61</v>
      </c>
      <c r="U1" s="33" t="s">
        <v>63</v>
      </c>
      <c r="V1" s="33" t="s">
        <v>62</v>
      </c>
      <c r="Z1" s="152" t="s">
        <v>88</v>
      </c>
      <c r="AA1" s="152" t="s">
        <v>89</v>
      </c>
    </row>
    <row r="2" spans="1:28" hidden="1">
      <c r="A2" s="7">
        <v>38715</v>
      </c>
      <c r="B2" s="1">
        <v>1698</v>
      </c>
      <c r="C2" s="1">
        <v>1916</v>
      </c>
      <c r="D2" s="73">
        <f ca="1">TODAY()</f>
        <v>41254</v>
      </c>
      <c r="E2" s="1"/>
      <c r="F2" s="1"/>
      <c r="G2" s="1"/>
      <c r="H2" s="1"/>
      <c r="I2" s="1"/>
      <c r="J2" s="1"/>
      <c r="K2" s="1"/>
      <c r="L2" s="1"/>
      <c r="M2" s="20"/>
      <c r="N2" s="20"/>
      <c r="O2" s="3"/>
      <c r="P2" s="28">
        <v>6.4399999999999999E-2</v>
      </c>
      <c r="Q2" s="29">
        <v>0.1057</v>
      </c>
      <c r="R2" s="1"/>
      <c r="S2" s="1"/>
    </row>
    <row r="3" spans="1:28" ht="13.5" thickBot="1">
      <c r="A3" s="7">
        <v>38746</v>
      </c>
      <c r="B3" s="1">
        <v>2373</v>
      </c>
      <c r="C3" s="1">
        <v>2769</v>
      </c>
      <c r="D3" s="17">
        <f>IF(B3-B2&lt;=0,0,B3-B2)</f>
        <v>675</v>
      </c>
      <c r="E3" s="17">
        <f t="shared" ref="E3:E14" si="0">IF(C3-C2&lt;=0,0.00000001,C3-C2)</f>
        <v>853</v>
      </c>
      <c r="F3" s="17"/>
      <c r="G3" s="17"/>
      <c r="H3" s="17">
        <f>D3+E3</f>
        <v>1528</v>
      </c>
      <c r="I3" s="2">
        <f ca="1">IF(A3&gt;$D$2,$D$2-A2,A3-A2)</f>
        <v>31</v>
      </c>
      <c r="J3" s="3">
        <f ca="1">H3/I3</f>
        <v>49.29032258064516</v>
      </c>
      <c r="K3" s="36">
        <f t="shared" ref="K3:K14" si="1">D3/H3</f>
        <v>0.44175392670157065</v>
      </c>
      <c r="L3" s="36">
        <f t="shared" ref="L3:L14" si="2">E3/H3</f>
        <v>0.55824607329842935</v>
      </c>
      <c r="M3" s="37"/>
      <c r="N3" s="37"/>
      <c r="O3" s="3">
        <f>$T$4/12</f>
        <v>8.7733333333333334</v>
      </c>
      <c r="P3" s="3">
        <f>D3*$U$4</f>
        <v>52.92</v>
      </c>
      <c r="Q3" s="3">
        <f>E3*$V$4</f>
        <v>105.3455</v>
      </c>
      <c r="R3" s="30">
        <f>SUM(O3:Q3)</f>
        <v>167.03883333333334</v>
      </c>
      <c r="S3" s="31">
        <f>R3</f>
        <v>167.03883333333334</v>
      </c>
      <c r="T3" s="96">
        <f>(T6-T4)/T4</f>
        <v>0</v>
      </c>
      <c r="U3" s="96">
        <f>(U6-U4)/U4</f>
        <v>0.11607142857142853</v>
      </c>
      <c r="V3" s="96">
        <f>(V6-V4)/V4</f>
        <v>4.6963562753036432E-2</v>
      </c>
      <c r="Y3" s="91">
        <v>40404</v>
      </c>
      <c r="Z3" s="147">
        <v>47.1</v>
      </c>
      <c r="AA3" s="147"/>
    </row>
    <row r="4" spans="1:28" ht="14.25" thickTop="1" thickBot="1">
      <c r="A4" s="7">
        <v>38776</v>
      </c>
      <c r="B4" s="35">
        <v>3074</v>
      </c>
      <c r="C4" s="35">
        <v>3717</v>
      </c>
      <c r="D4" s="17">
        <f>IF(B4-B3&lt;=0,0,B4-B3)</f>
        <v>701</v>
      </c>
      <c r="E4" s="17">
        <f t="shared" si="0"/>
        <v>948</v>
      </c>
      <c r="F4" s="158"/>
      <c r="G4" s="158"/>
      <c r="H4" s="17">
        <f t="shared" ref="H4:H14" si="3">D4+E4</f>
        <v>1649</v>
      </c>
      <c r="I4" s="2">
        <f ca="1">IF(A4&gt;$D$2,$D$2-A3,A4-A3)</f>
        <v>30</v>
      </c>
      <c r="J4" s="3">
        <f ca="1">H4/(I4+I3)</f>
        <v>27.032786885245901</v>
      </c>
      <c r="K4" s="36">
        <f t="shared" si="1"/>
        <v>0.42510612492419647</v>
      </c>
      <c r="L4" s="36">
        <f t="shared" si="2"/>
        <v>0.57489387507580347</v>
      </c>
      <c r="M4" s="37">
        <f>IF(D4=0,"",1/(H3/(H4-H3)))</f>
        <v>7.9188481675392663E-2</v>
      </c>
      <c r="N4" s="37"/>
      <c r="O4" s="3">
        <f>$T$5/12</f>
        <v>8.7733333333333334</v>
      </c>
      <c r="P4" s="3">
        <f>D4*$U$5</f>
        <v>60.566400000000002</v>
      </c>
      <c r="Q4" s="3">
        <f>E4*$V$5</f>
        <v>120.87</v>
      </c>
      <c r="R4" s="30">
        <f>SUM(O4:Q4)</f>
        <v>190.20973333333333</v>
      </c>
      <c r="S4" s="31">
        <f t="shared" ref="S4:S14" si="4">S3+R4</f>
        <v>357.24856666666665</v>
      </c>
      <c r="T4" s="173">
        <v>105.28</v>
      </c>
      <c r="U4" s="149">
        <v>7.8399999999999997E-2</v>
      </c>
      <c r="V4" s="149">
        <v>0.1235</v>
      </c>
      <c r="W4" s="122">
        <v>40405</v>
      </c>
      <c r="Y4" s="91">
        <v>40431</v>
      </c>
      <c r="Z4" s="147">
        <v>46</v>
      </c>
      <c r="AA4" s="147"/>
      <c r="AB4" s="153">
        <f>Y4-Y3</f>
        <v>27</v>
      </c>
    </row>
    <row r="5" spans="1:28" ht="14.25" thickTop="1" thickBot="1">
      <c r="A5" s="7">
        <v>38805</v>
      </c>
      <c r="B5" s="35">
        <v>3725</v>
      </c>
      <c r="C5" s="35">
        <v>4641</v>
      </c>
      <c r="D5" s="17">
        <f>IF(B5-B4&lt;=0,0,B5-B4)</f>
        <v>651</v>
      </c>
      <c r="E5" s="17">
        <f t="shared" si="0"/>
        <v>924</v>
      </c>
      <c r="F5" s="158"/>
      <c r="G5" s="158"/>
      <c r="H5" s="17">
        <f t="shared" si="3"/>
        <v>1575</v>
      </c>
      <c r="I5" s="2">
        <f ca="1">IF(A5&gt;$D$2,$D$2-A4,A5-A4)</f>
        <v>29</v>
      </c>
      <c r="J5" s="3">
        <f ca="1">H5/(I5+I4)</f>
        <v>26.694915254237287</v>
      </c>
      <c r="K5" s="36">
        <f t="shared" si="1"/>
        <v>0.41333333333333333</v>
      </c>
      <c r="L5" s="36">
        <f t="shared" si="2"/>
        <v>0.58666666666666667</v>
      </c>
      <c r="M5" s="37">
        <f t="shared" ref="M5:M14" si="5">IF(D5=0,"",1/(H4/(H5-H4)))</f>
        <v>-4.4875682231655549E-2</v>
      </c>
      <c r="N5" s="37"/>
      <c r="O5" s="3">
        <f t="shared" ref="O5:O8" si="6">$T$5/12</f>
        <v>8.7733333333333334</v>
      </c>
      <c r="P5" s="3">
        <f>D5*$U$5</f>
        <v>56.246400000000001</v>
      </c>
      <c r="Q5" s="3">
        <f>E5*$V$5</f>
        <v>117.81</v>
      </c>
      <c r="R5" s="30">
        <f>SUM(O5:Q5)</f>
        <v>182.82973333333334</v>
      </c>
      <c r="S5" s="31">
        <f t="shared" si="4"/>
        <v>540.07830000000001</v>
      </c>
      <c r="T5" s="173">
        <v>105.28</v>
      </c>
      <c r="U5" s="149">
        <v>8.6400000000000005E-2</v>
      </c>
      <c r="V5" s="149">
        <v>0.1275</v>
      </c>
      <c r="W5" s="122">
        <v>40575</v>
      </c>
      <c r="Y5" s="91">
        <v>40449</v>
      </c>
      <c r="Z5" s="147">
        <v>48</v>
      </c>
      <c r="AA5" s="147"/>
      <c r="AB5" s="153">
        <f>Y5-Y4</f>
        <v>18</v>
      </c>
    </row>
    <row r="6" spans="1:28" ht="14.25" thickTop="1" thickBot="1">
      <c r="A6" s="7">
        <v>38836</v>
      </c>
      <c r="B6" s="35">
        <v>4073</v>
      </c>
      <c r="C6" s="35">
        <v>4871</v>
      </c>
      <c r="D6" s="17">
        <f t="shared" ref="D6:D14" si="7">IF(B6-B5&lt;=0,0,B6-B5)</f>
        <v>348</v>
      </c>
      <c r="E6" s="17">
        <f t="shared" si="0"/>
        <v>230</v>
      </c>
      <c r="F6" s="158"/>
      <c r="G6" s="158"/>
      <c r="H6" s="17">
        <f t="shared" si="3"/>
        <v>578</v>
      </c>
      <c r="I6" s="2">
        <f t="shared" ref="I6:I14" ca="1" si="8">IF($D$2&gt;A5,IF($D$2&gt;A6,A6-A5,$D$2-A5),1)</f>
        <v>31</v>
      </c>
      <c r="J6" s="3">
        <f t="shared" ref="J6:J14" ca="1" si="9">H6/I6</f>
        <v>18.64516129032258</v>
      </c>
      <c r="K6" s="36">
        <f t="shared" si="1"/>
        <v>0.60207612456747406</v>
      </c>
      <c r="L6" s="36">
        <f t="shared" si="2"/>
        <v>0.39792387543252594</v>
      </c>
      <c r="M6" s="37">
        <f t="shared" si="5"/>
        <v>-0.63301587301587303</v>
      </c>
      <c r="N6" s="37"/>
      <c r="O6" s="3">
        <f t="shared" si="6"/>
        <v>8.7733333333333334</v>
      </c>
      <c r="P6" s="3">
        <f>D6*$U$5</f>
        <v>30.067200000000003</v>
      </c>
      <c r="Q6" s="3">
        <f>E6*$V$5</f>
        <v>29.324999999999999</v>
      </c>
      <c r="R6" s="30">
        <f t="shared" ref="R6:R14" si="10">SUM(O6:Q6)</f>
        <v>68.165533333333343</v>
      </c>
      <c r="S6" s="31">
        <f t="shared" si="4"/>
        <v>608.24383333333333</v>
      </c>
      <c r="T6" s="173">
        <v>105.28</v>
      </c>
      <c r="U6" s="162">
        <v>8.7499999999999994E-2</v>
      </c>
      <c r="V6" s="162">
        <v>0.1293</v>
      </c>
      <c r="W6" s="122">
        <v>40725</v>
      </c>
      <c r="Y6" s="91">
        <v>40455</v>
      </c>
      <c r="Z6" s="147">
        <v>40</v>
      </c>
      <c r="AA6" s="147"/>
      <c r="AB6" s="153">
        <f>Y6-Y5</f>
        <v>6</v>
      </c>
    </row>
    <row r="7" spans="1:28">
      <c r="A7" s="7">
        <v>38866</v>
      </c>
      <c r="B7" s="35">
        <v>4274</v>
      </c>
      <c r="C7" s="35">
        <v>5000</v>
      </c>
      <c r="D7" s="17">
        <f t="shared" si="7"/>
        <v>201</v>
      </c>
      <c r="E7" s="17">
        <f t="shared" si="0"/>
        <v>129</v>
      </c>
      <c r="F7" s="158"/>
      <c r="G7" s="158"/>
      <c r="H7" s="17">
        <f t="shared" si="3"/>
        <v>330</v>
      </c>
      <c r="I7" s="2">
        <f t="shared" ca="1" si="8"/>
        <v>30</v>
      </c>
      <c r="J7" s="3">
        <f t="shared" ca="1" si="9"/>
        <v>11</v>
      </c>
      <c r="K7" s="36">
        <f t="shared" si="1"/>
        <v>0.60909090909090913</v>
      </c>
      <c r="L7" s="36">
        <f t="shared" si="2"/>
        <v>0.39090909090909093</v>
      </c>
      <c r="M7" s="37">
        <f t="shared" si="5"/>
        <v>-0.4290657439446367</v>
      </c>
      <c r="N7" s="37"/>
      <c r="O7" s="3">
        <f t="shared" si="6"/>
        <v>8.7733333333333334</v>
      </c>
      <c r="P7" s="3">
        <f>D7*$U$5</f>
        <v>17.366400000000002</v>
      </c>
      <c r="Q7" s="3">
        <f>E7*$V$5</f>
        <v>16.447500000000002</v>
      </c>
      <c r="R7" s="30">
        <f t="shared" si="10"/>
        <v>42.587233333333337</v>
      </c>
      <c r="S7" s="31">
        <f t="shared" si="4"/>
        <v>650.83106666666663</v>
      </c>
      <c r="Y7" s="91">
        <v>40465</v>
      </c>
      <c r="Z7" s="147">
        <v>33</v>
      </c>
      <c r="AA7" s="147"/>
      <c r="AB7" s="153">
        <f t="shared" ref="AB7:AB12" si="11">Y7-Y6</f>
        <v>10</v>
      </c>
    </row>
    <row r="8" spans="1:28">
      <c r="A8" s="7">
        <v>38897</v>
      </c>
      <c r="B8" s="35">
        <v>4457</v>
      </c>
      <c r="C8" s="35">
        <v>5141</v>
      </c>
      <c r="D8" s="17">
        <f t="shared" si="7"/>
        <v>183</v>
      </c>
      <c r="E8" s="17">
        <f t="shared" si="0"/>
        <v>141</v>
      </c>
      <c r="F8" s="158"/>
      <c r="G8" s="158"/>
      <c r="H8" s="17">
        <f t="shared" si="3"/>
        <v>324</v>
      </c>
      <c r="I8" s="2">
        <f t="shared" ca="1" si="8"/>
        <v>31</v>
      </c>
      <c r="J8" s="3">
        <f t="shared" ca="1" si="9"/>
        <v>10.451612903225806</v>
      </c>
      <c r="K8" s="36">
        <f t="shared" si="1"/>
        <v>0.56481481481481477</v>
      </c>
      <c r="L8" s="36">
        <f t="shared" si="2"/>
        <v>0.43518518518518517</v>
      </c>
      <c r="M8" s="37">
        <f t="shared" si="5"/>
        <v>-1.8181818181818181E-2</v>
      </c>
      <c r="N8" s="37"/>
      <c r="O8" s="3">
        <f t="shared" si="6"/>
        <v>8.7733333333333334</v>
      </c>
      <c r="P8" s="3">
        <f>D8*$U$5</f>
        <v>15.811200000000001</v>
      </c>
      <c r="Q8" s="3">
        <f>E8*$V$5</f>
        <v>17.977499999999999</v>
      </c>
      <c r="R8" s="30">
        <f t="shared" si="10"/>
        <v>42.562033333333332</v>
      </c>
      <c r="S8" s="31">
        <f t="shared" si="4"/>
        <v>693.3931</v>
      </c>
      <c r="Y8" s="91">
        <v>40484</v>
      </c>
      <c r="Z8" s="147">
        <v>50</v>
      </c>
      <c r="AA8" s="147"/>
      <c r="AB8" s="153">
        <f t="shared" si="11"/>
        <v>19</v>
      </c>
    </row>
    <row r="9" spans="1:28">
      <c r="A9" s="8">
        <v>38927</v>
      </c>
      <c r="B9" s="35">
        <v>4610</v>
      </c>
      <c r="C9" s="35">
        <v>5288</v>
      </c>
      <c r="D9" s="17">
        <f t="shared" si="7"/>
        <v>153</v>
      </c>
      <c r="E9" s="17">
        <f t="shared" si="0"/>
        <v>147</v>
      </c>
      <c r="F9" s="158"/>
      <c r="G9" s="158"/>
      <c r="H9" s="17">
        <f t="shared" si="3"/>
        <v>300</v>
      </c>
      <c r="I9" s="2">
        <f t="shared" ca="1" si="8"/>
        <v>30</v>
      </c>
      <c r="J9" s="3">
        <f t="shared" ca="1" si="9"/>
        <v>10</v>
      </c>
      <c r="K9" s="36">
        <f t="shared" si="1"/>
        <v>0.51</v>
      </c>
      <c r="L9" s="36">
        <f t="shared" si="2"/>
        <v>0.49</v>
      </c>
      <c r="M9" s="37">
        <f t="shared" si="5"/>
        <v>-7.407407407407407E-2</v>
      </c>
      <c r="N9" s="37"/>
      <c r="O9" s="3">
        <f>$T$6/12</f>
        <v>8.7733333333333334</v>
      </c>
      <c r="P9" s="3">
        <f t="shared" ref="P9:P14" si="12">D9*$U$6</f>
        <v>13.387499999999999</v>
      </c>
      <c r="Q9" s="3">
        <f t="shared" ref="Q9:Q14" si="13">E9*$V$6</f>
        <v>19.007100000000001</v>
      </c>
      <c r="R9" s="30">
        <f t="shared" si="10"/>
        <v>41.167933333333337</v>
      </c>
      <c r="S9" s="31">
        <f t="shared" si="4"/>
        <v>734.5610333333334</v>
      </c>
      <c r="T9" s="354" t="s">
        <v>59</v>
      </c>
      <c r="U9" s="355"/>
      <c r="V9" s="355"/>
      <c r="W9" s="124"/>
      <c r="X9" s="32"/>
      <c r="Y9" s="91">
        <v>40507</v>
      </c>
      <c r="Z9" s="169">
        <v>45</v>
      </c>
      <c r="AA9" s="169"/>
      <c r="AB9" s="153">
        <f t="shared" si="11"/>
        <v>23</v>
      </c>
    </row>
    <row r="10" spans="1:28">
      <c r="A10" s="7">
        <f t="shared" ref="A10:A14" si="14">EDATE(A9,1)</f>
        <v>38958</v>
      </c>
      <c r="B10" s="1">
        <v>4783</v>
      </c>
      <c r="C10" s="1">
        <v>5440</v>
      </c>
      <c r="D10" s="17">
        <f t="shared" si="7"/>
        <v>173</v>
      </c>
      <c r="E10" s="17">
        <f t="shared" si="0"/>
        <v>152</v>
      </c>
      <c r="F10" s="158"/>
      <c r="G10" s="158"/>
      <c r="H10" s="17">
        <f t="shared" si="3"/>
        <v>325</v>
      </c>
      <c r="I10" s="2">
        <f t="shared" ca="1" si="8"/>
        <v>31</v>
      </c>
      <c r="J10" s="3">
        <f t="shared" ca="1" si="9"/>
        <v>10.483870967741936</v>
      </c>
      <c r="K10" s="36">
        <f t="shared" si="1"/>
        <v>0.53230769230769226</v>
      </c>
      <c r="L10" s="36">
        <f t="shared" si="2"/>
        <v>0.46769230769230768</v>
      </c>
      <c r="M10" s="37">
        <f t="shared" si="5"/>
        <v>8.3333333333333329E-2</v>
      </c>
      <c r="N10" s="37"/>
      <c r="O10" s="3">
        <f t="shared" ref="O10:O14" si="15">$T$6/12</f>
        <v>8.7733333333333334</v>
      </c>
      <c r="P10" s="3">
        <f t="shared" si="12"/>
        <v>15.137499999999999</v>
      </c>
      <c r="Q10" s="3">
        <f t="shared" si="13"/>
        <v>19.653600000000001</v>
      </c>
      <c r="R10" s="30">
        <f t="shared" si="10"/>
        <v>43.564433333333334</v>
      </c>
      <c r="S10" s="31">
        <f t="shared" si="4"/>
        <v>778.12546666666674</v>
      </c>
      <c r="T10">
        <v>2006</v>
      </c>
      <c r="U10" s="93">
        <v>121</v>
      </c>
      <c r="V10" s="32">
        <f t="shared" ref="V10:V15" si="16">(U10*1000)/365</f>
        <v>331.50684931506851</v>
      </c>
      <c r="W10" s="32"/>
      <c r="X10" s="32"/>
      <c r="Y10" s="91">
        <v>40522</v>
      </c>
      <c r="Z10" s="169">
        <v>45</v>
      </c>
      <c r="AA10" s="169"/>
      <c r="AB10" s="153">
        <f t="shared" si="11"/>
        <v>15</v>
      </c>
    </row>
    <row r="11" spans="1:28">
      <c r="A11" s="7">
        <f t="shared" si="14"/>
        <v>38989</v>
      </c>
      <c r="B11" s="1">
        <v>4974</v>
      </c>
      <c r="C11" s="1">
        <v>5595</v>
      </c>
      <c r="D11" s="17">
        <f t="shared" si="7"/>
        <v>191</v>
      </c>
      <c r="E11" s="17">
        <f t="shared" si="0"/>
        <v>155</v>
      </c>
      <c r="F11" s="158"/>
      <c r="G11" s="158"/>
      <c r="H11" s="17">
        <f t="shared" si="3"/>
        <v>346</v>
      </c>
      <c r="I11" s="2">
        <f t="shared" ca="1" si="8"/>
        <v>31</v>
      </c>
      <c r="J11" s="3">
        <f t="shared" ca="1" si="9"/>
        <v>11.161290322580646</v>
      </c>
      <c r="K11" s="36">
        <f t="shared" si="1"/>
        <v>0.55202312138728327</v>
      </c>
      <c r="L11" s="36">
        <f t="shared" si="2"/>
        <v>0.44797687861271679</v>
      </c>
      <c r="M11" s="37">
        <f t="shared" si="5"/>
        <v>6.4615384615384616E-2</v>
      </c>
      <c r="N11" s="37"/>
      <c r="O11" s="3">
        <f t="shared" si="15"/>
        <v>8.7733333333333334</v>
      </c>
      <c r="P11" s="3">
        <f t="shared" si="12"/>
        <v>16.712499999999999</v>
      </c>
      <c r="Q11" s="3">
        <f t="shared" si="13"/>
        <v>20.041499999999999</v>
      </c>
      <c r="R11" s="30">
        <f t="shared" si="10"/>
        <v>45.527333333333331</v>
      </c>
      <c r="S11" s="31">
        <f t="shared" si="4"/>
        <v>823.65280000000007</v>
      </c>
      <c r="T11">
        <v>2007</v>
      </c>
      <c r="U11" s="93">
        <v>118</v>
      </c>
      <c r="V11" s="32">
        <f t="shared" si="16"/>
        <v>323.28767123287673</v>
      </c>
      <c r="X11" s="32"/>
      <c r="Y11" s="91">
        <v>40551</v>
      </c>
      <c r="Z11" s="169">
        <v>50</v>
      </c>
      <c r="AA11" s="169"/>
      <c r="AB11" s="153">
        <f t="shared" si="11"/>
        <v>29</v>
      </c>
    </row>
    <row r="12" spans="1:28">
      <c r="A12" s="7">
        <f t="shared" si="14"/>
        <v>39019</v>
      </c>
      <c r="B12" s="1">
        <v>5191</v>
      </c>
      <c r="C12" s="1">
        <v>5743</v>
      </c>
      <c r="D12" s="17">
        <f t="shared" si="7"/>
        <v>217</v>
      </c>
      <c r="E12" s="17">
        <f t="shared" si="0"/>
        <v>148</v>
      </c>
      <c r="F12" s="158"/>
      <c r="G12" s="158"/>
      <c r="H12" s="17">
        <f t="shared" si="3"/>
        <v>365</v>
      </c>
      <c r="I12" s="2">
        <f t="shared" ca="1" si="8"/>
        <v>30</v>
      </c>
      <c r="J12" s="3">
        <f t="shared" ca="1" si="9"/>
        <v>12.166666666666666</v>
      </c>
      <c r="K12" s="36">
        <f t="shared" si="1"/>
        <v>0.59452054794520548</v>
      </c>
      <c r="L12" s="36">
        <f t="shared" si="2"/>
        <v>0.40547945205479452</v>
      </c>
      <c r="M12" s="37">
        <f t="shared" si="5"/>
        <v>5.4913294797687862E-2</v>
      </c>
      <c r="N12" s="37"/>
      <c r="O12" s="3">
        <f t="shared" si="15"/>
        <v>8.7733333333333334</v>
      </c>
      <c r="P12" s="3">
        <f t="shared" si="12"/>
        <v>18.987499999999997</v>
      </c>
      <c r="Q12" s="3">
        <f t="shared" si="13"/>
        <v>19.136399999999998</v>
      </c>
      <c r="R12" s="30">
        <f t="shared" si="10"/>
        <v>46.897233333333332</v>
      </c>
      <c r="S12" s="31">
        <f t="shared" si="4"/>
        <v>870.55003333333343</v>
      </c>
      <c r="T12">
        <v>2008</v>
      </c>
      <c r="U12" s="93">
        <v>116</v>
      </c>
      <c r="V12" s="32">
        <f t="shared" si="16"/>
        <v>317.8082191780822</v>
      </c>
      <c r="W12" s="143"/>
      <c r="X12" s="32"/>
      <c r="Y12" s="91">
        <v>40572</v>
      </c>
      <c r="Z12" s="169">
        <v>50</v>
      </c>
      <c r="AA12" s="169"/>
      <c r="AB12" s="153">
        <f t="shared" si="11"/>
        <v>21</v>
      </c>
    </row>
    <row r="13" spans="1:28">
      <c r="A13" s="7">
        <f t="shared" si="14"/>
        <v>39050</v>
      </c>
      <c r="B13" s="1">
        <v>5606</v>
      </c>
      <c r="C13" s="1">
        <v>6014</v>
      </c>
      <c r="D13" s="17">
        <f t="shared" si="7"/>
        <v>415</v>
      </c>
      <c r="E13" s="17">
        <f t="shared" si="0"/>
        <v>271</v>
      </c>
      <c r="F13" s="158"/>
      <c r="G13" s="158"/>
      <c r="H13" s="17">
        <f t="shared" si="3"/>
        <v>686</v>
      </c>
      <c r="I13" s="2">
        <f t="shared" ca="1" si="8"/>
        <v>31</v>
      </c>
      <c r="J13" s="3">
        <f t="shared" ca="1" si="9"/>
        <v>22.129032258064516</v>
      </c>
      <c r="K13" s="36">
        <f t="shared" si="1"/>
        <v>0.60495626822157433</v>
      </c>
      <c r="L13" s="36">
        <f t="shared" si="2"/>
        <v>0.39504373177842567</v>
      </c>
      <c r="M13" s="37">
        <f t="shared" si="5"/>
        <v>0.87945205479452049</v>
      </c>
      <c r="N13" s="37"/>
      <c r="O13" s="3">
        <f t="shared" si="15"/>
        <v>8.7733333333333334</v>
      </c>
      <c r="P13" s="3">
        <f t="shared" si="12"/>
        <v>36.3125</v>
      </c>
      <c r="Q13" s="3">
        <f t="shared" si="13"/>
        <v>35.040300000000002</v>
      </c>
      <c r="R13" s="30">
        <f t="shared" si="10"/>
        <v>80.126133333333343</v>
      </c>
      <c r="S13" s="31">
        <f t="shared" si="4"/>
        <v>950.67616666666675</v>
      </c>
      <c r="T13">
        <v>2009</v>
      </c>
      <c r="U13" s="93">
        <v>100</v>
      </c>
      <c r="V13" s="32">
        <f t="shared" si="16"/>
        <v>273.97260273972603</v>
      </c>
      <c r="X13" s="32"/>
      <c r="Y13" s="91">
        <v>40591</v>
      </c>
      <c r="Z13" s="169"/>
      <c r="AA13" s="169">
        <v>20.45</v>
      </c>
      <c r="AB13" s="153"/>
    </row>
    <row r="14" spans="1:28" ht="13.5" thickBot="1">
      <c r="A14" s="7">
        <f t="shared" si="14"/>
        <v>39080</v>
      </c>
      <c r="B14" s="1">
        <v>6137</v>
      </c>
      <c r="C14" s="1">
        <v>6542</v>
      </c>
      <c r="D14" s="17">
        <f t="shared" si="7"/>
        <v>531</v>
      </c>
      <c r="E14" s="17">
        <f t="shared" si="0"/>
        <v>528</v>
      </c>
      <c r="F14" s="158"/>
      <c r="G14" s="158"/>
      <c r="H14" s="17">
        <f t="shared" si="3"/>
        <v>1059</v>
      </c>
      <c r="I14" s="2">
        <f t="shared" ca="1" si="8"/>
        <v>30</v>
      </c>
      <c r="J14" s="9">
        <f t="shared" ca="1" si="9"/>
        <v>35.299999999999997</v>
      </c>
      <c r="K14" s="38">
        <f t="shared" si="1"/>
        <v>0.50141643059490082</v>
      </c>
      <c r="L14" s="38">
        <f t="shared" si="2"/>
        <v>0.49858356940509913</v>
      </c>
      <c r="M14" s="37">
        <f t="shared" si="5"/>
        <v>0.54373177842565601</v>
      </c>
      <c r="N14" s="37"/>
      <c r="O14" s="3">
        <f t="shared" si="15"/>
        <v>8.7733333333333334</v>
      </c>
      <c r="P14" s="3">
        <f t="shared" si="12"/>
        <v>46.462499999999999</v>
      </c>
      <c r="Q14" s="3">
        <f t="shared" si="13"/>
        <v>68.270399999999995</v>
      </c>
      <c r="R14" s="30">
        <f t="shared" si="10"/>
        <v>123.50623333333333</v>
      </c>
      <c r="S14" s="31">
        <f t="shared" si="4"/>
        <v>1074.1824000000001</v>
      </c>
      <c r="T14">
        <v>2010</v>
      </c>
      <c r="U14" s="93">
        <v>86</v>
      </c>
      <c r="V14" s="32">
        <f t="shared" si="16"/>
        <v>235.61643835616439</v>
      </c>
      <c r="W14" s="147">
        <v>271.33</v>
      </c>
      <c r="X14" s="148">
        <f>W14/U14</f>
        <v>3.1549999999999998</v>
      </c>
      <c r="Y14" s="91">
        <v>40596</v>
      </c>
      <c r="Z14" s="169">
        <v>50</v>
      </c>
      <c r="AA14" s="169"/>
      <c r="AB14" s="153">
        <f>Y14-Y12</f>
        <v>24</v>
      </c>
    </row>
    <row r="15" spans="1:28" ht="17.25" thickTop="1" thickBot="1">
      <c r="A15" s="10" t="s">
        <v>0</v>
      </c>
      <c r="B15" s="92"/>
      <c r="C15" s="18">
        <f>D15+E15</f>
        <v>9065</v>
      </c>
      <c r="D15" s="18">
        <f>SUM(D3:D14)</f>
        <v>4439</v>
      </c>
      <c r="E15" s="18">
        <f>SUM(E3:E14)</f>
        <v>4626</v>
      </c>
      <c r="F15" s="310">
        <f>C15/12</f>
        <v>755.41666666666663</v>
      </c>
      <c r="G15" s="311" t="str">
        <f>" / mois"</f>
        <v xml:space="preserve"> / mois</v>
      </c>
      <c r="H15" s="18">
        <f>SUM(H3:H14)</f>
        <v>9065</v>
      </c>
      <c r="I15" s="14"/>
      <c r="J15" s="15">
        <f ca="1">AVERAGE(J3:J14)</f>
        <v>20.362971594060877</v>
      </c>
      <c r="K15" s="16">
        <f>D15/H15</f>
        <v>0.48968560397131827</v>
      </c>
      <c r="L15" s="16">
        <f>E15/H15</f>
        <v>0.51031439602868178</v>
      </c>
      <c r="M15" s="16"/>
      <c r="N15" s="16"/>
      <c r="O15" s="15">
        <f>SUM(O3:O14)</f>
        <v>105.28000000000003</v>
      </c>
      <c r="P15" s="15">
        <f>SUM(P3:P14)</f>
        <v>379.9776</v>
      </c>
      <c r="Q15" s="15">
        <f>SUM(Q3:Q14)</f>
        <v>588.92479999999989</v>
      </c>
      <c r="R15" s="356">
        <f>SUM(O15:Q15)</f>
        <v>1074.1823999999999</v>
      </c>
      <c r="S15" s="357"/>
      <c r="T15">
        <v>2011</v>
      </c>
      <c r="U15" s="93">
        <v>1</v>
      </c>
      <c r="V15" s="32">
        <f t="shared" si="16"/>
        <v>2.7397260273972601</v>
      </c>
      <c r="W15" s="147">
        <v>1</v>
      </c>
      <c r="X15" s="148">
        <f>W15/U15</f>
        <v>1</v>
      </c>
      <c r="Y15" s="91">
        <v>40620</v>
      </c>
      <c r="Z15" s="169">
        <v>50</v>
      </c>
      <c r="AA15" s="169"/>
      <c r="AB15" s="153">
        <f>Y15-Y14</f>
        <v>24</v>
      </c>
    </row>
    <row r="16" spans="1:28">
      <c r="U16" s="32"/>
      <c r="Y16" s="91">
        <v>40638</v>
      </c>
      <c r="Z16" s="169">
        <v>50</v>
      </c>
      <c r="AA16" s="169"/>
      <c r="AB16" s="153">
        <f t="shared" ref="AB16" si="17">Y16-Y14</f>
        <v>42</v>
      </c>
    </row>
    <row r="17" spans="12:28">
      <c r="U17" s="124"/>
      <c r="Y17" s="91">
        <v>40649</v>
      </c>
      <c r="Z17" s="169">
        <v>37.51</v>
      </c>
      <c r="AA17" s="169"/>
      <c r="AB17" s="153">
        <f t="shared" ref="AB17" si="18">Y17-Y16</f>
        <v>11</v>
      </c>
    </row>
    <row r="18" spans="12:28">
      <c r="Y18" s="91">
        <v>40665</v>
      </c>
      <c r="Z18" s="169">
        <v>50</v>
      </c>
      <c r="AA18" s="169"/>
      <c r="AB18" s="153">
        <f t="shared" ref="AB18" si="19">Y18-Y16</f>
        <v>27</v>
      </c>
    </row>
    <row r="19" spans="12:28">
      <c r="Y19" s="91"/>
      <c r="Z19" s="169"/>
      <c r="AA19" s="169"/>
    </row>
    <row r="20" spans="12:28">
      <c r="U20" t="s">
        <v>90</v>
      </c>
      <c r="Y20" s="91"/>
      <c r="Z20" s="169"/>
      <c r="AA20" s="169"/>
    </row>
    <row r="21" spans="12:28">
      <c r="U21">
        <v>2187</v>
      </c>
    </row>
    <row r="22" spans="12:28">
      <c r="U22">
        <v>2250</v>
      </c>
    </row>
    <row r="23" spans="12:28">
      <c r="U23">
        <v>2333</v>
      </c>
    </row>
    <row r="26" spans="12:28">
      <c r="L26" s="12"/>
    </row>
    <row r="28" spans="12:28">
      <c r="Y28" s="91"/>
      <c r="Z28" s="169"/>
      <c r="AA28" s="169"/>
    </row>
    <row r="29" spans="12:28">
      <c r="Y29" s="91"/>
      <c r="Z29" s="169"/>
      <c r="AA29" s="169"/>
    </row>
    <row r="30" spans="12:28">
      <c r="Y30" s="91"/>
      <c r="Z30" s="169"/>
      <c r="AA30" s="169"/>
    </row>
    <row r="31" spans="12:28">
      <c r="Y31" s="91"/>
      <c r="Z31" s="169"/>
      <c r="AA31" s="169"/>
    </row>
    <row r="32" spans="12:28">
      <c r="Y32" s="91"/>
      <c r="Z32" s="169"/>
      <c r="AA32" s="169"/>
    </row>
    <row r="33" spans="1:27">
      <c r="Y33" s="91"/>
      <c r="Z33" s="169"/>
      <c r="AA33" s="169"/>
    </row>
    <row r="34" spans="1:27">
      <c r="E34" s="39"/>
      <c r="Y34" s="91"/>
      <c r="Z34" s="169"/>
      <c r="AA34" s="169"/>
    </row>
    <row r="35" spans="1:27" ht="13.5" thickBot="1">
      <c r="Y35" s="91"/>
      <c r="Z35" s="169"/>
      <c r="AA35" s="169"/>
    </row>
    <row r="36" spans="1:27">
      <c r="C36" s="83" t="s">
        <v>58</v>
      </c>
      <c r="D36" s="84" t="s">
        <v>56</v>
      </c>
      <c r="E36" s="85" t="s">
        <v>57</v>
      </c>
      <c r="Y36" s="91"/>
      <c r="Z36" s="169"/>
      <c r="AA36" s="169"/>
    </row>
    <row r="37" spans="1:27">
      <c r="A37" t="s">
        <v>53</v>
      </c>
      <c r="C37" s="86">
        <f>D37+E37</f>
        <v>3980</v>
      </c>
      <c r="D37" s="87">
        <f>AVERAGE(D8,D9,D11,D12,D7,D10)*12</f>
        <v>2236</v>
      </c>
      <c r="E37" s="88">
        <f>AVERAGE(E8,E9,E11,E12,E7,E10)*12</f>
        <v>1744</v>
      </c>
      <c r="L37" s="261"/>
      <c r="M37" s="261"/>
      <c r="Y37" s="91"/>
      <c r="Z37" s="169"/>
      <c r="AA37" s="169"/>
    </row>
    <row r="38" spans="1:27">
      <c r="A38" t="s">
        <v>54</v>
      </c>
      <c r="C38" s="86">
        <f>D38+E38</f>
        <v>5085</v>
      </c>
      <c r="D38" s="87">
        <f>D15-D37</f>
        <v>2203</v>
      </c>
      <c r="E38" s="88">
        <f>E15-E37</f>
        <v>2882</v>
      </c>
      <c r="Y38" s="91"/>
      <c r="Z38" s="169"/>
      <c r="AA38" s="169"/>
    </row>
    <row r="39" spans="1:27" ht="13.5" thickBot="1">
      <c r="A39" s="74" t="s">
        <v>55</v>
      </c>
      <c r="B39" s="75"/>
      <c r="C39" s="90">
        <f>D39+E39</f>
        <v>446.50060000000002</v>
      </c>
      <c r="D39" s="89">
        <f>D38*P2</f>
        <v>141.8732</v>
      </c>
      <c r="E39" s="154">
        <f>E38*Q2</f>
        <v>304.62740000000002</v>
      </c>
      <c r="G39" s="349"/>
      <c r="H39" s="349"/>
      <c r="I39" s="349"/>
      <c r="J39" s="349"/>
      <c r="K39" s="349"/>
      <c r="M39" s="75"/>
      <c r="N39" s="353"/>
      <c r="O39" s="353"/>
      <c r="U39" s="123"/>
      <c r="Y39" s="91"/>
      <c r="Z39" s="169"/>
      <c r="AA39" s="169"/>
    </row>
    <row r="40" spans="1:27" ht="14.25" thickTop="1" thickBot="1">
      <c r="C40" s="366" t="s">
        <v>84</v>
      </c>
      <c r="D40" s="367"/>
      <c r="E40" s="368">
        <v>2005</v>
      </c>
      <c r="F40" s="369"/>
      <c r="G40" s="369"/>
      <c r="H40" s="363">
        <v>2006</v>
      </c>
      <c r="I40" s="364"/>
      <c r="J40" s="364"/>
      <c r="K40" s="365"/>
      <c r="L40" s="370">
        <v>2007</v>
      </c>
      <c r="M40" s="371"/>
      <c r="N40" s="372"/>
      <c r="O40" s="373">
        <v>2008</v>
      </c>
      <c r="P40" s="359"/>
      <c r="Q40" s="374"/>
      <c r="R40" s="358">
        <v>2009</v>
      </c>
      <c r="S40" s="359"/>
      <c r="T40" s="374"/>
      <c r="U40" s="358">
        <v>2010</v>
      </c>
      <c r="V40" s="359"/>
      <c r="W40" s="360"/>
      <c r="Y40" s="91"/>
      <c r="Z40" s="169"/>
      <c r="AA40" s="169"/>
    </row>
    <row r="41" spans="1:27" ht="13.5" thickTop="1">
      <c r="C41" s="98"/>
      <c r="D41" s="117" t="s">
        <v>66</v>
      </c>
      <c r="E41" s="105">
        <v>38597</v>
      </c>
      <c r="F41" s="101" t="s">
        <v>64</v>
      </c>
      <c r="G41" s="101" t="s">
        <v>65</v>
      </c>
      <c r="H41" s="137" t="s">
        <v>85</v>
      </c>
      <c r="I41" s="66"/>
      <c r="J41" s="101" t="s">
        <v>64</v>
      </c>
      <c r="K41" s="112" t="s">
        <v>65</v>
      </c>
      <c r="L41" s="137" t="s">
        <v>85</v>
      </c>
      <c r="M41" s="101" t="s">
        <v>64</v>
      </c>
      <c r="N41" s="101" t="s">
        <v>65</v>
      </c>
      <c r="O41" s="137" t="s">
        <v>85</v>
      </c>
      <c r="P41" s="101" t="s">
        <v>64</v>
      </c>
      <c r="Q41" s="112" t="s">
        <v>65</v>
      </c>
      <c r="R41" s="137" t="s">
        <v>85</v>
      </c>
      <c r="S41" s="101" t="s">
        <v>64</v>
      </c>
      <c r="T41" s="112" t="s">
        <v>65</v>
      </c>
      <c r="U41" s="137" t="s">
        <v>85</v>
      </c>
      <c r="V41" s="101" t="s">
        <v>64</v>
      </c>
      <c r="W41" s="102" t="s">
        <v>65</v>
      </c>
    </row>
    <row r="42" spans="1:27" ht="13.5" thickBot="1">
      <c r="C42" s="118">
        <v>1</v>
      </c>
      <c r="D42" s="119">
        <f>AVERAGE(J42,M42,P42,S42,V42,F48)</f>
        <v>124.5</v>
      </c>
      <c r="E42" s="106">
        <v>38661</v>
      </c>
      <c r="F42" s="107">
        <f>E42-E41</f>
        <v>64</v>
      </c>
      <c r="G42" s="108">
        <f>F42/30.5</f>
        <v>2.098360655737705</v>
      </c>
      <c r="H42" s="100">
        <v>38774</v>
      </c>
      <c r="I42" s="66"/>
      <c r="J42" s="97">
        <f>H42-E42</f>
        <v>113</v>
      </c>
      <c r="K42" s="113">
        <f>J42/30.5</f>
        <v>3.7049180327868854</v>
      </c>
      <c r="L42" s="115">
        <v>39130</v>
      </c>
      <c r="M42" s="97">
        <f>L42-H45</f>
        <v>105</v>
      </c>
      <c r="N42" s="103">
        <f>M42/30.5</f>
        <v>3.442622950819672</v>
      </c>
      <c r="O42" s="100">
        <v>39490</v>
      </c>
      <c r="P42" s="97">
        <f>O42-L45</f>
        <v>115</v>
      </c>
      <c r="Q42" s="113">
        <f>P42/30.5</f>
        <v>3.7704918032786887</v>
      </c>
      <c r="R42" s="115">
        <v>39846</v>
      </c>
      <c r="S42" s="97">
        <f>R42-O45</f>
        <v>116</v>
      </c>
      <c r="T42" s="113">
        <f>S42/30.5</f>
        <v>3.8032786885245899</v>
      </c>
      <c r="U42" s="115">
        <v>40254</v>
      </c>
      <c r="V42" s="97">
        <f>U42-R45</f>
        <v>143</v>
      </c>
      <c r="W42" s="104">
        <f>V42/30.5</f>
        <v>4.6885245901639347</v>
      </c>
    </row>
    <row r="43" spans="1:27" ht="13.5" thickTop="1">
      <c r="C43" s="99">
        <v>2</v>
      </c>
      <c r="D43" s="119">
        <f>AVERAGE(J43,M43,P43,S43,V43,F49)</f>
        <v>85</v>
      </c>
      <c r="E43" s="155"/>
      <c r="F43" s="66"/>
      <c r="G43" s="66"/>
      <c r="H43" s="100">
        <v>38856</v>
      </c>
      <c r="I43" s="66"/>
      <c r="J43" s="97">
        <f>H43-H42</f>
        <v>82</v>
      </c>
      <c r="K43" s="113">
        <f>J43/30.5</f>
        <v>2.6885245901639343</v>
      </c>
      <c r="L43" s="115">
        <v>39209</v>
      </c>
      <c r="M43" s="97">
        <f>L43-L42</f>
        <v>79</v>
      </c>
      <c r="N43" s="103">
        <f>M43/30.5</f>
        <v>2.5901639344262297</v>
      </c>
      <c r="O43" s="100">
        <v>39567</v>
      </c>
      <c r="P43" s="97">
        <f>O43-O42</f>
        <v>77</v>
      </c>
      <c r="Q43" s="113">
        <f>P43/30.5</f>
        <v>2.5245901639344264</v>
      </c>
      <c r="R43" s="115">
        <v>39922</v>
      </c>
      <c r="S43" s="97">
        <f>R43-R42</f>
        <v>76</v>
      </c>
      <c r="T43" s="113">
        <f>S43/30.5</f>
        <v>2.4918032786885247</v>
      </c>
      <c r="U43" s="115">
        <v>40344</v>
      </c>
      <c r="V43" s="97">
        <f>U43-U42</f>
        <v>90</v>
      </c>
      <c r="W43" s="104">
        <f>V43/30.5</f>
        <v>2.9508196721311477</v>
      </c>
    </row>
    <row r="44" spans="1:27">
      <c r="C44" s="99">
        <v>3</v>
      </c>
      <c r="D44" s="119">
        <f>AVERAGE(J44,M44,P44,S44,V44,F50)</f>
        <v>90.5</v>
      </c>
      <c r="E44" s="155"/>
      <c r="F44" s="66"/>
      <c r="G44" s="66"/>
      <c r="H44" s="100">
        <v>38946</v>
      </c>
      <c r="I44" s="66"/>
      <c r="J44" s="97">
        <f>H44-H43</f>
        <v>90</v>
      </c>
      <c r="K44" s="113">
        <f>J44/30.5</f>
        <v>2.9508196721311477</v>
      </c>
      <c r="L44" s="115">
        <v>39290</v>
      </c>
      <c r="M44" s="97">
        <f>L44-L43</f>
        <v>81</v>
      </c>
      <c r="N44" s="103">
        <f>M44/30.5</f>
        <v>2.6557377049180326</v>
      </c>
      <c r="O44" s="100">
        <v>39648</v>
      </c>
      <c r="P44" s="97">
        <f>O44-O43</f>
        <v>81</v>
      </c>
      <c r="Q44" s="113">
        <f>P44/30.5</f>
        <v>2.6557377049180326</v>
      </c>
      <c r="R44" s="115">
        <v>40014</v>
      </c>
      <c r="S44" s="97">
        <f>R44-R43</f>
        <v>92</v>
      </c>
      <c r="T44" s="113">
        <f>S44/30.5</f>
        <v>3.0163934426229506</v>
      </c>
      <c r="U44" s="115">
        <v>40436</v>
      </c>
      <c r="V44" s="97">
        <f>U44-U43</f>
        <v>92</v>
      </c>
      <c r="W44" s="104">
        <f>V44/30.5</f>
        <v>3.0163934426229506</v>
      </c>
    </row>
    <row r="45" spans="1:27" ht="13.5" thickBot="1">
      <c r="C45" s="120">
        <v>4</v>
      </c>
      <c r="D45" s="121">
        <f ca="1">AVERAGE(J45,M45,P45,S45,F42,V45,F51)</f>
        <v>142.83333333333334</v>
      </c>
      <c r="E45" s="156"/>
      <c r="F45" s="157"/>
      <c r="G45" s="157"/>
      <c r="H45" s="109">
        <v>39025</v>
      </c>
      <c r="I45" s="157"/>
      <c r="J45" s="107">
        <f>H45-H44</f>
        <v>79</v>
      </c>
      <c r="K45" s="114">
        <f>J45/30.5</f>
        <v>2.5901639344262297</v>
      </c>
      <c r="L45" s="116">
        <v>39375</v>
      </c>
      <c r="M45" s="107">
        <f>L45-L44</f>
        <v>85</v>
      </c>
      <c r="N45" s="108">
        <f>M45/30.5</f>
        <v>2.7868852459016393</v>
      </c>
      <c r="O45" s="110">
        <v>39730</v>
      </c>
      <c r="P45" s="107">
        <f>O45-O44</f>
        <v>82</v>
      </c>
      <c r="Q45" s="114">
        <f>P45/30.5</f>
        <v>2.6885245901639343</v>
      </c>
      <c r="R45" s="116">
        <v>40111</v>
      </c>
      <c r="S45" s="107">
        <f>R45-R44</f>
        <v>97</v>
      </c>
      <c r="T45" s="114">
        <f>S45/30.5</f>
        <v>3.180327868852459</v>
      </c>
      <c r="U45" s="116"/>
      <c r="V45" s="107"/>
      <c r="W45" s="111"/>
    </row>
    <row r="46" spans="1:27" ht="13.5" thickTop="1">
      <c r="E46" s="361">
        <v>2011</v>
      </c>
      <c r="F46" s="362"/>
      <c r="G46" s="362"/>
      <c r="H46" s="363">
        <v>2012</v>
      </c>
      <c r="I46" s="364"/>
      <c r="J46" s="364"/>
      <c r="K46" s="365"/>
    </row>
    <row r="47" spans="1:27">
      <c r="E47" s="151" t="s">
        <v>85</v>
      </c>
      <c r="F47" s="101" t="s">
        <v>64</v>
      </c>
      <c r="G47" s="112" t="s">
        <v>65</v>
      </c>
      <c r="H47" s="137" t="s">
        <v>85</v>
      </c>
      <c r="I47" s="66"/>
      <c r="J47" s="101" t="s">
        <v>64</v>
      </c>
      <c r="K47" s="112" t="s">
        <v>65</v>
      </c>
    </row>
    <row r="48" spans="1:27">
      <c r="E48" s="105">
        <v>40591</v>
      </c>
      <c r="F48" s="97">
        <f>E48-U44</f>
        <v>155</v>
      </c>
      <c r="G48" s="113">
        <f>F48/30.5</f>
        <v>5.081967213114754</v>
      </c>
      <c r="H48" s="100">
        <f t="shared" ref="H48:H51" ca="1" si="20">TODAY()</f>
        <v>41254</v>
      </c>
      <c r="I48" s="66"/>
      <c r="J48" s="97">
        <f ca="1">H48-E51</f>
        <v>0</v>
      </c>
      <c r="K48" s="113">
        <f ca="1">J48/30.5</f>
        <v>0</v>
      </c>
    </row>
    <row r="49" spans="5:11">
      <c r="E49" s="105">
        <v>40697</v>
      </c>
      <c r="F49" s="97">
        <f t="shared" ref="F49:F51" si="21">E49-E48</f>
        <v>106</v>
      </c>
      <c r="G49" s="113">
        <f t="shared" ref="G49:G51" si="22">F49/30.5</f>
        <v>3.4754098360655736</v>
      </c>
      <c r="H49" s="100">
        <f t="shared" ca="1" si="20"/>
        <v>41254</v>
      </c>
      <c r="I49" s="66"/>
      <c r="J49" s="97">
        <f ca="1">H49-H48</f>
        <v>0</v>
      </c>
      <c r="K49" s="113">
        <f ca="1">J49/30.5</f>
        <v>0</v>
      </c>
    </row>
    <row r="50" spans="5:11">
      <c r="E50" s="105">
        <v>40804</v>
      </c>
      <c r="F50" s="97">
        <f t="shared" si="21"/>
        <v>107</v>
      </c>
      <c r="G50" s="113">
        <f t="shared" si="22"/>
        <v>3.5081967213114753</v>
      </c>
      <c r="H50" s="100">
        <f t="shared" ca="1" si="20"/>
        <v>41254</v>
      </c>
      <c r="I50" s="66"/>
      <c r="J50" s="97">
        <f ca="1">H50-H49</f>
        <v>0</v>
      </c>
      <c r="K50" s="113">
        <f ca="1">J50/30.5</f>
        <v>0</v>
      </c>
    </row>
    <row r="51" spans="5:11" ht="13.5" thickBot="1">
      <c r="E51" s="106">
        <f t="shared" ref="E51" ca="1" si="23">TODAY()</f>
        <v>41254</v>
      </c>
      <c r="F51" s="107">
        <f t="shared" ca="1" si="21"/>
        <v>450</v>
      </c>
      <c r="G51" s="114">
        <f t="shared" ca="1" si="22"/>
        <v>14.754098360655737</v>
      </c>
      <c r="H51" s="109">
        <f t="shared" ca="1" si="20"/>
        <v>41254</v>
      </c>
      <c r="I51" s="157"/>
      <c r="J51" s="107">
        <f ca="1">H51-H50</f>
        <v>0</v>
      </c>
      <c r="K51" s="114">
        <f ca="1">J51/30.5</f>
        <v>0</v>
      </c>
    </row>
    <row r="52" spans="5:11" ht="13.5" thickTop="1"/>
  </sheetData>
  <mergeCells count="15">
    <mergeCell ref="U40:W40"/>
    <mergeCell ref="E46:G46"/>
    <mergeCell ref="H46:K46"/>
    <mergeCell ref="C40:D40"/>
    <mergeCell ref="E40:G40"/>
    <mergeCell ref="H40:K40"/>
    <mergeCell ref="L40:N40"/>
    <mergeCell ref="O40:Q40"/>
    <mergeCell ref="R40:T40"/>
    <mergeCell ref="K1:L1"/>
    <mergeCell ref="T9:V9"/>
    <mergeCell ref="R15:S15"/>
    <mergeCell ref="G39:I39"/>
    <mergeCell ref="J39:K39"/>
    <mergeCell ref="N39:O39"/>
  </mergeCells>
  <conditionalFormatting sqref="F4:G14">
    <cfRule type="expression" dxfId="8" priority="9">
      <formula>B4=""</formula>
    </cfRule>
  </conditionalFormatting>
  <conditionalFormatting sqref="D3:E14">
    <cfRule type="iconSet" priority="4">
      <iconSet iconSet="4TrafficLights" reverse="1">
        <cfvo type="percent" val="0"/>
        <cfvo type="num" val="150"/>
        <cfvo type="num" val="300"/>
        <cfvo type="num" val="600"/>
      </iconSet>
    </cfRule>
  </conditionalFormatting>
  <conditionalFormatting sqref="H3:H14">
    <cfRule type="iconSet" priority="3">
      <iconSet iconSet="4TrafficLights" reverse="1">
        <cfvo type="percent" val="0"/>
        <cfvo type="num" val="300"/>
        <cfvo type="num" val="600"/>
        <cfvo type="num" val="1200"/>
      </iconSet>
    </cfRule>
  </conditionalFormatting>
  <conditionalFormatting sqref="R15">
    <cfRule type="colorScale" priority="1">
      <colorScale>
        <cfvo type="num" val="700"/>
        <cfvo type="num" val="800"/>
        <cfvo type="num" val="90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AB52"/>
  <sheetViews>
    <sheetView workbookViewId="0">
      <selection activeCell="T17" sqref="T17"/>
    </sheetView>
  </sheetViews>
  <sheetFormatPr baseColWidth="10" defaultColWidth="11.42578125" defaultRowHeight="12.75"/>
  <cols>
    <col min="1" max="1" width="10.28515625" customWidth="1"/>
    <col min="2" max="2" width="9.140625" customWidth="1"/>
    <col min="3" max="3" width="9.28515625" customWidth="1"/>
    <col min="4" max="4" width="10.42578125" customWidth="1"/>
    <col min="5" max="5" width="10.7109375" customWidth="1"/>
    <col min="6" max="6" width="7" bestFit="1" customWidth="1"/>
    <col min="7" max="7" width="6.140625" bestFit="1" customWidth="1"/>
    <col min="8" max="8" width="7.7109375" customWidth="1"/>
    <col min="9" max="9" width="6.140625" hidden="1" customWidth="1"/>
    <col min="10" max="10" width="7.7109375" customWidth="1"/>
    <col min="11" max="11" width="8.42578125" customWidth="1"/>
    <col min="12" max="12" width="8.140625" customWidth="1"/>
    <col min="13" max="13" width="10.140625" customWidth="1"/>
    <col min="14" max="14" width="8.7109375" customWidth="1"/>
    <col min="15" max="15" width="6.5703125" customWidth="1"/>
    <col min="16" max="17" width="7.85546875" customWidth="1"/>
    <col min="18" max="18" width="8.85546875" customWidth="1"/>
    <col min="19" max="19" width="7.5703125" bestFit="1" customWidth="1"/>
    <col min="20" max="22" width="9.28515625" bestFit="1" customWidth="1"/>
    <col min="23" max="23" width="10.140625" bestFit="1" customWidth="1"/>
    <col min="24" max="24" width="9.85546875" bestFit="1" customWidth="1"/>
  </cols>
  <sheetData>
    <row r="1" spans="1:28" ht="38.25" customHeight="1">
      <c r="A1" s="5" t="s">
        <v>1</v>
      </c>
      <c r="B1" s="168" t="s">
        <v>2</v>
      </c>
      <c r="C1" s="168" t="s">
        <v>3</v>
      </c>
      <c r="D1" s="168" t="s">
        <v>4</v>
      </c>
      <c r="E1" s="168" t="s">
        <v>5</v>
      </c>
      <c r="F1" s="168" t="s">
        <v>21</v>
      </c>
      <c r="G1" s="168" t="s">
        <v>22</v>
      </c>
      <c r="H1" s="168" t="s">
        <v>13</v>
      </c>
      <c r="I1" s="168"/>
      <c r="J1" s="168" t="s">
        <v>37</v>
      </c>
      <c r="K1" s="350" t="s">
        <v>7</v>
      </c>
      <c r="L1" s="350"/>
      <c r="M1" s="19" t="s">
        <v>8</v>
      </c>
      <c r="N1" s="19" t="s">
        <v>36</v>
      </c>
      <c r="O1" s="24" t="s">
        <v>14</v>
      </c>
      <c r="P1" s="24" t="s">
        <v>9</v>
      </c>
      <c r="Q1" s="24" t="s">
        <v>10</v>
      </c>
      <c r="R1" s="26" t="s">
        <v>11</v>
      </c>
      <c r="S1" s="27" t="s">
        <v>12</v>
      </c>
      <c r="T1" s="33" t="s">
        <v>61</v>
      </c>
      <c r="U1" s="33" t="s">
        <v>63</v>
      </c>
      <c r="V1" s="33" t="s">
        <v>62</v>
      </c>
      <c r="Z1" s="152" t="s">
        <v>88</v>
      </c>
      <c r="AA1" s="152" t="s">
        <v>89</v>
      </c>
    </row>
    <row r="2" spans="1:28" hidden="1">
      <c r="A2" s="7">
        <v>39080</v>
      </c>
      <c r="B2" s="1">
        <v>6137</v>
      </c>
      <c r="C2" s="1">
        <v>6542</v>
      </c>
      <c r="D2" s="73">
        <f ca="1">TODAY()</f>
        <v>41254</v>
      </c>
      <c r="E2" s="1"/>
      <c r="F2" s="1"/>
      <c r="G2" s="1"/>
      <c r="H2" s="1"/>
      <c r="I2" s="1"/>
      <c r="J2" s="1"/>
      <c r="K2" s="1"/>
      <c r="L2" s="1"/>
      <c r="M2" s="20"/>
      <c r="N2" s="20"/>
      <c r="O2" s="1">
        <v>106.98</v>
      </c>
      <c r="P2" s="1">
        <v>6.54E-2</v>
      </c>
      <c r="Q2" s="1">
        <v>0.1074</v>
      </c>
      <c r="R2" s="1"/>
      <c r="S2" s="1"/>
    </row>
    <row r="3" spans="1:28" ht="13.5" thickBot="1">
      <c r="A3" s="7">
        <v>39111</v>
      </c>
      <c r="B3" s="1">
        <v>6688</v>
      </c>
      <c r="C3" s="1">
        <v>7178</v>
      </c>
      <c r="D3" s="17">
        <f>IF(B3-B2&lt;=0,0,B3-B2)</f>
        <v>551</v>
      </c>
      <c r="E3" s="17">
        <f t="shared" ref="E3:E14" si="0">IF(C3-C2&lt;=0,0.00000001,C3-C2)</f>
        <v>636</v>
      </c>
      <c r="F3" s="158">
        <f>D3-'2006'!D3</f>
        <v>-124</v>
      </c>
      <c r="G3" s="158">
        <f>E3-'2006'!E3</f>
        <v>-217</v>
      </c>
      <c r="H3" s="17">
        <f>D3+E3</f>
        <v>1187</v>
      </c>
      <c r="I3" s="2">
        <f ca="1">IF(A3&gt;$D$2,$D$2-A2,A3-A2)</f>
        <v>31</v>
      </c>
      <c r="J3" s="3">
        <f ca="1">H3/I3</f>
        <v>38.29032258064516</v>
      </c>
      <c r="K3" s="36">
        <f t="shared" ref="K3:K14" si="1">D3/H3</f>
        <v>0.46419545071609097</v>
      </c>
      <c r="L3" s="36">
        <f t="shared" ref="L3:L14" si="2">E3/H3</f>
        <v>0.53580454928390897</v>
      </c>
      <c r="M3" s="37"/>
      <c r="N3" s="37">
        <f>IF(D3=0,"",1/(H3/(H3-'2006'!H3)))</f>
        <v>-0.2872788542544229</v>
      </c>
      <c r="O3" s="3">
        <f>$T$4/12</f>
        <v>8.9150000000000009</v>
      </c>
      <c r="P3" s="3">
        <f>D3*$U$4</f>
        <v>43.198399999999999</v>
      </c>
      <c r="Q3" s="3">
        <f>E3*$V$4</f>
        <v>78.545999999999992</v>
      </c>
      <c r="R3" s="30">
        <f>SUM(O3:Q3)</f>
        <v>130.65940000000001</v>
      </c>
      <c r="S3" s="31">
        <f>R3</f>
        <v>130.65940000000001</v>
      </c>
      <c r="T3" s="96">
        <f>(T6-T4)/T4</f>
        <v>0</v>
      </c>
      <c r="U3" s="96">
        <f>(U6-U4)/U4</f>
        <v>0.11607142857142853</v>
      </c>
      <c r="V3" s="96">
        <f>(V6-V4)/V4</f>
        <v>4.6963562753036432E-2</v>
      </c>
      <c r="Y3" s="91">
        <v>40404</v>
      </c>
      <c r="Z3" s="147">
        <v>47.1</v>
      </c>
      <c r="AA3" s="147"/>
    </row>
    <row r="4" spans="1:28" ht="14.25" thickTop="1" thickBot="1">
      <c r="A4" s="7">
        <v>39141</v>
      </c>
      <c r="B4" s="35">
        <v>7167</v>
      </c>
      <c r="C4" s="35">
        <v>7657</v>
      </c>
      <c r="D4" s="17">
        <f>IF(B4-B3&lt;=0,0,B4-B3)</f>
        <v>479</v>
      </c>
      <c r="E4" s="17">
        <f t="shared" si="0"/>
        <v>479</v>
      </c>
      <c r="F4" s="158">
        <f>D4-'2006'!D4</f>
        <v>-222</v>
      </c>
      <c r="G4" s="158">
        <f>E4-'2006'!E4</f>
        <v>-469</v>
      </c>
      <c r="H4" s="17">
        <f t="shared" ref="H4:H14" si="3">D4+E4</f>
        <v>958</v>
      </c>
      <c r="I4" s="2">
        <f ca="1">IF(A4&gt;$D$2,$D$2-A3,A4-A3)</f>
        <v>30</v>
      </c>
      <c r="J4" s="3">
        <f ca="1">H4/(I4+I3)</f>
        <v>15.704918032786885</v>
      </c>
      <c r="K4" s="36">
        <f t="shared" si="1"/>
        <v>0.5</v>
      </c>
      <c r="L4" s="36">
        <f t="shared" si="2"/>
        <v>0.5</v>
      </c>
      <c r="M4" s="37">
        <f>IF(D4=0,"",1/(H3/(H4-H3)))</f>
        <v>-0.19292333614153326</v>
      </c>
      <c r="N4" s="37">
        <f>IF(D4=0,"",1/(H4/(H4-'2006'!H4)))</f>
        <v>-0.72129436325678498</v>
      </c>
      <c r="O4" s="3">
        <f>$T$5/12</f>
        <v>8.9150000000000009</v>
      </c>
      <c r="P4" s="3">
        <f>D4*$U$5</f>
        <v>41.385600000000004</v>
      </c>
      <c r="Q4" s="3">
        <f>E4*$V$5</f>
        <v>61.072499999999998</v>
      </c>
      <c r="R4" s="30">
        <f>SUM(O4:Q4)</f>
        <v>111.37309999999999</v>
      </c>
      <c r="S4" s="31">
        <f t="shared" ref="S4:S14" si="4">S3+R4</f>
        <v>242.0325</v>
      </c>
      <c r="T4" s="173">
        <f>O2</f>
        <v>106.98</v>
      </c>
      <c r="U4" s="149">
        <v>7.8399999999999997E-2</v>
      </c>
      <c r="V4" s="149">
        <v>0.1235</v>
      </c>
      <c r="W4" s="122">
        <v>40405</v>
      </c>
      <c r="Y4" s="91">
        <v>40431</v>
      </c>
      <c r="Z4" s="147">
        <v>46</v>
      </c>
      <c r="AA4" s="147"/>
      <c r="AB4" s="153">
        <f>Y4-Y3</f>
        <v>27</v>
      </c>
    </row>
    <row r="5" spans="1:28" ht="14.25" thickTop="1" thickBot="1">
      <c r="A5" s="7">
        <v>39170</v>
      </c>
      <c r="B5" s="35">
        <v>7704</v>
      </c>
      <c r="C5" s="35">
        <v>8241</v>
      </c>
      <c r="D5" s="17">
        <f>IF(B5-B4&lt;=0,0,B5-B4)</f>
        <v>537</v>
      </c>
      <c r="E5" s="17">
        <f t="shared" si="0"/>
        <v>584</v>
      </c>
      <c r="F5" s="158">
        <f>D5-'2006'!D5</f>
        <v>-114</v>
      </c>
      <c r="G5" s="158">
        <f>E5-'2006'!E5</f>
        <v>-340</v>
      </c>
      <c r="H5" s="17">
        <f t="shared" si="3"/>
        <v>1121</v>
      </c>
      <c r="I5" s="2">
        <f ca="1">IF(A5&gt;$D$2,$D$2-A4,A5-A4)</f>
        <v>29</v>
      </c>
      <c r="J5" s="3">
        <f ca="1">H5/(I5+I4)</f>
        <v>19</v>
      </c>
      <c r="K5" s="36">
        <f t="shared" si="1"/>
        <v>0.4790365744870651</v>
      </c>
      <c r="L5" s="36">
        <f t="shared" si="2"/>
        <v>0.52096342551293484</v>
      </c>
      <c r="M5" s="37">
        <f t="shared" ref="M5:M14" si="5">IF(D5=0,"",1/(H4/(H5-H4)))</f>
        <v>0.17014613778705637</v>
      </c>
      <c r="N5" s="37">
        <f>IF(D5=0,"",1/(H5/(H5-'2006'!H5)))</f>
        <v>-0.40499553969669938</v>
      </c>
      <c r="O5" s="3">
        <f t="shared" ref="O5:O8" si="6">$T$5/12</f>
        <v>8.9150000000000009</v>
      </c>
      <c r="P5" s="3">
        <f>D5*$U$5</f>
        <v>46.396799999999999</v>
      </c>
      <c r="Q5" s="3">
        <f>E5*$V$5</f>
        <v>74.460000000000008</v>
      </c>
      <c r="R5" s="30">
        <f>SUM(O5:Q5)</f>
        <v>129.77180000000001</v>
      </c>
      <c r="S5" s="31">
        <f t="shared" si="4"/>
        <v>371.80430000000001</v>
      </c>
      <c r="T5" s="173">
        <f>T4</f>
        <v>106.98</v>
      </c>
      <c r="U5" s="149">
        <v>8.6400000000000005E-2</v>
      </c>
      <c r="V5" s="149">
        <v>0.1275</v>
      </c>
      <c r="W5" s="122">
        <v>40575</v>
      </c>
      <c r="Y5" s="91">
        <v>40449</v>
      </c>
      <c r="Z5" s="147">
        <v>48</v>
      </c>
      <c r="AA5" s="147"/>
      <c r="AB5" s="153">
        <f>Y5-Y4</f>
        <v>18</v>
      </c>
    </row>
    <row r="6" spans="1:28" ht="14.25" thickTop="1" thickBot="1">
      <c r="A6" s="7">
        <v>39201</v>
      </c>
      <c r="B6" s="35">
        <v>8095</v>
      </c>
      <c r="C6" s="35">
        <v>8609</v>
      </c>
      <c r="D6" s="17">
        <f t="shared" ref="D6:D14" si="7">IF(B6-B5&lt;=0,0,B6-B5)</f>
        <v>391</v>
      </c>
      <c r="E6" s="17">
        <f t="shared" si="0"/>
        <v>368</v>
      </c>
      <c r="F6" s="158">
        <f>D6-'2006'!D6</f>
        <v>43</v>
      </c>
      <c r="G6" s="158">
        <f>E6-'2006'!E6</f>
        <v>138</v>
      </c>
      <c r="H6" s="17">
        <f t="shared" si="3"/>
        <v>759</v>
      </c>
      <c r="I6" s="2">
        <f t="shared" ref="I6:I14" ca="1" si="8">IF($D$2&gt;A5,IF($D$2&gt;A6,A6-A5,$D$2-A5),1)</f>
        <v>31</v>
      </c>
      <c r="J6" s="3">
        <f t="shared" ref="J6:J14" ca="1" si="9">H6/I6</f>
        <v>24.483870967741936</v>
      </c>
      <c r="K6" s="36">
        <f t="shared" si="1"/>
        <v>0.51515151515151514</v>
      </c>
      <c r="L6" s="36">
        <f t="shared" si="2"/>
        <v>0.48484848484848486</v>
      </c>
      <c r="M6" s="37">
        <f t="shared" si="5"/>
        <v>-0.32292595896520965</v>
      </c>
      <c r="N6" s="37">
        <f>IF(D6=0,"",1/(H6/(H6-'2006'!H6)))</f>
        <v>0.23847167325428198</v>
      </c>
      <c r="O6" s="3">
        <f t="shared" si="6"/>
        <v>8.9150000000000009</v>
      </c>
      <c r="P6" s="3">
        <f>D6*$U$5</f>
        <v>33.782400000000003</v>
      </c>
      <c r="Q6" s="3">
        <f>E6*$V$5</f>
        <v>46.92</v>
      </c>
      <c r="R6" s="30">
        <f t="shared" ref="R6:R14" si="10">SUM(O6:Q6)</f>
        <v>89.617400000000004</v>
      </c>
      <c r="S6" s="31">
        <f t="shared" si="4"/>
        <v>461.42169999999999</v>
      </c>
      <c r="T6" s="173">
        <f>T5</f>
        <v>106.98</v>
      </c>
      <c r="U6" s="162">
        <v>8.7499999999999994E-2</v>
      </c>
      <c r="V6" s="162">
        <v>0.1293</v>
      </c>
      <c r="W6" s="122">
        <v>40725</v>
      </c>
      <c r="Y6" s="91">
        <v>40455</v>
      </c>
      <c r="Z6" s="147">
        <v>40</v>
      </c>
      <c r="AA6" s="147"/>
      <c r="AB6" s="153">
        <f>Y6-Y5</f>
        <v>6</v>
      </c>
    </row>
    <row r="7" spans="1:28">
      <c r="A7" s="7">
        <v>39231</v>
      </c>
      <c r="B7" s="72">
        <v>8322</v>
      </c>
      <c r="C7" s="35">
        <v>8759</v>
      </c>
      <c r="D7" s="17">
        <f t="shared" si="7"/>
        <v>227</v>
      </c>
      <c r="E7" s="17">
        <f t="shared" si="0"/>
        <v>150</v>
      </c>
      <c r="F7" s="158">
        <f>D7-'2006'!D7</f>
        <v>26</v>
      </c>
      <c r="G7" s="158">
        <f>E7-'2006'!E7</f>
        <v>21</v>
      </c>
      <c r="H7" s="17">
        <f t="shared" si="3"/>
        <v>377</v>
      </c>
      <c r="I7" s="2">
        <f t="shared" ca="1" si="8"/>
        <v>30</v>
      </c>
      <c r="J7" s="3">
        <f t="shared" ca="1" si="9"/>
        <v>12.566666666666666</v>
      </c>
      <c r="K7" s="36">
        <f t="shared" si="1"/>
        <v>0.60212201591511938</v>
      </c>
      <c r="L7" s="36">
        <f t="shared" si="2"/>
        <v>0.39787798408488062</v>
      </c>
      <c r="M7" s="37">
        <f t="shared" si="5"/>
        <v>-0.50329380764163367</v>
      </c>
      <c r="N7" s="37">
        <f>IF(D7=0,"",1/(H7/(H7-'2006'!H7)))</f>
        <v>0.12466843501326261</v>
      </c>
      <c r="O7" s="3">
        <f t="shared" si="6"/>
        <v>8.9150000000000009</v>
      </c>
      <c r="P7" s="3">
        <f>D7*$U$5</f>
        <v>19.6128</v>
      </c>
      <c r="Q7" s="3">
        <f>E7*$V$5</f>
        <v>19.125</v>
      </c>
      <c r="R7" s="30">
        <f t="shared" si="10"/>
        <v>47.652799999999999</v>
      </c>
      <c r="S7" s="31">
        <f t="shared" si="4"/>
        <v>509.0745</v>
      </c>
      <c r="Y7" s="91">
        <v>40465</v>
      </c>
      <c r="Z7" s="147">
        <v>33</v>
      </c>
      <c r="AA7" s="147"/>
      <c r="AB7" s="153">
        <f t="shared" ref="AB7:AB12" si="11">Y7-Y6</f>
        <v>10</v>
      </c>
    </row>
    <row r="8" spans="1:28">
      <c r="A8" s="7">
        <v>39262</v>
      </c>
      <c r="B8" s="35">
        <v>8534</v>
      </c>
      <c r="C8" s="35">
        <v>8914</v>
      </c>
      <c r="D8" s="17">
        <f t="shared" si="7"/>
        <v>212</v>
      </c>
      <c r="E8" s="17">
        <f t="shared" si="0"/>
        <v>155</v>
      </c>
      <c r="F8" s="158">
        <f>D8-'2006'!D8</f>
        <v>29</v>
      </c>
      <c r="G8" s="158">
        <f>E8-'2006'!E8</f>
        <v>14</v>
      </c>
      <c r="H8" s="17">
        <f t="shared" si="3"/>
        <v>367</v>
      </c>
      <c r="I8" s="2">
        <f t="shared" ca="1" si="8"/>
        <v>31</v>
      </c>
      <c r="J8" s="3">
        <f t="shared" ca="1" si="9"/>
        <v>11.838709677419354</v>
      </c>
      <c r="K8" s="36">
        <f t="shared" si="1"/>
        <v>0.57765667574931878</v>
      </c>
      <c r="L8" s="36">
        <f t="shared" si="2"/>
        <v>0.42234332425068122</v>
      </c>
      <c r="M8" s="37">
        <f t="shared" si="5"/>
        <v>-2.652519893899204E-2</v>
      </c>
      <c r="N8" s="37">
        <f>IF(D8=0,"",1/(H8/(H8-'2006'!H8)))</f>
        <v>0.11716621253405995</v>
      </c>
      <c r="O8" s="3">
        <f t="shared" si="6"/>
        <v>8.9150000000000009</v>
      </c>
      <c r="P8" s="3">
        <f>D8*$U$5</f>
        <v>18.316800000000001</v>
      </c>
      <c r="Q8" s="3">
        <f>E8*$V$5</f>
        <v>19.762499999999999</v>
      </c>
      <c r="R8" s="30">
        <f t="shared" si="10"/>
        <v>46.994299999999996</v>
      </c>
      <c r="S8" s="31">
        <f t="shared" si="4"/>
        <v>556.06880000000001</v>
      </c>
      <c r="Y8" s="91">
        <v>40484</v>
      </c>
      <c r="Z8" s="147">
        <v>50</v>
      </c>
      <c r="AA8" s="147"/>
      <c r="AB8" s="153">
        <f t="shared" si="11"/>
        <v>19</v>
      </c>
    </row>
    <row r="9" spans="1:28">
      <c r="A9" s="7">
        <v>39292</v>
      </c>
      <c r="B9" s="35">
        <v>8710</v>
      </c>
      <c r="C9" s="35">
        <v>9061</v>
      </c>
      <c r="D9" s="17">
        <f t="shared" si="7"/>
        <v>176</v>
      </c>
      <c r="E9" s="17">
        <f t="shared" si="0"/>
        <v>147</v>
      </c>
      <c r="F9" s="158">
        <f>D9-'2006'!D9</f>
        <v>23</v>
      </c>
      <c r="G9" s="158">
        <f>E9-'2006'!E9</f>
        <v>0</v>
      </c>
      <c r="H9" s="17">
        <f t="shared" si="3"/>
        <v>323</v>
      </c>
      <c r="I9" s="2">
        <f t="shared" ca="1" si="8"/>
        <v>30</v>
      </c>
      <c r="J9" s="3">
        <f t="shared" ca="1" si="9"/>
        <v>10.766666666666667</v>
      </c>
      <c r="K9" s="36">
        <f t="shared" si="1"/>
        <v>0.54489164086687303</v>
      </c>
      <c r="L9" s="36">
        <f t="shared" si="2"/>
        <v>0.45510835913312692</v>
      </c>
      <c r="M9" s="37">
        <f t="shared" si="5"/>
        <v>-0.11989100817438691</v>
      </c>
      <c r="N9" s="37">
        <f>IF(D9=0,"",1/(H9/(H9-'2006'!H9)))</f>
        <v>7.1207430340557279E-2</v>
      </c>
      <c r="O9" s="3">
        <f>$T$6/12</f>
        <v>8.9150000000000009</v>
      </c>
      <c r="P9" s="3">
        <f t="shared" ref="P9:P14" si="12">D9*$U$6</f>
        <v>15.399999999999999</v>
      </c>
      <c r="Q9" s="3">
        <f t="shared" ref="Q9:Q14" si="13">E9*$V$6</f>
        <v>19.007100000000001</v>
      </c>
      <c r="R9" s="30">
        <f t="shared" si="10"/>
        <v>43.322099999999999</v>
      </c>
      <c r="S9" s="31">
        <f t="shared" si="4"/>
        <v>599.39089999999999</v>
      </c>
      <c r="T9" s="354" t="s">
        <v>59</v>
      </c>
      <c r="U9" s="355"/>
      <c r="V9" s="355"/>
      <c r="W9" s="124"/>
      <c r="X9" s="32"/>
      <c r="Y9" s="91">
        <v>40507</v>
      </c>
      <c r="Z9" s="169">
        <v>45</v>
      </c>
      <c r="AA9" s="169"/>
      <c r="AB9" s="153">
        <f t="shared" si="11"/>
        <v>23</v>
      </c>
    </row>
    <row r="10" spans="1:28">
      <c r="A10" s="7">
        <f t="shared" ref="A10:A14" si="14">EDATE(A9,1)</f>
        <v>39323</v>
      </c>
      <c r="B10" s="1">
        <v>8904</v>
      </c>
      <c r="C10" s="1">
        <v>9242</v>
      </c>
      <c r="D10" s="17">
        <f t="shared" si="7"/>
        <v>194</v>
      </c>
      <c r="E10" s="17">
        <f t="shared" si="0"/>
        <v>181</v>
      </c>
      <c r="F10" s="158">
        <f>D10-'2006'!D10</f>
        <v>21</v>
      </c>
      <c r="G10" s="158">
        <f>E10-'2006'!E10</f>
        <v>29</v>
      </c>
      <c r="H10" s="17">
        <f t="shared" si="3"/>
        <v>375</v>
      </c>
      <c r="I10" s="2">
        <f t="shared" ca="1" si="8"/>
        <v>31</v>
      </c>
      <c r="J10" s="3">
        <f t="shared" ca="1" si="9"/>
        <v>12.096774193548388</v>
      </c>
      <c r="K10" s="36">
        <f t="shared" si="1"/>
        <v>0.51733333333333331</v>
      </c>
      <c r="L10" s="36">
        <f t="shared" si="2"/>
        <v>0.48266666666666669</v>
      </c>
      <c r="M10" s="37">
        <f t="shared" si="5"/>
        <v>0.1609907120743034</v>
      </c>
      <c r="N10" s="37">
        <f>IF(D10=0,"",1/(H10/(H10-'2006'!H10)))</f>
        <v>0.13333333333333333</v>
      </c>
      <c r="O10" s="3">
        <f t="shared" ref="O10:O14" si="15">$T$6/12</f>
        <v>8.9150000000000009</v>
      </c>
      <c r="P10" s="3">
        <f t="shared" si="12"/>
        <v>16.974999999999998</v>
      </c>
      <c r="Q10" s="3">
        <f t="shared" si="13"/>
        <v>23.403299999999998</v>
      </c>
      <c r="R10" s="30">
        <f t="shared" si="10"/>
        <v>49.293300000000002</v>
      </c>
      <c r="S10" s="31">
        <f t="shared" si="4"/>
        <v>648.68420000000003</v>
      </c>
      <c r="T10">
        <v>2006</v>
      </c>
      <c r="U10" s="93">
        <v>121</v>
      </c>
      <c r="V10" s="32">
        <f t="shared" ref="V10:V15" si="16">(U10*1000)/365</f>
        <v>331.50684931506851</v>
      </c>
      <c r="W10" s="32"/>
      <c r="X10" s="32"/>
      <c r="Y10" s="91">
        <v>40522</v>
      </c>
      <c r="Z10" s="169">
        <v>45</v>
      </c>
      <c r="AA10" s="169"/>
      <c r="AB10" s="153">
        <f t="shared" si="11"/>
        <v>15</v>
      </c>
    </row>
    <row r="11" spans="1:28">
      <c r="A11" s="7">
        <f t="shared" si="14"/>
        <v>39354</v>
      </c>
      <c r="B11" s="1">
        <v>9097</v>
      </c>
      <c r="C11" s="1">
        <v>9404</v>
      </c>
      <c r="D11" s="17">
        <f t="shared" si="7"/>
        <v>193</v>
      </c>
      <c r="E11" s="17">
        <f t="shared" si="0"/>
        <v>162</v>
      </c>
      <c r="F11" s="158">
        <f>D11-'2006'!D11</f>
        <v>2</v>
      </c>
      <c r="G11" s="158">
        <f>E11-'2006'!E11</f>
        <v>7</v>
      </c>
      <c r="H11" s="17">
        <f t="shared" si="3"/>
        <v>355</v>
      </c>
      <c r="I11" s="2">
        <f t="shared" ca="1" si="8"/>
        <v>31</v>
      </c>
      <c r="J11" s="3">
        <f t="shared" ca="1" si="9"/>
        <v>11.451612903225806</v>
      </c>
      <c r="K11" s="36">
        <f t="shared" si="1"/>
        <v>0.54366197183098597</v>
      </c>
      <c r="L11" s="36">
        <f t="shared" si="2"/>
        <v>0.45633802816901409</v>
      </c>
      <c r="M11" s="37">
        <f t="shared" si="5"/>
        <v>-5.3333333333333337E-2</v>
      </c>
      <c r="N11" s="37">
        <f>IF(D11=0,"",1/(H11/(H11-'2006'!H11)))</f>
        <v>2.5352112676056339E-2</v>
      </c>
      <c r="O11" s="3">
        <f t="shared" si="15"/>
        <v>8.9150000000000009</v>
      </c>
      <c r="P11" s="3">
        <f t="shared" si="12"/>
        <v>16.887499999999999</v>
      </c>
      <c r="Q11" s="3">
        <f t="shared" si="13"/>
        <v>20.9466</v>
      </c>
      <c r="R11" s="30">
        <f t="shared" si="10"/>
        <v>46.749099999999999</v>
      </c>
      <c r="S11" s="31">
        <f t="shared" si="4"/>
        <v>695.43330000000003</v>
      </c>
      <c r="T11">
        <v>2007</v>
      </c>
      <c r="U11" s="93">
        <v>118</v>
      </c>
      <c r="V11" s="32">
        <f t="shared" si="16"/>
        <v>323.28767123287673</v>
      </c>
      <c r="X11" s="32"/>
      <c r="Y11" s="91">
        <v>40551</v>
      </c>
      <c r="Z11" s="169">
        <v>50</v>
      </c>
      <c r="AA11" s="169"/>
      <c r="AB11" s="153">
        <f t="shared" si="11"/>
        <v>29</v>
      </c>
    </row>
    <row r="12" spans="1:28">
      <c r="A12" s="7">
        <f t="shared" si="14"/>
        <v>39384</v>
      </c>
      <c r="B12" s="1">
        <v>9347</v>
      </c>
      <c r="C12" s="1">
        <v>9587</v>
      </c>
      <c r="D12" s="17">
        <f t="shared" si="7"/>
        <v>250</v>
      </c>
      <c r="E12" s="17">
        <f t="shared" si="0"/>
        <v>183</v>
      </c>
      <c r="F12" s="158">
        <f>D12-'2006'!D12</f>
        <v>33</v>
      </c>
      <c r="G12" s="158">
        <f>E12-'2006'!E12</f>
        <v>35</v>
      </c>
      <c r="H12" s="17">
        <f t="shared" si="3"/>
        <v>433</v>
      </c>
      <c r="I12" s="2">
        <f t="shared" ca="1" si="8"/>
        <v>30</v>
      </c>
      <c r="J12" s="3">
        <f t="shared" ca="1" si="9"/>
        <v>14.433333333333334</v>
      </c>
      <c r="K12" s="36">
        <f t="shared" si="1"/>
        <v>0.57736720554272514</v>
      </c>
      <c r="L12" s="36">
        <f t="shared" si="2"/>
        <v>0.42263279445727481</v>
      </c>
      <c r="M12" s="37">
        <f t="shared" si="5"/>
        <v>0.21971830985915494</v>
      </c>
      <c r="N12" s="37">
        <f>IF(D12=0,"",1/(H12/(H12-'2006'!H12)))</f>
        <v>0.15704387990762125</v>
      </c>
      <c r="O12" s="3">
        <f t="shared" si="15"/>
        <v>8.9150000000000009</v>
      </c>
      <c r="P12" s="3">
        <f t="shared" si="12"/>
        <v>21.875</v>
      </c>
      <c r="Q12" s="3">
        <f t="shared" si="13"/>
        <v>23.661899999999999</v>
      </c>
      <c r="R12" s="30">
        <f t="shared" si="10"/>
        <v>54.451899999999995</v>
      </c>
      <c r="S12" s="31">
        <f t="shared" si="4"/>
        <v>749.88520000000005</v>
      </c>
      <c r="T12">
        <v>2008</v>
      </c>
      <c r="U12" s="93">
        <v>116</v>
      </c>
      <c r="V12" s="32">
        <f t="shared" si="16"/>
        <v>317.8082191780822</v>
      </c>
      <c r="W12" s="143"/>
      <c r="X12" s="32"/>
      <c r="Y12" s="91">
        <v>40572</v>
      </c>
      <c r="Z12" s="169">
        <v>50</v>
      </c>
      <c r="AA12" s="169"/>
      <c r="AB12" s="153">
        <f t="shared" si="11"/>
        <v>21</v>
      </c>
    </row>
    <row r="13" spans="1:28">
      <c r="A13" s="7">
        <f t="shared" si="14"/>
        <v>39415</v>
      </c>
      <c r="B13" s="1">
        <v>9795</v>
      </c>
      <c r="C13" s="1">
        <v>10012</v>
      </c>
      <c r="D13" s="17">
        <f t="shared" si="7"/>
        <v>448</v>
      </c>
      <c r="E13" s="17">
        <f t="shared" si="0"/>
        <v>425</v>
      </c>
      <c r="F13" s="158">
        <f>D13-'2006'!D13</f>
        <v>33</v>
      </c>
      <c r="G13" s="158">
        <f>E13-'2006'!E13</f>
        <v>154</v>
      </c>
      <c r="H13" s="17">
        <f t="shared" si="3"/>
        <v>873</v>
      </c>
      <c r="I13" s="2">
        <f t="shared" ca="1" si="8"/>
        <v>31</v>
      </c>
      <c r="J13" s="3">
        <f t="shared" ca="1" si="9"/>
        <v>28.161290322580644</v>
      </c>
      <c r="K13" s="36">
        <f t="shared" si="1"/>
        <v>0.51317296678121416</v>
      </c>
      <c r="L13" s="36">
        <f t="shared" si="2"/>
        <v>0.48682703321878579</v>
      </c>
      <c r="M13" s="37">
        <f t="shared" si="5"/>
        <v>1.0161662817551962</v>
      </c>
      <c r="N13" s="37">
        <f>IF(D13=0,"",1/(H13/(H13-'2006'!H13)))</f>
        <v>0.21420389461626577</v>
      </c>
      <c r="O13" s="3">
        <f t="shared" si="15"/>
        <v>8.9150000000000009</v>
      </c>
      <c r="P13" s="3">
        <f t="shared" si="12"/>
        <v>39.199999999999996</v>
      </c>
      <c r="Q13" s="3">
        <f t="shared" si="13"/>
        <v>54.952500000000001</v>
      </c>
      <c r="R13" s="30">
        <f t="shared" si="10"/>
        <v>103.0675</v>
      </c>
      <c r="S13" s="31">
        <f t="shared" si="4"/>
        <v>852.95270000000005</v>
      </c>
      <c r="T13">
        <v>2009</v>
      </c>
      <c r="U13" s="93">
        <v>100</v>
      </c>
      <c r="V13" s="32">
        <f t="shared" si="16"/>
        <v>273.97260273972603</v>
      </c>
      <c r="X13" s="32"/>
      <c r="Y13" s="91">
        <v>40591</v>
      </c>
      <c r="Z13" s="169"/>
      <c r="AA13" s="169">
        <v>20.45</v>
      </c>
      <c r="AB13" s="153"/>
    </row>
    <row r="14" spans="1:28" ht="13.5" thickBot="1">
      <c r="A14" s="7">
        <f t="shared" si="14"/>
        <v>39445</v>
      </c>
      <c r="B14" s="1">
        <v>10321</v>
      </c>
      <c r="C14" s="1">
        <v>10625</v>
      </c>
      <c r="D14" s="17">
        <f t="shared" si="7"/>
        <v>526</v>
      </c>
      <c r="E14" s="17">
        <f t="shared" si="0"/>
        <v>613</v>
      </c>
      <c r="F14" s="295">
        <f>D14-'2006'!D14</f>
        <v>-5</v>
      </c>
      <c r="G14" s="158">
        <f>E14-'2006'!E14</f>
        <v>85</v>
      </c>
      <c r="H14" s="17">
        <f t="shared" si="3"/>
        <v>1139</v>
      </c>
      <c r="I14" s="2">
        <f t="shared" ca="1" si="8"/>
        <v>30</v>
      </c>
      <c r="J14" s="9">
        <f t="shared" ca="1" si="9"/>
        <v>37.966666666666669</v>
      </c>
      <c r="K14" s="38">
        <f t="shared" si="1"/>
        <v>0.46180860403863039</v>
      </c>
      <c r="L14" s="38">
        <f t="shared" si="2"/>
        <v>0.53819139596136967</v>
      </c>
      <c r="M14" s="37">
        <f t="shared" si="5"/>
        <v>0.30469644902634596</v>
      </c>
      <c r="N14" s="37">
        <f>IF(D14=0,"",1/(H14/(H14-'2006'!H14)))</f>
        <v>7.0237050043898158E-2</v>
      </c>
      <c r="O14" s="3">
        <f t="shared" si="15"/>
        <v>8.9150000000000009</v>
      </c>
      <c r="P14" s="3">
        <f t="shared" si="12"/>
        <v>46.024999999999999</v>
      </c>
      <c r="Q14" s="3">
        <f t="shared" si="13"/>
        <v>79.260899999999992</v>
      </c>
      <c r="R14" s="30">
        <f t="shared" si="10"/>
        <v>134.20089999999999</v>
      </c>
      <c r="S14" s="31">
        <f t="shared" si="4"/>
        <v>987.1536000000001</v>
      </c>
      <c r="T14">
        <v>2010</v>
      </c>
      <c r="U14" s="93">
        <v>86</v>
      </c>
      <c r="V14" s="32">
        <f t="shared" si="16"/>
        <v>235.61643835616439</v>
      </c>
      <c r="W14" s="147">
        <v>271.33</v>
      </c>
      <c r="X14" s="148">
        <f>W14/U14</f>
        <v>3.1549999999999998</v>
      </c>
      <c r="Y14" s="91">
        <v>40596</v>
      </c>
      <c r="Z14" s="169">
        <v>50</v>
      </c>
      <c r="AA14" s="169"/>
      <c r="AB14" s="153">
        <f>Y14-Y12</f>
        <v>24</v>
      </c>
    </row>
    <row r="15" spans="1:28" ht="17.25" thickTop="1" thickBot="1">
      <c r="A15" s="10" t="s">
        <v>0</v>
      </c>
      <c r="B15" s="92">
        <f>'2006'!C15</f>
        <v>9065</v>
      </c>
      <c r="C15" s="18">
        <f>D15+E15</f>
        <v>8267</v>
      </c>
      <c r="D15" s="18">
        <f>SUM(D3:D14)</f>
        <v>4184</v>
      </c>
      <c r="E15" s="18">
        <f>SUM(E3:E14)</f>
        <v>4083</v>
      </c>
      <c r="F15" s="310">
        <f>C15/12</f>
        <v>688.91666666666663</v>
      </c>
      <c r="G15" s="311" t="str">
        <f>" / mois"</f>
        <v xml:space="preserve"> / mois</v>
      </c>
      <c r="H15" s="18">
        <f>SUM(H3:H14)</f>
        <v>8267</v>
      </c>
      <c r="I15" s="14"/>
      <c r="J15" s="15">
        <f ca="1">AVERAGE(J3:J14)</f>
        <v>19.730069334273459</v>
      </c>
      <c r="K15" s="16">
        <f>D15/H15</f>
        <v>0.50610862465223172</v>
      </c>
      <c r="L15" s="16">
        <f>E15/H15</f>
        <v>0.49389137534776822</v>
      </c>
      <c r="M15" s="16"/>
      <c r="N15" s="16">
        <f>1/(B15/(C15-B15))</f>
        <v>-8.803088803088803E-2</v>
      </c>
      <c r="O15" s="15">
        <f>SUM(O3:O14)</f>
        <v>106.98000000000003</v>
      </c>
      <c r="P15" s="15">
        <f>SUM(P3:P14)</f>
        <v>359.05529999999993</v>
      </c>
      <c r="Q15" s="15">
        <f>SUM(Q3:Q14)</f>
        <v>521.11829999999986</v>
      </c>
      <c r="R15" s="356">
        <f>SUM(O15:Q15)</f>
        <v>987.15359999999987</v>
      </c>
      <c r="S15" s="357"/>
      <c r="T15">
        <v>2011</v>
      </c>
      <c r="U15" s="93">
        <v>1</v>
      </c>
      <c r="V15" s="32">
        <f t="shared" si="16"/>
        <v>2.7397260273972601</v>
      </c>
      <c r="W15" s="147">
        <v>1</v>
      </c>
      <c r="X15" s="148">
        <f>W15/U15</f>
        <v>1</v>
      </c>
      <c r="Y15" s="91">
        <v>40620</v>
      </c>
      <c r="Z15" s="169">
        <v>50</v>
      </c>
      <c r="AA15" s="169"/>
      <c r="AB15" s="153">
        <f>Y15-Y14</f>
        <v>24</v>
      </c>
    </row>
    <row r="16" spans="1:28">
      <c r="U16" s="32"/>
      <c r="Y16" s="91">
        <v>40638</v>
      </c>
      <c r="Z16" s="169">
        <v>50</v>
      </c>
      <c r="AA16" s="169"/>
      <c r="AB16" s="153">
        <f t="shared" ref="AB16" si="17">Y16-Y14</f>
        <v>42</v>
      </c>
    </row>
    <row r="17" spans="12:28">
      <c r="U17" s="124"/>
      <c r="Y17" s="91">
        <v>40649</v>
      </c>
      <c r="Z17" s="169">
        <v>37.51</v>
      </c>
      <c r="AA17" s="169"/>
      <c r="AB17" s="153">
        <f t="shared" ref="AB17" si="18">Y17-Y16</f>
        <v>11</v>
      </c>
    </row>
    <row r="18" spans="12:28">
      <c r="Y18" s="91">
        <v>40665</v>
      </c>
      <c r="Z18" s="169">
        <v>50</v>
      </c>
      <c r="AA18" s="169"/>
      <c r="AB18" s="153">
        <f t="shared" ref="AB18" si="19">Y18-Y16</f>
        <v>27</v>
      </c>
    </row>
    <row r="19" spans="12:28">
      <c r="Y19" s="91"/>
      <c r="Z19" s="169"/>
      <c r="AA19" s="169"/>
    </row>
    <row r="20" spans="12:28">
      <c r="U20" t="s">
        <v>90</v>
      </c>
      <c r="Y20" s="91"/>
      <c r="Z20" s="169"/>
      <c r="AA20" s="169"/>
    </row>
    <row r="21" spans="12:28">
      <c r="U21">
        <v>2187</v>
      </c>
    </row>
    <row r="22" spans="12:28">
      <c r="U22">
        <v>2250</v>
      </c>
    </row>
    <row r="23" spans="12:28">
      <c r="U23">
        <v>2333</v>
      </c>
    </row>
    <row r="26" spans="12:28">
      <c r="L26" s="12"/>
    </row>
    <row r="28" spans="12:28">
      <c r="Y28" s="91"/>
      <c r="Z28" s="169"/>
      <c r="AA28" s="169"/>
    </row>
    <row r="29" spans="12:28">
      <c r="Y29" s="91"/>
      <c r="Z29" s="169"/>
      <c r="AA29" s="169"/>
    </row>
    <row r="30" spans="12:28">
      <c r="Y30" s="91"/>
      <c r="Z30" s="169"/>
      <c r="AA30" s="169"/>
    </row>
    <row r="31" spans="12:28">
      <c r="Y31" s="91"/>
      <c r="Z31" s="169"/>
      <c r="AA31" s="169"/>
    </row>
    <row r="32" spans="12:28">
      <c r="Y32" s="91"/>
      <c r="Z32" s="169"/>
      <c r="AA32" s="169"/>
    </row>
    <row r="33" spans="1:27">
      <c r="Y33" s="91"/>
      <c r="Z33" s="169"/>
      <c r="AA33" s="169"/>
    </row>
    <row r="34" spans="1:27">
      <c r="E34" s="39"/>
      <c r="Y34" s="91"/>
      <c r="Z34" s="169"/>
      <c r="AA34" s="169"/>
    </row>
    <row r="35" spans="1:27" ht="13.5" thickBot="1">
      <c r="Y35" s="91"/>
      <c r="Z35" s="169"/>
      <c r="AA35" s="169"/>
    </row>
    <row r="36" spans="1:27">
      <c r="C36" s="83" t="s">
        <v>58</v>
      </c>
      <c r="D36" s="84" t="s">
        <v>56</v>
      </c>
      <c r="E36" s="85" t="s">
        <v>57</v>
      </c>
      <c r="Y36" s="91"/>
      <c r="Z36" s="169"/>
      <c r="AA36" s="169"/>
    </row>
    <row r="37" spans="1:27">
      <c r="A37" t="s">
        <v>53</v>
      </c>
      <c r="C37" s="86">
        <f>D37+E37</f>
        <v>4460</v>
      </c>
      <c r="D37" s="87">
        <f>AVERAGE(D8,D9,D11,D12,D7,D10)*12</f>
        <v>2504</v>
      </c>
      <c r="E37" s="88">
        <f>AVERAGE(E8,E9,E11,E12,E7,E10)*12</f>
        <v>1956</v>
      </c>
      <c r="L37" s="261"/>
      <c r="M37" s="261"/>
      <c r="Y37" s="91"/>
      <c r="Z37" s="169"/>
      <c r="AA37" s="169"/>
    </row>
    <row r="38" spans="1:27">
      <c r="A38" t="s">
        <v>54</v>
      </c>
      <c r="C38" s="86">
        <f>D38+E38</f>
        <v>3807</v>
      </c>
      <c r="D38" s="87">
        <f>D15-D37</f>
        <v>1680</v>
      </c>
      <c r="E38" s="88">
        <f>E15-E37</f>
        <v>2127</v>
      </c>
      <c r="Y38" s="91"/>
      <c r="Z38" s="169"/>
      <c r="AA38" s="169"/>
    </row>
    <row r="39" spans="1:27" ht="13.5" thickBot="1">
      <c r="A39" s="74" t="s">
        <v>55</v>
      </c>
      <c r="B39" s="75">
        <f>'2006'!C39</f>
        <v>446.50060000000002</v>
      </c>
      <c r="C39" s="90">
        <f>D39+E39</f>
        <v>338.31180000000001</v>
      </c>
      <c r="D39" s="89">
        <f>D38*P2</f>
        <v>109.872</v>
      </c>
      <c r="E39" s="154">
        <f>E38*Q2</f>
        <v>228.43979999999999</v>
      </c>
      <c r="G39" s="349"/>
      <c r="H39" s="349"/>
      <c r="I39" s="349"/>
      <c r="J39" s="349"/>
      <c r="K39" s="349"/>
      <c r="M39" s="75"/>
      <c r="N39" s="353"/>
      <c r="O39" s="353"/>
      <c r="U39" s="123"/>
      <c r="Y39" s="91"/>
      <c r="Z39" s="169"/>
      <c r="AA39" s="169"/>
    </row>
    <row r="40" spans="1:27" ht="14.25" thickTop="1" thickBot="1">
      <c r="C40" s="366" t="s">
        <v>84</v>
      </c>
      <c r="D40" s="367"/>
      <c r="E40" s="368">
        <v>2005</v>
      </c>
      <c r="F40" s="369"/>
      <c r="G40" s="369"/>
      <c r="H40" s="363">
        <v>2006</v>
      </c>
      <c r="I40" s="364"/>
      <c r="J40" s="364"/>
      <c r="K40" s="365"/>
      <c r="L40" s="370">
        <v>2007</v>
      </c>
      <c r="M40" s="371"/>
      <c r="N40" s="372"/>
      <c r="O40" s="373">
        <v>2008</v>
      </c>
      <c r="P40" s="359"/>
      <c r="Q40" s="374"/>
      <c r="R40" s="358">
        <v>2009</v>
      </c>
      <c r="S40" s="359"/>
      <c r="T40" s="374"/>
      <c r="U40" s="358">
        <v>2010</v>
      </c>
      <c r="V40" s="359"/>
      <c r="W40" s="360"/>
      <c r="Y40" s="91"/>
      <c r="Z40" s="169"/>
      <c r="AA40" s="169"/>
    </row>
    <row r="41" spans="1:27" ht="13.5" thickTop="1">
      <c r="C41" s="98"/>
      <c r="D41" s="117" t="s">
        <v>66</v>
      </c>
      <c r="E41" s="105">
        <v>38597</v>
      </c>
      <c r="F41" s="101" t="s">
        <v>64</v>
      </c>
      <c r="G41" s="101" t="s">
        <v>65</v>
      </c>
      <c r="H41" s="137" t="s">
        <v>85</v>
      </c>
      <c r="I41" s="66"/>
      <c r="J41" s="101" t="s">
        <v>64</v>
      </c>
      <c r="K41" s="112" t="s">
        <v>65</v>
      </c>
      <c r="L41" s="137" t="s">
        <v>85</v>
      </c>
      <c r="M41" s="101" t="s">
        <v>64</v>
      </c>
      <c r="N41" s="101" t="s">
        <v>65</v>
      </c>
      <c r="O41" s="137" t="s">
        <v>85</v>
      </c>
      <c r="P41" s="101" t="s">
        <v>64</v>
      </c>
      <c r="Q41" s="112" t="s">
        <v>65</v>
      </c>
      <c r="R41" s="137" t="s">
        <v>85</v>
      </c>
      <c r="S41" s="101" t="s">
        <v>64</v>
      </c>
      <c r="T41" s="112" t="s">
        <v>65</v>
      </c>
      <c r="U41" s="137" t="s">
        <v>85</v>
      </c>
      <c r="V41" s="101" t="s">
        <v>64</v>
      </c>
      <c r="W41" s="102" t="s">
        <v>65</v>
      </c>
    </row>
    <row r="42" spans="1:27" ht="13.5" thickBot="1">
      <c r="C42" s="118">
        <v>1</v>
      </c>
      <c r="D42" s="119">
        <f>AVERAGE(J42,M42,P42,S42,V42,F48)</f>
        <v>124.5</v>
      </c>
      <c r="E42" s="106">
        <v>38661</v>
      </c>
      <c r="F42" s="107">
        <f>E42-E41</f>
        <v>64</v>
      </c>
      <c r="G42" s="108">
        <f>F42/30.5</f>
        <v>2.098360655737705</v>
      </c>
      <c r="H42" s="100">
        <v>38774</v>
      </c>
      <c r="I42" s="66"/>
      <c r="J42" s="97">
        <f>H42-E42</f>
        <v>113</v>
      </c>
      <c r="K42" s="113">
        <f>J42/30.5</f>
        <v>3.7049180327868854</v>
      </c>
      <c r="L42" s="115">
        <v>39130</v>
      </c>
      <c r="M42" s="97">
        <f>L42-H45</f>
        <v>105</v>
      </c>
      <c r="N42" s="103">
        <f>M42/30.5</f>
        <v>3.442622950819672</v>
      </c>
      <c r="O42" s="100">
        <v>39490</v>
      </c>
      <c r="P42" s="97">
        <f>O42-L45</f>
        <v>115</v>
      </c>
      <c r="Q42" s="113">
        <f>P42/30.5</f>
        <v>3.7704918032786887</v>
      </c>
      <c r="R42" s="115">
        <v>39846</v>
      </c>
      <c r="S42" s="97">
        <f>R42-O45</f>
        <v>116</v>
      </c>
      <c r="T42" s="113">
        <f>S42/30.5</f>
        <v>3.8032786885245899</v>
      </c>
      <c r="U42" s="115">
        <v>40254</v>
      </c>
      <c r="V42" s="97">
        <f>U42-R45</f>
        <v>143</v>
      </c>
      <c r="W42" s="104">
        <f>V42/30.5</f>
        <v>4.6885245901639347</v>
      </c>
    </row>
    <row r="43" spans="1:27" ht="13.5" thickTop="1">
      <c r="C43" s="99">
        <v>2</v>
      </c>
      <c r="D43" s="119">
        <f>AVERAGE(J43,M43,P43,S43,V43,F49)</f>
        <v>85</v>
      </c>
      <c r="E43" s="155"/>
      <c r="F43" s="66"/>
      <c r="G43" s="66"/>
      <c r="H43" s="100">
        <v>38856</v>
      </c>
      <c r="I43" s="66"/>
      <c r="J43" s="97">
        <f>H43-H42</f>
        <v>82</v>
      </c>
      <c r="K43" s="113">
        <f>J43/30.5</f>
        <v>2.6885245901639343</v>
      </c>
      <c r="L43" s="115">
        <v>39209</v>
      </c>
      <c r="M43" s="97">
        <f>L43-L42</f>
        <v>79</v>
      </c>
      <c r="N43" s="103">
        <f>M43/30.5</f>
        <v>2.5901639344262297</v>
      </c>
      <c r="O43" s="100">
        <v>39567</v>
      </c>
      <c r="P43" s="97">
        <f>O43-O42</f>
        <v>77</v>
      </c>
      <c r="Q43" s="113">
        <f>P43/30.5</f>
        <v>2.5245901639344264</v>
      </c>
      <c r="R43" s="115">
        <v>39922</v>
      </c>
      <c r="S43" s="97">
        <f>R43-R42</f>
        <v>76</v>
      </c>
      <c r="T43" s="113">
        <f>S43/30.5</f>
        <v>2.4918032786885247</v>
      </c>
      <c r="U43" s="115">
        <v>40344</v>
      </c>
      <c r="V43" s="97">
        <f>U43-U42</f>
        <v>90</v>
      </c>
      <c r="W43" s="104">
        <f>V43/30.5</f>
        <v>2.9508196721311477</v>
      </c>
    </row>
    <row r="44" spans="1:27">
      <c r="C44" s="99">
        <v>3</v>
      </c>
      <c r="D44" s="119">
        <f>AVERAGE(J44,M44,P44,S44,V44,F50)</f>
        <v>90.5</v>
      </c>
      <c r="E44" s="155"/>
      <c r="F44" s="66"/>
      <c r="G44" s="66"/>
      <c r="H44" s="100">
        <v>38946</v>
      </c>
      <c r="I44" s="66"/>
      <c r="J44" s="97">
        <f>H44-H43</f>
        <v>90</v>
      </c>
      <c r="K44" s="113">
        <f>J44/30.5</f>
        <v>2.9508196721311477</v>
      </c>
      <c r="L44" s="115">
        <v>39290</v>
      </c>
      <c r="M44" s="97">
        <f>L44-L43</f>
        <v>81</v>
      </c>
      <c r="N44" s="103">
        <f>M44/30.5</f>
        <v>2.6557377049180326</v>
      </c>
      <c r="O44" s="100">
        <v>39648</v>
      </c>
      <c r="P44" s="97">
        <f>O44-O43</f>
        <v>81</v>
      </c>
      <c r="Q44" s="113">
        <f>P44/30.5</f>
        <v>2.6557377049180326</v>
      </c>
      <c r="R44" s="115">
        <v>40014</v>
      </c>
      <c r="S44" s="97">
        <f>R44-R43</f>
        <v>92</v>
      </c>
      <c r="T44" s="113">
        <f>S44/30.5</f>
        <v>3.0163934426229506</v>
      </c>
      <c r="U44" s="115">
        <v>40436</v>
      </c>
      <c r="V44" s="97">
        <f>U44-U43</f>
        <v>92</v>
      </c>
      <c r="W44" s="104">
        <f>V44/30.5</f>
        <v>3.0163934426229506</v>
      </c>
    </row>
    <row r="45" spans="1:27" ht="13.5" thickBot="1">
      <c r="C45" s="120">
        <v>4</v>
      </c>
      <c r="D45" s="121">
        <f ca="1">AVERAGE(J45,M45,P45,S45,F42,V45,F51)</f>
        <v>142.83333333333334</v>
      </c>
      <c r="E45" s="156"/>
      <c r="F45" s="157"/>
      <c r="G45" s="157"/>
      <c r="H45" s="109">
        <v>39025</v>
      </c>
      <c r="I45" s="157"/>
      <c r="J45" s="107">
        <f>H45-H44</f>
        <v>79</v>
      </c>
      <c r="K45" s="114">
        <f>J45/30.5</f>
        <v>2.5901639344262297</v>
      </c>
      <c r="L45" s="116">
        <v>39375</v>
      </c>
      <c r="M45" s="107">
        <f>L45-L44</f>
        <v>85</v>
      </c>
      <c r="N45" s="108">
        <f>M45/30.5</f>
        <v>2.7868852459016393</v>
      </c>
      <c r="O45" s="110">
        <v>39730</v>
      </c>
      <c r="P45" s="107">
        <f>O45-O44</f>
        <v>82</v>
      </c>
      <c r="Q45" s="114">
        <f>P45/30.5</f>
        <v>2.6885245901639343</v>
      </c>
      <c r="R45" s="116">
        <v>40111</v>
      </c>
      <c r="S45" s="107">
        <f>R45-R44</f>
        <v>97</v>
      </c>
      <c r="T45" s="114">
        <f>S45/30.5</f>
        <v>3.180327868852459</v>
      </c>
      <c r="U45" s="116"/>
      <c r="V45" s="107"/>
      <c r="W45" s="111"/>
    </row>
    <row r="46" spans="1:27" ht="13.5" thickTop="1">
      <c r="E46" s="361">
        <v>2011</v>
      </c>
      <c r="F46" s="362"/>
      <c r="G46" s="362"/>
      <c r="H46" s="363">
        <v>2012</v>
      </c>
      <c r="I46" s="364"/>
      <c r="J46" s="364"/>
      <c r="K46" s="365"/>
    </row>
    <row r="47" spans="1:27">
      <c r="E47" s="151" t="s">
        <v>85</v>
      </c>
      <c r="F47" s="101" t="s">
        <v>64</v>
      </c>
      <c r="G47" s="112" t="s">
        <v>65</v>
      </c>
      <c r="H47" s="137" t="s">
        <v>85</v>
      </c>
      <c r="I47" s="66"/>
      <c r="J47" s="101" t="s">
        <v>64</v>
      </c>
      <c r="K47" s="112" t="s">
        <v>65</v>
      </c>
    </row>
    <row r="48" spans="1:27">
      <c r="E48" s="105">
        <v>40591</v>
      </c>
      <c r="F48" s="97">
        <f>E48-U44</f>
        <v>155</v>
      </c>
      <c r="G48" s="113">
        <f>F48/30.5</f>
        <v>5.081967213114754</v>
      </c>
      <c r="H48" s="100">
        <f t="shared" ref="H48:H51" ca="1" si="20">TODAY()</f>
        <v>41254</v>
      </c>
      <c r="I48" s="66"/>
      <c r="J48" s="97">
        <f ca="1">H48-E51</f>
        <v>0</v>
      </c>
      <c r="K48" s="113">
        <f ca="1">J48/30.5</f>
        <v>0</v>
      </c>
    </row>
    <row r="49" spans="5:11">
      <c r="E49" s="105">
        <v>40697</v>
      </c>
      <c r="F49" s="97">
        <f t="shared" ref="F49:F51" si="21">E49-E48</f>
        <v>106</v>
      </c>
      <c r="G49" s="113">
        <f t="shared" ref="G49:G51" si="22">F49/30.5</f>
        <v>3.4754098360655736</v>
      </c>
      <c r="H49" s="100">
        <f t="shared" ca="1" si="20"/>
        <v>41254</v>
      </c>
      <c r="I49" s="66"/>
      <c r="J49" s="97">
        <f ca="1">H49-H48</f>
        <v>0</v>
      </c>
      <c r="K49" s="113">
        <f ca="1">J49/30.5</f>
        <v>0</v>
      </c>
    </row>
    <row r="50" spans="5:11">
      <c r="E50" s="105">
        <v>40804</v>
      </c>
      <c r="F50" s="97">
        <f t="shared" si="21"/>
        <v>107</v>
      </c>
      <c r="G50" s="113">
        <f t="shared" si="22"/>
        <v>3.5081967213114753</v>
      </c>
      <c r="H50" s="100">
        <f t="shared" ca="1" si="20"/>
        <v>41254</v>
      </c>
      <c r="I50" s="66"/>
      <c r="J50" s="97">
        <f ca="1">H50-H49</f>
        <v>0</v>
      </c>
      <c r="K50" s="113">
        <f ca="1">J50/30.5</f>
        <v>0</v>
      </c>
    </row>
    <row r="51" spans="5:11" ht="13.5" thickBot="1">
      <c r="E51" s="106">
        <f t="shared" ref="E51" ca="1" si="23">TODAY()</f>
        <v>41254</v>
      </c>
      <c r="F51" s="107">
        <f t="shared" ca="1" si="21"/>
        <v>450</v>
      </c>
      <c r="G51" s="114">
        <f t="shared" ca="1" si="22"/>
        <v>14.754098360655737</v>
      </c>
      <c r="H51" s="109">
        <f t="shared" ca="1" si="20"/>
        <v>41254</v>
      </c>
      <c r="I51" s="157"/>
      <c r="J51" s="107">
        <f ca="1">H51-H50</f>
        <v>0</v>
      </c>
      <c r="K51" s="114">
        <f ca="1">J51/30.5</f>
        <v>0</v>
      </c>
    </row>
    <row r="52" spans="5:11" ht="13.5" thickTop="1"/>
  </sheetData>
  <mergeCells count="15">
    <mergeCell ref="U40:W40"/>
    <mergeCell ref="E46:G46"/>
    <mergeCell ref="H46:K46"/>
    <mergeCell ref="C40:D40"/>
    <mergeCell ref="E40:G40"/>
    <mergeCell ref="H40:K40"/>
    <mergeCell ref="L40:N40"/>
    <mergeCell ref="O40:Q40"/>
    <mergeCell ref="R40:T40"/>
    <mergeCell ref="K1:L1"/>
    <mergeCell ref="T9:V9"/>
    <mergeCell ref="R15:S15"/>
    <mergeCell ref="G39:I39"/>
    <mergeCell ref="J39:K39"/>
    <mergeCell ref="N39:O39"/>
  </mergeCells>
  <conditionalFormatting sqref="F3:G14">
    <cfRule type="expression" dxfId="7" priority="9">
      <formula>B3=""</formula>
    </cfRule>
  </conditionalFormatting>
  <conditionalFormatting sqref="D3:E14">
    <cfRule type="iconSet" priority="4">
      <iconSet iconSet="4TrafficLights" reverse="1">
        <cfvo type="percent" val="0"/>
        <cfvo type="num" val="150"/>
        <cfvo type="num" val="300"/>
        <cfvo type="num" val="600"/>
      </iconSet>
    </cfRule>
  </conditionalFormatting>
  <conditionalFormatting sqref="H3:H14">
    <cfRule type="iconSet" priority="3">
      <iconSet iconSet="4TrafficLights" reverse="1">
        <cfvo type="percent" val="0"/>
        <cfvo type="num" val="300"/>
        <cfvo type="num" val="600"/>
        <cfvo type="num" val="1200"/>
      </iconSet>
    </cfRule>
  </conditionalFormatting>
  <conditionalFormatting sqref="R15">
    <cfRule type="colorScale" priority="1">
      <colorScale>
        <cfvo type="num" val="700"/>
        <cfvo type="num" val="800"/>
        <cfvo type="num" val="90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B52"/>
  <sheetViews>
    <sheetView workbookViewId="0">
      <selection activeCell="T17" sqref="T17"/>
    </sheetView>
  </sheetViews>
  <sheetFormatPr baseColWidth="10" defaultColWidth="11.42578125" defaultRowHeight="12.75"/>
  <cols>
    <col min="1" max="1" width="10.28515625" customWidth="1"/>
    <col min="2" max="2" width="9.140625" customWidth="1"/>
    <col min="3" max="3" width="9.28515625" customWidth="1"/>
    <col min="4" max="4" width="10.42578125" customWidth="1"/>
    <col min="5" max="5" width="10.7109375" customWidth="1"/>
    <col min="6" max="7" width="6.140625" bestFit="1" customWidth="1"/>
    <col min="8" max="8" width="7.7109375" customWidth="1"/>
    <col min="9" max="9" width="6.140625" hidden="1" customWidth="1"/>
    <col min="10" max="10" width="7.7109375" customWidth="1"/>
    <col min="11" max="11" width="8.42578125" customWidth="1"/>
    <col min="12" max="12" width="8.140625" customWidth="1"/>
    <col min="13" max="13" width="10.140625" customWidth="1"/>
    <col min="14" max="14" width="8.7109375" customWidth="1"/>
    <col min="15" max="15" width="6.5703125" customWidth="1"/>
    <col min="16" max="17" width="7.85546875" customWidth="1"/>
    <col min="18" max="18" width="8.85546875" customWidth="1"/>
    <col min="19" max="19" width="7.5703125" bestFit="1" customWidth="1"/>
    <col min="20" max="22" width="9.28515625" bestFit="1" customWidth="1"/>
    <col min="23" max="23" width="10.140625" bestFit="1" customWidth="1"/>
    <col min="24" max="24" width="9.85546875" bestFit="1" customWidth="1"/>
  </cols>
  <sheetData>
    <row r="1" spans="1:28" ht="38.25" customHeight="1">
      <c r="A1" s="5" t="s">
        <v>1</v>
      </c>
      <c r="B1" s="168" t="s">
        <v>2</v>
      </c>
      <c r="C1" s="168" t="s">
        <v>3</v>
      </c>
      <c r="D1" s="168" t="s">
        <v>4</v>
      </c>
      <c r="E1" s="168" t="s">
        <v>5</v>
      </c>
      <c r="F1" s="168" t="s">
        <v>21</v>
      </c>
      <c r="G1" s="168" t="s">
        <v>22</v>
      </c>
      <c r="H1" s="168" t="s">
        <v>13</v>
      </c>
      <c r="I1" s="168"/>
      <c r="J1" s="168" t="s">
        <v>37</v>
      </c>
      <c r="K1" s="350" t="s">
        <v>7</v>
      </c>
      <c r="L1" s="350"/>
      <c r="M1" s="19" t="s">
        <v>8</v>
      </c>
      <c r="N1" s="19" t="s">
        <v>36</v>
      </c>
      <c r="O1" s="24" t="s">
        <v>14</v>
      </c>
      <c r="P1" s="24" t="s">
        <v>9</v>
      </c>
      <c r="Q1" s="24" t="s">
        <v>10</v>
      </c>
      <c r="R1" s="26" t="s">
        <v>11</v>
      </c>
      <c r="S1" s="27" t="s">
        <v>12</v>
      </c>
      <c r="T1" s="33" t="s">
        <v>61</v>
      </c>
      <c r="U1" s="33" t="s">
        <v>63</v>
      </c>
      <c r="V1" s="33" t="s">
        <v>62</v>
      </c>
      <c r="Z1" s="152" t="s">
        <v>88</v>
      </c>
      <c r="AA1" s="152" t="s">
        <v>89</v>
      </c>
    </row>
    <row r="2" spans="1:28" hidden="1">
      <c r="A2" s="7">
        <v>39445</v>
      </c>
      <c r="B2" s="1">
        <v>10321</v>
      </c>
      <c r="C2" s="1">
        <v>10625</v>
      </c>
      <c r="D2" s="73">
        <f ca="1">TODAY()</f>
        <v>41254</v>
      </c>
      <c r="E2" s="1"/>
      <c r="F2" s="1"/>
      <c r="G2" s="1"/>
      <c r="H2" s="1"/>
      <c r="I2" s="1"/>
      <c r="J2" s="1"/>
      <c r="K2" s="1"/>
      <c r="L2" s="1"/>
      <c r="M2" s="20"/>
      <c r="N2" s="20"/>
      <c r="O2" s="3">
        <v>109.06</v>
      </c>
      <c r="P2" s="1">
        <v>6.6100000000000006E-2</v>
      </c>
      <c r="Q2" s="1">
        <v>0.1085</v>
      </c>
      <c r="R2" s="1"/>
      <c r="S2" s="1"/>
    </row>
    <row r="3" spans="1:28" ht="13.5" thickBot="1">
      <c r="A3" s="7">
        <v>39476</v>
      </c>
      <c r="B3" s="1">
        <v>10820</v>
      </c>
      <c r="C3" s="1">
        <v>11148</v>
      </c>
      <c r="D3" s="17">
        <f>IF(B3-B2&lt;=0,0,B3-B2)</f>
        <v>499</v>
      </c>
      <c r="E3" s="17">
        <f t="shared" ref="E3:E14" si="0">IF(C3-C2&lt;=0,0.00000001,C3-C2)</f>
        <v>523</v>
      </c>
      <c r="F3" s="158">
        <f>D3-'2007'!D3</f>
        <v>-52</v>
      </c>
      <c r="G3" s="158">
        <f>E3-'2007'!E3</f>
        <v>-113</v>
      </c>
      <c r="H3" s="17">
        <f>D3+E3</f>
        <v>1022</v>
      </c>
      <c r="I3" s="2">
        <f ca="1">IF(A3&gt;$D$2,$D$2-A2,A3-A2)</f>
        <v>31</v>
      </c>
      <c r="J3" s="3">
        <f ca="1">H3/I3</f>
        <v>32.967741935483872</v>
      </c>
      <c r="K3" s="36">
        <f t="shared" ref="K3:K14" si="1">D3/H3</f>
        <v>0.48825831702544031</v>
      </c>
      <c r="L3" s="36">
        <f t="shared" ref="L3:L14" si="2">E3/H3</f>
        <v>0.51174168297455969</v>
      </c>
      <c r="M3" s="37"/>
      <c r="N3" s="37">
        <f>IF(D3=0,"",1/(H3/(H3-'2007'!H3)))</f>
        <v>-0.16144814090019569</v>
      </c>
      <c r="O3" s="3">
        <f>$T$4/12</f>
        <v>9.0883333333333329</v>
      </c>
      <c r="P3" s="3">
        <f>D3*$U$4</f>
        <v>39.121600000000001</v>
      </c>
      <c r="Q3" s="3">
        <f>E3*$V$4</f>
        <v>64.590500000000006</v>
      </c>
      <c r="R3" s="30">
        <f>SUM(O3:Q3)</f>
        <v>112.80043333333333</v>
      </c>
      <c r="S3" s="31">
        <f>R3</f>
        <v>112.80043333333333</v>
      </c>
      <c r="T3" s="96">
        <f>(T6-T4)/T4</f>
        <v>0</v>
      </c>
      <c r="U3" s="96">
        <f>(U6-U4)/U4</f>
        <v>0.11607142857142853</v>
      </c>
      <c r="V3" s="96">
        <f>(V6-V4)/V4</f>
        <v>4.6963562753036432E-2</v>
      </c>
      <c r="Y3" s="91">
        <v>40404</v>
      </c>
      <c r="Z3" s="147">
        <v>47.1</v>
      </c>
      <c r="AA3" s="147"/>
    </row>
    <row r="4" spans="1:28" ht="14.25" thickTop="1" thickBot="1">
      <c r="A4" s="7">
        <v>39507</v>
      </c>
      <c r="B4" s="35">
        <v>11398</v>
      </c>
      <c r="C4" s="35">
        <v>11731</v>
      </c>
      <c r="D4" s="17">
        <f>IF(B4-B3&lt;=0,0,B4-B3)</f>
        <v>578</v>
      </c>
      <c r="E4" s="17">
        <f t="shared" si="0"/>
        <v>583</v>
      </c>
      <c r="F4" s="158">
        <f>D4-'2007'!D4</f>
        <v>99</v>
      </c>
      <c r="G4" s="158">
        <f>E4-'2007'!E4</f>
        <v>104</v>
      </c>
      <c r="H4" s="17">
        <f t="shared" ref="H4:H14" si="3">D4+E4</f>
        <v>1161</v>
      </c>
      <c r="I4" s="2">
        <f ca="1">IF(A4&gt;$D$2,$D$2-A3,A4-A3)</f>
        <v>31</v>
      </c>
      <c r="J4" s="3">
        <f ca="1">H4/(I4+I3)</f>
        <v>18.725806451612904</v>
      </c>
      <c r="K4" s="36">
        <f t="shared" si="1"/>
        <v>0.49784668389319553</v>
      </c>
      <c r="L4" s="36">
        <f t="shared" si="2"/>
        <v>0.50215331610680447</v>
      </c>
      <c r="M4" s="37">
        <f>IF(D4=0,"",1/(H3/(H4-H3)))</f>
        <v>0.13600782778864973</v>
      </c>
      <c r="N4" s="37">
        <f>IF(D4=0,"",1/(H4/(H4-'2007'!H4)))</f>
        <v>0.17484926787252367</v>
      </c>
      <c r="O4" s="3">
        <f>$T$5/12</f>
        <v>9.0883333333333329</v>
      </c>
      <c r="P4" s="3">
        <f>D4*$U$5</f>
        <v>49.9392</v>
      </c>
      <c r="Q4" s="3">
        <f>E4*$V$5</f>
        <v>74.332499999999996</v>
      </c>
      <c r="R4" s="30">
        <f>SUM(O4:Q4)</f>
        <v>133.36003333333332</v>
      </c>
      <c r="S4" s="31">
        <f t="shared" ref="S4:S14" si="4">S3+R4</f>
        <v>246.16046666666665</v>
      </c>
      <c r="T4" s="173">
        <f>O2</f>
        <v>109.06</v>
      </c>
      <c r="U4" s="149">
        <v>7.8399999999999997E-2</v>
      </c>
      <c r="V4" s="149">
        <v>0.1235</v>
      </c>
      <c r="W4" s="122">
        <v>40405</v>
      </c>
      <c r="Y4" s="91">
        <v>40431</v>
      </c>
      <c r="Z4" s="147">
        <v>46</v>
      </c>
      <c r="AA4" s="147"/>
      <c r="AB4" s="153">
        <f>Y4-Y3</f>
        <v>27</v>
      </c>
    </row>
    <row r="5" spans="1:28" ht="14.25" thickTop="1" thickBot="1">
      <c r="A5" s="7">
        <v>39536</v>
      </c>
      <c r="B5" s="35">
        <v>12055</v>
      </c>
      <c r="C5" s="35">
        <v>12567</v>
      </c>
      <c r="D5" s="17">
        <f>IF(B5-B4&lt;=0,0,B5-B4)</f>
        <v>657</v>
      </c>
      <c r="E5" s="17">
        <f t="shared" si="0"/>
        <v>836</v>
      </c>
      <c r="F5" s="158">
        <f>D5-'2007'!D5</f>
        <v>120</v>
      </c>
      <c r="G5" s="158">
        <f>E5-'2007'!E5</f>
        <v>252</v>
      </c>
      <c r="H5" s="17">
        <f t="shared" si="3"/>
        <v>1493</v>
      </c>
      <c r="I5" s="2">
        <f ca="1">IF(A5&gt;$D$2,$D$2-A4,A5-A4)</f>
        <v>29</v>
      </c>
      <c r="J5" s="3">
        <f ca="1">H5/(I5+I4)</f>
        <v>24.883333333333333</v>
      </c>
      <c r="K5" s="36">
        <f t="shared" si="1"/>
        <v>0.44005358338914935</v>
      </c>
      <c r="L5" s="36">
        <f t="shared" si="2"/>
        <v>0.55994641661085065</v>
      </c>
      <c r="M5" s="37">
        <f t="shared" ref="M5:M14" si="5">IF(D5=0,"",1/(H4/(H5-H4)))</f>
        <v>0.2859603789836348</v>
      </c>
      <c r="N5" s="37">
        <f>IF(D5=0,"",1/(H5/(H5-'2007'!H5)))</f>
        <v>0.24916275954454117</v>
      </c>
      <c r="O5" s="3">
        <f t="shared" ref="O5:O8" si="6">$T$5/12</f>
        <v>9.0883333333333329</v>
      </c>
      <c r="P5" s="3">
        <f>D5*$U$5</f>
        <v>56.764800000000001</v>
      </c>
      <c r="Q5" s="3">
        <f>E5*$V$5</f>
        <v>106.59</v>
      </c>
      <c r="R5" s="30">
        <f>SUM(O5:Q5)</f>
        <v>172.44313333333332</v>
      </c>
      <c r="S5" s="31">
        <f t="shared" si="4"/>
        <v>418.60359999999997</v>
      </c>
      <c r="T5" s="173">
        <f>T4</f>
        <v>109.06</v>
      </c>
      <c r="U5" s="149">
        <v>8.6400000000000005E-2</v>
      </c>
      <c r="V5" s="149">
        <v>0.1275</v>
      </c>
      <c r="W5" s="122">
        <v>40575</v>
      </c>
      <c r="Y5" s="91">
        <v>40449</v>
      </c>
      <c r="Z5" s="147">
        <v>48</v>
      </c>
      <c r="AA5" s="147"/>
      <c r="AB5" s="153">
        <f>Y5-Y4</f>
        <v>18</v>
      </c>
    </row>
    <row r="6" spans="1:28" ht="14.25" thickTop="1" thickBot="1">
      <c r="A6" s="7">
        <v>39567</v>
      </c>
      <c r="B6" s="35">
        <v>12555</v>
      </c>
      <c r="C6" s="35">
        <v>13086</v>
      </c>
      <c r="D6" s="17">
        <f t="shared" ref="D6:D14" si="7">IF(B6-B5&lt;=0,0,B6-B5)</f>
        <v>500</v>
      </c>
      <c r="E6" s="17">
        <f t="shared" si="0"/>
        <v>519</v>
      </c>
      <c r="F6" s="158">
        <f>D6-'2007'!D6</f>
        <v>109</v>
      </c>
      <c r="G6" s="158">
        <f>E6-'2007'!E6</f>
        <v>151</v>
      </c>
      <c r="H6" s="17">
        <f t="shared" si="3"/>
        <v>1019</v>
      </c>
      <c r="I6" s="2">
        <f t="shared" ref="I6:I14" ca="1" si="8">IF($D$2&gt;A5,IF($D$2&gt;A6,A6-A5,$D$2-A5),1)</f>
        <v>31</v>
      </c>
      <c r="J6" s="3">
        <f t="shared" ref="J6:J14" ca="1" si="9">H6/I6</f>
        <v>32.87096774193548</v>
      </c>
      <c r="K6" s="36">
        <f t="shared" si="1"/>
        <v>0.49067713444553485</v>
      </c>
      <c r="L6" s="36">
        <f t="shared" si="2"/>
        <v>0.50932286555446515</v>
      </c>
      <c r="M6" s="37">
        <f t="shared" si="5"/>
        <v>-0.31748158070997989</v>
      </c>
      <c r="N6" s="37">
        <f>IF(D6=0,"",1/(H6/(H6-'2007'!H6)))</f>
        <v>0.25515210991167814</v>
      </c>
      <c r="O6" s="3">
        <f t="shared" si="6"/>
        <v>9.0883333333333329</v>
      </c>
      <c r="P6" s="3">
        <f>D6*$U$5</f>
        <v>43.2</v>
      </c>
      <c r="Q6" s="3">
        <f>E6*$V$5</f>
        <v>66.172499999999999</v>
      </c>
      <c r="R6" s="30">
        <f t="shared" ref="R6:R14" si="10">SUM(O6:Q6)</f>
        <v>118.46083333333334</v>
      </c>
      <c r="S6" s="31">
        <f t="shared" si="4"/>
        <v>537.06443333333334</v>
      </c>
      <c r="T6" s="173">
        <f>T5</f>
        <v>109.06</v>
      </c>
      <c r="U6" s="162">
        <v>8.7499999999999994E-2</v>
      </c>
      <c r="V6" s="162">
        <v>0.1293</v>
      </c>
      <c r="W6" s="122">
        <v>40725</v>
      </c>
      <c r="Y6" s="91">
        <v>40455</v>
      </c>
      <c r="Z6" s="147">
        <v>40</v>
      </c>
      <c r="AA6" s="147"/>
      <c r="AB6" s="153">
        <f>Y6-Y5</f>
        <v>6</v>
      </c>
    </row>
    <row r="7" spans="1:28">
      <c r="A7" s="7">
        <v>39597</v>
      </c>
      <c r="B7" s="72">
        <v>12785</v>
      </c>
      <c r="C7" s="35">
        <v>13254</v>
      </c>
      <c r="D7" s="17">
        <f t="shared" si="7"/>
        <v>230</v>
      </c>
      <c r="E7" s="17">
        <f t="shared" si="0"/>
        <v>168</v>
      </c>
      <c r="F7" s="158">
        <f>D7-'2007'!D7</f>
        <v>3</v>
      </c>
      <c r="G7" s="158">
        <f>E7-'2007'!E7</f>
        <v>18</v>
      </c>
      <c r="H7" s="17">
        <f t="shared" si="3"/>
        <v>398</v>
      </c>
      <c r="I7" s="2">
        <f t="shared" ca="1" si="8"/>
        <v>30</v>
      </c>
      <c r="J7" s="3">
        <f t="shared" ca="1" si="9"/>
        <v>13.266666666666667</v>
      </c>
      <c r="K7" s="36">
        <f t="shared" si="1"/>
        <v>0.57788944723618085</v>
      </c>
      <c r="L7" s="36">
        <f t="shared" si="2"/>
        <v>0.42211055276381909</v>
      </c>
      <c r="M7" s="37">
        <f t="shared" si="5"/>
        <v>-0.60942100098135432</v>
      </c>
      <c r="N7" s="37">
        <f>IF(D7=0,"",1/(H7/(H7-'2007'!H7)))</f>
        <v>5.2763819095477386E-2</v>
      </c>
      <c r="O7" s="3">
        <f t="shared" si="6"/>
        <v>9.0883333333333329</v>
      </c>
      <c r="P7" s="3">
        <f>D7*$U$5</f>
        <v>19.872</v>
      </c>
      <c r="Q7" s="3">
        <f>E7*$V$5</f>
        <v>21.42</v>
      </c>
      <c r="R7" s="30">
        <f t="shared" si="10"/>
        <v>50.380333333333333</v>
      </c>
      <c r="S7" s="31">
        <f t="shared" si="4"/>
        <v>587.44476666666662</v>
      </c>
      <c r="Y7" s="91">
        <v>40465</v>
      </c>
      <c r="Z7" s="147">
        <v>33</v>
      </c>
      <c r="AA7" s="147"/>
      <c r="AB7" s="153">
        <f t="shared" ref="AB7:AB12" si="11">Y7-Y6</f>
        <v>10</v>
      </c>
    </row>
    <row r="8" spans="1:28">
      <c r="A8" s="7">
        <v>39628</v>
      </c>
      <c r="B8" s="72">
        <v>12999</v>
      </c>
      <c r="C8" s="35">
        <v>13408</v>
      </c>
      <c r="D8" s="17">
        <f t="shared" si="7"/>
        <v>214</v>
      </c>
      <c r="E8" s="17">
        <f t="shared" si="0"/>
        <v>154</v>
      </c>
      <c r="F8" s="158">
        <f>D8-'2007'!D8</f>
        <v>2</v>
      </c>
      <c r="G8" s="158">
        <f>E8-'2007'!E8</f>
        <v>-1</v>
      </c>
      <c r="H8" s="17">
        <f t="shared" si="3"/>
        <v>368</v>
      </c>
      <c r="I8" s="2">
        <f t="shared" ca="1" si="8"/>
        <v>31</v>
      </c>
      <c r="J8" s="3">
        <f t="shared" ca="1" si="9"/>
        <v>11.870967741935484</v>
      </c>
      <c r="K8" s="36">
        <f t="shared" si="1"/>
        <v>0.58152173913043481</v>
      </c>
      <c r="L8" s="36">
        <f t="shared" si="2"/>
        <v>0.41847826086956524</v>
      </c>
      <c r="M8" s="37">
        <f t="shared" si="5"/>
        <v>-7.5376884422110546E-2</v>
      </c>
      <c r="N8" s="37">
        <f>IF(D8=0,"",1/(H8/(H8-'2007'!H8)))</f>
        <v>2.717391304347826E-3</v>
      </c>
      <c r="O8" s="3">
        <f t="shared" si="6"/>
        <v>9.0883333333333329</v>
      </c>
      <c r="P8" s="3">
        <f>D8*$U$5</f>
        <v>18.489599999999999</v>
      </c>
      <c r="Q8" s="3">
        <f>E8*$V$5</f>
        <v>19.635000000000002</v>
      </c>
      <c r="R8" s="30">
        <f t="shared" si="10"/>
        <v>47.212933333333339</v>
      </c>
      <c r="S8" s="31">
        <f t="shared" si="4"/>
        <v>634.65769999999998</v>
      </c>
      <c r="Y8" s="91">
        <v>40484</v>
      </c>
      <c r="Z8" s="147">
        <v>50</v>
      </c>
      <c r="AA8" s="147"/>
      <c r="AB8" s="153">
        <f t="shared" si="11"/>
        <v>19</v>
      </c>
    </row>
    <row r="9" spans="1:28">
      <c r="A9" s="7">
        <v>39658</v>
      </c>
      <c r="B9" s="72">
        <v>13167</v>
      </c>
      <c r="C9" s="35">
        <v>13572</v>
      </c>
      <c r="D9" s="17">
        <f t="shared" si="7"/>
        <v>168</v>
      </c>
      <c r="E9" s="17">
        <f t="shared" si="0"/>
        <v>164</v>
      </c>
      <c r="F9" s="158">
        <f>D9-'2007'!D9</f>
        <v>-8</v>
      </c>
      <c r="G9" s="158">
        <f>E9-'2007'!E9</f>
        <v>17</v>
      </c>
      <c r="H9" s="17">
        <f t="shared" si="3"/>
        <v>332</v>
      </c>
      <c r="I9" s="2">
        <f t="shared" ca="1" si="8"/>
        <v>30</v>
      </c>
      <c r="J9" s="3">
        <f t="shared" ca="1" si="9"/>
        <v>11.066666666666666</v>
      </c>
      <c r="K9" s="36">
        <f t="shared" si="1"/>
        <v>0.50602409638554213</v>
      </c>
      <c r="L9" s="36">
        <f t="shared" si="2"/>
        <v>0.49397590361445781</v>
      </c>
      <c r="M9" s="37">
        <f t="shared" si="5"/>
        <v>-9.7826086956521743E-2</v>
      </c>
      <c r="N9" s="37">
        <f>IF(D9=0,"",1/(H9/(H9-'2007'!H9)))</f>
        <v>2.7108433734939763E-2</v>
      </c>
      <c r="O9" s="3">
        <f>$T$6/12</f>
        <v>9.0883333333333329</v>
      </c>
      <c r="P9" s="3">
        <f t="shared" ref="P9:P14" si="12">D9*$U$6</f>
        <v>14.7</v>
      </c>
      <c r="Q9" s="3">
        <f t="shared" ref="Q9:Q14" si="13">E9*$V$6</f>
        <v>21.205200000000001</v>
      </c>
      <c r="R9" s="30">
        <f t="shared" si="10"/>
        <v>44.993533333333332</v>
      </c>
      <c r="S9" s="31">
        <f t="shared" si="4"/>
        <v>679.65123333333327</v>
      </c>
      <c r="T9" s="354" t="s">
        <v>59</v>
      </c>
      <c r="U9" s="355"/>
      <c r="V9" s="355"/>
      <c r="W9" s="124"/>
      <c r="X9" s="32"/>
      <c r="Y9" s="91">
        <v>40507</v>
      </c>
      <c r="Z9" s="169">
        <v>45</v>
      </c>
      <c r="AA9" s="169"/>
      <c r="AB9" s="153">
        <f t="shared" si="11"/>
        <v>23</v>
      </c>
    </row>
    <row r="10" spans="1:28">
      <c r="A10" s="7">
        <f t="shared" ref="A10:A14" si="14">EDATE(A9,1)</f>
        <v>39689</v>
      </c>
      <c r="B10" s="1">
        <v>13345</v>
      </c>
      <c r="C10" s="1">
        <v>13749</v>
      </c>
      <c r="D10" s="17">
        <f t="shared" si="7"/>
        <v>178</v>
      </c>
      <c r="E10" s="17">
        <f t="shared" si="0"/>
        <v>177</v>
      </c>
      <c r="F10" s="158">
        <f>D10-'2007'!D10</f>
        <v>-16</v>
      </c>
      <c r="G10" s="158">
        <f>E10-'2007'!E10</f>
        <v>-4</v>
      </c>
      <c r="H10" s="17">
        <f t="shared" si="3"/>
        <v>355</v>
      </c>
      <c r="I10" s="2">
        <f t="shared" ca="1" si="8"/>
        <v>31</v>
      </c>
      <c r="J10" s="3">
        <f t="shared" ca="1" si="9"/>
        <v>11.451612903225806</v>
      </c>
      <c r="K10" s="36">
        <f t="shared" si="1"/>
        <v>0.50140845070422535</v>
      </c>
      <c r="L10" s="36">
        <f t="shared" si="2"/>
        <v>0.49859154929577465</v>
      </c>
      <c r="M10" s="37">
        <f t="shared" si="5"/>
        <v>6.9277108433734941E-2</v>
      </c>
      <c r="N10" s="37">
        <f>IF(D10=0,"",1/(H10/(H10-'2007'!H10)))</f>
        <v>-5.6338028169014086E-2</v>
      </c>
      <c r="O10" s="3">
        <f t="shared" ref="O10:O14" si="15">$T$6/12</f>
        <v>9.0883333333333329</v>
      </c>
      <c r="P10" s="3">
        <f t="shared" si="12"/>
        <v>15.574999999999999</v>
      </c>
      <c r="Q10" s="3">
        <f t="shared" si="13"/>
        <v>22.886099999999999</v>
      </c>
      <c r="R10" s="30">
        <f t="shared" si="10"/>
        <v>47.549433333333333</v>
      </c>
      <c r="S10" s="31">
        <f t="shared" si="4"/>
        <v>727.20066666666662</v>
      </c>
      <c r="T10">
        <v>2006</v>
      </c>
      <c r="U10" s="93">
        <v>121</v>
      </c>
      <c r="V10" s="32">
        <f t="shared" ref="V10:V15" si="16">(U10*1000)/365</f>
        <v>331.50684931506851</v>
      </c>
      <c r="W10" s="32"/>
      <c r="X10" s="32"/>
      <c r="Y10" s="91">
        <v>40522</v>
      </c>
      <c r="Z10" s="169">
        <v>45</v>
      </c>
      <c r="AA10" s="169"/>
      <c r="AB10" s="153">
        <f t="shared" si="11"/>
        <v>15</v>
      </c>
    </row>
    <row r="11" spans="1:28">
      <c r="A11" s="7">
        <f t="shared" si="14"/>
        <v>39720</v>
      </c>
      <c r="B11" s="1">
        <v>13533</v>
      </c>
      <c r="C11" s="1">
        <v>13919</v>
      </c>
      <c r="D11" s="17">
        <f t="shared" si="7"/>
        <v>188</v>
      </c>
      <c r="E11" s="17">
        <f t="shared" si="0"/>
        <v>170</v>
      </c>
      <c r="F11" s="158">
        <f>D11-'2007'!D11</f>
        <v>-5</v>
      </c>
      <c r="G11" s="158">
        <f>E11-'2007'!E11</f>
        <v>8</v>
      </c>
      <c r="H11" s="17">
        <f t="shared" si="3"/>
        <v>358</v>
      </c>
      <c r="I11" s="2">
        <f t="shared" ca="1" si="8"/>
        <v>31</v>
      </c>
      <c r="J11" s="3">
        <f t="shared" ca="1" si="9"/>
        <v>11.548387096774194</v>
      </c>
      <c r="K11" s="36">
        <f t="shared" si="1"/>
        <v>0.52513966480446927</v>
      </c>
      <c r="L11" s="36">
        <f t="shared" si="2"/>
        <v>0.47486033519553073</v>
      </c>
      <c r="M11" s="37">
        <f t="shared" si="5"/>
        <v>8.4507042253521136E-3</v>
      </c>
      <c r="N11" s="37">
        <f>IF(D11=0,"",1/(H11/(H11-'2007'!H11)))</f>
        <v>8.3798882681564244E-3</v>
      </c>
      <c r="O11" s="3">
        <f t="shared" si="15"/>
        <v>9.0883333333333329</v>
      </c>
      <c r="P11" s="3">
        <f t="shared" si="12"/>
        <v>16.45</v>
      </c>
      <c r="Q11" s="3">
        <f t="shared" si="13"/>
        <v>21.980999999999998</v>
      </c>
      <c r="R11" s="30">
        <f t="shared" si="10"/>
        <v>47.519333333333336</v>
      </c>
      <c r="S11" s="31">
        <f t="shared" si="4"/>
        <v>774.71999999999991</v>
      </c>
      <c r="T11">
        <v>2007</v>
      </c>
      <c r="U11" s="93">
        <v>118</v>
      </c>
      <c r="V11" s="32">
        <f t="shared" si="16"/>
        <v>323.28767123287673</v>
      </c>
      <c r="X11" s="32"/>
      <c r="Y11" s="91">
        <v>40551</v>
      </c>
      <c r="Z11" s="169">
        <v>50</v>
      </c>
      <c r="AA11" s="169"/>
      <c r="AB11" s="153">
        <f t="shared" si="11"/>
        <v>29</v>
      </c>
    </row>
    <row r="12" spans="1:28">
      <c r="A12" s="7">
        <f t="shared" si="14"/>
        <v>39750</v>
      </c>
      <c r="B12" s="1">
        <v>13790</v>
      </c>
      <c r="C12" s="1">
        <v>14087</v>
      </c>
      <c r="D12" s="17">
        <f t="shared" si="7"/>
        <v>257</v>
      </c>
      <c r="E12" s="17">
        <f t="shared" si="0"/>
        <v>168</v>
      </c>
      <c r="F12" s="158">
        <f>D12-'2007'!D12</f>
        <v>7</v>
      </c>
      <c r="G12" s="158">
        <f>E12-'2007'!E12</f>
        <v>-15</v>
      </c>
      <c r="H12" s="17">
        <f t="shared" si="3"/>
        <v>425</v>
      </c>
      <c r="I12" s="2">
        <f t="shared" ca="1" si="8"/>
        <v>30</v>
      </c>
      <c r="J12" s="3">
        <f t="shared" ca="1" si="9"/>
        <v>14.166666666666666</v>
      </c>
      <c r="K12" s="36">
        <f t="shared" si="1"/>
        <v>0.6047058823529412</v>
      </c>
      <c r="L12" s="36">
        <f t="shared" si="2"/>
        <v>0.3952941176470588</v>
      </c>
      <c r="M12" s="37">
        <f t="shared" si="5"/>
        <v>0.18715083798882681</v>
      </c>
      <c r="N12" s="37">
        <f>IF(D12=0,"",1/(H12/(H12-'2007'!H12)))</f>
        <v>-1.8823529411764704E-2</v>
      </c>
      <c r="O12" s="3">
        <f t="shared" si="15"/>
        <v>9.0883333333333329</v>
      </c>
      <c r="P12" s="3">
        <f t="shared" si="12"/>
        <v>22.487499999999997</v>
      </c>
      <c r="Q12" s="3">
        <f t="shared" si="13"/>
        <v>21.7224</v>
      </c>
      <c r="R12" s="30">
        <f t="shared" si="10"/>
        <v>53.298233333333329</v>
      </c>
      <c r="S12" s="31">
        <f t="shared" si="4"/>
        <v>828.01823333333323</v>
      </c>
      <c r="T12">
        <v>2008</v>
      </c>
      <c r="U12" s="93">
        <v>116</v>
      </c>
      <c r="V12" s="32">
        <f t="shared" si="16"/>
        <v>317.8082191780822</v>
      </c>
      <c r="W12" s="143"/>
      <c r="X12" s="32"/>
      <c r="Y12" s="91">
        <v>40572</v>
      </c>
      <c r="Z12" s="169">
        <v>50</v>
      </c>
      <c r="AA12" s="169"/>
      <c r="AB12" s="153">
        <f t="shared" si="11"/>
        <v>21</v>
      </c>
    </row>
    <row r="13" spans="1:28">
      <c r="A13" s="7">
        <f t="shared" si="14"/>
        <v>39781</v>
      </c>
      <c r="B13" s="1">
        <v>14195</v>
      </c>
      <c r="C13" s="1">
        <v>14486</v>
      </c>
      <c r="D13" s="17">
        <f t="shared" si="7"/>
        <v>405</v>
      </c>
      <c r="E13" s="17">
        <f t="shared" si="0"/>
        <v>399</v>
      </c>
      <c r="F13" s="158">
        <f>D13-'2007'!D13</f>
        <v>-43</v>
      </c>
      <c r="G13" s="158">
        <f>E13-'2007'!E13</f>
        <v>-26</v>
      </c>
      <c r="H13" s="17">
        <f t="shared" si="3"/>
        <v>804</v>
      </c>
      <c r="I13" s="2">
        <f t="shared" ca="1" si="8"/>
        <v>31</v>
      </c>
      <c r="J13" s="3">
        <f t="shared" ca="1" si="9"/>
        <v>25.93548387096774</v>
      </c>
      <c r="K13" s="36">
        <f t="shared" si="1"/>
        <v>0.50373134328358204</v>
      </c>
      <c r="L13" s="36">
        <f t="shared" si="2"/>
        <v>0.4962686567164179</v>
      </c>
      <c r="M13" s="37">
        <f t="shared" si="5"/>
        <v>0.89176470588235301</v>
      </c>
      <c r="N13" s="37">
        <f>IF(D13=0,"",1/(H13/(H13-'2007'!H13)))</f>
        <v>-8.5820895522388058E-2</v>
      </c>
      <c r="O13" s="3">
        <f t="shared" si="15"/>
        <v>9.0883333333333329</v>
      </c>
      <c r="P13" s="3">
        <f t="shared" si="12"/>
        <v>35.4375</v>
      </c>
      <c r="Q13" s="3">
        <f t="shared" si="13"/>
        <v>51.590699999999998</v>
      </c>
      <c r="R13" s="30">
        <f t="shared" si="10"/>
        <v>96.116533333333336</v>
      </c>
      <c r="S13" s="31">
        <f t="shared" si="4"/>
        <v>924.13476666666656</v>
      </c>
      <c r="T13">
        <v>2009</v>
      </c>
      <c r="U13" s="93">
        <v>100</v>
      </c>
      <c r="V13" s="32">
        <f t="shared" si="16"/>
        <v>273.97260273972603</v>
      </c>
      <c r="X13" s="32"/>
      <c r="Y13" s="91">
        <v>40591</v>
      </c>
      <c r="Z13" s="169"/>
      <c r="AA13" s="169">
        <v>20.45</v>
      </c>
      <c r="AB13" s="153"/>
    </row>
    <row r="14" spans="1:28" ht="13.5" thickBot="1">
      <c r="A14" s="7">
        <f t="shared" si="14"/>
        <v>39811</v>
      </c>
      <c r="B14" s="1">
        <v>14786</v>
      </c>
      <c r="C14" s="1">
        <v>15248</v>
      </c>
      <c r="D14" s="17">
        <f t="shared" si="7"/>
        <v>591</v>
      </c>
      <c r="E14" s="17">
        <f t="shared" si="0"/>
        <v>762</v>
      </c>
      <c r="F14" s="295">
        <f>D14-'2007'!D14</f>
        <v>65</v>
      </c>
      <c r="G14" s="158">
        <f>E14-'2007'!E14</f>
        <v>149</v>
      </c>
      <c r="H14" s="17">
        <f t="shared" si="3"/>
        <v>1353</v>
      </c>
      <c r="I14" s="2">
        <f t="shared" ca="1" si="8"/>
        <v>30</v>
      </c>
      <c r="J14" s="9">
        <f t="shared" ca="1" si="9"/>
        <v>45.1</v>
      </c>
      <c r="K14" s="38">
        <f t="shared" si="1"/>
        <v>0.43680709534368073</v>
      </c>
      <c r="L14" s="38">
        <f t="shared" si="2"/>
        <v>0.56319290465631933</v>
      </c>
      <c r="M14" s="37">
        <f t="shared" si="5"/>
        <v>0.68283582089552231</v>
      </c>
      <c r="N14" s="37">
        <f>IF(D14=0,"",1/(H14/(H14-'2007'!H14)))</f>
        <v>0.15816703621581671</v>
      </c>
      <c r="O14" s="3">
        <f t="shared" si="15"/>
        <v>9.0883333333333329</v>
      </c>
      <c r="P14" s="3">
        <f t="shared" si="12"/>
        <v>51.712499999999999</v>
      </c>
      <c r="Q14" s="3">
        <f t="shared" si="13"/>
        <v>98.526600000000002</v>
      </c>
      <c r="R14" s="30">
        <f t="shared" si="10"/>
        <v>159.32743333333332</v>
      </c>
      <c r="S14" s="31">
        <f t="shared" si="4"/>
        <v>1083.4621999999999</v>
      </c>
      <c r="T14">
        <v>2010</v>
      </c>
      <c r="U14" s="93">
        <v>86</v>
      </c>
      <c r="V14" s="32">
        <f t="shared" si="16"/>
        <v>235.61643835616439</v>
      </c>
      <c r="W14" s="147">
        <v>271.33</v>
      </c>
      <c r="X14" s="148">
        <f>W14/U14</f>
        <v>3.1549999999999998</v>
      </c>
      <c r="Y14" s="91">
        <v>40596</v>
      </c>
      <c r="Z14" s="169">
        <v>50</v>
      </c>
      <c r="AA14" s="169"/>
      <c r="AB14" s="153">
        <f>Y14-Y12</f>
        <v>24</v>
      </c>
    </row>
    <row r="15" spans="1:28" ht="17.25" thickTop="1" thickBot="1">
      <c r="A15" s="10" t="s">
        <v>0</v>
      </c>
      <c r="B15" s="92">
        <f>'2007'!C15</f>
        <v>8267</v>
      </c>
      <c r="C15" s="18">
        <f>D15+E15</f>
        <v>9088</v>
      </c>
      <c r="D15" s="18">
        <f>SUM(D3:D14)</f>
        <v>4465</v>
      </c>
      <c r="E15" s="18">
        <f>SUM(E3:E14)</f>
        <v>4623</v>
      </c>
      <c r="F15" s="310">
        <f>C15/12</f>
        <v>757.33333333333337</v>
      </c>
      <c r="G15" s="311" t="str">
        <f>" / mois"</f>
        <v xml:space="preserve"> / mois</v>
      </c>
      <c r="H15" s="18">
        <f>SUM(H3:H14)</f>
        <v>9088</v>
      </c>
      <c r="I15" s="14"/>
      <c r="J15" s="15">
        <f ca="1">AVERAGE(J3:J14)</f>
        <v>21.15452508960573</v>
      </c>
      <c r="K15" s="16">
        <f>D15/H15</f>
        <v>0.49130721830985913</v>
      </c>
      <c r="L15" s="16">
        <f>E15/H15</f>
        <v>0.50869278169014087</v>
      </c>
      <c r="M15" s="16"/>
      <c r="N15" s="16">
        <f>1/(B15/(C15-B15))</f>
        <v>9.9310511672916421E-2</v>
      </c>
      <c r="O15" s="15">
        <f>SUM(O3:O14)</f>
        <v>109.06000000000002</v>
      </c>
      <c r="P15" s="15">
        <f>SUM(P3:P14)</f>
        <v>383.74969999999996</v>
      </c>
      <c r="Q15" s="15">
        <f>SUM(Q3:Q14)</f>
        <v>590.65250000000003</v>
      </c>
      <c r="R15" s="356">
        <f>SUM(O15:Q15)</f>
        <v>1083.4621999999999</v>
      </c>
      <c r="S15" s="357"/>
      <c r="T15">
        <v>2011</v>
      </c>
      <c r="U15" s="93">
        <v>1</v>
      </c>
      <c r="V15" s="32">
        <f t="shared" si="16"/>
        <v>2.7397260273972601</v>
      </c>
      <c r="W15" s="147">
        <v>1</v>
      </c>
      <c r="X15" s="148">
        <f>W15/U15</f>
        <v>1</v>
      </c>
      <c r="Y15" s="91">
        <v>40620</v>
      </c>
      <c r="Z15" s="169">
        <v>50</v>
      </c>
      <c r="AA15" s="169"/>
      <c r="AB15" s="153">
        <f>Y15-Y14</f>
        <v>24</v>
      </c>
    </row>
    <row r="16" spans="1:28">
      <c r="U16" s="32"/>
      <c r="Y16" s="91">
        <v>40638</v>
      </c>
      <c r="Z16" s="169">
        <v>50</v>
      </c>
      <c r="AA16" s="169"/>
      <c r="AB16" s="153">
        <f t="shared" ref="AB16" si="17">Y16-Y14</f>
        <v>42</v>
      </c>
    </row>
    <row r="17" spans="12:28">
      <c r="U17" s="124"/>
      <c r="Y17" s="91">
        <v>40649</v>
      </c>
      <c r="Z17" s="169">
        <v>37.51</v>
      </c>
      <c r="AA17" s="169"/>
      <c r="AB17" s="153">
        <f t="shared" ref="AB17" si="18">Y17-Y16</f>
        <v>11</v>
      </c>
    </row>
    <row r="18" spans="12:28">
      <c r="Y18" s="91">
        <v>40665</v>
      </c>
      <c r="Z18" s="169">
        <v>50</v>
      </c>
      <c r="AA18" s="169"/>
      <c r="AB18" s="153">
        <f t="shared" ref="AB18" si="19">Y18-Y16</f>
        <v>27</v>
      </c>
    </row>
    <row r="19" spans="12:28">
      <c r="Y19" s="91"/>
      <c r="Z19" s="169"/>
      <c r="AA19" s="169"/>
    </row>
    <row r="20" spans="12:28">
      <c r="U20" t="s">
        <v>90</v>
      </c>
      <c r="Y20" s="91"/>
      <c r="Z20" s="169"/>
      <c r="AA20" s="169"/>
    </row>
    <row r="21" spans="12:28">
      <c r="U21">
        <v>2187</v>
      </c>
    </row>
    <row r="22" spans="12:28">
      <c r="U22">
        <v>2250</v>
      </c>
    </row>
    <row r="23" spans="12:28">
      <c r="U23">
        <v>2333</v>
      </c>
    </row>
    <row r="26" spans="12:28">
      <c r="L26" s="12"/>
    </row>
    <row r="28" spans="12:28">
      <c r="Y28" s="91"/>
      <c r="Z28" s="169"/>
      <c r="AA28" s="169"/>
    </row>
    <row r="29" spans="12:28">
      <c r="Y29" s="91"/>
      <c r="Z29" s="169"/>
      <c r="AA29" s="169"/>
    </row>
    <row r="30" spans="12:28">
      <c r="Y30" s="91"/>
      <c r="Z30" s="169"/>
      <c r="AA30" s="169"/>
    </row>
    <row r="31" spans="12:28">
      <c r="Y31" s="91"/>
      <c r="Z31" s="169"/>
      <c r="AA31" s="169"/>
    </row>
    <row r="32" spans="12:28">
      <c r="Y32" s="91"/>
      <c r="Z32" s="169"/>
      <c r="AA32" s="169"/>
    </row>
    <row r="33" spans="1:27">
      <c r="Y33" s="91"/>
      <c r="Z33" s="169"/>
      <c r="AA33" s="169"/>
    </row>
    <row r="34" spans="1:27">
      <c r="E34" s="39"/>
      <c r="Y34" s="91"/>
      <c r="Z34" s="169"/>
      <c r="AA34" s="169"/>
    </row>
    <row r="35" spans="1:27" ht="13.5" thickBot="1">
      <c r="Y35" s="91"/>
      <c r="Z35" s="169"/>
      <c r="AA35" s="169"/>
    </row>
    <row r="36" spans="1:27">
      <c r="C36" s="83" t="s">
        <v>58</v>
      </c>
      <c r="D36" s="84" t="s">
        <v>56</v>
      </c>
      <c r="E36" s="85" t="s">
        <v>57</v>
      </c>
      <c r="Y36" s="91"/>
      <c r="Z36" s="169"/>
      <c r="AA36" s="169"/>
    </row>
    <row r="37" spans="1:27">
      <c r="A37" t="s">
        <v>53</v>
      </c>
      <c r="C37" s="86">
        <f>D37+E37</f>
        <v>4472</v>
      </c>
      <c r="D37" s="87">
        <f>AVERAGE(D8,D9,D11,D12,D7,D10)*12</f>
        <v>2470</v>
      </c>
      <c r="E37" s="88">
        <f>AVERAGE(E8,E9,E11,E12,E7,E10)*12</f>
        <v>2002</v>
      </c>
      <c r="L37" s="261"/>
      <c r="M37" s="261"/>
      <c r="Y37" s="91"/>
      <c r="Z37" s="169"/>
      <c r="AA37" s="169"/>
    </row>
    <row r="38" spans="1:27">
      <c r="A38" t="s">
        <v>54</v>
      </c>
      <c r="C38" s="86">
        <f>D38+E38</f>
        <v>4616</v>
      </c>
      <c r="D38" s="87">
        <f>D15-D37</f>
        <v>1995</v>
      </c>
      <c r="E38" s="88">
        <f>E15-E37</f>
        <v>2621</v>
      </c>
      <c r="Y38" s="91"/>
      <c r="Z38" s="169"/>
      <c r="AA38" s="169"/>
    </row>
    <row r="39" spans="1:27" ht="13.5" thickBot="1">
      <c r="A39" s="74" t="s">
        <v>55</v>
      </c>
      <c r="B39" s="75">
        <f>'2007'!C39</f>
        <v>338.31180000000001</v>
      </c>
      <c r="C39" s="90">
        <f>D39+E39</f>
        <v>416.24799999999999</v>
      </c>
      <c r="D39" s="89">
        <f>D38*P2</f>
        <v>131.86950000000002</v>
      </c>
      <c r="E39" s="154">
        <f>E38*Q2</f>
        <v>284.37849999999997</v>
      </c>
      <c r="G39" s="349"/>
      <c r="H39" s="349"/>
      <c r="I39" s="349"/>
      <c r="J39" s="349"/>
      <c r="K39" s="349"/>
      <c r="M39" s="75"/>
      <c r="N39" s="353"/>
      <c r="O39" s="353"/>
      <c r="U39" s="123"/>
      <c r="Y39" s="91"/>
      <c r="Z39" s="169"/>
      <c r="AA39" s="169"/>
    </row>
    <row r="40" spans="1:27" ht="14.25" thickTop="1" thickBot="1">
      <c r="C40" s="366" t="s">
        <v>84</v>
      </c>
      <c r="D40" s="367"/>
      <c r="E40" s="368">
        <v>2005</v>
      </c>
      <c r="F40" s="369"/>
      <c r="G40" s="369"/>
      <c r="H40" s="363">
        <v>2006</v>
      </c>
      <c r="I40" s="364"/>
      <c r="J40" s="364"/>
      <c r="K40" s="365"/>
      <c r="L40" s="370">
        <v>2007</v>
      </c>
      <c r="M40" s="371"/>
      <c r="N40" s="372"/>
      <c r="O40" s="373">
        <v>2008</v>
      </c>
      <c r="P40" s="359"/>
      <c r="Q40" s="374"/>
      <c r="R40" s="358">
        <v>2009</v>
      </c>
      <c r="S40" s="359"/>
      <c r="T40" s="374"/>
      <c r="U40" s="358">
        <v>2010</v>
      </c>
      <c r="V40" s="359"/>
      <c r="W40" s="360"/>
      <c r="Y40" s="91"/>
      <c r="Z40" s="169"/>
      <c r="AA40" s="169"/>
    </row>
    <row r="41" spans="1:27" ht="13.5" thickTop="1">
      <c r="C41" s="98"/>
      <c r="D41" s="117" t="s">
        <v>66</v>
      </c>
      <c r="E41" s="105">
        <v>38597</v>
      </c>
      <c r="F41" s="101" t="s">
        <v>64</v>
      </c>
      <c r="G41" s="101" t="s">
        <v>65</v>
      </c>
      <c r="H41" s="137" t="s">
        <v>85</v>
      </c>
      <c r="I41" s="66"/>
      <c r="J41" s="101" t="s">
        <v>64</v>
      </c>
      <c r="K41" s="112" t="s">
        <v>65</v>
      </c>
      <c r="L41" s="137" t="s">
        <v>85</v>
      </c>
      <c r="M41" s="101" t="s">
        <v>64</v>
      </c>
      <c r="N41" s="101" t="s">
        <v>65</v>
      </c>
      <c r="O41" s="137" t="s">
        <v>85</v>
      </c>
      <c r="P41" s="101" t="s">
        <v>64</v>
      </c>
      <c r="Q41" s="112" t="s">
        <v>65</v>
      </c>
      <c r="R41" s="137" t="s">
        <v>85</v>
      </c>
      <c r="S41" s="101" t="s">
        <v>64</v>
      </c>
      <c r="T41" s="112" t="s">
        <v>65</v>
      </c>
      <c r="U41" s="137" t="s">
        <v>85</v>
      </c>
      <c r="V41" s="101" t="s">
        <v>64</v>
      </c>
      <c r="W41" s="102" t="s">
        <v>65</v>
      </c>
    </row>
    <row r="42" spans="1:27" ht="13.5" thickBot="1">
      <c r="C42" s="118">
        <v>1</v>
      </c>
      <c r="D42" s="119">
        <f>AVERAGE(J42,M42,P42,S42,V42,F48)</f>
        <v>124.5</v>
      </c>
      <c r="E42" s="106">
        <v>38661</v>
      </c>
      <c r="F42" s="107">
        <f>E42-E41</f>
        <v>64</v>
      </c>
      <c r="G42" s="108">
        <f>F42/30.5</f>
        <v>2.098360655737705</v>
      </c>
      <c r="H42" s="100">
        <v>38774</v>
      </c>
      <c r="I42" s="66"/>
      <c r="J42" s="97">
        <f>H42-E42</f>
        <v>113</v>
      </c>
      <c r="K42" s="113">
        <f>J42/30.5</f>
        <v>3.7049180327868854</v>
      </c>
      <c r="L42" s="115">
        <v>39130</v>
      </c>
      <c r="M42" s="97">
        <f>L42-H45</f>
        <v>105</v>
      </c>
      <c r="N42" s="103">
        <f>M42/30.5</f>
        <v>3.442622950819672</v>
      </c>
      <c r="O42" s="100">
        <v>39490</v>
      </c>
      <c r="P42" s="97">
        <f>O42-L45</f>
        <v>115</v>
      </c>
      <c r="Q42" s="113">
        <f>P42/30.5</f>
        <v>3.7704918032786887</v>
      </c>
      <c r="R42" s="115">
        <v>39846</v>
      </c>
      <c r="S42" s="97">
        <f>R42-O45</f>
        <v>116</v>
      </c>
      <c r="T42" s="113">
        <f>S42/30.5</f>
        <v>3.8032786885245899</v>
      </c>
      <c r="U42" s="115">
        <v>40254</v>
      </c>
      <c r="V42" s="97">
        <f>U42-R45</f>
        <v>143</v>
      </c>
      <c r="W42" s="104">
        <f>V42/30.5</f>
        <v>4.6885245901639347</v>
      </c>
    </row>
    <row r="43" spans="1:27" ht="13.5" thickTop="1">
      <c r="C43" s="99">
        <v>2</v>
      </c>
      <c r="D43" s="119">
        <f>AVERAGE(J43,M43,P43,S43,V43,F49)</f>
        <v>85</v>
      </c>
      <c r="E43" s="155"/>
      <c r="F43" s="66"/>
      <c r="G43" s="66"/>
      <c r="H43" s="100">
        <v>38856</v>
      </c>
      <c r="I43" s="66"/>
      <c r="J43" s="97">
        <f>H43-H42</f>
        <v>82</v>
      </c>
      <c r="K43" s="113">
        <f>J43/30.5</f>
        <v>2.6885245901639343</v>
      </c>
      <c r="L43" s="115">
        <v>39209</v>
      </c>
      <c r="M43" s="97">
        <f>L43-L42</f>
        <v>79</v>
      </c>
      <c r="N43" s="103">
        <f>M43/30.5</f>
        <v>2.5901639344262297</v>
      </c>
      <c r="O43" s="100">
        <v>39567</v>
      </c>
      <c r="P43" s="97">
        <f>O43-O42</f>
        <v>77</v>
      </c>
      <c r="Q43" s="113">
        <f>P43/30.5</f>
        <v>2.5245901639344264</v>
      </c>
      <c r="R43" s="115">
        <v>39922</v>
      </c>
      <c r="S43" s="97">
        <f>R43-R42</f>
        <v>76</v>
      </c>
      <c r="T43" s="113">
        <f>S43/30.5</f>
        <v>2.4918032786885247</v>
      </c>
      <c r="U43" s="115">
        <v>40344</v>
      </c>
      <c r="V43" s="97">
        <f>U43-U42</f>
        <v>90</v>
      </c>
      <c r="W43" s="104">
        <f>V43/30.5</f>
        <v>2.9508196721311477</v>
      </c>
    </row>
    <row r="44" spans="1:27">
      <c r="C44" s="99">
        <v>3</v>
      </c>
      <c r="D44" s="119">
        <f>AVERAGE(J44,M44,P44,S44,V44,F50)</f>
        <v>90.5</v>
      </c>
      <c r="E44" s="155"/>
      <c r="F44" s="66"/>
      <c r="G44" s="66"/>
      <c r="H44" s="100">
        <v>38946</v>
      </c>
      <c r="I44" s="66"/>
      <c r="J44" s="97">
        <f>H44-H43</f>
        <v>90</v>
      </c>
      <c r="K44" s="113">
        <f>J44/30.5</f>
        <v>2.9508196721311477</v>
      </c>
      <c r="L44" s="115">
        <v>39290</v>
      </c>
      <c r="M44" s="97">
        <f>L44-L43</f>
        <v>81</v>
      </c>
      <c r="N44" s="103">
        <f>M44/30.5</f>
        <v>2.6557377049180326</v>
      </c>
      <c r="O44" s="100">
        <v>39648</v>
      </c>
      <c r="P44" s="97">
        <f>O44-O43</f>
        <v>81</v>
      </c>
      <c r="Q44" s="113">
        <f>P44/30.5</f>
        <v>2.6557377049180326</v>
      </c>
      <c r="R44" s="115">
        <v>40014</v>
      </c>
      <c r="S44" s="97">
        <f>R44-R43</f>
        <v>92</v>
      </c>
      <c r="T44" s="113">
        <f>S44/30.5</f>
        <v>3.0163934426229506</v>
      </c>
      <c r="U44" s="115">
        <v>40436</v>
      </c>
      <c r="V44" s="97">
        <f>U44-U43</f>
        <v>92</v>
      </c>
      <c r="W44" s="104">
        <f>V44/30.5</f>
        <v>3.0163934426229506</v>
      </c>
    </row>
    <row r="45" spans="1:27" ht="13.5" thickBot="1">
      <c r="C45" s="120">
        <v>4</v>
      </c>
      <c r="D45" s="121">
        <f ca="1">AVERAGE(J45,M45,P45,S45,F42,V45,F51)</f>
        <v>142.83333333333334</v>
      </c>
      <c r="E45" s="156"/>
      <c r="F45" s="157"/>
      <c r="G45" s="157"/>
      <c r="H45" s="109">
        <v>39025</v>
      </c>
      <c r="I45" s="157"/>
      <c r="J45" s="107">
        <f>H45-H44</f>
        <v>79</v>
      </c>
      <c r="K45" s="114">
        <f>J45/30.5</f>
        <v>2.5901639344262297</v>
      </c>
      <c r="L45" s="116">
        <v>39375</v>
      </c>
      <c r="M45" s="107">
        <f>L45-L44</f>
        <v>85</v>
      </c>
      <c r="N45" s="108">
        <f>M45/30.5</f>
        <v>2.7868852459016393</v>
      </c>
      <c r="O45" s="110">
        <v>39730</v>
      </c>
      <c r="P45" s="107">
        <f>O45-O44</f>
        <v>82</v>
      </c>
      <c r="Q45" s="114">
        <f>P45/30.5</f>
        <v>2.6885245901639343</v>
      </c>
      <c r="R45" s="116">
        <v>40111</v>
      </c>
      <c r="S45" s="107">
        <f>R45-R44</f>
        <v>97</v>
      </c>
      <c r="T45" s="114">
        <f>S45/30.5</f>
        <v>3.180327868852459</v>
      </c>
      <c r="U45" s="116"/>
      <c r="V45" s="107"/>
      <c r="W45" s="111"/>
    </row>
    <row r="46" spans="1:27" ht="13.5" thickTop="1">
      <c r="E46" s="361">
        <v>2011</v>
      </c>
      <c r="F46" s="362"/>
      <c r="G46" s="362"/>
      <c r="H46" s="363">
        <v>2012</v>
      </c>
      <c r="I46" s="364"/>
      <c r="J46" s="364"/>
      <c r="K46" s="365"/>
    </row>
    <row r="47" spans="1:27">
      <c r="E47" s="151" t="s">
        <v>85</v>
      </c>
      <c r="F47" s="101" t="s">
        <v>64</v>
      </c>
      <c r="G47" s="112" t="s">
        <v>65</v>
      </c>
      <c r="H47" s="137" t="s">
        <v>85</v>
      </c>
      <c r="I47" s="66"/>
      <c r="J47" s="101" t="s">
        <v>64</v>
      </c>
      <c r="K47" s="112" t="s">
        <v>65</v>
      </c>
    </row>
    <row r="48" spans="1:27">
      <c r="E48" s="105">
        <v>40591</v>
      </c>
      <c r="F48" s="97">
        <f>E48-U44</f>
        <v>155</v>
      </c>
      <c r="G48" s="113">
        <f>F48/30.5</f>
        <v>5.081967213114754</v>
      </c>
      <c r="H48" s="100">
        <f t="shared" ref="H48:H51" ca="1" si="20">TODAY()</f>
        <v>41254</v>
      </c>
      <c r="I48" s="66"/>
      <c r="J48" s="97">
        <f ca="1">H48-E51</f>
        <v>0</v>
      </c>
      <c r="K48" s="113">
        <f ca="1">J48/30.5</f>
        <v>0</v>
      </c>
    </row>
    <row r="49" spans="5:11">
      <c r="E49" s="105">
        <v>40697</v>
      </c>
      <c r="F49" s="97">
        <f t="shared" ref="F49:F51" si="21">E49-E48</f>
        <v>106</v>
      </c>
      <c r="G49" s="113">
        <f t="shared" ref="G49:G51" si="22">F49/30.5</f>
        <v>3.4754098360655736</v>
      </c>
      <c r="H49" s="100">
        <f t="shared" ca="1" si="20"/>
        <v>41254</v>
      </c>
      <c r="I49" s="66"/>
      <c r="J49" s="97">
        <f ca="1">H49-H48</f>
        <v>0</v>
      </c>
      <c r="K49" s="113">
        <f ca="1">J49/30.5</f>
        <v>0</v>
      </c>
    </row>
    <row r="50" spans="5:11">
      <c r="E50" s="105">
        <v>40804</v>
      </c>
      <c r="F50" s="97">
        <f t="shared" si="21"/>
        <v>107</v>
      </c>
      <c r="G50" s="113">
        <f t="shared" si="22"/>
        <v>3.5081967213114753</v>
      </c>
      <c r="H50" s="100">
        <f t="shared" ca="1" si="20"/>
        <v>41254</v>
      </c>
      <c r="I50" s="66"/>
      <c r="J50" s="97">
        <f ca="1">H50-H49</f>
        <v>0</v>
      </c>
      <c r="K50" s="113">
        <f ca="1">J50/30.5</f>
        <v>0</v>
      </c>
    </row>
    <row r="51" spans="5:11" ht="13.5" thickBot="1">
      <c r="E51" s="106">
        <f t="shared" ref="E51" ca="1" si="23">TODAY()</f>
        <v>41254</v>
      </c>
      <c r="F51" s="107">
        <f t="shared" ca="1" si="21"/>
        <v>450</v>
      </c>
      <c r="G51" s="114">
        <f t="shared" ca="1" si="22"/>
        <v>14.754098360655737</v>
      </c>
      <c r="H51" s="109">
        <f t="shared" ca="1" si="20"/>
        <v>41254</v>
      </c>
      <c r="I51" s="157"/>
      <c r="J51" s="107">
        <f ca="1">H51-H50</f>
        <v>0</v>
      </c>
      <c r="K51" s="114">
        <f ca="1">J51/30.5</f>
        <v>0</v>
      </c>
    </row>
    <row r="52" spans="5:11" ht="13.5" thickTop="1"/>
  </sheetData>
  <mergeCells count="15">
    <mergeCell ref="U40:W40"/>
    <mergeCell ref="E46:G46"/>
    <mergeCell ref="H46:K46"/>
    <mergeCell ref="C40:D40"/>
    <mergeCell ref="E40:G40"/>
    <mergeCell ref="H40:K40"/>
    <mergeCell ref="L40:N40"/>
    <mergeCell ref="O40:Q40"/>
    <mergeCell ref="R40:T40"/>
    <mergeCell ref="K1:L1"/>
    <mergeCell ref="T9:V9"/>
    <mergeCell ref="R15:S15"/>
    <mergeCell ref="G39:I39"/>
    <mergeCell ref="J39:K39"/>
    <mergeCell ref="N39:O39"/>
  </mergeCells>
  <conditionalFormatting sqref="F3:G14">
    <cfRule type="expression" dxfId="6" priority="9">
      <formula>B3=""</formula>
    </cfRule>
  </conditionalFormatting>
  <conditionalFormatting sqref="D3:E14">
    <cfRule type="iconSet" priority="4">
      <iconSet iconSet="4TrafficLights" reverse="1">
        <cfvo type="percent" val="0"/>
        <cfvo type="num" val="150"/>
        <cfvo type="num" val="300"/>
        <cfvo type="num" val="600"/>
      </iconSet>
    </cfRule>
  </conditionalFormatting>
  <conditionalFormatting sqref="H3:H14">
    <cfRule type="iconSet" priority="3">
      <iconSet iconSet="4TrafficLights" reverse="1">
        <cfvo type="percent" val="0"/>
        <cfvo type="num" val="300"/>
        <cfvo type="num" val="600"/>
        <cfvo type="num" val="1200"/>
      </iconSet>
    </cfRule>
  </conditionalFormatting>
  <conditionalFormatting sqref="R15">
    <cfRule type="colorScale" priority="1">
      <colorScale>
        <cfvo type="num" val="700"/>
        <cfvo type="num" val="800"/>
        <cfvo type="num" val="90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B52"/>
  <sheetViews>
    <sheetView workbookViewId="0">
      <selection activeCell="T17" sqref="T17"/>
    </sheetView>
  </sheetViews>
  <sheetFormatPr baseColWidth="10" defaultColWidth="11.42578125" defaultRowHeight="12.75"/>
  <cols>
    <col min="1" max="1" width="10.28515625" customWidth="1"/>
    <col min="2" max="2" width="9.140625" customWidth="1"/>
    <col min="3" max="3" width="9.28515625" customWidth="1"/>
    <col min="4" max="4" width="10.42578125" customWidth="1"/>
    <col min="5" max="5" width="10.7109375" customWidth="1"/>
    <col min="6" max="6" width="6.28515625" customWidth="1"/>
    <col min="7" max="7" width="6.140625" bestFit="1" customWidth="1"/>
    <col min="8" max="8" width="7.7109375" customWidth="1"/>
    <col min="9" max="9" width="6.140625" hidden="1" customWidth="1"/>
    <col min="10" max="10" width="7.7109375" customWidth="1"/>
    <col min="11" max="11" width="8.42578125" customWidth="1"/>
    <col min="12" max="12" width="8.140625" customWidth="1"/>
    <col min="13" max="13" width="10.140625" customWidth="1"/>
    <col min="14" max="14" width="8.7109375" customWidth="1"/>
    <col min="15" max="15" width="6.5703125" customWidth="1"/>
    <col min="16" max="17" width="7.85546875" customWidth="1"/>
    <col min="18" max="18" width="8.85546875" customWidth="1"/>
    <col min="19" max="19" width="7.5703125" bestFit="1" customWidth="1"/>
    <col min="20" max="22" width="9.28515625" bestFit="1" customWidth="1"/>
    <col min="23" max="23" width="10.140625" bestFit="1" customWidth="1"/>
    <col min="24" max="24" width="9.85546875" bestFit="1" customWidth="1"/>
  </cols>
  <sheetData>
    <row r="1" spans="1:28" ht="38.25" customHeight="1">
      <c r="A1" s="5" t="s">
        <v>1</v>
      </c>
      <c r="B1" s="168" t="s">
        <v>2</v>
      </c>
      <c r="C1" s="168" t="s">
        <v>3</v>
      </c>
      <c r="D1" s="168" t="s">
        <v>4</v>
      </c>
      <c r="E1" s="168" t="s">
        <v>5</v>
      </c>
      <c r="F1" s="168" t="s">
        <v>21</v>
      </c>
      <c r="G1" s="168" t="s">
        <v>22</v>
      </c>
      <c r="H1" s="168" t="s">
        <v>13</v>
      </c>
      <c r="I1" s="168"/>
      <c r="J1" s="168" t="s">
        <v>37</v>
      </c>
      <c r="K1" s="350" t="s">
        <v>7</v>
      </c>
      <c r="L1" s="350"/>
      <c r="M1" s="19" t="s">
        <v>8</v>
      </c>
      <c r="N1" s="19" t="s">
        <v>36</v>
      </c>
      <c r="O1" s="24" t="s">
        <v>14</v>
      </c>
      <c r="P1" s="24" t="s">
        <v>9</v>
      </c>
      <c r="Q1" s="24" t="s">
        <v>10</v>
      </c>
      <c r="R1" s="26" t="s">
        <v>11</v>
      </c>
      <c r="S1" s="27" t="s">
        <v>12</v>
      </c>
      <c r="T1" s="33" t="s">
        <v>61</v>
      </c>
      <c r="U1" s="33" t="s">
        <v>63</v>
      </c>
      <c r="V1" s="33" t="s">
        <v>62</v>
      </c>
      <c r="Z1" s="152" t="s">
        <v>88</v>
      </c>
      <c r="AA1" s="152" t="s">
        <v>89</v>
      </c>
    </row>
    <row r="2" spans="1:28" hidden="1">
      <c r="A2" s="7">
        <v>39811</v>
      </c>
      <c r="B2" s="1">
        <v>14786</v>
      </c>
      <c r="C2" s="1">
        <v>15248</v>
      </c>
      <c r="D2" s="73">
        <f ca="1">TODAY()</f>
        <v>41254</v>
      </c>
      <c r="E2" s="1"/>
      <c r="F2" s="1"/>
      <c r="G2" s="1"/>
      <c r="H2" s="1"/>
      <c r="I2" s="1"/>
      <c r="J2" s="1"/>
      <c r="K2" s="1"/>
      <c r="L2" s="1"/>
      <c r="M2" s="20"/>
      <c r="N2" s="20"/>
      <c r="O2" s="3">
        <v>102.15</v>
      </c>
      <c r="P2" s="1">
        <v>6.7299999999999999E-2</v>
      </c>
      <c r="Q2" s="1">
        <v>0.1106</v>
      </c>
      <c r="R2" s="1"/>
      <c r="S2" s="1"/>
    </row>
    <row r="3" spans="1:28" ht="13.5" thickBot="1">
      <c r="A3" s="7">
        <f t="shared" ref="A3:A9" si="0">EDATE(A2,1)</f>
        <v>39842</v>
      </c>
      <c r="B3" s="1">
        <v>15379</v>
      </c>
      <c r="C3" s="1">
        <v>16262</v>
      </c>
      <c r="D3" s="17">
        <f>IF(B3-B2&lt;=0,0,B3-B2)</f>
        <v>593</v>
      </c>
      <c r="E3" s="17">
        <f t="shared" ref="E3:E14" si="1">IF(C3-C2&lt;=0,0.00000001,C3-C2)</f>
        <v>1014</v>
      </c>
      <c r="F3" s="158">
        <f>D3-'2008'!D3</f>
        <v>94</v>
      </c>
      <c r="G3" s="158">
        <f>E3-'2008'!E3</f>
        <v>491</v>
      </c>
      <c r="H3" s="17">
        <f>D3+E3</f>
        <v>1607</v>
      </c>
      <c r="I3" s="2">
        <f ca="1">IF(A3&gt;$D$2,$D$2-A2,A3-A2)</f>
        <v>31</v>
      </c>
      <c r="J3" s="3">
        <f ca="1">H3/I3</f>
        <v>51.838709677419352</v>
      </c>
      <c r="K3" s="36">
        <f t="shared" ref="K3:K14" si="2">D3/H3</f>
        <v>0.36901057871810827</v>
      </c>
      <c r="L3" s="36">
        <f t="shared" ref="L3:L14" si="3">E3/H3</f>
        <v>0.63098942128189173</v>
      </c>
      <c r="M3" s="37"/>
      <c r="N3" s="37">
        <f>IF(D3=0,"",1/(H3/(H3-'2008'!H3)))</f>
        <v>0.3640323584318606</v>
      </c>
      <c r="O3" s="3">
        <f>$T$4/12</f>
        <v>8.5125000000000011</v>
      </c>
      <c r="P3" s="3">
        <f>D3*$U$4</f>
        <v>46.491199999999999</v>
      </c>
      <c r="Q3" s="3">
        <f>E3*$V$4</f>
        <v>125.229</v>
      </c>
      <c r="R3" s="30">
        <f>SUM(O3:Q3)</f>
        <v>180.23269999999999</v>
      </c>
      <c r="S3" s="31">
        <f>R3</f>
        <v>180.23269999999999</v>
      </c>
      <c r="T3" s="96">
        <f>(T6-T4)/T4</f>
        <v>0</v>
      </c>
      <c r="U3" s="96">
        <f>(U6-U4)/U4</f>
        <v>0.11607142857142853</v>
      </c>
      <c r="V3" s="96">
        <f>(V6-V4)/V4</f>
        <v>4.6963562753036432E-2</v>
      </c>
      <c r="Y3" s="91">
        <v>40404</v>
      </c>
      <c r="Z3" s="147">
        <v>47.1</v>
      </c>
      <c r="AA3" s="147"/>
    </row>
    <row r="4" spans="1:28" ht="14.25" thickTop="1" thickBot="1">
      <c r="A4" s="7">
        <f t="shared" si="0"/>
        <v>39872</v>
      </c>
      <c r="B4" s="35">
        <v>15969</v>
      </c>
      <c r="C4" s="35">
        <v>17031</v>
      </c>
      <c r="D4" s="17">
        <f>IF(B4-B3&lt;=0,0,B4-B3)</f>
        <v>590</v>
      </c>
      <c r="E4" s="17">
        <f t="shared" si="1"/>
        <v>769</v>
      </c>
      <c r="F4" s="158">
        <f>D4-'2008'!D4</f>
        <v>12</v>
      </c>
      <c r="G4" s="158">
        <f>E4-'2008'!E4</f>
        <v>186</v>
      </c>
      <c r="H4" s="17">
        <f t="shared" ref="H4:H14" si="4">D4+E4</f>
        <v>1359</v>
      </c>
      <c r="I4" s="2">
        <f ca="1">IF(A4&gt;$D$2,$D$2-A3,A4-A3)</f>
        <v>30</v>
      </c>
      <c r="J4" s="3">
        <f ca="1">H4/(I4+I3)</f>
        <v>22.278688524590162</v>
      </c>
      <c r="K4" s="36">
        <f t="shared" si="2"/>
        <v>0.43414275202354674</v>
      </c>
      <c r="L4" s="36">
        <f t="shared" si="3"/>
        <v>0.56585724797645331</v>
      </c>
      <c r="M4" s="37">
        <f>IF(D4=0,"",1/(H3/(H4-H3)))</f>
        <v>-0.15432482887367766</v>
      </c>
      <c r="N4" s="37">
        <f>IF(D4=0,"",1/(H4/(H4-'2008'!H4)))</f>
        <v>0.14569536423841059</v>
      </c>
      <c r="O4" s="3">
        <f>$T$5/12</f>
        <v>8.5125000000000011</v>
      </c>
      <c r="P4" s="3">
        <f>D4*$U$5</f>
        <v>50.976000000000006</v>
      </c>
      <c r="Q4" s="3">
        <f>E4*$V$5</f>
        <v>98.047499999999999</v>
      </c>
      <c r="R4" s="30">
        <f>SUM(O4:Q4)</f>
        <v>157.536</v>
      </c>
      <c r="S4" s="31">
        <f t="shared" ref="S4:S14" si="5">S3+R4</f>
        <v>337.76869999999997</v>
      </c>
      <c r="T4" s="173">
        <f>O2</f>
        <v>102.15</v>
      </c>
      <c r="U4" s="149">
        <v>7.8399999999999997E-2</v>
      </c>
      <c r="V4" s="149">
        <v>0.1235</v>
      </c>
      <c r="W4" s="122">
        <v>40405</v>
      </c>
      <c r="Y4" s="91">
        <v>40431</v>
      </c>
      <c r="Z4" s="147">
        <v>46</v>
      </c>
      <c r="AA4" s="147"/>
      <c r="AB4" s="153">
        <f>Y4-Y3</f>
        <v>27</v>
      </c>
    </row>
    <row r="5" spans="1:28" ht="14.25" thickTop="1" thickBot="1">
      <c r="A5" s="7">
        <v>39901</v>
      </c>
      <c r="B5" s="35">
        <v>16528</v>
      </c>
      <c r="C5" s="35">
        <v>17780</v>
      </c>
      <c r="D5" s="17">
        <f>IF(B5-B4&lt;=0,0,B5-B4)</f>
        <v>559</v>
      </c>
      <c r="E5" s="17">
        <f t="shared" si="1"/>
        <v>749</v>
      </c>
      <c r="F5" s="158">
        <f>D5-'2008'!D5</f>
        <v>-98</v>
      </c>
      <c r="G5" s="158">
        <f>E5-'2008'!E5</f>
        <v>-87</v>
      </c>
      <c r="H5" s="17">
        <f t="shared" si="4"/>
        <v>1308</v>
      </c>
      <c r="I5" s="2">
        <f ca="1">IF(A5&gt;$D$2,$D$2-A4,A5-A4)</f>
        <v>29</v>
      </c>
      <c r="J5" s="3">
        <f ca="1">H5/(I5+I4)</f>
        <v>22.16949152542373</v>
      </c>
      <c r="K5" s="36">
        <f t="shared" si="2"/>
        <v>0.42737003058103973</v>
      </c>
      <c r="L5" s="36">
        <f t="shared" si="3"/>
        <v>0.57262996941896027</v>
      </c>
      <c r="M5" s="37">
        <f t="shared" ref="M5:M14" si="6">IF(D5=0,"",1/(H4/(H5-H4)))</f>
        <v>-3.7527593818984545E-2</v>
      </c>
      <c r="N5" s="37">
        <f>IF(D5=0,"",1/(H5/(H5-'2008'!H5)))</f>
        <v>-0.14143730886850153</v>
      </c>
      <c r="O5" s="3">
        <f t="shared" ref="O5:O8" si="7">$T$5/12</f>
        <v>8.5125000000000011</v>
      </c>
      <c r="P5" s="3">
        <f>D5*$U$5</f>
        <v>48.297600000000003</v>
      </c>
      <c r="Q5" s="3">
        <f>E5*$V$5</f>
        <v>95.497500000000002</v>
      </c>
      <c r="R5" s="30">
        <f>SUM(O5:Q5)</f>
        <v>152.30760000000001</v>
      </c>
      <c r="S5" s="31">
        <f t="shared" si="5"/>
        <v>490.07629999999995</v>
      </c>
      <c r="T5" s="173">
        <f>T4</f>
        <v>102.15</v>
      </c>
      <c r="U5" s="149">
        <v>8.6400000000000005E-2</v>
      </c>
      <c r="V5" s="149">
        <v>0.1275</v>
      </c>
      <c r="W5" s="122">
        <v>40575</v>
      </c>
      <c r="Y5" s="91">
        <v>40449</v>
      </c>
      <c r="Z5" s="147">
        <v>48</v>
      </c>
      <c r="AA5" s="147"/>
      <c r="AB5" s="153">
        <f>Y5-Y4</f>
        <v>18</v>
      </c>
    </row>
    <row r="6" spans="1:28" ht="14.25" thickTop="1" thickBot="1">
      <c r="A6" s="7">
        <f t="shared" si="0"/>
        <v>39932</v>
      </c>
      <c r="B6" s="35">
        <v>17013</v>
      </c>
      <c r="C6" s="35">
        <v>18411</v>
      </c>
      <c r="D6" s="17">
        <f t="shared" ref="D6:D14" si="8">IF(B6-B5&lt;=0,0,B6-B5)</f>
        <v>485</v>
      </c>
      <c r="E6" s="17">
        <f t="shared" si="1"/>
        <v>631</v>
      </c>
      <c r="F6" s="158">
        <f>D6-'2008'!D6</f>
        <v>-15</v>
      </c>
      <c r="G6" s="158">
        <f>E6-'2008'!E6</f>
        <v>112</v>
      </c>
      <c r="H6" s="17">
        <f t="shared" si="4"/>
        <v>1116</v>
      </c>
      <c r="I6" s="2">
        <f t="shared" ref="I6:I14" ca="1" si="9">IF($D$2&gt;A5,IF($D$2&gt;A6,A6-A5,$D$2-A5),1)</f>
        <v>31</v>
      </c>
      <c r="J6" s="3">
        <f t="shared" ref="J6:J14" ca="1" si="10">H6/I6</f>
        <v>36</v>
      </c>
      <c r="K6" s="36">
        <f t="shared" si="2"/>
        <v>0.43458781362007171</v>
      </c>
      <c r="L6" s="36">
        <f t="shared" si="3"/>
        <v>0.56541218637992829</v>
      </c>
      <c r="M6" s="37">
        <f t="shared" si="6"/>
        <v>-0.14678899082568808</v>
      </c>
      <c r="N6" s="37">
        <f>IF(D6=0,"",1/(H6/(H6-'2008'!H6)))</f>
        <v>8.6917562724014338E-2</v>
      </c>
      <c r="O6" s="3">
        <f t="shared" si="7"/>
        <v>8.5125000000000011</v>
      </c>
      <c r="P6" s="3">
        <f>D6*$U$5</f>
        <v>41.904000000000003</v>
      </c>
      <c r="Q6" s="3">
        <f>E6*$V$5</f>
        <v>80.452500000000001</v>
      </c>
      <c r="R6" s="30">
        <f t="shared" ref="R6:R14" si="11">SUM(O6:Q6)</f>
        <v>130.869</v>
      </c>
      <c r="S6" s="31">
        <f t="shared" si="5"/>
        <v>620.94529999999997</v>
      </c>
      <c r="T6" s="173">
        <f>T5</f>
        <v>102.15</v>
      </c>
      <c r="U6" s="162">
        <v>8.7499999999999994E-2</v>
      </c>
      <c r="V6" s="162">
        <v>0.1293</v>
      </c>
      <c r="W6" s="122">
        <v>40725</v>
      </c>
      <c r="Y6" s="91">
        <v>40455</v>
      </c>
      <c r="Z6" s="147">
        <v>40</v>
      </c>
      <c r="AA6" s="147"/>
      <c r="AB6" s="153">
        <f>Y6-Y5</f>
        <v>6</v>
      </c>
    </row>
    <row r="7" spans="1:28">
      <c r="A7" s="7">
        <f t="shared" si="0"/>
        <v>39962</v>
      </c>
      <c r="B7" s="72">
        <v>17212</v>
      </c>
      <c r="C7" s="35">
        <v>18560</v>
      </c>
      <c r="D7" s="17">
        <f t="shared" si="8"/>
        <v>199</v>
      </c>
      <c r="E7" s="17">
        <f t="shared" si="1"/>
        <v>149</v>
      </c>
      <c r="F7" s="158">
        <f>D7-'2008'!D7</f>
        <v>-31</v>
      </c>
      <c r="G7" s="158">
        <f>E7-'2008'!E7</f>
        <v>-19</v>
      </c>
      <c r="H7" s="17">
        <f t="shared" si="4"/>
        <v>348</v>
      </c>
      <c r="I7" s="2">
        <f t="shared" ca="1" si="9"/>
        <v>30</v>
      </c>
      <c r="J7" s="3">
        <f t="shared" ca="1" si="10"/>
        <v>11.6</v>
      </c>
      <c r="K7" s="36">
        <f t="shared" si="2"/>
        <v>0.57183908045977017</v>
      </c>
      <c r="L7" s="36">
        <f t="shared" si="3"/>
        <v>0.42816091954022989</v>
      </c>
      <c r="M7" s="37">
        <f t="shared" si="6"/>
        <v>-0.68817204301075274</v>
      </c>
      <c r="N7" s="37">
        <f>IF(D7=0,"",1/(H7/(H7-'2008'!H7)))</f>
        <v>-0.14367816091954022</v>
      </c>
      <c r="O7" s="3">
        <f t="shared" si="7"/>
        <v>8.5125000000000011</v>
      </c>
      <c r="P7" s="3">
        <f>D7*$U$5</f>
        <v>17.1936</v>
      </c>
      <c r="Q7" s="3">
        <f>E7*$V$5</f>
        <v>18.997499999999999</v>
      </c>
      <c r="R7" s="30">
        <f t="shared" si="11"/>
        <v>44.703599999999994</v>
      </c>
      <c r="S7" s="31">
        <f t="shared" si="5"/>
        <v>665.64889999999991</v>
      </c>
      <c r="Y7" s="91">
        <v>40465</v>
      </c>
      <c r="Z7" s="147">
        <v>33</v>
      </c>
      <c r="AA7" s="147"/>
      <c r="AB7" s="153">
        <f t="shared" ref="AB7:AB12" si="12">Y7-Y6</f>
        <v>10</v>
      </c>
    </row>
    <row r="8" spans="1:28">
      <c r="A8" s="7">
        <f t="shared" si="0"/>
        <v>39993</v>
      </c>
      <c r="B8" s="72">
        <v>17393</v>
      </c>
      <c r="C8" s="35">
        <v>18708</v>
      </c>
      <c r="D8" s="17">
        <f t="shared" si="8"/>
        <v>181</v>
      </c>
      <c r="E8" s="17">
        <f t="shared" si="1"/>
        <v>148</v>
      </c>
      <c r="F8" s="158">
        <f>D8-'2008'!D8</f>
        <v>-33</v>
      </c>
      <c r="G8" s="158">
        <f>E8-'2008'!E8</f>
        <v>-6</v>
      </c>
      <c r="H8" s="17">
        <f t="shared" si="4"/>
        <v>329</v>
      </c>
      <c r="I8" s="2">
        <f t="shared" ca="1" si="9"/>
        <v>31</v>
      </c>
      <c r="J8" s="3">
        <f t="shared" ca="1" si="10"/>
        <v>10.612903225806452</v>
      </c>
      <c r="K8" s="36">
        <f t="shared" si="2"/>
        <v>0.55015197568389063</v>
      </c>
      <c r="L8" s="36">
        <f t="shared" si="3"/>
        <v>0.44984802431610943</v>
      </c>
      <c r="M8" s="37">
        <f t="shared" si="6"/>
        <v>-5.459770114942529E-2</v>
      </c>
      <c r="N8" s="37">
        <f>IF(D8=0,"",1/(H8/(H8-'2008'!H8)))</f>
        <v>-0.11854103343465046</v>
      </c>
      <c r="O8" s="3">
        <f t="shared" si="7"/>
        <v>8.5125000000000011</v>
      </c>
      <c r="P8" s="3">
        <f>D8*$U$5</f>
        <v>15.638400000000001</v>
      </c>
      <c r="Q8" s="3">
        <f>E8*$V$5</f>
        <v>18.87</v>
      </c>
      <c r="R8" s="30">
        <f t="shared" si="11"/>
        <v>43.020899999999997</v>
      </c>
      <c r="S8" s="31">
        <f t="shared" si="5"/>
        <v>708.6697999999999</v>
      </c>
      <c r="Y8" s="91">
        <v>40484</v>
      </c>
      <c r="Z8" s="147">
        <v>50</v>
      </c>
      <c r="AA8" s="147"/>
      <c r="AB8" s="153">
        <f t="shared" si="12"/>
        <v>19</v>
      </c>
    </row>
    <row r="9" spans="1:28">
      <c r="A9" s="7">
        <f t="shared" si="0"/>
        <v>40023</v>
      </c>
      <c r="B9" s="72">
        <v>17548</v>
      </c>
      <c r="C9" s="35">
        <v>18858</v>
      </c>
      <c r="D9" s="17">
        <f t="shared" si="8"/>
        <v>155</v>
      </c>
      <c r="E9" s="17">
        <f t="shared" si="1"/>
        <v>150</v>
      </c>
      <c r="F9" s="158">
        <f>D9-'2008'!D9</f>
        <v>-13</v>
      </c>
      <c r="G9" s="158">
        <f>E9-'2008'!E9</f>
        <v>-14</v>
      </c>
      <c r="H9" s="17">
        <f t="shared" si="4"/>
        <v>305</v>
      </c>
      <c r="I9" s="2">
        <f t="shared" ca="1" si="9"/>
        <v>30</v>
      </c>
      <c r="J9" s="3">
        <f t="shared" ca="1" si="10"/>
        <v>10.166666666666666</v>
      </c>
      <c r="K9" s="36">
        <f t="shared" si="2"/>
        <v>0.50819672131147542</v>
      </c>
      <c r="L9" s="36">
        <f t="shared" si="3"/>
        <v>0.49180327868852458</v>
      </c>
      <c r="M9" s="37">
        <f t="shared" si="6"/>
        <v>-7.29483282674772E-2</v>
      </c>
      <c r="N9" s="37">
        <f>IF(D9=0,"",1/(H9/(H9-'2008'!H9)))</f>
        <v>-8.8524590163934436E-2</v>
      </c>
      <c r="O9" s="3">
        <f>$T$6/12</f>
        <v>8.5125000000000011</v>
      </c>
      <c r="P9" s="3">
        <f t="shared" ref="P9:P14" si="13">D9*$U$6</f>
        <v>13.5625</v>
      </c>
      <c r="Q9" s="3">
        <f t="shared" ref="Q9:Q14" si="14">E9*$V$6</f>
        <v>19.395</v>
      </c>
      <c r="R9" s="30">
        <f t="shared" si="11"/>
        <v>41.47</v>
      </c>
      <c r="S9" s="31">
        <f t="shared" si="5"/>
        <v>750.13979999999992</v>
      </c>
      <c r="T9" s="354" t="s">
        <v>59</v>
      </c>
      <c r="U9" s="355"/>
      <c r="V9" s="355"/>
      <c r="W9" s="124"/>
      <c r="X9" s="32"/>
      <c r="Y9" s="91">
        <v>40507</v>
      </c>
      <c r="Z9" s="169">
        <v>45</v>
      </c>
      <c r="AA9" s="169"/>
      <c r="AB9" s="153">
        <f t="shared" si="12"/>
        <v>23</v>
      </c>
    </row>
    <row r="10" spans="1:28">
      <c r="A10" s="7">
        <f t="shared" ref="A10:A14" si="15">EDATE(A9,1)</f>
        <v>40054</v>
      </c>
      <c r="B10" s="1">
        <v>17701</v>
      </c>
      <c r="C10" s="1">
        <v>19013</v>
      </c>
      <c r="D10" s="17">
        <f t="shared" si="8"/>
        <v>153</v>
      </c>
      <c r="E10" s="17">
        <f t="shared" si="1"/>
        <v>155</v>
      </c>
      <c r="F10" s="158">
        <f>D10-'2008'!D10</f>
        <v>-25</v>
      </c>
      <c r="G10" s="158">
        <f>E10-'2008'!E10</f>
        <v>-22</v>
      </c>
      <c r="H10" s="17">
        <f t="shared" si="4"/>
        <v>308</v>
      </c>
      <c r="I10" s="2">
        <f t="shared" ca="1" si="9"/>
        <v>31</v>
      </c>
      <c r="J10" s="3">
        <f t="shared" ca="1" si="10"/>
        <v>9.935483870967742</v>
      </c>
      <c r="K10" s="36">
        <f t="shared" si="2"/>
        <v>0.49675324675324678</v>
      </c>
      <c r="L10" s="36">
        <f t="shared" si="3"/>
        <v>0.50324675324675328</v>
      </c>
      <c r="M10" s="37">
        <f t="shared" si="6"/>
        <v>9.8360655737704909E-3</v>
      </c>
      <c r="N10" s="37">
        <f>IF(D10=0,"",1/(H10/(H10-'2008'!H10)))</f>
        <v>-0.15259740259740259</v>
      </c>
      <c r="O10" s="3">
        <f t="shared" ref="O10:O14" si="16">$T$6/12</f>
        <v>8.5125000000000011</v>
      </c>
      <c r="P10" s="3">
        <f t="shared" si="13"/>
        <v>13.387499999999999</v>
      </c>
      <c r="Q10" s="3">
        <f t="shared" si="14"/>
        <v>20.041499999999999</v>
      </c>
      <c r="R10" s="30">
        <f t="shared" si="11"/>
        <v>41.941499999999998</v>
      </c>
      <c r="S10" s="31">
        <f t="shared" si="5"/>
        <v>792.08129999999994</v>
      </c>
      <c r="T10">
        <v>2006</v>
      </c>
      <c r="U10" s="93">
        <v>121</v>
      </c>
      <c r="V10" s="32">
        <f t="shared" ref="V10:V15" si="17">(U10*1000)/365</f>
        <v>331.50684931506851</v>
      </c>
      <c r="W10" s="32"/>
      <c r="X10" s="32"/>
      <c r="Y10" s="91">
        <v>40522</v>
      </c>
      <c r="Z10" s="169">
        <v>45</v>
      </c>
      <c r="AA10" s="169"/>
      <c r="AB10" s="153">
        <f t="shared" si="12"/>
        <v>15</v>
      </c>
    </row>
    <row r="11" spans="1:28">
      <c r="A11" s="7">
        <f t="shared" si="15"/>
        <v>40085</v>
      </c>
      <c r="B11" s="1">
        <v>17842</v>
      </c>
      <c r="C11" s="1">
        <v>19155</v>
      </c>
      <c r="D11" s="17">
        <f t="shared" si="8"/>
        <v>141</v>
      </c>
      <c r="E11" s="17">
        <f t="shared" si="1"/>
        <v>142</v>
      </c>
      <c r="F11" s="158">
        <f>D11-'2008'!D11</f>
        <v>-47</v>
      </c>
      <c r="G11" s="158">
        <f>E11-'2008'!E11</f>
        <v>-28</v>
      </c>
      <c r="H11" s="17">
        <f t="shared" si="4"/>
        <v>283</v>
      </c>
      <c r="I11" s="2">
        <f t="shared" ca="1" si="9"/>
        <v>31</v>
      </c>
      <c r="J11" s="3">
        <f t="shared" ca="1" si="10"/>
        <v>9.129032258064516</v>
      </c>
      <c r="K11" s="36">
        <f t="shared" si="2"/>
        <v>0.49823321554770317</v>
      </c>
      <c r="L11" s="36">
        <f t="shared" si="3"/>
        <v>0.50176678445229683</v>
      </c>
      <c r="M11" s="37">
        <f t="shared" si="6"/>
        <v>-8.1168831168831168E-2</v>
      </c>
      <c r="N11" s="37">
        <f>IF(D11=0,"",1/(H11/(H11-'2008'!H11)))</f>
        <v>-0.26501766784452296</v>
      </c>
      <c r="O11" s="3">
        <f t="shared" si="16"/>
        <v>8.5125000000000011</v>
      </c>
      <c r="P11" s="3">
        <f t="shared" si="13"/>
        <v>12.337499999999999</v>
      </c>
      <c r="Q11" s="3">
        <f t="shared" si="14"/>
        <v>18.360599999999998</v>
      </c>
      <c r="R11" s="30">
        <f t="shared" si="11"/>
        <v>39.210599999999999</v>
      </c>
      <c r="S11" s="31">
        <f t="shared" si="5"/>
        <v>831.29189999999994</v>
      </c>
      <c r="T11">
        <v>2007</v>
      </c>
      <c r="U11" s="93">
        <v>118</v>
      </c>
      <c r="V11" s="32">
        <f t="shared" si="17"/>
        <v>323.28767123287673</v>
      </c>
      <c r="X11" s="32"/>
      <c r="Y11" s="91">
        <v>40551</v>
      </c>
      <c r="Z11" s="169">
        <v>50</v>
      </c>
      <c r="AA11" s="169"/>
      <c r="AB11" s="153">
        <f t="shared" si="12"/>
        <v>29</v>
      </c>
    </row>
    <row r="12" spans="1:28">
      <c r="A12" s="7">
        <f t="shared" si="15"/>
        <v>40115</v>
      </c>
      <c r="B12" s="1">
        <v>18033</v>
      </c>
      <c r="C12" s="1">
        <v>19357</v>
      </c>
      <c r="D12" s="17">
        <f t="shared" si="8"/>
        <v>191</v>
      </c>
      <c r="E12" s="17">
        <f t="shared" si="1"/>
        <v>202</v>
      </c>
      <c r="F12" s="158">
        <f>D12-'2008'!D12</f>
        <v>-66</v>
      </c>
      <c r="G12" s="158">
        <f>E12-'2008'!E12</f>
        <v>34</v>
      </c>
      <c r="H12" s="17">
        <f t="shared" si="4"/>
        <v>393</v>
      </c>
      <c r="I12" s="2">
        <f t="shared" ca="1" si="9"/>
        <v>30</v>
      </c>
      <c r="J12" s="3">
        <f t="shared" ca="1" si="10"/>
        <v>13.1</v>
      </c>
      <c r="K12" s="36">
        <f t="shared" si="2"/>
        <v>0.48600508905852419</v>
      </c>
      <c r="L12" s="36">
        <f t="shared" si="3"/>
        <v>0.51399491094147587</v>
      </c>
      <c r="M12" s="37">
        <f t="shared" si="6"/>
        <v>0.38869257950530034</v>
      </c>
      <c r="N12" s="37">
        <f>IF(D12=0,"",1/(H12/(H12-'2008'!H12)))</f>
        <v>-8.1424936386768454E-2</v>
      </c>
      <c r="O12" s="3">
        <f t="shared" si="16"/>
        <v>8.5125000000000011</v>
      </c>
      <c r="P12" s="3">
        <f t="shared" si="13"/>
        <v>16.712499999999999</v>
      </c>
      <c r="Q12" s="3">
        <f t="shared" si="14"/>
        <v>26.118600000000001</v>
      </c>
      <c r="R12" s="30">
        <f t="shared" si="11"/>
        <v>51.343600000000002</v>
      </c>
      <c r="S12" s="31">
        <f t="shared" si="5"/>
        <v>882.63549999999998</v>
      </c>
      <c r="T12">
        <v>2008</v>
      </c>
      <c r="U12" s="93">
        <v>116</v>
      </c>
      <c r="V12" s="32">
        <f t="shared" si="17"/>
        <v>317.8082191780822</v>
      </c>
      <c r="W12" s="143"/>
      <c r="X12" s="32"/>
      <c r="Y12" s="91">
        <v>40572</v>
      </c>
      <c r="Z12" s="169">
        <v>50</v>
      </c>
      <c r="AA12" s="169"/>
      <c r="AB12" s="153">
        <f t="shared" si="12"/>
        <v>21</v>
      </c>
    </row>
    <row r="13" spans="1:28">
      <c r="A13" s="7">
        <f t="shared" si="15"/>
        <v>40146</v>
      </c>
      <c r="B13" s="1">
        <v>18343</v>
      </c>
      <c r="C13" s="1">
        <v>19680</v>
      </c>
      <c r="D13" s="17">
        <f t="shared" si="8"/>
        <v>310</v>
      </c>
      <c r="E13" s="17">
        <f t="shared" si="1"/>
        <v>323</v>
      </c>
      <c r="F13" s="158">
        <f>D13-'2008'!D13</f>
        <v>-95</v>
      </c>
      <c r="G13" s="158">
        <f>E13-'2008'!E13</f>
        <v>-76</v>
      </c>
      <c r="H13" s="17">
        <f t="shared" si="4"/>
        <v>633</v>
      </c>
      <c r="I13" s="2">
        <f t="shared" ca="1" si="9"/>
        <v>31</v>
      </c>
      <c r="J13" s="3">
        <f t="shared" ca="1" si="10"/>
        <v>20.419354838709676</v>
      </c>
      <c r="K13" s="36">
        <f t="shared" si="2"/>
        <v>0.48973143759873616</v>
      </c>
      <c r="L13" s="36">
        <f t="shared" si="3"/>
        <v>0.51026856240126384</v>
      </c>
      <c r="M13" s="37">
        <f t="shared" si="6"/>
        <v>0.61068702290076338</v>
      </c>
      <c r="N13" s="37">
        <f>IF(D13=0,"",1/(H13/(H13-'2008'!H13)))</f>
        <v>-0.27014218009478674</v>
      </c>
      <c r="O13" s="3">
        <f t="shared" si="16"/>
        <v>8.5125000000000011</v>
      </c>
      <c r="P13" s="3">
        <f t="shared" si="13"/>
        <v>27.125</v>
      </c>
      <c r="Q13" s="3">
        <f t="shared" si="14"/>
        <v>41.7639</v>
      </c>
      <c r="R13" s="30">
        <f t="shared" si="11"/>
        <v>77.401399999999995</v>
      </c>
      <c r="S13" s="31">
        <f t="shared" si="5"/>
        <v>960.03689999999995</v>
      </c>
      <c r="T13">
        <v>2009</v>
      </c>
      <c r="U13" s="93">
        <v>100</v>
      </c>
      <c r="V13" s="32">
        <f t="shared" si="17"/>
        <v>273.97260273972603</v>
      </c>
      <c r="X13" s="32"/>
      <c r="Y13" s="91">
        <v>40591</v>
      </c>
      <c r="Z13" s="169"/>
      <c r="AA13" s="169">
        <v>20.45</v>
      </c>
      <c r="AB13" s="153"/>
    </row>
    <row r="14" spans="1:28" ht="13.5" thickBot="1">
      <c r="A14" s="7">
        <f t="shared" si="15"/>
        <v>40176</v>
      </c>
      <c r="B14" s="1">
        <v>18690</v>
      </c>
      <c r="C14" s="1">
        <v>20115</v>
      </c>
      <c r="D14" s="17">
        <f t="shared" si="8"/>
        <v>347</v>
      </c>
      <c r="E14" s="17">
        <f t="shared" si="1"/>
        <v>435</v>
      </c>
      <c r="F14" s="295">
        <f>D14-'2008'!D14</f>
        <v>-244</v>
      </c>
      <c r="G14" s="295">
        <f>E14-'2008'!E14</f>
        <v>-327</v>
      </c>
      <c r="H14" s="17">
        <f t="shared" si="4"/>
        <v>782</v>
      </c>
      <c r="I14" s="2">
        <f t="shared" ca="1" si="9"/>
        <v>30</v>
      </c>
      <c r="J14" s="9">
        <f t="shared" ca="1" si="10"/>
        <v>26.066666666666666</v>
      </c>
      <c r="K14" s="38">
        <f t="shared" si="2"/>
        <v>0.44373401534526852</v>
      </c>
      <c r="L14" s="38">
        <f t="shared" si="3"/>
        <v>0.55626598465473143</v>
      </c>
      <c r="M14" s="297">
        <f t="shared" si="6"/>
        <v>0.23538704581358608</v>
      </c>
      <c r="N14" s="37">
        <f>IF(D14=0,"",1/(H14/(H14-'2008'!H14)))</f>
        <v>-0.7301790281329924</v>
      </c>
      <c r="O14" s="3">
        <f t="shared" si="16"/>
        <v>8.5125000000000011</v>
      </c>
      <c r="P14" s="3">
        <f t="shared" si="13"/>
        <v>30.362499999999997</v>
      </c>
      <c r="Q14" s="3">
        <f t="shared" si="14"/>
        <v>56.2455</v>
      </c>
      <c r="R14" s="30">
        <f t="shared" si="11"/>
        <v>95.120499999999993</v>
      </c>
      <c r="S14" s="31">
        <f t="shared" si="5"/>
        <v>1055.1574000000001</v>
      </c>
      <c r="T14">
        <v>2010</v>
      </c>
      <c r="U14" s="93">
        <v>86</v>
      </c>
      <c r="V14" s="32">
        <f t="shared" si="17"/>
        <v>235.61643835616439</v>
      </c>
      <c r="W14" s="147">
        <v>271.33</v>
      </c>
      <c r="X14" s="148">
        <f>W14/U14</f>
        <v>3.1549999999999998</v>
      </c>
      <c r="Y14" s="91">
        <v>40596</v>
      </c>
      <c r="Z14" s="169">
        <v>50</v>
      </c>
      <c r="AA14" s="169"/>
      <c r="AB14" s="153">
        <f>Y14-Y12</f>
        <v>24</v>
      </c>
    </row>
    <row r="15" spans="1:28" ht="17.25" thickTop="1" thickBot="1">
      <c r="A15" s="10" t="s">
        <v>0</v>
      </c>
      <c r="B15" s="92">
        <f>'2008'!C15</f>
        <v>9088</v>
      </c>
      <c r="C15" s="18">
        <f>D15+E15</f>
        <v>8771</v>
      </c>
      <c r="D15" s="18">
        <f>SUM(D3:D14)</f>
        <v>3904</v>
      </c>
      <c r="E15" s="18">
        <f>SUM(E3:E14)</f>
        <v>4867</v>
      </c>
      <c r="F15" s="310">
        <f>C15/12</f>
        <v>730.91666666666663</v>
      </c>
      <c r="G15" s="311" t="str">
        <f>" / mois"</f>
        <v xml:space="preserve"> / mois</v>
      </c>
      <c r="H15" s="18">
        <f>SUM(H3:H14)</f>
        <v>8771</v>
      </c>
      <c r="I15" s="14"/>
      <c r="J15" s="15">
        <f ca="1">AVERAGE(J3:J14)</f>
        <v>20.276416437859577</v>
      </c>
      <c r="K15" s="16">
        <f>D15/H15</f>
        <v>0.44510318093717932</v>
      </c>
      <c r="L15" s="16">
        <f>E15/H15</f>
        <v>0.55489681906282062</v>
      </c>
      <c r="M15" s="296"/>
      <c r="N15" s="298">
        <f>1/(B15/(C15-B15))</f>
        <v>-3.4881161971830985E-2</v>
      </c>
      <c r="O15" s="15">
        <f>SUM(O3:O14)</f>
        <v>102.15000000000002</v>
      </c>
      <c r="P15" s="15">
        <f>SUM(P3:P14)</f>
        <v>333.98829999999998</v>
      </c>
      <c r="Q15" s="15">
        <f>SUM(Q3:Q14)</f>
        <v>619.01909999999998</v>
      </c>
      <c r="R15" s="356">
        <f>SUM(O15:Q15)</f>
        <v>1055.1574000000001</v>
      </c>
      <c r="S15" s="357"/>
      <c r="T15">
        <v>2011</v>
      </c>
      <c r="U15" s="93">
        <v>1</v>
      </c>
      <c r="V15" s="32">
        <f t="shared" si="17"/>
        <v>2.7397260273972601</v>
      </c>
      <c r="W15" s="147">
        <v>1</v>
      </c>
      <c r="X15" s="148">
        <f>W15/U15</f>
        <v>1</v>
      </c>
      <c r="Y15" s="91">
        <v>40620</v>
      </c>
      <c r="Z15" s="169">
        <v>50</v>
      </c>
      <c r="AA15" s="169"/>
      <c r="AB15" s="153">
        <f>Y15-Y14</f>
        <v>24</v>
      </c>
    </row>
    <row r="16" spans="1:28">
      <c r="U16" s="32"/>
      <c r="Y16" s="91">
        <v>40638</v>
      </c>
      <c r="Z16" s="169">
        <v>50</v>
      </c>
      <c r="AA16" s="169"/>
      <c r="AB16" s="153">
        <f t="shared" ref="AB16" si="18">Y16-Y14</f>
        <v>42</v>
      </c>
    </row>
    <row r="17" spans="12:28">
      <c r="U17" s="124"/>
      <c r="Y17" s="91">
        <v>40649</v>
      </c>
      <c r="Z17" s="169">
        <v>37.51</v>
      </c>
      <c r="AA17" s="169"/>
      <c r="AB17" s="153">
        <f t="shared" ref="AB17" si="19">Y17-Y16</f>
        <v>11</v>
      </c>
    </row>
    <row r="18" spans="12:28">
      <c r="Y18" s="91">
        <v>40665</v>
      </c>
      <c r="Z18" s="169">
        <v>50</v>
      </c>
      <c r="AA18" s="169"/>
      <c r="AB18" s="153">
        <f t="shared" ref="AB18" si="20">Y18-Y16</f>
        <v>27</v>
      </c>
    </row>
    <row r="19" spans="12:28">
      <c r="Y19" s="91"/>
      <c r="Z19" s="169"/>
      <c r="AA19" s="169"/>
    </row>
    <row r="20" spans="12:28">
      <c r="U20" t="s">
        <v>90</v>
      </c>
      <c r="Y20" s="91"/>
      <c r="Z20" s="169"/>
      <c r="AA20" s="169"/>
    </row>
    <row r="21" spans="12:28">
      <c r="U21">
        <v>2187</v>
      </c>
    </row>
    <row r="22" spans="12:28">
      <c r="U22">
        <v>2250</v>
      </c>
    </row>
    <row r="23" spans="12:28">
      <c r="U23">
        <v>2333</v>
      </c>
    </row>
    <row r="26" spans="12:28">
      <c r="L26" s="12"/>
    </row>
    <row r="28" spans="12:28">
      <c r="Y28" s="91"/>
      <c r="Z28" s="169"/>
      <c r="AA28" s="169"/>
    </row>
    <row r="29" spans="12:28">
      <c r="Y29" s="91"/>
      <c r="Z29" s="169"/>
      <c r="AA29" s="169"/>
    </row>
    <row r="30" spans="12:28">
      <c r="Y30" s="91"/>
      <c r="Z30" s="169"/>
      <c r="AA30" s="169"/>
    </row>
    <row r="31" spans="12:28">
      <c r="Y31" s="91"/>
      <c r="Z31" s="169"/>
      <c r="AA31" s="169"/>
    </row>
    <row r="32" spans="12:28">
      <c r="U32" s="197"/>
      <c r="Y32" s="91"/>
      <c r="Z32" s="169"/>
      <c r="AA32" s="169"/>
    </row>
    <row r="33" spans="1:27">
      <c r="Y33" s="91"/>
      <c r="Z33" s="169"/>
      <c r="AA33" s="169"/>
    </row>
    <row r="34" spans="1:27">
      <c r="E34" s="39"/>
      <c r="Y34" s="91"/>
      <c r="Z34" s="169"/>
      <c r="AA34" s="169"/>
    </row>
    <row r="35" spans="1:27" ht="13.5" thickBot="1">
      <c r="Y35" s="91"/>
      <c r="Z35" s="169"/>
      <c r="AA35" s="169"/>
    </row>
    <row r="36" spans="1:27">
      <c r="C36" s="83" t="s">
        <v>58</v>
      </c>
      <c r="D36" s="84" t="s">
        <v>56</v>
      </c>
      <c r="E36" s="85" t="s">
        <v>57</v>
      </c>
      <c r="Y36" s="91"/>
      <c r="Z36" s="169"/>
      <c r="AA36" s="169"/>
    </row>
    <row r="37" spans="1:27">
      <c r="A37" t="s">
        <v>53</v>
      </c>
      <c r="C37" s="86">
        <f>D37+E37</f>
        <v>3932</v>
      </c>
      <c r="D37" s="87">
        <f>AVERAGE(D8,D9,D11,D12,D7,D10)*12</f>
        <v>2040</v>
      </c>
      <c r="E37" s="88">
        <f>AVERAGE(E8,E9,E11,E12,E7,E10)*12</f>
        <v>1892</v>
      </c>
      <c r="L37" s="261"/>
      <c r="M37" s="261"/>
      <c r="Y37" s="91"/>
      <c r="Z37" s="169"/>
      <c r="AA37" s="169"/>
    </row>
    <row r="38" spans="1:27">
      <c r="A38" t="s">
        <v>54</v>
      </c>
      <c r="C38" s="86">
        <f>D38+E38</f>
        <v>4839</v>
      </c>
      <c r="D38" s="87">
        <f>D15-D37</f>
        <v>1864</v>
      </c>
      <c r="E38" s="88">
        <f>E15-E37</f>
        <v>2975</v>
      </c>
      <c r="Y38" s="91"/>
      <c r="Z38" s="169"/>
      <c r="AA38" s="169"/>
    </row>
    <row r="39" spans="1:27" ht="13.5" thickBot="1">
      <c r="A39" s="74" t="s">
        <v>55</v>
      </c>
      <c r="B39" s="75">
        <f>'2008'!C39</f>
        <v>416.24799999999999</v>
      </c>
      <c r="C39" s="90">
        <f>D39+E39</f>
        <v>454.48220000000003</v>
      </c>
      <c r="D39" s="89">
        <f>D38*P2</f>
        <v>125.4472</v>
      </c>
      <c r="E39" s="154">
        <f>E38*Q2</f>
        <v>329.03500000000003</v>
      </c>
      <c r="G39" s="349"/>
      <c r="H39" s="349"/>
      <c r="I39" s="349"/>
      <c r="J39" s="349"/>
      <c r="K39" s="349"/>
      <c r="M39" s="75"/>
      <c r="N39" s="353"/>
      <c r="O39" s="353"/>
      <c r="U39" s="123"/>
      <c r="Y39" s="91"/>
      <c r="Z39" s="169"/>
      <c r="AA39" s="169"/>
    </row>
    <row r="40" spans="1:27" ht="14.25" thickTop="1" thickBot="1">
      <c r="C40" s="366" t="s">
        <v>84</v>
      </c>
      <c r="D40" s="367"/>
      <c r="E40" s="368">
        <v>2005</v>
      </c>
      <c r="F40" s="369"/>
      <c r="G40" s="369"/>
      <c r="H40" s="363">
        <v>2006</v>
      </c>
      <c r="I40" s="364"/>
      <c r="J40" s="364"/>
      <c r="K40" s="365"/>
      <c r="L40" s="370">
        <v>2007</v>
      </c>
      <c r="M40" s="371"/>
      <c r="N40" s="372"/>
      <c r="O40" s="373">
        <v>2008</v>
      </c>
      <c r="P40" s="359"/>
      <c r="Q40" s="374"/>
      <c r="R40" s="358">
        <v>2009</v>
      </c>
      <c r="S40" s="359"/>
      <c r="T40" s="374"/>
      <c r="U40" s="358">
        <v>2010</v>
      </c>
      <c r="V40" s="359"/>
      <c r="W40" s="360"/>
      <c r="Y40" s="91"/>
      <c r="Z40" s="169"/>
      <c r="AA40" s="169"/>
    </row>
    <row r="41" spans="1:27" ht="13.5" thickTop="1">
      <c r="C41" s="98"/>
      <c r="D41" s="117" t="s">
        <v>66</v>
      </c>
      <c r="E41" s="105">
        <v>38597</v>
      </c>
      <c r="F41" s="101" t="s">
        <v>64</v>
      </c>
      <c r="G41" s="101" t="s">
        <v>65</v>
      </c>
      <c r="H41" s="137" t="s">
        <v>85</v>
      </c>
      <c r="I41" s="66"/>
      <c r="J41" s="101" t="s">
        <v>64</v>
      </c>
      <c r="K41" s="112" t="s">
        <v>65</v>
      </c>
      <c r="L41" s="137" t="s">
        <v>85</v>
      </c>
      <c r="M41" s="101" t="s">
        <v>64</v>
      </c>
      <c r="N41" s="101" t="s">
        <v>65</v>
      </c>
      <c r="O41" s="137" t="s">
        <v>85</v>
      </c>
      <c r="P41" s="101" t="s">
        <v>64</v>
      </c>
      <c r="Q41" s="112" t="s">
        <v>65</v>
      </c>
      <c r="R41" s="137" t="s">
        <v>85</v>
      </c>
      <c r="S41" s="101" t="s">
        <v>64</v>
      </c>
      <c r="T41" s="112" t="s">
        <v>65</v>
      </c>
      <c r="U41" s="137" t="s">
        <v>85</v>
      </c>
      <c r="V41" s="101" t="s">
        <v>64</v>
      </c>
      <c r="W41" s="102" t="s">
        <v>65</v>
      </c>
    </row>
    <row r="42" spans="1:27" ht="13.5" thickBot="1">
      <c r="C42" s="118">
        <v>1</v>
      </c>
      <c r="D42" s="119">
        <f>AVERAGE(J42,M42,P42,S42,V42,F48)</f>
        <v>124.5</v>
      </c>
      <c r="E42" s="106">
        <v>38661</v>
      </c>
      <c r="F42" s="107">
        <f>E42-E41</f>
        <v>64</v>
      </c>
      <c r="G42" s="108">
        <f>F42/30.5</f>
        <v>2.098360655737705</v>
      </c>
      <c r="H42" s="100">
        <v>38774</v>
      </c>
      <c r="I42" s="66"/>
      <c r="J42" s="97">
        <f>H42-E42</f>
        <v>113</v>
      </c>
      <c r="K42" s="113">
        <f>J42/30.5</f>
        <v>3.7049180327868854</v>
      </c>
      <c r="L42" s="115">
        <v>39130</v>
      </c>
      <c r="M42" s="97">
        <f>L42-H45</f>
        <v>105</v>
      </c>
      <c r="N42" s="103">
        <f>M42/30.5</f>
        <v>3.442622950819672</v>
      </c>
      <c r="O42" s="100">
        <v>39490</v>
      </c>
      <c r="P42" s="97">
        <f>O42-L45</f>
        <v>115</v>
      </c>
      <c r="Q42" s="113">
        <f>P42/30.5</f>
        <v>3.7704918032786887</v>
      </c>
      <c r="R42" s="115">
        <v>39846</v>
      </c>
      <c r="S42" s="97">
        <f>R42-O45</f>
        <v>116</v>
      </c>
      <c r="T42" s="113">
        <f>S42/30.5</f>
        <v>3.8032786885245899</v>
      </c>
      <c r="U42" s="115">
        <v>40254</v>
      </c>
      <c r="V42" s="97">
        <f>U42-R45</f>
        <v>143</v>
      </c>
      <c r="W42" s="104">
        <f>V42/30.5</f>
        <v>4.6885245901639347</v>
      </c>
    </row>
    <row r="43" spans="1:27" ht="13.5" thickTop="1">
      <c r="C43" s="99">
        <v>2</v>
      </c>
      <c r="D43" s="119">
        <f>AVERAGE(J43,M43,P43,S43,V43,F49)</f>
        <v>85</v>
      </c>
      <c r="E43" s="155"/>
      <c r="F43" s="66"/>
      <c r="G43" s="66"/>
      <c r="H43" s="100">
        <v>38856</v>
      </c>
      <c r="I43" s="66"/>
      <c r="J43" s="97">
        <f>H43-H42</f>
        <v>82</v>
      </c>
      <c r="K43" s="113">
        <f>J43/30.5</f>
        <v>2.6885245901639343</v>
      </c>
      <c r="L43" s="115">
        <v>39209</v>
      </c>
      <c r="M43" s="97">
        <f>L43-L42</f>
        <v>79</v>
      </c>
      <c r="N43" s="103">
        <f>M43/30.5</f>
        <v>2.5901639344262297</v>
      </c>
      <c r="O43" s="100">
        <v>39567</v>
      </c>
      <c r="P43" s="97">
        <f>O43-O42</f>
        <v>77</v>
      </c>
      <c r="Q43" s="113">
        <f>P43/30.5</f>
        <v>2.5245901639344264</v>
      </c>
      <c r="R43" s="115">
        <v>39922</v>
      </c>
      <c r="S43" s="97">
        <f>R43-R42</f>
        <v>76</v>
      </c>
      <c r="T43" s="113">
        <f>S43/30.5</f>
        <v>2.4918032786885247</v>
      </c>
      <c r="U43" s="115">
        <v>40344</v>
      </c>
      <c r="V43" s="97">
        <f>U43-U42</f>
        <v>90</v>
      </c>
      <c r="W43" s="104">
        <f>V43/30.5</f>
        <v>2.9508196721311477</v>
      </c>
    </row>
    <row r="44" spans="1:27">
      <c r="C44" s="99">
        <v>3</v>
      </c>
      <c r="D44" s="119">
        <f>AVERAGE(J44,M44,P44,S44,V44,F50)</f>
        <v>90.5</v>
      </c>
      <c r="E44" s="155"/>
      <c r="F44" s="66"/>
      <c r="G44" s="66"/>
      <c r="H44" s="100">
        <v>38946</v>
      </c>
      <c r="I44" s="66"/>
      <c r="J44" s="97">
        <f>H44-H43</f>
        <v>90</v>
      </c>
      <c r="K44" s="113">
        <f>J44/30.5</f>
        <v>2.9508196721311477</v>
      </c>
      <c r="L44" s="115">
        <v>39290</v>
      </c>
      <c r="M44" s="97">
        <f>L44-L43</f>
        <v>81</v>
      </c>
      <c r="N44" s="103">
        <f>M44/30.5</f>
        <v>2.6557377049180326</v>
      </c>
      <c r="O44" s="100">
        <v>39648</v>
      </c>
      <c r="P44" s="97">
        <f>O44-O43</f>
        <v>81</v>
      </c>
      <c r="Q44" s="113">
        <f>P44/30.5</f>
        <v>2.6557377049180326</v>
      </c>
      <c r="R44" s="115">
        <v>40014</v>
      </c>
      <c r="S44" s="97">
        <f>R44-R43</f>
        <v>92</v>
      </c>
      <c r="T44" s="113">
        <f>S44/30.5</f>
        <v>3.0163934426229506</v>
      </c>
      <c r="U44" s="115">
        <v>40436</v>
      </c>
      <c r="V44" s="97">
        <f>U44-U43</f>
        <v>92</v>
      </c>
      <c r="W44" s="104">
        <f>V44/30.5</f>
        <v>3.0163934426229506</v>
      </c>
    </row>
    <row r="45" spans="1:27" ht="13.5" thickBot="1">
      <c r="C45" s="120">
        <v>4</v>
      </c>
      <c r="D45" s="121">
        <f ca="1">AVERAGE(J45,M45,P45,S45,F42,V45,F51)</f>
        <v>142.83333333333334</v>
      </c>
      <c r="E45" s="156"/>
      <c r="F45" s="157"/>
      <c r="G45" s="157"/>
      <c r="H45" s="109">
        <v>39025</v>
      </c>
      <c r="I45" s="157"/>
      <c r="J45" s="107">
        <f>H45-H44</f>
        <v>79</v>
      </c>
      <c r="K45" s="114">
        <f>J45/30.5</f>
        <v>2.5901639344262297</v>
      </c>
      <c r="L45" s="116">
        <v>39375</v>
      </c>
      <c r="M45" s="107">
        <f>L45-L44</f>
        <v>85</v>
      </c>
      <c r="N45" s="108">
        <f>M45/30.5</f>
        <v>2.7868852459016393</v>
      </c>
      <c r="O45" s="110">
        <v>39730</v>
      </c>
      <c r="P45" s="107">
        <f>O45-O44</f>
        <v>82</v>
      </c>
      <c r="Q45" s="114">
        <f>P45/30.5</f>
        <v>2.6885245901639343</v>
      </c>
      <c r="R45" s="116">
        <v>40111</v>
      </c>
      <c r="S45" s="107">
        <f>R45-R44</f>
        <v>97</v>
      </c>
      <c r="T45" s="114">
        <f>S45/30.5</f>
        <v>3.180327868852459</v>
      </c>
      <c r="U45" s="116"/>
      <c r="V45" s="107"/>
      <c r="W45" s="111"/>
    </row>
    <row r="46" spans="1:27" ht="13.5" thickTop="1">
      <c r="E46" s="361">
        <v>2011</v>
      </c>
      <c r="F46" s="362"/>
      <c r="G46" s="362"/>
      <c r="H46" s="363">
        <v>2012</v>
      </c>
      <c r="I46" s="364"/>
      <c r="J46" s="364"/>
      <c r="K46" s="365"/>
    </row>
    <row r="47" spans="1:27">
      <c r="E47" s="151" t="s">
        <v>85</v>
      </c>
      <c r="F47" s="101" t="s">
        <v>64</v>
      </c>
      <c r="G47" s="112" t="s">
        <v>65</v>
      </c>
      <c r="H47" s="137" t="s">
        <v>85</v>
      </c>
      <c r="I47" s="66"/>
      <c r="J47" s="101" t="s">
        <v>64</v>
      </c>
      <c r="K47" s="112" t="s">
        <v>65</v>
      </c>
    </row>
    <row r="48" spans="1:27">
      <c r="E48" s="105">
        <v>40591</v>
      </c>
      <c r="F48" s="97">
        <f>E48-U44</f>
        <v>155</v>
      </c>
      <c r="G48" s="113">
        <f>F48/30.5</f>
        <v>5.081967213114754</v>
      </c>
      <c r="H48" s="100">
        <f t="shared" ref="H48:H51" ca="1" si="21">TODAY()</f>
        <v>41254</v>
      </c>
      <c r="I48" s="66"/>
      <c r="J48" s="97">
        <f ca="1">H48-E51</f>
        <v>0</v>
      </c>
      <c r="K48" s="113">
        <f ca="1">J48/30.5</f>
        <v>0</v>
      </c>
    </row>
    <row r="49" spans="5:11">
      <c r="E49" s="105">
        <v>40697</v>
      </c>
      <c r="F49" s="97">
        <f t="shared" ref="F49:F51" si="22">E49-E48</f>
        <v>106</v>
      </c>
      <c r="G49" s="113">
        <f t="shared" ref="G49:G51" si="23">F49/30.5</f>
        <v>3.4754098360655736</v>
      </c>
      <c r="H49" s="100">
        <f t="shared" ca="1" si="21"/>
        <v>41254</v>
      </c>
      <c r="I49" s="66"/>
      <c r="J49" s="97">
        <f ca="1">H49-H48</f>
        <v>0</v>
      </c>
      <c r="K49" s="113">
        <f ca="1">J49/30.5</f>
        <v>0</v>
      </c>
    </row>
    <row r="50" spans="5:11">
      <c r="E50" s="105">
        <v>40804</v>
      </c>
      <c r="F50" s="97">
        <f t="shared" si="22"/>
        <v>107</v>
      </c>
      <c r="G50" s="113">
        <f t="shared" si="23"/>
        <v>3.5081967213114753</v>
      </c>
      <c r="H50" s="100">
        <f t="shared" ca="1" si="21"/>
        <v>41254</v>
      </c>
      <c r="I50" s="66"/>
      <c r="J50" s="97">
        <f ca="1">H50-H49</f>
        <v>0</v>
      </c>
      <c r="K50" s="113">
        <f ca="1">J50/30.5</f>
        <v>0</v>
      </c>
    </row>
    <row r="51" spans="5:11" ht="13.5" thickBot="1">
      <c r="E51" s="106">
        <f t="shared" ref="E51" ca="1" si="24">TODAY()</f>
        <v>41254</v>
      </c>
      <c r="F51" s="107">
        <f t="shared" ca="1" si="22"/>
        <v>450</v>
      </c>
      <c r="G51" s="114">
        <f t="shared" ca="1" si="23"/>
        <v>14.754098360655737</v>
      </c>
      <c r="H51" s="109">
        <f t="shared" ca="1" si="21"/>
        <v>41254</v>
      </c>
      <c r="I51" s="157"/>
      <c r="J51" s="107">
        <f ca="1">H51-H50</f>
        <v>0</v>
      </c>
      <c r="K51" s="114">
        <f ca="1">J51/30.5</f>
        <v>0</v>
      </c>
    </row>
    <row r="52" spans="5:11" ht="13.5" thickTop="1"/>
  </sheetData>
  <mergeCells count="15">
    <mergeCell ref="U40:W40"/>
    <mergeCell ref="E46:G46"/>
    <mergeCell ref="H46:K46"/>
    <mergeCell ref="C40:D40"/>
    <mergeCell ref="E40:G40"/>
    <mergeCell ref="H40:K40"/>
    <mergeCell ref="L40:N40"/>
    <mergeCell ref="O40:Q40"/>
    <mergeCell ref="R40:T40"/>
    <mergeCell ref="K1:L1"/>
    <mergeCell ref="T9:V9"/>
    <mergeCell ref="R15:S15"/>
    <mergeCell ref="G39:I39"/>
    <mergeCell ref="J39:K39"/>
    <mergeCell ref="N39:O39"/>
  </mergeCells>
  <conditionalFormatting sqref="F3:G14">
    <cfRule type="expression" dxfId="5" priority="9">
      <formula>B3=""</formula>
    </cfRule>
  </conditionalFormatting>
  <conditionalFormatting sqref="D3:E14">
    <cfRule type="iconSet" priority="4">
      <iconSet iconSet="4TrafficLights" reverse="1">
        <cfvo type="percent" val="0"/>
        <cfvo type="num" val="150"/>
        <cfvo type="num" val="300"/>
        <cfvo type="num" val="600"/>
      </iconSet>
    </cfRule>
  </conditionalFormatting>
  <conditionalFormatting sqref="H3:H14">
    <cfRule type="iconSet" priority="3">
      <iconSet iconSet="4TrafficLights" reverse="1">
        <cfvo type="percent" val="0"/>
        <cfvo type="num" val="300"/>
        <cfvo type="num" val="600"/>
        <cfvo type="num" val="1200"/>
      </iconSet>
    </cfRule>
  </conditionalFormatting>
  <conditionalFormatting sqref="R15">
    <cfRule type="colorScale" priority="1">
      <colorScale>
        <cfvo type="num" val="700"/>
        <cfvo type="num" val="800"/>
        <cfvo type="num" val="90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AB52"/>
  <sheetViews>
    <sheetView workbookViewId="0">
      <selection activeCell="U17" sqref="U17"/>
    </sheetView>
  </sheetViews>
  <sheetFormatPr baseColWidth="10" defaultColWidth="11.42578125" defaultRowHeight="12.75"/>
  <cols>
    <col min="1" max="1" width="10.28515625" customWidth="1"/>
    <col min="2" max="2" width="9.140625" customWidth="1"/>
    <col min="3" max="3" width="9.28515625" customWidth="1"/>
    <col min="4" max="4" width="10.42578125" customWidth="1"/>
    <col min="5" max="5" width="10.7109375" customWidth="1"/>
    <col min="6" max="7" width="6.140625" bestFit="1" customWidth="1"/>
    <col min="8" max="8" width="7.7109375" customWidth="1"/>
    <col min="9" max="9" width="6.140625" hidden="1" customWidth="1"/>
    <col min="10" max="10" width="7.7109375" customWidth="1"/>
    <col min="11" max="11" width="8.42578125" customWidth="1"/>
    <col min="12" max="12" width="8.140625" customWidth="1"/>
    <col min="13" max="13" width="10.140625" customWidth="1"/>
    <col min="14" max="14" width="8.7109375" customWidth="1"/>
    <col min="15" max="15" width="6.5703125" customWidth="1"/>
    <col min="16" max="17" width="7.85546875" customWidth="1"/>
    <col min="18" max="18" width="8.85546875" customWidth="1"/>
    <col min="19" max="19" width="7.5703125" bestFit="1" customWidth="1"/>
    <col min="20" max="22" width="9.28515625" bestFit="1" customWidth="1"/>
    <col min="23" max="23" width="10.140625" bestFit="1" customWidth="1"/>
    <col min="24" max="24" width="9.85546875" bestFit="1" customWidth="1"/>
  </cols>
  <sheetData>
    <row r="1" spans="1:28" ht="38.25" customHeight="1">
      <c r="A1" s="5" t="s">
        <v>1</v>
      </c>
      <c r="B1" s="168" t="s">
        <v>2</v>
      </c>
      <c r="C1" s="168" t="s">
        <v>3</v>
      </c>
      <c r="D1" s="168" t="s">
        <v>4</v>
      </c>
      <c r="E1" s="168" t="s">
        <v>5</v>
      </c>
      <c r="F1" s="168" t="s">
        <v>21</v>
      </c>
      <c r="G1" s="168" t="s">
        <v>22</v>
      </c>
      <c r="H1" s="168" t="s">
        <v>13</v>
      </c>
      <c r="I1" s="168"/>
      <c r="J1" s="168" t="s">
        <v>37</v>
      </c>
      <c r="K1" s="350" t="s">
        <v>7</v>
      </c>
      <c r="L1" s="350"/>
      <c r="M1" s="19" t="s">
        <v>8</v>
      </c>
      <c r="N1" s="19" t="s">
        <v>36</v>
      </c>
      <c r="O1" s="24" t="s">
        <v>14</v>
      </c>
      <c r="P1" s="24" t="s">
        <v>9</v>
      </c>
      <c r="Q1" s="24" t="s">
        <v>10</v>
      </c>
      <c r="R1" s="26" t="s">
        <v>11</v>
      </c>
      <c r="S1" s="27" t="s">
        <v>12</v>
      </c>
      <c r="T1" s="33" t="s">
        <v>61</v>
      </c>
      <c r="U1" s="33" t="s">
        <v>63</v>
      </c>
      <c r="V1" s="33" t="s">
        <v>62</v>
      </c>
      <c r="Z1" s="152" t="s">
        <v>88</v>
      </c>
      <c r="AA1" s="152" t="s">
        <v>89</v>
      </c>
    </row>
    <row r="2" spans="1:28" hidden="1">
      <c r="A2" s="7">
        <v>40176</v>
      </c>
      <c r="B2" s="1">
        <v>18690</v>
      </c>
      <c r="C2" s="1">
        <v>20115</v>
      </c>
      <c r="D2" s="73">
        <f ca="1">TODAY()</f>
        <v>41254</v>
      </c>
      <c r="E2" s="1"/>
      <c r="F2" s="1"/>
      <c r="G2" s="1"/>
      <c r="H2" s="1"/>
      <c r="I2" s="1"/>
      <c r="J2" s="1"/>
      <c r="K2" s="1"/>
      <c r="L2" s="1"/>
      <c r="M2" s="20"/>
      <c r="N2" s="20"/>
      <c r="O2" s="161">
        <v>93.66</v>
      </c>
      <c r="P2" s="163">
        <f>AVERAGE(U4:U7)</f>
        <v>8.4099999999999994E-2</v>
      </c>
      <c r="Q2" s="163">
        <f>AVERAGE(V4:V7)</f>
        <v>0.12676666666666667</v>
      </c>
      <c r="R2" s="1"/>
      <c r="S2" s="1"/>
    </row>
    <row r="3" spans="1:28" ht="13.5" thickBot="1">
      <c r="A3" s="7">
        <f t="shared" ref="A3:A9" si="0">EDATE(A2,1)</f>
        <v>40207</v>
      </c>
      <c r="B3" s="1">
        <v>19171</v>
      </c>
      <c r="C3" s="1">
        <v>20703</v>
      </c>
      <c r="D3" s="17">
        <f>IF(B3-B2&lt;=0,0,B3-B2)</f>
        <v>481</v>
      </c>
      <c r="E3" s="17">
        <f t="shared" ref="E3:E14" si="1">IF(C3-C2&lt;=0,0.00000001,C3-C2)</f>
        <v>588</v>
      </c>
      <c r="F3" s="158">
        <f>D3-'2009'!D3</f>
        <v>-112</v>
      </c>
      <c r="G3" s="158">
        <f>E3-'2009'!E3</f>
        <v>-426</v>
      </c>
      <c r="H3" s="17">
        <f>D3+E3</f>
        <v>1069</v>
      </c>
      <c r="I3" s="2">
        <f ca="1">IF(A3&gt;$D$2,$D$2-A2,A3-A2)</f>
        <v>31</v>
      </c>
      <c r="J3" s="3">
        <f ca="1">H3/I3</f>
        <v>34.483870967741936</v>
      </c>
      <c r="K3" s="36">
        <f t="shared" ref="K3:K14" si="2">D3/H3</f>
        <v>0.44995322731524789</v>
      </c>
      <c r="L3" s="36">
        <f t="shared" ref="L3:L14" si="3">E3/H3</f>
        <v>0.55004677268475211</v>
      </c>
      <c r="M3" s="37"/>
      <c r="N3" s="37">
        <f>IF(D3=0,"",1/(H3/(H3-'2009'!H3)))</f>
        <v>-0.50327408793264738</v>
      </c>
      <c r="O3" s="3">
        <f>$T$4/12</f>
        <v>7.8049999999999997</v>
      </c>
      <c r="P3" s="3">
        <f>D3*$U$4</f>
        <v>37.7104</v>
      </c>
      <c r="Q3" s="3">
        <f>E3*$V$4</f>
        <v>72.617999999999995</v>
      </c>
      <c r="R3" s="30">
        <f>SUM(O3:Q3)</f>
        <v>118.13339999999999</v>
      </c>
      <c r="S3" s="31">
        <f>R3</f>
        <v>118.13339999999999</v>
      </c>
      <c r="T3" s="96">
        <f>(T6-T4)/T4</f>
        <v>0</v>
      </c>
      <c r="U3" s="96">
        <f>(U6-U4)/U4</f>
        <v>0.11607142857142853</v>
      </c>
      <c r="V3" s="96">
        <f>(V6-V4)/V4</f>
        <v>4.6963562753036432E-2</v>
      </c>
      <c r="Y3" s="91">
        <v>40404</v>
      </c>
      <c r="Z3" s="147">
        <v>47.1</v>
      </c>
      <c r="AA3" s="147"/>
    </row>
    <row r="4" spans="1:28" ht="14.25" thickTop="1" thickBot="1">
      <c r="A4" s="7">
        <f t="shared" si="0"/>
        <v>40237</v>
      </c>
      <c r="B4" s="35">
        <v>19708</v>
      </c>
      <c r="C4" s="35">
        <v>21400</v>
      </c>
      <c r="D4" s="17">
        <f>IF(B4-B3&lt;=0,0,B4-B3)</f>
        <v>537</v>
      </c>
      <c r="E4" s="17">
        <f t="shared" si="1"/>
        <v>697</v>
      </c>
      <c r="F4" s="158">
        <f>D4-'2009'!D4</f>
        <v>-53</v>
      </c>
      <c r="G4" s="158">
        <f>E4-'2009'!E4</f>
        <v>-72</v>
      </c>
      <c r="H4" s="17">
        <f t="shared" ref="H4:H14" si="4">D4+E4</f>
        <v>1234</v>
      </c>
      <c r="I4" s="2">
        <f ca="1">IF(A4&gt;$D$2,$D$2-A3,A4-A3)</f>
        <v>30</v>
      </c>
      <c r="J4" s="3">
        <f ca="1">H4/(I4+I3)</f>
        <v>20.229508196721312</v>
      </c>
      <c r="K4" s="36">
        <f t="shared" si="2"/>
        <v>0.43517017828200971</v>
      </c>
      <c r="L4" s="36">
        <f t="shared" si="3"/>
        <v>0.56482982171799023</v>
      </c>
      <c r="M4" s="37">
        <f>IF(D4=0,"",1/(H3/(H4-H3)))</f>
        <v>0.15434985968194576</v>
      </c>
      <c r="N4" s="37">
        <f>IF(D4=0,"",1/(H4/(H4-'2009'!H4)))</f>
        <v>-0.1012965964343598</v>
      </c>
      <c r="O4" s="3">
        <f>$T$5/12</f>
        <v>7.8049999999999997</v>
      </c>
      <c r="P4" s="3">
        <f>D4*$U$5</f>
        <v>46.396799999999999</v>
      </c>
      <c r="Q4" s="3">
        <f>E4*$V$5</f>
        <v>88.867500000000007</v>
      </c>
      <c r="R4" s="30">
        <f>SUM(O4:Q4)</f>
        <v>143.0693</v>
      </c>
      <c r="S4" s="31">
        <f t="shared" ref="S4:S14" si="5">S3+R4</f>
        <v>261.20269999999999</v>
      </c>
      <c r="T4" s="173">
        <f>O2</f>
        <v>93.66</v>
      </c>
      <c r="U4" s="149">
        <v>7.8399999999999997E-2</v>
      </c>
      <c r="V4" s="149">
        <v>0.1235</v>
      </c>
      <c r="W4" s="122">
        <v>40405</v>
      </c>
      <c r="Y4" s="91">
        <v>40431</v>
      </c>
      <c r="Z4" s="147">
        <v>46</v>
      </c>
      <c r="AA4" s="147"/>
      <c r="AB4" s="153">
        <f>Y4-Y3</f>
        <v>27</v>
      </c>
    </row>
    <row r="5" spans="1:28" ht="14.25" thickTop="1" thickBot="1">
      <c r="A5" s="7">
        <f>EDATE(A4,"1")+1</f>
        <v>40266</v>
      </c>
      <c r="B5" s="35">
        <v>20329</v>
      </c>
      <c r="C5" s="35">
        <v>22321</v>
      </c>
      <c r="D5" s="17">
        <f>IF(B5-B4&lt;=0,0,B5-B4)</f>
        <v>621</v>
      </c>
      <c r="E5" s="17">
        <f t="shared" si="1"/>
        <v>921</v>
      </c>
      <c r="F5" s="158">
        <f>D5-'2009'!D5</f>
        <v>62</v>
      </c>
      <c r="G5" s="158">
        <f>E5-'2009'!E5</f>
        <v>172</v>
      </c>
      <c r="H5" s="17">
        <f t="shared" si="4"/>
        <v>1542</v>
      </c>
      <c r="I5" s="2">
        <f ca="1">IF(A5&gt;$D$2,$D$2-A4,A5-A4)</f>
        <v>29</v>
      </c>
      <c r="J5" s="3">
        <f ca="1">H5/(I5+I4)</f>
        <v>26.135593220338983</v>
      </c>
      <c r="K5" s="36">
        <f t="shared" si="2"/>
        <v>0.40272373540856032</v>
      </c>
      <c r="L5" s="36">
        <f t="shared" si="3"/>
        <v>0.59727626459143968</v>
      </c>
      <c r="M5" s="37">
        <f t="shared" ref="M5:M14" si="6">IF(D5=0,"",1/(H4/(H5-H4)))</f>
        <v>0.24959481361426256</v>
      </c>
      <c r="N5" s="37">
        <f>IF(D5=0,"",1/(H5/(H5-'2009'!H5)))</f>
        <v>0.15175097276264593</v>
      </c>
      <c r="O5" s="3">
        <f t="shared" ref="O5:O8" si="7">$T$5/12</f>
        <v>7.8049999999999997</v>
      </c>
      <c r="P5" s="3">
        <f>D5*$U$5</f>
        <v>53.654400000000003</v>
      </c>
      <c r="Q5" s="3">
        <f>E5*$V$5</f>
        <v>117.42750000000001</v>
      </c>
      <c r="R5" s="30">
        <f>SUM(O5:Q5)</f>
        <v>178.88690000000003</v>
      </c>
      <c r="S5" s="31">
        <f t="shared" si="5"/>
        <v>440.08960000000002</v>
      </c>
      <c r="T5" s="173">
        <f>T4</f>
        <v>93.66</v>
      </c>
      <c r="U5" s="149">
        <v>8.6400000000000005E-2</v>
      </c>
      <c r="V5" s="149">
        <v>0.1275</v>
      </c>
      <c r="W5" s="122">
        <v>40575</v>
      </c>
      <c r="Y5" s="91">
        <v>40449</v>
      </c>
      <c r="Z5" s="147">
        <v>48</v>
      </c>
      <c r="AA5" s="147"/>
      <c r="AB5" s="153">
        <f>Y5-Y4</f>
        <v>18</v>
      </c>
    </row>
    <row r="6" spans="1:28" ht="14.25" thickTop="1" thickBot="1">
      <c r="A6" s="7">
        <f t="shared" si="0"/>
        <v>40297</v>
      </c>
      <c r="B6" s="35">
        <v>20654</v>
      </c>
      <c r="C6" s="35">
        <v>22778</v>
      </c>
      <c r="D6" s="17">
        <f t="shared" ref="D6:D14" si="8">IF(B6-B5&lt;=0,0,B6-B5)</f>
        <v>325</v>
      </c>
      <c r="E6" s="17">
        <f t="shared" si="1"/>
        <v>457</v>
      </c>
      <c r="F6" s="158">
        <f>D6-'2009'!D6</f>
        <v>-160</v>
      </c>
      <c r="G6" s="158">
        <f>E6-'2009'!E6</f>
        <v>-174</v>
      </c>
      <c r="H6" s="17">
        <f t="shared" si="4"/>
        <v>782</v>
      </c>
      <c r="I6" s="2">
        <f t="shared" ref="I6:I14" ca="1" si="9">IF($D$2&gt;A5,IF($D$2&gt;A6,A6-A5,$D$2-A5),1)</f>
        <v>31</v>
      </c>
      <c r="J6" s="3">
        <f t="shared" ref="J6:J14" ca="1" si="10">H6/I6</f>
        <v>25.225806451612904</v>
      </c>
      <c r="K6" s="36">
        <f t="shared" si="2"/>
        <v>0.4156010230179028</v>
      </c>
      <c r="L6" s="36">
        <f t="shared" si="3"/>
        <v>0.5843989769820972</v>
      </c>
      <c r="M6" s="37">
        <f t="shared" si="6"/>
        <v>-0.49286640726329439</v>
      </c>
      <c r="N6" s="37">
        <f>IF(D6=0,"",1/(H6/(H6-'2009'!H6)))</f>
        <v>-0.42710997442455245</v>
      </c>
      <c r="O6" s="3">
        <f t="shared" si="7"/>
        <v>7.8049999999999997</v>
      </c>
      <c r="P6" s="3">
        <f>D6*$U$5</f>
        <v>28.080000000000002</v>
      </c>
      <c r="Q6" s="3">
        <f>E6*$V$5</f>
        <v>58.267499999999998</v>
      </c>
      <c r="R6" s="30">
        <f t="shared" ref="R6:R14" si="11">SUM(O6:Q6)</f>
        <v>94.152500000000003</v>
      </c>
      <c r="S6" s="31">
        <f t="shared" si="5"/>
        <v>534.24210000000005</v>
      </c>
      <c r="T6" s="173">
        <f>T5</f>
        <v>93.66</v>
      </c>
      <c r="U6" s="162">
        <v>8.7499999999999994E-2</v>
      </c>
      <c r="V6" s="162">
        <v>0.1293</v>
      </c>
      <c r="W6" s="122">
        <v>40725</v>
      </c>
      <c r="Y6" s="91">
        <v>40455</v>
      </c>
      <c r="Z6" s="147">
        <v>40</v>
      </c>
      <c r="AA6" s="147"/>
      <c r="AB6" s="153">
        <f>Y6-Y5</f>
        <v>6</v>
      </c>
    </row>
    <row r="7" spans="1:28">
      <c r="A7" s="7">
        <f t="shared" si="0"/>
        <v>40327</v>
      </c>
      <c r="B7" s="72">
        <v>20860</v>
      </c>
      <c r="C7" s="35">
        <v>23008</v>
      </c>
      <c r="D7" s="17">
        <f t="shared" si="8"/>
        <v>206</v>
      </c>
      <c r="E7" s="17">
        <f t="shared" si="1"/>
        <v>230</v>
      </c>
      <c r="F7" s="158">
        <f>D7-'2009'!D7</f>
        <v>7</v>
      </c>
      <c r="G7" s="158">
        <f>E7-'2009'!E7</f>
        <v>81</v>
      </c>
      <c r="H7" s="17">
        <f t="shared" si="4"/>
        <v>436</v>
      </c>
      <c r="I7" s="2">
        <f t="shared" ca="1" si="9"/>
        <v>30</v>
      </c>
      <c r="J7" s="3">
        <f t="shared" ca="1" si="10"/>
        <v>14.533333333333333</v>
      </c>
      <c r="K7" s="36">
        <f t="shared" si="2"/>
        <v>0.47247706422018348</v>
      </c>
      <c r="L7" s="36">
        <f t="shared" si="3"/>
        <v>0.52752293577981646</v>
      </c>
      <c r="M7" s="37">
        <f t="shared" si="6"/>
        <v>-0.44245524296675193</v>
      </c>
      <c r="N7" s="37">
        <f>IF(D7=0,"",1/(H7/(H7-'2009'!H7)))</f>
        <v>0.20183486238532111</v>
      </c>
      <c r="O7" s="3">
        <f t="shared" si="7"/>
        <v>7.8049999999999997</v>
      </c>
      <c r="P7" s="3">
        <f>D7*$U$5</f>
        <v>17.798400000000001</v>
      </c>
      <c r="Q7" s="3">
        <f>E7*$V$5</f>
        <v>29.324999999999999</v>
      </c>
      <c r="R7" s="30">
        <f t="shared" si="11"/>
        <v>54.928399999999996</v>
      </c>
      <c r="S7" s="31">
        <f t="shared" si="5"/>
        <v>589.17050000000006</v>
      </c>
      <c r="Y7" s="91">
        <v>40465</v>
      </c>
      <c r="Z7" s="147">
        <v>33</v>
      </c>
      <c r="AA7" s="147"/>
      <c r="AB7" s="153">
        <f t="shared" ref="AB7:AB12" si="12">Y7-Y6</f>
        <v>10</v>
      </c>
    </row>
    <row r="8" spans="1:28">
      <c r="A8" s="7">
        <f t="shared" si="0"/>
        <v>40358</v>
      </c>
      <c r="B8" s="72">
        <v>21017</v>
      </c>
      <c r="C8" s="35">
        <v>23137</v>
      </c>
      <c r="D8" s="17">
        <f t="shared" si="8"/>
        <v>157</v>
      </c>
      <c r="E8" s="17">
        <f t="shared" si="1"/>
        <v>129</v>
      </c>
      <c r="F8" s="158">
        <f>D8-'2009'!D8</f>
        <v>-24</v>
      </c>
      <c r="G8" s="158">
        <f>E8-'2009'!E8</f>
        <v>-19</v>
      </c>
      <c r="H8" s="17">
        <f t="shared" si="4"/>
        <v>286</v>
      </c>
      <c r="I8" s="2">
        <f t="shared" ca="1" si="9"/>
        <v>31</v>
      </c>
      <c r="J8" s="3">
        <f t="shared" ca="1" si="10"/>
        <v>9.2258064516129039</v>
      </c>
      <c r="K8" s="36">
        <f t="shared" si="2"/>
        <v>0.54895104895104896</v>
      </c>
      <c r="L8" s="36">
        <f t="shared" si="3"/>
        <v>0.45104895104895104</v>
      </c>
      <c r="M8" s="37">
        <f t="shared" si="6"/>
        <v>-0.34403669724770641</v>
      </c>
      <c r="N8" s="37">
        <f>IF(D8=0,"",1/(H8/(H8-'2009'!H8)))</f>
        <v>-0.15034965034965034</v>
      </c>
      <c r="O8" s="3">
        <f t="shared" si="7"/>
        <v>7.8049999999999997</v>
      </c>
      <c r="P8" s="3">
        <f>D8*$U$5</f>
        <v>13.5648</v>
      </c>
      <c r="Q8" s="3">
        <f>E8*$V$5</f>
        <v>16.447500000000002</v>
      </c>
      <c r="R8" s="30">
        <f t="shared" si="11"/>
        <v>37.817300000000003</v>
      </c>
      <c r="S8" s="31">
        <f t="shared" si="5"/>
        <v>626.98780000000011</v>
      </c>
      <c r="Y8" s="91">
        <v>40484</v>
      </c>
      <c r="Z8" s="147">
        <v>50</v>
      </c>
      <c r="AA8" s="147"/>
      <c r="AB8" s="153">
        <f t="shared" si="12"/>
        <v>19</v>
      </c>
    </row>
    <row r="9" spans="1:28">
      <c r="A9" s="7">
        <f t="shared" si="0"/>
        <v>40388</v>
      </c>
      <c r="B9" s="72">
        <v>21159</v>
      </c>
      <c r="C9" s="35">
        <v>23325</v>
      </c>
      <c r="D9" s="17">
        <f t="shared" si="8"/>
        <v>142</v>
      </c>
      <c r="E9" s="17">
        <f t="shared" si="1"/>
        <v>188</v>
      </c>
      <c r="F9" s="158">
        <f>D9-'2009'!D9</f>
        <v>-13</v>
      </c>
      <c r="G9" s="158">
        <f>E9-'2009'!E9</f>
        <v>38</v>
      </c>
      <c r="H9" s="17">
        <f t="shared" si="4"/>
        <v>330</v>
      </c>
      <c r="I9" s="2">
        <f t="shared" ca="1" si="9"/>
        <v>30</v>
      </c>
      <c r="J9" s="3">
        <f t="shared" ca="1" si="10"/>
        <v>11</v>
      </c>
      <c r="K9" s="36">
        <f t="shared" si="2"/>
        <v>0.4303030303030303</v>
      </c>
      <c r="L9" s="36">
        <f t="shared" si="3"/>
        <v>0.5696969696969697</v>
      </c>
      <c r="M9" s="37">
        <f t="shared" si="6"/>
        <v>0.15384615384615385</v>
      </c>
      <c r="N9" s="37">
        <f>IF(D9=0,"",1/(H9/(H9-'2009'!H9)))</f>
        <v>7.575757575757576E-2</v>
      </c>
      <c r="O9" s="3">
        <f>$T$6/12</f>
        <v>7.8049999999999997</v>
      </c>
      <c r="P9" s="3">
        <f t="shared" ref="P9:P14" si="13">D9*$U$6</f>
        <v>12.424999999999999</v>
      </c>
      <c r="Q9" s="3">
        <f t="shared" ref="Q9:Q14" si="14">E9*$V$6</f>
        <v>24.308399999999999</v>
      </c>
      <c r="R9" s="30">
        <f t="shared" si="11"/>
        <v>44.538399999999996</v>
      </c>
      <c r="S9" s="31">
        <f t="shared" si="5"/>
        <v>671.52620000000013</v>
      </c>
      <c r="T9" s="354" t="s">
        <v>59</v>
      </c>
      <c r="U9" s="355"/>
      <c r="V9" s="355"/>
      <c r="W9" s="124"/>
      <c r="X9" s="32"/>
      <c r="Y9" s="91">
        <v>40507</v>
      </c>
      <c r="Z9" s="169">
        <v>45</v>
      </c>
      <c r="AA9" s="169"/>
      <c r="AB9" s="153">
        <f t="shared" si="12"/>
        <v>23</v>
      </c>
    </row>
    <row r="10" spans="1:28">
      <c r="A10" s="7">
        <f t="shared" ref="A10:A14" si="15">EDATE(A9,1)</f>
        <v>40419</v>
      </c>
      <c r="B10" s="1">
        <v>21310</v>
      </c>
      <c r="C10" s="1">
        <v>23487</v>
      </c>
      <c r="D10" s="17">
        <f t="shared" si="8"/>
        <v>151</v>
      </c>
      <c r="E10" s="17">
        <f t="shared" si="1"/>
        <v>162</v>
      </c>
      <c r="F10" s="158">
        <f>D10-'2009'!D10</f>
        <v>-2</v>
      </c>
      <c r="G10" s="158">
        <f>E10-'2009'!E10</f>
        <v>7</v>
      </c>
      <c r="H10" s="17">
        <f t="shared" si="4"/>
        <v>313</v>
      </c>
      <c r="I10" s="2">
        <f t="shared" ca="1" si="9"/>
        <v>31</v>
      </c>
      <c r="J10" s="3">
        <f t="shared" ca="1" si="10"/>
        <v>10.096774193548388</v>
      </c>
      <c r="K10" s="36">
        <f t="shared" si="2"/>
        <v>0.48242811501597443</v>
      </c>
      <c r="L10" s="36">
        <f t="shared" si="3"/>
        <v>0.51757188498402551</v>
      </c>
      <c r="M10" s="37">
        <f t="shared" si="6"/>
        <v>-5.1515151515151521E-2</v>
      </c>
      <c r="N10" s="37">
        <f>IF(D10=0,"",1/(H10/(H10-'2009'!H10)))</f>
        <v>1.5974440894568689E-2</v>
      </c>
      <c r="O10" s="3">
        <f t="shared" ref="O10:O14" si="16">$T$6/12</f>
        <v>7.8049999999999997</v>
      </c>
      <c r="P10" s="3">
        <f t="shared" si="13"/>
        <v>13.212499999999999</v>
      </c>
      <c r="Q10" s="3">
        <f t="shared" si="14"/>
        <v>20.9466</v>
      </c>
      <c r="R10" s="30">
        <f t="shared" si="11"/>
        <v>41.964100000000002</v>
      </c>
      <c r="S10" s="31">
        <f t="shared" si="5"/>
        <v>713.49030000000016</v>
      </c>
      <c r="T10">
        <v>2006</v>
      </c>
      <c r="U10" s="93">
        <v>121</v>
      </c>
      <c r="V10" s="32">
        <f t="shared" ref="V10:V15" si="17">(U10*1000)/365</f>
        <v>331.50684931506851</v>
      </c>
      <c r="W10" s="32"/>
      <c r="X10" s="32"/>
      <c r="Y10" s="91">
        <v>40522</v>
      </c>
      <c r="Z10" s="169">
        <v>45</v>
      </c>
      <c r="AA10" s="169"/>
      <c r="AB10" s="153">
        <f t="shared" si="12"/>
        <v>15</v>
      </c>
    </row>
    <row r="11" spans="1:28">
      <c r="A11" s="7">
        <f t="shared" si="15"/>
        <v>40450</v>
      </c>
      <c r="B11" s="1">
        <v>21462</v>
      </c>
      <c r="C11" s="1">
        <v>23605</v>
      </c>
      <c r="D11" s="17">
        <f t="shared" si="8"/>
        <v>152</v>
      </c>
      <c r="E11" s="17">
        <f t="shared" si="1"/>
        <v>118</v>
      </c>
      <c r="F11" s="158">
        <f>D11-'2009'!D11</f>
        <v>11</v>
      </c>
      <c r="G11" s="158">
        <f>E11-'2009'!E11</f>
        <v>-24</v>
      </c>
      <c r="H11" s="17">
        <f t="shared" si="4"/>
        <v>270</v>
      </c>
      <c r="I11" s="2">
        <f t="shared" ca="1" si="9"/>
        <v>31</v>
      </c>
      <c r="J11" s="3">
        <f t="shared" ca="1" si="10"/>
        <v>8.7096774193548381</v>
      </c>
      <c r="K11" s="36">
        <f t="shared" si="2"/>
        <v>0.562962962962963</v>
      </c>
      <c r="L11" s="36">
        <f t="shared" si="3"/>
        <v>0.43703703703703706</v>
      </c>
      <c r="M11" s="37">
        <f t="shared" si="6"/>
        <v>-0.13738019169329074</v>
      </c>
      <c r="N11" s="37">
        <f>IF(D11=0,"",1/(H11/(H11-'2009'!H11)))</f>
        <v>-4.8148148148148148E-2</v>
      </c>
      <c r="O11" s="3">
        <f t="shared" si="16"/>
        <v>7.8049999999999997</v>
      </c>
      <c r="P11" s="3">
        <f t="shared" si="13"/>
        <v>13.299999999999999</v>
      </c>
      <c r="Q11" s="3">
        <f t="shared" si="14"/>
        <v>15.257400000000001</v>
      </c>
      <c r="R11" s="30">
        <f t="shared" si="11"/>
        <v>36.362399999999994</v>
      </c>
      <c r="S11" s="31">
        <f t="shared" si="5"/>
        <v>749.85270000000014</v>
      </c>
      <c r="T11">
        <v>2007</v>
      </c>
      <c r="U11" s="93">
        <v>118</v>
      </c>
      <c r="V11" s="32">
        <f t="shared" si="17"/>
        <v>323.28767123287673</v>
      </c>
      <c r="X11" s="32"/>
      <c r="Y11" s="91">
        <v>40551</v>
      </c>
      <c r="Z11" s="169">
        <v>50</v>
      </c>
      <c r="AA11" s="169"/>
      <c r="AB11" s="153">
        <f t="shared" si="12"/>
        <v>29</v>
      </c>
    </row>
    <row r="12" spans="1:28">
      <c r="A12" s="7">
        <f t="shared" si="15"/>
        <v>40480</v>
      </c>
      <c r="B12" s="1">
        <v>21658</v>
      </c>
      <c r="C12" s="1">
        <v>23758</v>
      </c>
      <c r="D12" s="17">
        <f t="shared" si="8"/>
        <v>196</v>
      </c>
      <c r="E12" s="17">
        <f t="shared" si="1"/>
        <v>153</v>
      </c>
      <c r="F12" s="158">
        <f>D12-'2009'!D12</f>
        <v>5</v>
      </c>
      <c r="G12" s="158">
        <f>E12-'2009'!E12</f>
        <v>-49</v>
      </c>
      <c r="H12" s="17">
        <f t="shared" si="4"/>
        <v>349</v>
      </c>
      <c r="I12" s="2">
        <f t="shared" ca="1" si="9"/>
        <v>30</v>
      </c>
      <c r="J12" s="3">
        <f t="shared" ca="1" si="10"/>
        <v>11.633333333333333</v>
      </c>
      <c r="K12" s="36">
        <f t="shared" si="2"/>
        <v>0.56160458452722062</v>
      </c>
      <c r="L12" s="36">
        <f t="shared" si="3"/>
        <v>0.43839541547277938</v>
      </c>
      <c r="M12" s="37">
        <f t="shared" si="6"/>
        <v>0.29259259259259257</v>
      </c>
      <c r="N12" s="37">
        <f>IF(D12=0,"",1/(H12/(H12-'2009'!H12)))</f>
        <v>-0.12607449856733524</v>
      </c>
      <c r="O12" s="3">
        <f t="shared" si="16"/>
        <v>7.8049999999999997</v>
      </c>
      <c r="P12" s="3">
        <f t="shared" si="13"/>
        <v>17.149999999999999</v>
      </c>
      <c r="Q12" s="3">
        <f t="shared" si="14"/>
        <v>19.782900000000001</v>
      </c>
      <c r="R12" s="30">
        <f t="shared" si="11"/>
        <v>44.737899999999996</v>
      </c>
      <c r="S12" s="31">
        <f t="shared" si="5"/>
        <v>794.59060000000011</v>
      </c>
      <c r="T12">
        <v>2008</v>
      </c>
      <c r="U12" s="93">
        <v>116</v>
      </c>
      <c r="V12" s="32">
        <f t="shared" si="17"/>
        <v>317.8082191780822</v>
      </c>
      <c r="W12" s="143"/>
      <c r="X12" s="32"/>
      <c r="Y12" s="91">
        <v>40572</v>
      </c>
      <c r="Z12" s="169">
        <v>50</v>
      </c>
      <c r="AA12" s="169"/>
      <c r="AB12" s="153">
        <f t="shared" si="12"/>
        <v>21</v>
      </c>
    </row>
    <row r="13" spans="1:28">
      <c r="A13" s="7">
        <f t="shared" si="15"/>
        <v>40511</v>
      </c>
      <c r="B13" s="1">
        <v>21993</v>
      </c>
      <c r="C13" s="1">
        <v>24080</v>
      </c>
      <c r="D13" s="17">
        <f t="shared" si="8"/>
        <v>335</v>
      </c>
      <c r="E13" s="17">
        <f t="shared" si="1"/>
        <v>322</v>
      </c>
      <c r="F13" s="158">
        <f>D13-'2009'!D13</f>
        <v>25</v>
      </c>
      <c r="G13" s="158">
        <f>E13-'2009'!E13</f>
        <v>-1</v>
      </c>
      <c r="H13" s="17">
        <f t="shared" si="4"/>
        <v>657</v>
      </c>
      <c r="I13" s="2">
        <f t="shared" ca="1" si="9"/>
        <v>31</v>
      </c>
      <c r="J13" s="3">
        <f t="shared" ca="1" si="10"/>
        <v>21.193548387096776</v>
      </c>
      <c r="K13" s="36">
        <f t="shared" si="2"/>
        <v>0.50989345509893458</v>
      </c>
      <c r="L13" s="36">
        <f t="shared" si="3"/>
        <v>0.49010654490106542</v>
      </c>
      <c r="M13" s="37">
        <f t="shared" si="6"/>
        <v>0.88252148997134661</v>
      </c>
      <c r="N13" s="37">
        <f>IF(D13=0,"",1/(H13/(H13-'2009'!H13)))</f>
        <v>3.6529680365296802E-2</v>
      </c>
      <c r="O13" s="3">
        <f t="shared" si="16"/>
        <v>7.8049999999999997</v>
      </c>
      <c r="P13" s="3">
        <f t="shared" si="13"/>
        <v>29.312499999999996</v>
      </c>
      <c r="Q13" s="3">
        <f t="shared" si="14"/>
        <v>41.634599999999999</v>
      </c>
      <c r="R13" s="30">
        <f t="shared" si="11"/>
        <v>78.752099999999984</v>
      </c>
      <c r="S13" s="31">
        <f t="shared" si="5"/>
        <v>873.34270000000015</v>
      </c>
      <c r="T13">
        <v>2009</v>
      </c>
      <c r="U13" s="93">
        <v>100</v>
      </c>
      <c r="V13" s="32">
        <f t="shared" si="17"/>
        <v>273.97260273972603</v>
      </c>
      <c r="X13" s="32"/>
      <c r="Y13" s="91">
        <v>40591</v>
      </c>
      <c r="Z13" s="169"/>
      <c r="AA13" s="169">
        <v>20.45</v>
      </c>
      <c r="AB13" s="153"/>
    </row>
    <row r="14" spans="1:28" ht="13.5" thickBot="1">
      <c r="A14" s="7">
        <f t="shared" si="15"/>
        <v>40541</v>
      </c>
      <c r="B14" s="1">
        <v>22456</v>
      </c>
      <c r="C14" s="1">
        <v>24633</v>
      </c>
      <c r="D14" s="17">
        <f t="shared" si="8"/>
        <v>463</v>
      </c>
      <c r="E14" s="17">
        <f t="shared" si="1"/>
        <v>553</v>
      </c>
      <c r="F14" s="295">
        <f>D14-'2009'!D14</f>
        <v>116</v>
      </c>
      <c r="G14" s="158">
        <f>E14-'2009'!E14</f>
        <v>118</v>
      </c>
      <c r="H14" s="17">
        <f t="shared" si="4"/>
        <v>1016</v>
      </c>
      <c r="I14" s="2">
        <f t="shared" ca="1" si="9"/>
        <v>30</v>
      </c>
      <c r="J14" s="9">
        <f t="shared" ca="1" si="10"/>
        <v>33.866666666666667</v>
      </c>
      <c r="K14" s="38">
        <f t="shared" si="2"/>
        <v>0.45570866141732286</v>
      </c>
      <c r="L14" s="38">
        <f t="shared" si="3"/>
        <v>0.5442913385826772</v>
      </c>
      <c r="M14" s="37">
        <f t="shared" si="6"/>
        <v>0.54642313546423138</v>
      </c>
      <c r="N14" s="37">
        <f>IF(D14=0,"",1/(H14/(H14-'2009'!H14)))</f>
        <v>0.23031496062992127</v>
      </c>
      <c r="O14" s="3">
        <f t="shared" si="16"/>
        <v>7.8049999999999997</v>
      </c>
      <c r="P14" s="3">
        <f t="shared" si="13"/>
        <v>40.512499999999996</v>
      </c>
      <c r="Q14" s="3">
        <f t="shared" si="14"/>
        <v>71.502899999999997</v>
      </c>
      <c r="R14" s="30">
        <f t="shared" si="11"/>
        <v>119.82039999999999</v>
      </c>
      <c r="S14" s="31">
        <f t="shared" si="5"/>
        <v>993.1631000000001</v>
      </c>
      <c r="T14">
        <v>2010</v>
      </c>
      <c r="U14" s="93">
        <v>86</v>
      </c>
      <c r="V14" s="32">
        <f t="shared" si="17"/>
        <v>235.61643835616439</v>
      </c>
      <c r="W14" s="147">
        <v>271.33</v>
      </c>
      <c r="X14" s="148">
        <f>W14/U14</f>
        <v>3.1549999999999998</v>
      </c>
      <c r="Y14" s="91">
        <v>40596</v>
      </c>
      <c r="Z14" s="169">
        <v>50</v>
      </c>
      <c r="AA14" s="169"/>
      <c r="AB14" s="153">
        <f>Y14-Y12</f>
        <v>24</v>
      </c>
    </row>
    <row r="15" spans="1:28" ht="17.25" thickTop="1" thickBot="1">
      <c r="A15" s="10" t="s">
        <v>0</v>
      </c>
      <c r="B15" s="92">
        <f>'2009'!C15</f>
        <v>8771</v>
      </c>
      <c r="C15" s="18">
        <f>D15+E15</f>
        <v>8284</v>
      </c>
      <c r="D15" s="18">
        <f>SUM(D3:D14)</f>
        <v>3766</v>
      </c>
      <c r="E15" s="18">
        <f>SUM(E3:E14)</f>
        <v>4518</v>
      </c>
      <c r="F15" s="310">
        <f>C15/12</f>
        <v>690.33333333333337</v>
      </c>
      <c r="G15" s="311" t="str">
        <f>" / mois"</f>
        <v xml:space="preserve"> / mois</v>
      </c>
      <c r="H15" s="18">
        <f>SUM(H3:H14)</f>
        <v>8284</v>
      </c>
      <c r="I15" s="14"/>
      <c r="J15" s="15">
        <f ca="1">AVERAGE(J3:J14)</f>
        <v>18.861159885113448</v>
      </c>
      <c r="K15" s="16">
        <f>D15/H15</f>
        <v>0.45461129888942542</v>
      </c>
      <c r="L15" s="16">
        <f>E15/H15</f>
        <v>0.54538870111057458</v>
      </c>
      <c r="M15" s="16"/>
      <c r="N15" s="298">
        <f>1/(B15/(C15-B15))</f>
        <v>-5.5523885531866372E-2</v>
      </c>
      <c r="O15" s="15">
        <f>SUM(O3:O14)</f>
        <v>93.660000000000025</v>
      </c>
      <c r="P15" s="15">
        <f>SUM(P3:P14)</f>
        <v>323.11730000000006</v>
      </c>
      <c r="Q15" s="15">
        <f>SUM(Q3:Q14)</f>
        <v>576.3857999999999</v>
      </c>
      <c r="R15" s="356">
        <f>SUM(O15:Q15)</f>
        <v>993.16309999999999</v>
      </c>
      <c r="S15" s="357"/>
      <c r="T15">
        <v>2011</v>
      </c>
      <c r="U15" s="93">
        <v>1</v>
      </c>
      <c r="V15" s="32">
        <f t="shared" si="17"/>
        <v>2.7397260273972601</v>
      </c>
      <c r="W15" s="147">
        <v>1</v>
      </c>
      <c r="X15" s="148">
        <f>W15/U15</f>
        <v>1</v>
      </c>
      <c r="Y15" s="91">
        <v>40620</v>
      </c>
      <c r="Z15" s="169">
        <v>50</v>
      </c>
      <c r="AA15" s="169"/>
      <c r="AB15" s="153">
        <f>Y15-Y14</f>
        <v>24</v>
      </c>
    </row>
    <row r="16" spans="1:28">
      <c r="U16" s="32"/>
      <c r="Y16" s="91">
        <v>40638</v>
      </c>
      <c r="Z16" s="169">
        <v>50</v>
      </c>
      <c r="AA16" s="169"/>
      <c r="AB16" s="153">
        <f t="shared" ref="AB16" si="18">Y16-Y14</f>
        <v>42</v>
      </c>
    </row>
    <row r="17" spans="12:28">
      <c r="U17" s="124"/>
      <c r="Y17" s="91">
        <v>40649</v>
      </c>
      <c r="Z17" s="169">
        <v>37.51</v>
      </c>
      <c r="AA17" s="169"/>
      <c r="AB17" s="153">
        <f t="shared" ref="AB17" si="19">Y17-Y16</f>
        <v>11</v>
      </c>
    </row>
    <row r="18" spans="12:28">
      <c r="Y18" s="91">
        <v>40665</v>
      </c>
      <c r="Z18" s="169">
        <v>50</v>
      </c>
      <c r="AA18" s="169"/>
      <c r="AB18" s="153">
        <f t="shared" ref="AB18" si="20">Y18-Y16</f>
        <v>27</v>
      </c>
    </row>
    <row r="19" spans="12:28">
      <c r="Y19" s="91"/>
      <c r="Z19" s="169"/>
      <c r="AA19" s="169"/>
    </row>
    <row r="20" spans="12:28">
      <c r="U20" t="s">
        <v>90</v>
      </c>
      <c r="Y20" s="91"/>
      <c r="Z20" s="169"/>
      <c r="AA20" s="169"/>
    </row>
    <row r="21" spans="12:28">
      <c r="U21">
        <v>2187</v>
      </c>
    </row>
    <row r="22" spans="12:28">
      <c r="U22">
        <v>2250</v>
      </c>
    </row>
    <row r="23" spans="12:28">
      <c r="U23">
        <v>2333</v>
      </c>
    </row>
    <row r="25" spans="12:28">
      <c r="T25" s="147"/>
      <c r="U25" s="147">
        <v>176.2</v>
      </c>
      <c r="V25" s="124" t="s">
        <v>99</v>
      </c>
    </row>
    <row r="26" spans="12:28">
      <c r="L26" s="12"/>
      <c r="T26" s="147"/>
      <c r="U26" s="147">
        <v>269.37</v>
      </c>
      <c r="V26" s="124" t="s">
        <v>100</v>
      </c>
    </row>
    <row r="27" spans="12:28">
      <c r="T27" s="147"/>
      <c r="U27" s="147">
        <v>187.44</v>
      </c>
      <c r="V27" s="124" t="s">
        <v>101</v>
      </c>
    </row>
    <row r="28" spans="12:28">
      <c r="T28" s="147"/>
      <c r="U28" s="147">
        <v>62.13</v>
      </c>
      <c r="V28" s="124" t="s">
        <v>102</v>
      </c>
      <c r="Y28" s="91"/>
      <c r="Z28" s="169"/>
      <c r="AA28" s="169"/>
    </row>
    <row r="29" spans="12:28">
      <c r="T29" s="147"/>
      <c r="U29" s="147">
        <v>77.8</v>
      </c>
      <c r="V29" s="124" t="s">
        <v>103</v>
      </c>
      <c r="Y29" s="91"/>
      <c r="Z29" s="169"/>
      <c r="AA29" s="169"/>
    </row>
    <row r="30" spans="12:28">
      <c r="T30" s="147"/>
      <c r="U30" s="147">
        <v>105.85</v>
      </c>
      <c r="V30" s="124" t="s">
        <v>104</v>
      </c>
      <c r="Y30" s="91"/>
      <c r="Z30" s="169"/>
      <c r="AA30" s="169"/>
    </row>
    <row r="31" spans="12:28">
      <c r="T31" s="147">
        <f>R15-U31</f>
        <v>114.37310000000002</v>
      </c>
      <c r="U31" s="176">
        <f>SUM(U25:U30)</f>
        <v>878.79</v>
      </c>
      <c r="Y31" s="91"/>
      <c r="Z31" s="169"/>
      <c r="AA31" s="169"/>
    </row>
    <row r="32" spans="12:28">
      <c r="Y32" s="91"/>
      <c r="Z32" s="169"/>
      <c r="AA32" s="169"/>
    </row>
    <row r="33" spans="1:27">
      <c r="Y33" s="91"/>
      <c r="Z33" s="169"/>
      <c r="AA33" s="169"/>
    </row>
    <row r="34" spans="1:27">
      <c r="E34" s="39"/>
      <c r="Y34" s="91"/>
      <c r="Z34" s="169"/>
      <c r="AA34" s="169"/>
    </row>
    <row r="35" spans="1:27" ht="13.5" thickBot="1">
      <c r="Y35" s="91"/>
      <c r="Z35" s="169"/>
      <c r="AA35" s="169"/>
    </row>
    <row r="36" spans="1:27">
      <c r="C36" s="83" t="s">
        <v>58</v>
      </c>
      <c r="D36" s="84" t="s">
        <v>56</v>
      </c>
      <c r="E36" s="85" t="s">
        <v>57</v>
      </c>
      <c r="U36" t="s">
        <v>136</v>
      </c>
      <c r="V36" t="s">
        <v>137</v>
      </c>
      <c r="Y36" s="91"/>
      <c r="Z36" s="169"/>
      <c r="AA36" s="169"/>
    </row>
    <row r="37" spans="1:27">
      <c r="A37" t="s">
        <v>53</v>
      </c>
      <c r="C37" s="86">
        <f>D37+E37</f>
        <v>3968</v>
      </c>
      <c r="D37" s="87">
        <f>AVERAGE(D8,D9,D11,D12,D7,D10)*12</f>
        <v>2008</v>
      </c>
      <c r="E37" s="88">
        <f>AVERAGE(E8,E9,E11,E12,E7,E10)*12</f>
        <v>1960</v>
      </c>
      <c r="L37" s="261"/>
      <c r="M37" s="261"/>
      <c r="Y37" s="91"/>
      <c r="Z37" s="169"/>
      <c r="AA37" s="169"/>
    </row>
    <row r="38" spans="1:27">
      <c r="A38" t="s">
        <v>54</v>
      </c>
      <c r="C38" s="86">
        <f>D38+E38</f>
        <v>4316</v>
      </c>
      <c r="D38" s="87">
        <f>D15-D37</f>
        <v>1758</v>
      </c>
      <c r="E38" s="88">
        <f>E15-E37</f>
        <v>2558</v>
      </c>
      <c r="Y38" s="91"/>
      <c r="Z38" s="169"/>
      <c r="AA38" s="169"/>
    </row>
    <row r="39" spans="1:27" ht="13.5" thickBot="1">
      <c r="A39" s="74" t="s">
        <v>55</v>
      </c>
      <c r="B39" s="75">
        <f>'2009'!C39</f>
        <v>454.48220000000003</v>
      </c>
      <c r="C39" s="90">
        <f>D39+E39</f>
        <v>472.11693333333335</v>
      </c>
      <c r="D39" s="89">
        <f>D38*P2</f>
        <v>147.84779999999998</v>
      </c>
      <c r="E39" s="154">
        <f>E38*Q2</f>
        <v>324.26913333333334</v>
      </c>
      <c r="G39" s="349"/>
      <c r="H39" s="349"/>
      <c r="I39" s="349"/>
      <c r="J39" s="349"/>
      <c r="K39" s="349"/>
      <c r="M39" s="75"/>
      <c r="N39" s="353"/>
      <c r="O39" s="353"/>
      <c r="U39" s="123"/>
      <c r="Y39" s="91"/>
      <c r="Z39" s="169"/>
      <c r="AA39" s="169"/>
    </row>
    <row r="40" spans="1:27" ht="14.25" thickTop="1" thickBot="1">
      <c r="C40" s="366" t="s">
        <v>84</v>
      </c>
      <c r="D40" s="367"/>
      <c r="E40" s="368">
        <v>2005</v>
      </c>
      <c r="F40" s="369"/>
      <c r="G40" s="369"/>
      <c r="H40" s="363">
        <v>2006</v>
      </c>
      <c r="I40" s="364"/>
      <c r="J40" s="364"/>
      <c r="K40" s="365"/>
      <c r="L40" s="370">
        <v>2007</v>
      </c>
      <c r="M40" s="371"/>
      <c r="N40" s="372"/>
      <c r="O40" s="373">
        <v>2008</v>
      </c>
      <c r="P40" s="359"/>
      <c r="Q40" s="374"/>
      <c r="R40" s="358">
        <v>2009</v>
      </c>
      <c r="S40" s="359"/>
      <c r="T40" s="374"/>
      <c r="U40" s="358">
        <v>2010</v>
      </c>
      <c r="V40" s="359"/>
      <c r="W40" s="360"/>
      <c r="Y40" s="91"/>
      <c r="Z40" s="169"/>
      <c r="AA40" s="169"/>
    </row>
    <row r="41" spans="1:27" ht="13.5" thickTop="1">
      <c r="C41" s="98"/>
      <c r="D41" s="117" t="s">
        <v>66</v>
      </c>
      <c r="E41" s="105">
        <v>38597</v>
      </c>
      <c r="F41" s="101" t="s">
        <v>64</v>
      </c>
      <c r="G41" s="101" t="s">
        <v>65</v>
      </c>
      <c r="H41" s="137" t="s">
        <v>85</v>
      </c>
      <c r="I41" s="66"/>
      <c r="J41" s="101" t="s">
        <v>64</v>
      </c>
      <c r="K41" s="112" t="s">
        <v>65</v>
      </c>
      <c r="L41" s="137" t="s">
        <v>85</v>
      </c>
      <c r="M41" s="101" t="s">
        <v>64</v>
      </c>
      <c r="N41" s="101" t="s">
        <v>65</v>
      </c>
      <c r="O41" s="137" t="s">
        <v>85</v>
      </c>
      <c r="P41" s="101" t="s">
        <v>64</v>
      </c>
      <c r="Q41" s="112" t="s">
        <v>65</v>
      </c>
      <c r="R41" s="137" t="s">
        <v>85</v>
      </c>
      <c r="S41" s="101" t="s">
        <v>64</v>
      </c>
      <c r="T41" s="112" t="s">
        <v>65</v>
      </c>
      <c r="U41" s="137" t="s">
        <v>85</v>
      </c>
      <c r="V41" s="101" t="s">
        <v>64</v>
      </c>
      <c r="W41" s="102" t="s">
        <v>65</v>
      </c>
    </row>
    <row r="42" spans="1:27" ht="13.5" thickBot="1">
      <c r="C42" s="118">
        <v>1</v>
      </c>
      <c r="D42" s="119">
        <f>AVERAGE(J42,M42,P42,S42,V42,F48)</f>
        <v>124.5</v>
      </c>
      <c r="E42" s="106">
        <v>38661</v>
      </c>
      <c r="F42" s="107">
        <f>E42-E41</f>
        <v>64</v>
      </c>
      <c r="G42" s="108">
        <f>F42/30.5</f>
        <v>2.098360655737705</v>
      </c>
      <c r="H42" s="100">
        <v>38774</v>
      </c>
      <c r="I42" s="66"/>
      <c r="J42" s="97">
        <f>H42-E42</f>
        <v>113</v>
      </c>
      <c r="K42" s="113">
        <f>J42/30.5</f>
        <v>3.7049180327868854</v>
      </c>
      <c r="L42" s="115">
        <v>39130</v>
      </c>
      <c r="M42" s="97">
        <f>L42-H45</f>
        <v>105</v>
      </c>
      <c r="N42" s="103">
        <f>M42/30.5</f>
        <v>3.442622950819672</v>
      </c>
      <c r="O42" s="100">
        <v>39490</v>
      </c>
      <c r="P42" s="97">
        <f>O42-L45</f>
        <v>115</v>
      </c>
      <c r="Q42" s="113">
        <f>P42/30.5</f>
        <v>3.7704918032786887</v>
      </c>
      <c r="R42" s="115">
        <v>39846</v>
      </c>
      <c r="S42" s="97">
        <f>R42-O45</f>
        <v>116</v>
      </c>
      <c r="T42" s="113">
        <f>S42/30.5</f>
        <v>3.8032786885245899</v>
      </c>
      <c r="U42" s="115">
        <v>40254</v>
      </c>
      <c r="V42" s="97">
        <f>U42-R45</f>
        <v>143</v>
      </c>
      <c r="W42" s="104">
        <f>V42/30.5</f>
        <v>4.6885245901639347</v>
      </c>
    </row>
    <row r="43" spans="1:27" ht="13.5" thickTop="1">
      <c r="C43" s="99">
        <v>2</v>
      </c>
      <c r="D43" s="119">
        <f>AVERAGE(J43,M43,P43,S43,V43,F49)</f>
        <v>85</v>
      </c>
      <c r="E43" s="155"/>
      <c r="F43" s="66"/>
      <c r="G43" s="66"/>
      <c r="H43" s="100">
        <v>38856</v>
      </c>
      <c r="I43" s="66"/>
      <c r="J43" s="97">
        <f>H43-H42</f>
        <v>82</v>
      </c>
      <c r="K43" s="113">
        <f>J43/30.5</f>
        <v>2.6885245901639343</v>
      </c>
      <c r="L43" s="115">
        <v>39209</v>
      </c>
      <c r="M43" s="97">
        <f>L43-L42</f>
        <v>79</v>
      </c>
      <c r="N43" s="103">
        <f>M43/30.5</f>
        <v>2.5901639344262297</v>
      </c>
      <c r="O43" s="100">
        <v>39567</v>
      </c>
      <c r="P43" s="97">
        <f>O43-O42</f>
        <v>77</v>
      </c>
      <c r="Q43" s="113">
        <f>P43/30.5</f>
        <v>2.5245901639344264</v>
      </c>
      <c r="R43" s="115">
        <v>39922</v>
      </c>
      <c r="S43" s="97">
        <f>R43-R42</f>
        <v>76</v>
      </c>
      <c r="T43" s="113">
        <f>S43/30.5</f>
        <v>2.4918032786885247</v>
      </c>
      <c r="U43" s="115">
        <v>40344</v>
      </c>
      <c r="V43" s="97">
        <f>U43-U42</f>
        <v>90</v>
      </c>
      <c r="W43" s="104">
        <f>V43/30.5</f>
        <v>2.9508196721311477</v>
      </c>
    </row>
    <row r="44" spans="1:27">
      <c r="C44" s="99">
        <v>3</v>
      </c>
      <c r="D44" s="119">
        <f>AVERAGE(J44,M44,P44,S44,V44,F50)</f>
        <v>90.5</v>
      </c>
      <c r="E44" s="155"/>
      <c r="F44" s="66"/>
      <c r="G44" s="66"/>
      <c r="H44" s="100">
        <v>38946</v>
      </c>
      <c r="I44" s="66"/>
      <c r="J44" s="97">
        <f>H44-H43</f>
        <v>90</v>
      </c>
      <c r="K44" s="113">
        <f>J44/30.5</f>
        <v>2.9508196721311477</v>
      </c>
      <c r="L44" s="115">
        <v>39290</v>
      </c>
      <c r="M44" s="97">
        <f>L44-L43</f>
        <v>81</v>
      </c>
      <c r="N44" s="103">
        <f>M44/30.5</f>
        <v>2.6557377049180326</v>
      </c>
      <c r="O44" s="100">
        <v>39648</v>
      </c>
      <c r="P44" s="97">
        <f>O44-O43</f>
        <v>81</v>
      </c>
      <c r="Q44" s="113">
        <f>P44/30.5</f>
        <v>2.6557377049180326</v>
      </c>
      <c r="R44" s="115">
        <v>40014</v>
      </c>
      <c r="S44" s="97">
        <f>R44-R43</f>
        <v>92</v>
      </c>
      <c r="T44" s="113">
        <f>S44/30.5</f>
        <v>3.0163934426229506</v>
      </c>
      <c r="U44" s="115">
        <v>40436</v>
      </c>
      <c r="V44" s="97">
        <f>U44-U43</f>
        <v>92</v>
      </c>
      <c r="W44" s="104">
        <f>V44/30.5</f>
        <v>3.0163934426229506</v>
      </c>
    </row>
    <row r="45" spans="1:27" ht="13.5" thickBot="1">
      <c r="C45" s="120">
        <v>4</v>
      </c>
      <c r="D45" s="121">
        <f ca="1">AVERAGE(J45,M45,P45,S45,F42,V45,F51)</f>
        <v>142.83333333333334</v>
      </c>
      <c r="E45" s="156"/>
      <c r="F45" s="157"/>
      <c r="G45" s="157"/>
      <c r="H45" s="109">
        <v>39025</v>
      </c>
      <c r="I45" s="157"/>
      <c r="J45" s="107">
        <f>H45-H44</f>
        <v>79</v>
      </c>
      <c r="K45" s="114">
        <f>J45/30.5</f>
        <v>2.5901639344262297</v>
      </c>
      <c r="L45" s="116">
        <v>39375</v>
      </c>
      <c r="M45" s="107">
        <f>L45-L44</f>
        <v>85</v>
      </c>
      <c r="N45" s="108">
        <f>M45/30.5</f>
        <v>2.7868852459016393</v>
      </c>
      <c r="O45" s="110">
        <v>39730</v>
      </c>
      <c r="P45" s="107">
        <f>O45-O44</f>
        <v>82</v>
      </c>
      <c r="Q45" s="114">
        <f>P45/30.5</f>
        <v>2.6885245901639343</v>
      </c>
      <c r="R45" s="116">
        <v>40111</v>
      </c>
      <c r="S45" s="107">
        <f>R45-R44</f>
        <v>97</v>
      </c>
      <c r="T45" s="114">
        <f>S45/30.5</f>
        <v>3.180327868852459</v>
      </c>
      <c r="U45" s="116"/>
      <c r="V45" s="107"/>
      <c r="W45" s="111"/>
    </row>
    <row r="46" spans="1:27" ht="13.5" thickTop="1">
      <c r="E46" s="361">
        <v>2011</v>
      </c>
      <c r="F46" s="362"/>
      <c r="G46" s="362"/>
      <c r="H46" s="363">
        <v>2012</v>
      </c>
      <c r="I46" s="364"/>
      <c r="J46" s="364"/>
      <c r="K46" s="365"/>
    </row>
    <row r="47" spans="1:27">
      <c r="E47" s="151" t="s">
        <v>85</v>
      </c>
      <c r="F47" s="101" t="s">
        <v>64</v>
      </c>
      <c r="G47" s="112" t="s">
        <v>65</v>
      </c>
      <c r="H47" s="137" t="s">
        <v>85</v>
      </c>
      <c r="I47" s="66"/>
      <c r="J47" s="101" t="s">
        <v>64</v>
      </c>
      <c r="K47" s="112" t="s">
        <v>65</v>
      </c>
    </row>
    <row r="48" spans="1:27">
      <c r="E48" s="105">
        <v>40591</v>
      </c>
      <c r="F48" s="97">
        <f>E48-U44</f>
        <v>155</v>
      </c>
      <c r="G48" s="113">
        <f>F48/30.5</f>
        <v>5.081967213114754</v>
      </c>
      <c r="H48" s="100">
        <f t="shared" ref="H48:H51" ca="1" si="21">TODAY()</f>
        <v>41254</v>
      </c>
      <c r="I48" s="66"/>
      <c r="J48" s="97">
        <f ca="1">H48-E51</f>
        <v>0</v>
      </c>
      <c r="K48" s="113">
        <f ca="1">J48/30.5</f>
        <v>0</v>
      </c>
    </row>
    <row r="49" spans="5:11">
      <c r="E49" s="105">
        <v>40697</v>
      </c>
      <c r="F49" s="97">
        <f t="shared" ref="F49:F51" si="22">E49-E48</f>
        <v>106</v>
      </c>
      <c r="G49" s="113">
        <f t="shared" ref="G49:G51" si="23">F49/30.5</f>
        <v>3.4754098360655736</v>
      </c>
      <c r="H49" s="100">
        <f t="shared" ca="1" si="21"/>
        <v>41254</v>
      </c>
      <c r="I49" s="66"/>
      <c r="J49" s="97">
        <f ca="1">H49-H48</f>
        <v>0</v>
      </c>
      <c r="K49" s="113">
        <f ca="1">J49/30.5</f>
        <v>0</v>
      </c>
    </row>
    <row r="50" spans="5:11">
      <c r="E50" s="105">
        <v>40804</v>
      </c>
      <c r="F50" s="97">
        <f t="shared" si="22"/>
        <v>107</v>
      </c>
      <c r="G50" s="113">
        <f t="shared" si="23"/>
        <v>3.5081967213114753</v>
      </c>
      <c r="H50" s="100">
        <f t="shared" ca="1" si="21"/>
        <v>41254</v>
      </c>
      <c r="I50" s="66"/>
      <c r="J50" s="97">
        <f ca="1">H50-H49</f>
        <v>0</v>
      </c>
      <c r="K50" s="113">
        <f ca="1">J50/30.5</f>
        <v>0</v>
      </c>
    </row>
    <row r="51" spans="5:11" ht="13.5" thickBot="1">
      <c r="E51" s="106">
        <f t="shared" ref="E51" ca="1" si="24">TODAY()</f>
        <v>41254</v>
      </c>
      <c r="F51" s="107">
        <f t="shared" ca="1" si="22"/>
        <v>450</v>
      </c>
      <c r="G51" s="114">
        <f t="shared" ca="1" si="23"/>
        <v>14.754098360655737</v>
      </c>
      <c r="H51" s="109">
        <f t="shared" ca="1" si="21"/>
        <v>41254</v>
      </c>
      <c r="I51" s="157"/>
      <c r="J51" s="107">
        <f ca="1">H51-H50</f>
        <v>0</v>
      </c>
      <c r="K51" s="114">
        <f ca="1">J51/30.5</f>
        <v>0</v>
      </c>
    </row>
    <row r="52" spans="5:11" ht="13.5" thickTop="1"/>
  </sheetData>
  <mergeCells count="15">
    <mergeCell ref="U40:W40"/>
    <mergeCell ref="E46:G46"/>
    <mergeCell ref="H46:K46"/>
    <mergeCell ref="C40:D40"/>
    <mergeCell ref="E40:G40"/>
    <mergeCell ref="H40:K40"/>
    <mergeCell ref="L40:N40"/>
    <mergeCell ref="O40:Q40"/>
    <mergeCell ref="R40:T40"/>
    <mergeCell ref="K1:L1"/>
    <mergeCell ref="T9:V9"/>
    <mergeCell ref="R15:S15"/>
    <mergeCell ref="G39:I39"/>
    <mergeCell ref="J39:K39"/>
    <mergeCell ref="N39:O39"/>
  </mergeCells>
  <conditionalFormatting sqref="F3:G14">
    <cfRule type="expression" dxfId="4" priority="9">
      <formula>B3=""</formula>
    </cfRule>
  </conditionalFormatting>
  <conditionalFormatting sqref="D3:E14">
    <cfRule type="iconSet" priority="4">
      <iconSet iconSet="4TrafficLights" reverse="1">
        <cfvo type="percent" val="0"/>
        <cfvo type="num" val="150"/>
        <cfvo type="num" val="300"/>
        <cfvo type="num" val="600"/>
      </iconSet>
    </cfRule>
  </conditionalFormatting>
  <conditionalFormatting sqref="H3:H14">
    <cfRule type="iconSet" priority="3">
      <iconSet iconSet="4TrafficLights" reverse="1">
        <cfvo type="percent" val="0"/>
        <cfvo type="num" val="300"/>
        <cfvo type="num" val="600"/>
        <cfvo type="num" val="1200"/>
      </iconSet>
    </cfRule>
  </conditionalFormatting>
  <conditionalFormatting sqref="R15">
    <cfRule type="colorScale" priority="1">
      <colorScale>
        <cfvo type="num" val="700"/>
        <cfvo type="num" val="800"/>
        <cfvo type="num" val="90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AC52"/>
  <sheetViews>
    <sheetView workbookViewId="0">
      <selection activeCell="U21" sqref="U21"/>
    </sheetView>
  </sheetViews>
  <sheetFormatPr baseColWidth="10" defaultColWidth="11.42578125" defaultRowHeight="12.75"/>
  <cols>
    <col min="1" max="1" width="10.28515625" customWidth="1"/>
    <col min="2" max="2" width="9.140625" customWidth="1"/>
    <col min="3" max="3" width="9.28515625" customWidth="1"/>
    <col min="4" max="4" width="10.42578125" customWidth="1"/>
    <col min="5" max="5" width="10.7109375" customWidth="1"/>
    <col min="6" max="7" width="6.140625" bestFit="1" customWidth="1"/>
    <col min="8" max="8" width="7.7109375" customWidth="1"/>
    <col min="9" max="9" width="6.140625" hidden="1" customWidth="1"/>
    <col min="10" max="10" width="7.7109375" customWidth="1"/>
    <col min="11" max="11" width="8.42578125" customWidth="1"/>
    <col min="12" max="12" width="8.140625" customWidth="1"/>
    <col min="13" max="13" width="10.140625" customWidth="1"/>
    <col min="14" max="14" width="8.7109375" customWidth="1"/>
    <col min="15" max="15" width="6.5703125" customWidth="1"/>
    <col min="16" max="17" width="7.85546875" customWidth="1"/>
    <col min="18" max="18" width="8.85546875" customWidth="1"/>
    <col min="19" max="19" width="7.5703125" bestFit="1" customWidth="1"/>
    <col min="20" max="22" width="9.28515625" bestFit="1" customWidth="1"/>
    <col min="23" max="23" width="9.5703125" bestFit="1" customWidth="1"/>
    <col min="24" max="24" width="10.140625" bestFit="1" customWidth="1"/>
    <col min="25" max="25" width="9.85546875" bestFit="1" customWidth="1"/>
    <col min="27" max="27" width="14.140625" bestFit="1" customWidth="1"/>
  </cols>
  <sheetData>
    <row r="1" spans="1:29" ht="38.25" customHeight="1">
      <c r="A1" s="5" t="s">
        <v>1</v>
      </c>
      <c r="B1" s="159" t="s">
        <v>2</v>
      </c>
      <c r="C1" s="159" t="s">
        <v>3</v>
      </c>
      <c r="D1" s="159" t="s">
        <v>4</v>
      </c>
      <c r="E1" s="159" t="s">
        <v>5</v>
      </c>
      <c r="F1" s="159" t="s">
        <v>21</v>
      </c>
      <c r="G1" s="159" t="s">
        <v>22</v>
      </c>
      <c r="H1" s="159" t="s">
        <v>13</v>
      </c>
      <c r="I1" s="159"/>
      <c r="J1" s="159" t="s">
        <v>37</v>
      </c>
      <c r="K1" s="350" t="s">
        <v>7</v>
      </c>
      <c r="L1" s="350"/>
      <c r="M1" s="19" t="s">
        <v>8</v>
      </c>
      <c r="N1" s="19" t="s">
        <v>36</v>
      </c>
      <c r="O1" s="24" t="s">
        <v>14</v>
      </c>
      <c r="P1" s="24" t="s">
        <v>9</v>
      </c>
      <c r="Q1" s="24" t="s">
        <v>10</v>
      </c>
      <c r="R1" s="26" t="s">
        <v>11</v>
      </c>
      <c r="S1" s="27" t="s">
        <v>12</v>
      </c>
      <c r="T1" s="33"/>
      <c r="U1" s="33" t="s">
        <v>61</v>
      </c>
      <c r="V1" s="33" t="s">
        <v>63</v>
      </c>
      <c r="W1" s="33" t="s">
        <v>62</v>
      </c>
      <c r="AA1" s="152"/>
      <c r="AB1" s="152"/>
    </row>
    <row r="2" spans="1:29" hidden="1">
      <c r="A2" s="7">
        <v>40543</v>
      </c>
      <c r="B2" s="1">
        <f>'2010'!B14</f>
        <v>22456</v>
      </c>
      <c r="C2" s="1">
        <f>'2010'!C14</f>
        <v>24633</v>
      </c>
      <c r="D2" s="17">
        <f>'2010'!D14</f>
        <v>463</v>
      </c>
      <c r="E2" s="17">
        <f>'2010'!E14</f>
        <v>553</v>
      </c>
      <c r="F2" s="375">
        <f ca="1">TODAY()</f>
        <v>41254</v>
      </c>
      <c r="G2" s="376"/>
      <c r="H2" s="17">
        <f>D2+E2</f>
        <v>1016</v>
      </c>
      <c r="I2" s="1"/>
      <c r="J2" s="1"/>
      <c r="K2" s="1"/>
      <c r="L2" s="1"/>
      <c r="M2" s="20"/>
      <c r="N2" s="20"/>
      <c r="O2" s="3"/>
      <c r="P2" s="163">
        <f>AVERAGE(V4:V6)</f>
        <v>8.4699999999999998E-2</v>
      </c>
      <c r="Q2" s="163">
        <f>AVERAGE(W4:W6)</f>
        <v>0.12736666666666666</v>
      </c>
      <c r="R2" s="1"/>
      <c r="S2" s="1"/>
      <c r="T2" s="261"/>
    </row>
    <row r="3" spans="1:29" ht="13.5" customHeight="1">
      <c r="A3" s="7">
        <f>EOMONTH(A2,1)</f>
        <v>40574</v>
      </c>
      <c r="B3" s="1">
        <v>22932</v>
      </c>
      <c r="C3" s="1">
        <v>25204</v>
      </c>
      <c r="D3" s="17">
        <f>IF(B3-B2&lt;=0,0,B3-B2)</f>
        <v>476</v>
      </c>
      <c r="E3" s="17">
        <f t="shared" ref="E3:E14" si="0">IF(C3-C2&lt;=0,0.00000001,C3-C2)</f>
        <v>571</v>
      </c>
      <c r="F3" s="158">
        <f>D3-'2010'!D3</f>
        <v>-5</v>
      </c>
      <c r="G3" s="158">
        <f>E3-'2010'!E3</f>
        <v>-17</v>
      </c>
      <c r="H3" s="17">
        <f>D3+E3</f>
        <v>1047</v>
      </c>
      <c r="I3" s="2">
        <f ca="1">IF(A3&gt;$F$2,$F$2-A2,A3-A2)</f>
        <v>31</v>
      </c>
      <c r="J3" s="3">
        <f ca="1">H3/I3</f>
        <v>33.774193548387096</v>
      </c>
      <c r="K3" s="36">
        <f t="shared" ref="K3:K14" si="1">D3/H3</f>
        <v>0.45463228271251194</v>
      </c>
      <c r="L3" s="36">
        <f t="shared" ref="L3:L14" si="2">E3/H3</f>
        <v>0.54536771728748801</v>
      </c>
      <c r="M3" s="37">
        <f>IF(D3=0,"",1/(H2/(H3-H2)))</f>
        <v>3.0511811023622049E-2</v>
      </c>
      <c r="N3" s="37">
        <f>IF(D3=0,"",1/(H3/(H3-'2010'!H3)))</f>
        <v>-2.1012416427889206E-2</v>
      </c>
      <c r="O3" s="3">
        <f>$U$4/12</f>
        <v>9.9966666666666661</v>
      </c>
      <c r="P3" s="3">
        <f>D3*$V$4</f>
        <v>37.318399999999997</v>
      </c>
      <c r="Q3" s="3">
        <f>E3*$W$4</f>
        <v>70.518500000000003</v>
      </c>
      <c r="R3" s="30">
        <f>SUM(O3:Q3)</f>
        <v>117.83356666666667</v>
      </c>
      <c r="S3" s="31">
        <f>R3</f>
        <v>117.83356666666667</v>
      </c>
      <c r="T3" s="268">
        <f>X26</f>
        <v>192.82</v>
      </c>
      <c r="U3" s="96">
        <f>(U6-U4)/U4</f>
        <v>-0.2159053017672557</v>
      </c>
      <c r="V3" s="96">
        <f>(V6-V4)/V4</f>
        <v>0.13903061224489804</v>
      </c>
      <c r="W3" s="96">
        <f>(W6-W4)/W4</f>
        <v>6.1538461538461507E-2</v>
      </c>
      <c r="Z3" s="91"/>
      <c r="AA3" s="147"/>
      <c r="AB3" s="147"/>
    </row>
    <row r="4" spans="1:29" ht="13.5" customHeight="1">
      <c r="A4" s="7">
        <f t="shared" ref="A4:A14" si="3">EOMONTH(A3,1)</f>
        <v>40602</v>
      </c>
      <c r="B4" s="35">
        <v>23433</v>
      </c>
      <c r="C4" s="35">
        <v>25768</v>
      </c>
      <c r="D4" s="17">
        <f>IF(B4-B3&lt;=0,0,B4-B3)</f>
        <v>501</v>
      </c>
      <c r="E4" s="17">
        <f t="shared" si="0"/>
        <v>564</v>
      </c>
      <c r="F4" s="158">
        <f>D4-'2010'!D4</f>
        <v>-36</v>
      </c>
      <c r="G4" s="158">
        <f>E4-'2010'!E4</f>
        <v>-133</v>
      </c>
      <c r="H4" s="17">
        <f t="shared" ref="H4:H14" si="4">D4+E4</f>
        <v>1065</v>
      </c>
      <c r="I4" s="2">
        <f ca="1">IF(A4&gt;$F$2,$F$2-A3,A4-A3)</f>
        <v>28</v>
      </c>
      <c r="J4" s="3">
        <f t="shared" ref="J4:J14" ca="1" si="5">H4/I4</f>
        <v>38.035714285714285</v>
      </c>
      <c r="K4" s="36">
        <f t="shared" si="1"/>
        <v>0.47042253521126759</v>
      </c>
      <c r="L4" s="36">
        <f t="shared" si="2"/>
        <v>0.52957746478873235</v>
      </c>
      <c r="M4" s="37">
        <f>IF(D4=0,"",1/(H3/(H4-H3)))</f>
        <v>1.7191977077363897E-2</v>
      </c>
      <c r="N4" s="37">
        <f>IF(D4=0,"",1/(H4/(H4-'2010'!H4)))</f>
        <v>-0.15868544600938966</v>
      </c>
      <c r="O4" s="3">
        <f>$U$5/12</f>
        <v>7.689166666666666</v>
      </c>
      <c r="P4" s="3">
        <f>D4*$V$5</f>
        <v>43.2864</v>
      </c>
      <c r="Q4" s="3">
        <f>E4*$W$5</f>
        <v>71.91</v>
      </c>
      <c r="R4" s="30">
        <f>SUM(O4:Q4)</f>
        <v>122.88556666666666</v>
      </c>
      <c r="S4" s="31">
        <f t="shared" ref="S4:S14" si="6">S3+R4</f>
        <v>240.71913333333333</v>
      </c>
      <c r="T4" s="269">
        <f>T3-S4</f>
        <v>-47.899133333333339</v>
      </c>
      <c r="U4" s="150">
        <v>119.96</v>
      </c>
      <c r="V4" s="149">
        <v>7.8399999999999997E-2</v>
      </c>
      <c r="W4" s="149">
        <v>0.1235</v>
      </c>
      <c r="X4" s="122">
        <v>40405</v>
      </c>
      <c r="Z4" s="91"/>
      <c r="AA4" s="147"/>
      <c r="AB4" s="147"/>
      <c r="AC4" s="153"/>
    </row>
    <row r="5" spans="1:29" ht="13.5" customHeight="1">
      <c r="A5" s="7">
        <f t="shared" si="3"/>
        <v>40633</v>
      </c>
      <c r="B5" s="35">
        <v>23890</v>
      </c>
      <c r="C5" s="35">
        <v>26267</v>
      </c>
      <c r="D5" s="17">
        <f>IF(B5-B4&lt;=0,0,B5-B4)</f>
        <v>457</v>
      </c>
      <c r="E5" s="17">
        <f t="shared" si="0"/>
        <v>499</v>
      </c>
      <c r="F5" s="158">
        <f>D5-'2010'!D5</f>
        <v>-164</v>
      </c>
      <c r="G5" s="158">
        <f>E5-'2010'!E5</f>
        <v>-422</v>
      </c>
      <c r="H5" s="17">
        <f t="shared" si="4"/>
        <v>956</v>
      </c>
      <c r="I5" s="2">
        <f ca="1">IF(A5&gt;$F$2,$F$2-A4,A5-A4)</f>
        <v>31</v>
      </c>
      <c r="J5" s="3">
        <f t="shared" ca="1" si="5"/>
        <v>30.838709677419356</v>
      </c>
      <c r="K5" s="36">
        <f t="shared" ref="K5" si="7">D5/H5</f>
        <v>0.47803347280334729</v>
      </c>
      <c r="L5" s="36">
        <f t="shared" ref="L5" si="8">E5/H5</f>
        <v>0.52196652719665271</v>
      </c>
      <c r="M5" s="37">
        <f>IF(D5=0,"",1/(H4/(H5-H4)))</f>
        <v>-0.10234741784037558</v>
      </c>
      <c r="N5" s="37">
        <f>IF(D5=0,"",1/(H5/(H5-'2010'!H5)))</f>
        <v>-0.61297071129707115</v>
      </c>
      <c r="O5" s="3">
        <f t="shared" ref="O5:O8" si="9">$U$5/12</f>
        <v>7.689166666666666</v>
      </c>
      <c r="P5" s="3">
        <f>D5*$V$5</f>
        <v>39.4848</v>
      </c>
      <c r="Q5" s="3">
        <f>E5*$W$5</f>
        <v>63.622500000000002</v>
      </c>
      <c r="R5" s="30">
        <f>SUM(O5:Q5)</f>
        <v>110.79646666666667</v>
      </c>
      <c r="S5" s="31">
        <f t="shared" si="6"/>
        <v>351.51560000000001</v>
      </c>
      <c r="T5" s="268">
        <f>X27</f>
        <v>244.11</v>
      </c>
      <c r="U5" s="150">
        <v>92.27</v>
      </c>
      <c r="V5" s="149">
        <v>8.6400000000000005E-2</v>
      </c>
      <c r="W5" s="149">
        <v>0.1275</v>
      </c>
      <c r="X5" s="122">
        <v>40575</v>
      </c>
      <c r="Z5" s="91"/>
      <c r="AA5" s="147"/>
      <c r="AB5" s="147"/>
      <c r="AC5" s="153"/>
    </row>
    <row r="6" spans="1:29" ht="13.5" customHeight="1">
      <c r="A6" s="7">
        <f t="shared" si="3"/>
        <v>40663</v>
      </c>
      <c r="B6" s="35">
        <v>24068</v>
      </c>
      <c r="C6" s="35">
        <v>26384</v>
      </c>
      <c r="D6" s="17">
        <f t="shared" ref="D6:D14" si="10">IF(B6-B5&lt;=0,0,B6-B5)</f>
        <v>178</v>
      </c>
      <c r="E6" s="17">
        <f t="shared" si="0"/>
        <v>117</v>
      </c>
      <c r="F6" s="158">
        <f>D6-'2010'!D6</f>
        <v>-147</v>
      </c>
      <c r="G6" s="158">
        <f>E6-'2010'!E6</f>
        <v>-340</v>
      </c>
      <c r="H6" s="17">
        <f t="shared" si="4"/>
        <v>295</v>
      </c>
      <c r="I6" s="2">
        <f t="shared" ref="I6:I14" ca="1" si="11">IF($F$2&gt;A5,IF($F$2&gt;A6,A6-A5,$F$2-A5),1)</f>
        <v>30</v>
      </c>
      <c r="J6" s="3">
        <f t="shared" ca="1" si="5"/>
        <v>9.8333333333333339</v>
      </c>
      <c r="K6" s="36">
        <f t="shared" si="1"/>
        <v>0.60338983050847461</v>
      </c>
      <c r="L6" s="36">
        <f t="shared" si="2"/>
        <v>0.39661016949152544</v>
      </c>
      <c r="M6" s="37">
        <f t="shared" ref="M6:M14" si="12">IF(D6=0,"",1/(H5/(H6-H5)))</f>
        <v>-0.69142259414225948</v>
      </c>
      <c r="N6" s="37">
        <f>IF(D6=0,"",1/(H6/(H6-'2010'!H6)))</f>
        <v>-1.6508474576271186</v>
      </c>
      <c r="O6" s="3">
        <f t="shared" si="9"/>
        <v>7.689166666666666</v>
      </c>
      <c r="P6" s="3">
        <f>D6*$V$5</f>
        <v>15.379200000000001</v>
      </c>
      <c r="Q6" s="3">
        <f>E6*$W$5</f>
        <v>14.9175</v>
      </c>
      <c r="R6" s="30">
        <f t="shared" ref="R6:R14" si="13">SUM(O6:Q6)</f>
        <v>37.985866666666666</v>
      </c>
      <c r="S6" s="31">
        <f t="shared" si="6"/>
        <v>389.50146666666666</v>
      </c>
      <c r="T6" s="269">
        <f>($T$5+$T$3)-S6</f>
        <v>47.428533333333348</v>
      </c>
      <c r="U6" s="161">
        <v>94.06</v>
      </c>
      <c r="V6" s="162">
        <v>8.9300000000000004E-2</v>
      </c>
      <c r="W6" s="162">
        <v>0.13109999999999999</v>
      </c>
      <c r="X6" s="122">
        <v>40725</v>
      </c>
      <c r="Z6" s="193"/>
      <c r="AA6" s="147"/>
      <c r="AB6" s="147"/>
      <c r="AC6" s="153"/>
    </row>
    <row r="7" spans="1:29" ht="13.5" customHeight="1">
      <c r="A7" s="7">
        <f t="shared" si="3"/>
        <v>40694</v>
      </c>
      <c r="B7" s="72">
        <v>24216</v>
      </c>
      <c r="C7" s="35">
        <v>26497</v>
      </c>
      <c r="D7" s="17">
        <f t="shared" si="10"/>
        <v>148</v>
      </c>
      <c r="E7" s="17">
        <f t="shared" si="0"/>
        <v>113</v>
      </c>
      <c r="F7" s="158">
        <f>D7-'2010'!D7</f>
        <v>-58</v>
      </c>
      <c r="G7" s="158">
        <f>E7-'2010'!E7</f>
        <v>-117</v>
      </c>
      <c r="H7" s="17">
        <f t="shared" si="4"/>
        <v>261</v>
      </c>
      <c r="I7" s="2">
        <f t="shared" ca="1" si="11"/>
        <v>31</v>
      </c>
      <c r="J7" s="3">
        <f t="shared" ca="1" si="5"/>
        <v>8.4193548387096779</v>
      </c>
      <c r="K7" s="36">
        <f t="shared" si="1"/>
        <v>0.56704980842911878</v>
      </c>
      <c r="L7" s="36">
        <f t="shared" si="2"/>
        <v>0.43295019157088122</v>
      </c>
      <c r="M7" s="37">
        <f t="shared" si="12"/>
        <v>-0.11525423728813561</v>
      </c>
      <c r="N7" s="37">
        <f>IF(D7=0,"",1/(H7/(H7-'2010'!H7)))</f>
        <v>-0.67049808429118773</v>
      </c>
      <c r="O7" s="3">
        <f t="shared" si="9"/>
        <v>7.689166666666666</v>
      </c>
      <c r="P7" s="3">
        <f>D7*$V$5</f>
        <v>12.7872</v>
      </c>
      <c r="Q7" s="3">
        <f>E7*$W$5</f>
        <v>14.407500000000001</v>
      </c>
      <c r="R7" s="30">
        <f t="shared" si="13"/>
        <v>34.88386666666667</v>
      </c>
      <c r="S7" s="31">
        <f t="shared" si="6"/>
        <v>424.38533333333334</v>
      </c>
      <c r="T7" s="268">
        <f>X28</f>
        <v>116.89</v>
      </c>
      <c r="Z7" s="91"/>
      <c r="AA7" s="147"/>
      <c r="AB7" s="147"/>
      <c r="AC7" s="153"/>
    </row>
    <row r="8" spans="1:29" ht="13.5" customHeight="1">
      <c r="A8" s="7">
        <f t="shared" si="3"/>
        <v>40724</v>
      </c>
      <c r="B8" s="72">
        <v>24348</v>
      </c>
      <c r="C8" s="35">
        <v>26606</v>
      </c>
      <c r="D8" s="17">
        <f t="shared" si="10"/>
        <v>132</v>
      </c>
      <c r="E8" s="17">
        <f t="shared" si="0"/>
        <v>109</v>
      </c>
      <c r="F8" s="158">
        <f>D8-'2010'!D8</f>
        <v>-25</v>
      </c>
      <c r="G8" s="158">
        <f>E8-'2010'!E8</f>
        <v>-20</v>
      </c>
      <c r="H8" s="17">
        <f t="shared" si="4"/>
        <v>241</v>
      </c>
      <c r="I8" s="2">
        <f t="shared" ca="1" si="11"/>
        <v>30</v>
      </c>
      <c r="J8" s="3">
        <f t="shared" ca="1" si="5"/>
        <v>8.0333333333333332</v>
      </c>
      <c r="K8" s="36">
        <f t="shared" si="1"/>
        <v>0.5477178423236515</v>
      </c>
      <c r="L8" s="36">
        <f t="shared" si="2"/>
        <v>0.45228215767634855</v>
      </c>
      <c r="M8" s="37">
        <f t="shared" si="12"/>
        <v>-7.662835249042145E-2</v>
      </c>
      <c r="N8" s="37">
        <f>IF(D8=0,"",1/(H8/(H8-'2010'!H8)))</f>
        <v>-0.18672199170124482</v>
      </c>
      <c r="O8" s="3">
        <f t="shared" si="9"/>
        <v>7.689166666666666</v>
      </c>
      <c r="P8" s="3">
        <f>D8*$V$5</f>
        <v>11.4048</v>
      </c>
      <c r="Q8" s="3">
        <f>E8*$W$5</f>
        <v>13.897500000000001</v>
      </c>
      <c r="R8" s="30">
        <f t="shared" si="13"/>
        <v>32.991466666666668</v>
      </c>
      <c r="S8" s="31">
        <f t="shared" si="6"/>
        <v>457.3768</v>
      </c>
      <c r="T8" s="269">
        <f>($T$5+$T$3+$T$7)-S8</f>
        <v>96.443200000000047</v>
      </c>
      <c r="Z8" s="91"/>
      <c r="AA8" s="147"/>
      <c r="AB8" s="147"/>
      <c r="AC8" s="153"/>
    </row>
    <row r="9" spans="1:29" ht="13.5" customHeight="1">
      <c r="A9" s="7">
        <f t="shared" si="3"/>
        <v>40755</v>
      </c>
      <c r="B9" s="72">
        <v>24482</v>
      </c>
      <c r="C9" s="35">
        <v>26733</v>
      </c>
      <c r="D9" s="17">
        <f t="shared" si="10"/>
        <v>134</v>
      </c>
      <c r="E9" s="17">
        <f t="shared" si="0"/>
        <v>127</v>
      </c>
      <c r="F9" s="158">
        <f>D9-'2010'!D9</f>
        <v>-8</v>
      </c>
      <c r="G9" s="158">
        <f>E9-'2010'!E9</f>
        <v>-61</v>
      </c>
      <c r="H9" s="17">
        <f t="shared" si="4"/>
        <v>261</v>
      </c>
      <c r="I9" s="2">
        <f t="shared" ca="1" si="11"/>
        <v>31</v>
      </c>
      <c r="J9" s="3">
        <f t="shared" ca="1" si="5"/>
        <v>8.4193548387096779</v>
      </c>
      <c r="K9" s="36">
        <f t="shared" si="1"/>
        <v>0.51340996168582376</v>
      </c>
      <c r="L9" s="36">
        <f t="shared" si="2"/>
        <v>0.48659003831417624</v>
      </c>
      <c r="M9" s="37">
        <f t="shared" si="12"/>
        <v>8.2987551867219914E-2</v>
      </c>
      <c r="N9" s="37">
        <f>IF(D9=0,"",1/(H9/(H9-'2010'!H9)))</f>
        <v>-0.26436781609195403</v>
      </c>
      <c r="O9" s="3">
        <f>$U$6/12</f>
        <v>7.8383333333333338</v>
      </c>
      <c r="P9" s="3">
        <f t="shared" ref="P9:P14" si="14">D9*$V$6</f>
        <v>11.966200000000001</v>
      </c>
      <c r="Q9" s="3">
        <f t="shared" ref="Q9:Q14" si="15">E9*$W$6</f>
        <v>16.649699999999999</v>
      </c>
      <c r="R9" s="30">
        <f t="shared" si="13"/>
        <v>36.454233333333335</v>
      </c>
      <c r="S9" s="31">
        <f t="shared" si="6"/>
        <v>493.83103333333332</v>
      </c>
      <c r="T9" s="268">
        <f>X29</f>
        <v>64.2</v>
      </c>
      <c r="U9" s="354" t="s">
        <v>59</v>
      </c>
      <c r="V9" s="355"/>
      <c r="W9" s="355"/>
      <c r="X9" s="124"/>
      <c r="Y9" s="32"/>
      <c r="Z9" s="91"/>
      <c r="AA9" s="160"/>
      <c r="AB9" s="160"/>
      <c r="AC9" s="153"/>
    </row>
    <row r="10" spans="1:29" ht="13.5" customHeight="1">
      <c r="A10" s="7">
        <f t="shared" si="3"/>
        <v>40786</v>
      </c>
      <c r="B10" s="35">
        <v>24617</v>
      </c>
      <c r="C10" s="35">
        <v>26867</v>
      </c>
      <c r="D10" s="17">
        <f t="shared" si="10"/>
        <v>135</v>
      </c>
      <c r="E10" s="17">
        <f t="shared" si="0"/>
        <v>134</v>
      </c>
      <c r="F10" s="158">
        <f>D10-'2010'!D10</f>
        <v>-16</v>
      </c>
      <c r="G10" s="158">
        <f>E10-'2010'!E10</f>
        <v>-28</v>
      </c>
      <c r="H10" s="17">
        <f t="shared" si="4"/>
        <v>269</v>
      </c>
      <c r="I10" s="2">
        <f t="shared" ca="1" si="11"/>
        <v>31</v>
      </c>
      <c r="J10" s="3">
        <f t="shared" ca="1" si="5"/>
        <v>8.67741935483871</v>
      </c>
      <c r="K10" s="36">
        <f t="shared" si="1"/>
        <v>0.5018587360594795</v>
      </c>
      <c r="L10" s="36">
        <f t="shared" si="2"/>
        <v>0.49814126394052044</v>
      </c>
      <c r="M10" s="37">
        <f t="shared" si="12"/>
        <v>3.0651340996168581E-2</v>
      </c>
      <c r="N10" s="37">
        <f>IF(D10=0,"",1/(H10/(H10-'2010'!H10)))</f>
        <v>-0.16356877323420074</v>
      </c>
      <c r="O10" s="3">
        <f t="shared" ref="O10:O14" si="16">$U$6/12</f>
        <v>7.8383333333333338</v>
      </c>
      <c r="P10" s="3">
        <f t="shared" si="14"/>
        <v>12.0555</v>
      </c>
      <c r="Q10" s="3">
        <f t="shared" si="15"/>
        <v>17.567399999999999</v>
      </c>
      <c r="R10" s="30">
        <f t="shared" si="13"/>
        <v>37.461233333333332</v>
      </c>
      <c r="S10" s="31">
        <f t="shared" si="6"/>
        <v>531.29226666666671</v>
      </c>
      <c r="T10" s="269">
        <f>($T$5+$T$3+$T$7+$T$9)-S10</f>
        <v>86.72773333333339</v>
      </c>
      <c r="U10">
        <v>2006</v>
      </c>
      <c r="V10" s="93">
        <v>121</v>
      </c>
      <c r="W10" s="259">
        <f t="shared" ref="W10:W14" si="17">(V10*1000)/365</f>
        <v>331.50684931506851</v>
      </c>
      <c r="X10" s="32"/>
      <c r="Y10" s="32"/>
      <c r="Z10" s="91"/>
      <c r="AA10" s="160"/>
      <c r="AB10" s="160"/>
      <c r="AC10" s="153"/>
    </row>
    <row r="11" spans="1:29" ht="13.5" customHeight="1">
      <c r="A11" s="7">
        <f t="shared" si="3"/>
        <v>40816</v>
      </c>
      <c r="B11" s="72">
        <v>24770</v>
      </c>
      <c r="C11" s="35">
        <v>26993</v>
      </c>
      <c r="D11" s="17">
        <f t="shared" si="10"/>
        <v>153</v>
      </c>
      <c r="E11" s="17">
        <f t="shared" si="0"/>
        <v>126</v>
      </c>
      <c r="F11" s="158">
        <f>D11-'2010'!D11</f>
        <v>1</v>
      </c>
      <c r="G11" s="158">
        <f>E11-'2010'!E11</f>
        <v>8</v>
      </c>
      <c r="H11" s="17">
        <f t="shared" si="4"/>
        <v>279</v>
      </c>
      <c r="I11" s="2">
        <f t="shared" ca="1" si="11"/>
        <v>30</v>
      </c>
      <c r="J11" s="3">
        <f t="shared" ca="1" si="5"/>
        <v>9.3000000000000007</v>
      </c>
      <c r="K11" s="36">
        <f t="shared" si="1"/>
        <v>0.54838709677419351</v>
      </c>
      <c r="L11" s="36">
        <f t="shared" si="2"/>
        <v>0.45161290322580644</v>
      </c>
      <c r="M11" s="37">
        <f t="shared" si="12"/>
        <v>3.717472118959108E-2</v>
      </c>
      <c r="N11" s="37">
        <f>IF(D11=0,"",1/(H11/(H11-'2010'!H11)))</f>
        <v>3.2258064516129031E-2</v>
      </c>
      <c r="O11" s="3">
        <f t="shared" si="16"/>
        <v>7.8383333333333338</v>
      </c>
      <c r="P11" s="3">
        <f t="shared" si="14"/>
        <v>13.6629</v>
      </c>
      <c r="Q11" s="3">
        <f t="shared" si="15"/>
        <v>16.518599999999999</v>
      </c>
      <c r="R11" s="30">
        <f t="shared" si="13"/>
        <v>38.019833333333338</v>
      </c>
      <c r="S11" s="31">
        <f t="shared" si="6"/>
        <v>569.3121000000001</v>
      </c>
      <c r="T11" s="268">
        <f>X30</f>
        <v>76.16</v>
      </c>
      <c r="U11">
        <v>2007</v>
      </c>
      <c r="V11" s="93">
        <v>118</v>
      </c>
      <c r="W11" s="259">
        <f t="shared" si="17"/>
        <v>323.28767123287673</v>
      </c>
      <c r="Y11" s="32"/>
      <c r="Z11" s="91"/>
      <c r="AA11" s="160"/>
      <c r="AB11" s="160"/>
      <c r="AC11" s="153"/>
    </row>
    <row r="12" spans="1:29" ht="13.5" customHeight="1">
      <c r="A12" s="7">
        <f t="shared" si="3"/>
        <v>40847</v>
      </c>
      <c r="B12" s="72">
        <v>24930</v>
      </c>
      <c r="C12" s="35">
        <v>27120</v>
      </c>
      <c r="D12" s="17">
        <f t="shared" si="10"/>
        <v>160</v>
      </c>
      <c r="E12" s="17">
        <f t="shared" si="0"/>
        <v>127</v>
      </c>
      <c r="F12" s="158">
        <f>D12-'2010'!D12</f>
        <v>-36</v>
      </c>
      <c r="G12" s="158">
        <f>E12-'2010'!E12</f>
        <v>-26</v>
      </c>
      <c r="H12" s="17">
        <f t="shared" si="4"/>
        <v>287</v>
      </c>
      <c r="I12" s="2">
        <f t="shared" ca="1" si="11"/>
        <v>31</v>
      </c>
      <c r="J12" s="3">
        <f t="shared" ca="1" si="5"/>
        <v>9.258064516129032</v>
      </c>
      <c r="K12" s="36">
        <f t="shared" si="1"/>
        <v>0.55749128919860624</v>
      </c>
      <c r="L12" s="36">
        <f t="shared" si="2"/>
        <v>0.4425087108013937</v>
      </c>
      <c r="M12" s="37">
        <f t="shared" si="12"/>
        <v>2.8673835125448029E-2</v>
      </c>
      <c r="N12" s="37">
        <f>IF(D12=0,"",1/(H12/(H12-'2010'!H12)))</f>
        <v>-0.21602787456445993</v>
      </c>
      <c r="O12" s="3">
        <f t="shared" si="16"/>
        <v>7.8383333333333338</v>
      </c>
      <c r="P12" s="3">
        <f t="shared" si="14"/>
        <v>14.288</v>
      </c>
      <c r="Q12" s="3">
        <f t="shared" si="15"/>
        <v>16.649699999999999</v>
      </c>
      <c r="R12" s="30">
        <f t="shared" si="13"/>
        <v>38.776033333333331</v>
      </c>
      <c r="S12" s="31">
        <f t="shared" si="6"/>
        <v>608.08813333333342</v>
      </c>
      <c r="T12" s="269">
        <f>($T$5+$T$3+$T$7+$T$9+$T$11)-S12</f>
        <v>86.091866666666647</v>
      </c>
      <c r="U12">
        <v>2008</v>
      </c>
      <c r="V12" s="93">
        <v>116</v>
      </c>
      <c r="W12" s="259">
        <f t="shared" si="17"/>
        <v>317.8082191780822</v>
      </c>
      <c r="X12" s="143"/>
      <c r="Y12" s="32"/>
      <c r="Z12" s="91"/>
      <c r="AA12" s="160"/>
      <c r="AB12" s="160"/>
      <c r="AC12" s="153"/>
    </row>
    <row r="13" spans="1:29" ht="13.5" customHeight="1">
      <c r="A13" s="7">
        <f>EOMONTH(A12,1)</f>
        <v>40877</v>
      </c>
      <c r="B13" s="72">
        <v>25124</v>
      </c>
      <c r="C13" s="35">
        <v>27240</v>
      </c>
      <c r="D13" s="17">
        <f t="shared" si="10"/>
        <v>194</v>
      </c>
      <c r="E13" s="17">
        <f t="shared" si="0"/>
        <v>120</v>
      </c>
      <c r="F13" s="158">
        <f>D13-'2010'!D13</f>
        <v>-141</v>
      </c>
      <c r="G13" s="158">
        <f>E13-'2010'!E13</f>
        <v>-202</v>
      </c>
      <c r="H13" s="17">
        <f t="shared" si="4"/>
        <v>314</v>
      </c>
      <c r="I13" s="2">
        <f t="shared" ca="1" si="11"/>
        <v>30</v>
      </c>
      <c r="J13" s="3">
        <f t="shared" ca="1" si="5"/>
        <v>10.466666666666667</v>
      </c>
      <c r="K13" s="36">
        <f t="shared" si="1"/>
        <v>0.61783439490445857</v>
      </c>
      <c r="L13" s="36">
        <f t="shared" si="2"/>
        <v>0.38216560509554143</v>
      </c>
      <c r="M13" s="37">
        <f t="shared" si="12"/>
        <v>9.4076655052264813E-2</v>
      </c>
      <c r="N13" s="37">
        <f>IF(D13=0,"",1/(H13/(H13-'2010'!H13)))</f>
        <v>-1.092356687898089</v>
      </c>
      <c r="O13" s="3">
        <f t="shared" si="16"/>
        <v>7.8383333333333338</v>
      </c>
      <c r="P13" s="3">
        <f t="shared" si="14"/>
        <v>17.324200000000001</v>
      </c>
      <c r="Q13" s="3">
        <f t="shared" si="15"/>
        <v>15.731999999999999</v>
      </c>
      <c r="R13" s="30">
        <f t="shared" si="13"/>
        <v>40.894533333333335</v>
      </c>
      <c r="S13" s="31">
        <f t="shared" si="6"/>
        <v>648.98266666666677</v>
      </c>
      <c r="T13" s="268">
        <f>X31</f>
        <v>85.07</v>
      </c>
      <c r="U13">
        <v>2009</v>
      </c>
      <c r="V13" s="93">
        <v>100</v>
      </c>
      <c r="W13" s="259">
        <f t="shared" si="17"/>
        <v>273.97260273972603</v>
      </c>
      <c r="Y13" s="32"/>
      <c r="Z13" s="91"/>
      <c r="AA13" s="160"/>
      <c r="AB13" s="160"/>
      <c r="AC13" s="153"/>
    </row>
    <row r="14" spans="1:29" ht="13.5" customHeight="1" thickBot="1">
      <c r="A14" s="7">
        <f t="shared" si="3"/>
        <v>40908</v>
      </c>
      <c r="B14" s="72">
        <v>25370</v>
      </c>
      <c r="C14" s="35">
        <v>27411</v>
      </c>
      <c r="D14" s="17">
        <f t="shared" si="10"/>
        <v>246</v>
      </c>
      <c r="E14" s="17">
        <f t="shared" si="0"/>
        <v>171</v>
      </c>
      <c r="F14" s="295">
        <f>D14-'2010'!D14</f>
        <v>-217</v>
      </c>
      <c r="G14" s="158">
        <f>E14-'2010'!E14</f>
        <v>-382</v>
      </c>
      <c r="H14" s="17">
        <f t="shared" si="4"/>
        <v>417</v>
      </c>
      <c r="I14" s="2">
        <f t="shared" ca="1" si="11"/>
        <v>31</v>
      </c>
      <c r="J14" s="9">
        <f t="shared" ca="1" si="5"/>
        <v>13.451612903225806</v>
      </c>
      <c r="K14" s="38">
        <f t="shared" si="1"/>
        <v>0.58992805755395683</v>
      </c>
      <c r="L14" s="38">
        <f t="shared" si="2"/>
        <v>0.41007194244604317</v>
      </c>
      <c r="M14" s="37">
        <f t="shared" si="12"/>
        <v>0.32802547770700635</v>
      </c>
      <c r="N14" s="37">
        <f>IF(D14=0,"",1/(H14/(H14-'2010'!H14)))</f>
        <v>-1.4364508393285371</v>
      </c>
      <c r="O14" s="3">
        <f t="shared" si="16"/>
        <v>7.8383333333333338</v>
      </c>
      <c r="P14" s="3">
        <f t="shared" si="14"/>
        <v>21.9678</v>
      </c>
      <c r="Q14" s="3">
        <f t="shared" si="15"/>
        <v>22.418099999999999</v>
      </c>
      <c r="R14" s="30">
        <f t="shared" si="13"/>
        <v>52.224233333333331</v>
      </c>
      <c r="S14" s="31">
        <f t="shared" si="6"/>
        <v>701.20690000000013</v>
      </c>
      <c r="T14" s="269">
        <f>($T$5+$T$3+$T$7+$T$9+$T$11+$T$13)-S14</f>
        <v>78.043099999999868</v>
      </c>
      <c r="U14">
        <v>2010</v>
      </c>
      <c r="V14" s="93">
        <v>86</v>
      </c>
      <c r="W14" s="259">
        <f t="shared" si="17"/>
        <v>235.61643835616439</v>
      </c>
      <c r="X14" s="147">
        <v>271.33</v>
      </c>
      <c r="Y14" s="148">
        <f>X14/V14</f>
        <v>3.1549999999999998</v>
      </c>
      <c r="Z14" s="91"/>
      <c r="AA14" s="160"/>
      <c r="AB14" s="160"/>
      <c r="AC14" s="153"/>
    </row>
    <row r="15" spans="1:29" ht="13.5" customHeight="1" thickTop="1" thickBot="1">
      <c r="A15" s="10" t="s">
        <v>0</v>
      </c>
      <c r="B15" s="92">
        <f>'2010'!C15</f>
        <v>8284</v>
      </c>
      <c r="C15" s="18">
        <f>D15+E15</f>
        <v>5692</v>
      </c>
      <c r="D15" s="18">
        <f>SUM(D3:D14)</f>
        <v>2914</v>
      </c>
      <c r="E15" s="18">
        <f>SUM(E3:E14)</f>
        <v>2778</v>
      </c>
      <c r="F15" s="310">
        <f>C15/12</f>
        <v>474.33333333333331</v>
      </c>
      <c r="G15" s="311" t="str">
        <f>" / mois"</f>
        <v xml:space="preserve"> / mois</v>
      </c>
      <c r="H15" s="18">
        <f>SUM(H3:H14)</f>
        <v>5692</v>
      </c>
      <c r="I15" s="14"/>
      <c r="J15" s="15">
        <f ca="1">AVERAGE(J3:J14)</f>
        <v>15.708979774705581</v>
      </c>
      <c r="K15" s="16">
        <f>D15/H15</f>
        <v>0.51194659170765988</v>
      </c>
      <c r="L15" s="16">
        <f>E15/H15</f>
        <v>0.48805340829234012</v>
      </c>
      <c r="M15" s="16"/>
      <c r="N15" s="298">
        <f>1/(B15/(C15-B15))</f>
        <v>-0.31289232254949301</v>
      </c>
      <c r="O15" s="15">
        <f>SUM(O3:O14)</f>
        <v>95.472500000000011</v>
      </c>
      <c r="P15" s="15">
        <f>SUM(P3:P14)</f>
        <v>250.92540000000002</v>
      </c>
      <c r="Q15" s="15">
        <f>SUM(Q3:Q14)</f>
        <v>354.80899999999997</v>
      </c>
      <c r="R15" s="356">
        <f>SUM(O15:Q15)</f>
        <v>701.20690000000002</v>
      </c>
      <c r="S15" s="357"/>
      <c r="T15" s="262"/>
      <c r="U15">
        <v>2011</v>
      </c>
      <c r="V15" s="93">
        <v>81</v>
      </c>
      <c r="W15" s="259">
        <f>(V15*1000)/365</f>
        <v>221.91780821917808</v>
      </c>
      <c r="X15" s="147">
        <v>272.49</v>
      </c>
      <c r="Y15" s="148">
        <f>X15/V15</f>
        <v>3.364074074074074</v>
      </c>
      <c r="Z15" s="91"/>
      <c r="AA15" s="160"/>
      <c r="AB15" s="160"/>
      <c r="AC15" s="153"/>
    </row>
    <row r="16" spans="1:29">
      <c r="T16" s="147">
        <f>(Z32)/12</f>
        <v>106.62140833333335</v>
      </c>
      <c r="U16">
        <v>2012</v>
      </c>
      <c r="V16" s="93">
        <v>1</v>
      </c>
      <c r="W16" s="259">
        <f t="shared" ref="W16:W17" si="18">(V16*1000)/365</f>
        <v>2.7397260273972601</v>
      </c>
      <c r="X16" s="147">
        <v>1</v>
      </c>
      <c r="Y16" s="148">
        <f>X16/V16</f>
        <v>1</v>
      </c>
      <c r="Z16" s="91"/>
      <c r="AA16" s="160"/>
      <c r="AB16" s="160"/>
      <c r="AC16" s="153"/>
    </row>
    <row r="17" spans="12:29">
      <c r="U17">
        <v>2013</v>
      </c>
      <c r="V17" s="93">
        <v>1</v>
      </c>
      <c r="W17" s="259">
        <f t="shared" si="18"/>
        <v>2.7397260273972601</v>
      </c>
      <c r="X17" s="147">
        <v>1</v>
      </c>
      <c r="Y17" s="148">
        <f>X17/V17</f>
        <v>1</v>
      </c>
      <c r="Z17" s="91"/>
      <c r="AA17" s="160"/>
      <c r="AB17" s="160"/>
      <c r="AC17" s="153"/>
    </row>
    <row r="18" spans="12:29">
      <c r="U18">
        <v>2014</v>
      </c>
      <c r="V18" s="93">
        <v>1</v>
      </c>
      <c r="W18" s="259">
        <f>(V18*1000)/365</f>
        <v>2.7397260273972601</v>
      </c>
      <c r="X18" s="147">
        <v>1</v>
      </c>
      <c r="Y18" s="148">
        <f>X18/V18</f>
        <v>1</v>
      </c>
      <c r="Z18" s="91"/>
      <c r="AA18" s="160"/>
      <c r="AB18" s="160"/>
      <c r="AC18" s="153"/>
    </row>
    <row r="19" spans="12:29">
      <c r="Z19" s="91"/>
      <c r="AA19" s="160"/>
      <c r="AB19" s="160"/>
    </row>
    <row r="20" spans="12:29">
      <c r="V20" t="s">
        <v>90</v>
      </c>
      <c r="X20">
        <f>(H15/100)*4.015399</f>
        <v>228.55651108000004</v>
      </c>
      <c r="Z20" s="91"/>
      <c r="AA20" s="160"/>
      <c r="AB20" s="160"/>
    </row>
    <row r="21" spans="12:29">
      <c r="V21">
        <v>2187</v>
      </c>
    </row>
    <row r="22" spans="12:29">
      <c r="V22">
        <v>2250</v>
      </c>
    </row>
    <row r="23" spans="12:29">
      <c r="V23">
        <v>2333</v>
      </c>
    </row>
    <row r="25" spans="12:29">
      <c r="T25" s="43" t="s">
        <v>95</v>
      </c>
      <c r="U25" s="177">
        <v>240</v>
      </c>
      <c r="V25" s="178">
        <f>U25*$P$2</f>
        <v>20.327999999999999</v>
      </c>
      <c r="W25" s="187">
        <f t="shared" ref="W25:W30" si="19">1/($H$15/U25)</f>
        <v>4.2164441321152497E-2</v>
      </c>
      <c r="X25" s="152" t="s">
        <v>105</v>
      </c>
      <c r="Z25" s="101" t="s">
        <v>89</v>
      </c>
    </row>
    <row r="26" spans="12:29">
      <c r="L26" s="12"/>
      <c r="T26" s="183" t="s">
        <v>106</v>
      </c>
      <c r="U26" s="177">
        <v>260</v>
      </c>
      <c r="V26" s="178">
        <f>U26*$P$2</f>
        <v>22.021999999999998</v>
      </c>
      <c r="W26" s="187">
        <f t="shared" si="19"/>
        <v>4.5678144764581867E-2</v>
      </c>
      <c r="X26" s="184">
        <v>192.82</v>
      </c>
      <c r="Y26" s="188" t="s">
        <v>99</v>
      </c>
      <c r="Z26" s="190">
        <f>20.45+23.9+23.9</f>
        <v>68.25</v>
      </c>
    </row>
    <row r="27" spans="12:29">
      <c r="T27" s="43" t="s">
        <v>96</v>
      </c>
      <c r="U27" s="177">
        <v>280</v>
      </c>
      <c r="V27" s="178">
        <f>U27*$P$2</f>
        <v>23.716000000000001</v>
      </c>
      <c r="W27" s="187">
        <f t="shared" si="19"/>
        <v>4.9191848208011243E-2</v>
      </c>
      <c r="X27" s="184">
        <v>244.11</v>
      </c>
      <c r="Y27" s="188" t="s">
        <v>100</v>
      </c>
      <c r="Z27" s="191" t="s">
        <v>107</v>
      </c>
    </row>
    <row r="28" spans="12:29">
      <c r="T28" s="164" t="s">
        <v>97</v>
      </c>
      <c r="U28" s="177">
        <f>D37-(U25+U27)</f>
        <v>1204</v>
      </c>
      <c r="V28" s="178">
        <f>U28*$P$2</f>
        <v>101.97879999999999</v>
      </c>
      <c r="W28" s="187">
        <f t="shared" si="19"/>
        <v>0.21152494729444835</v>
      </c>
      <c r="X28" s="184">
        <v>116.89</v>
      </c>
      <c r="Y28" s="188" t="s">
        <v>101</v>
      </c>
      <c r="Z28" s="190">
        <v>510</v>
      </c>
      <c r="AB28" s="160"/>
    </row>
    <row r="29" spans="12:29">
      <c r="T29" s="164" t="s">
        <v>110</v>
      </c>
      <c r="U29" s="177">
        <f>H15-(U30+U28+U27+U25+U26)</f>
        <v>1472</v>
      </c>
      <c r="V29" s="179">
        <f>(P15+Q15)-(V25+V26+V27+V28+V30)</f>
        <v>192.57773333333341</v>
      </c>
      <c r="W29" s="187">
        <f t="shared" si="19"/>
        <v>0.25860857343640198</v>
      </c>
      <c r="X29" s="184">
        <v>64.2</v>
      </c>
      <c r="Y29" s="188" t="s">
        <v>102</v>
      </c>
      <c r="Z29" s="191" t="s">
        <v>108</v>
      </c>
      <c r="AB29" s="160"/>
    </row>
    <row r="30" spans="12:29">
      <c r="T30" s="164" t="s">
        <v>98</v>
      </c>
      <c r="U30" s="177">
        <f>C38-U26</f>
        <v>2236</v>
      </c>
      <c r="V30" s="178">
        <f>C39-V26</f>
        <v>245.11186666666663</v>
      </c>
      <c r="W30" s="187">
        <f t="shared" si="19"/>
        <v>0.39283204497540408</v>
      </c>
      <c r="X30" s="184">
        <v>76.16</v>
      </c>
      <c r="Y30" s="188" t="s">
        <v>103</v>
      </c>
      <c r="Z30" s="190">
        <f>Z28+V30</f>
        <v>755.11186666666663</v>
      </c>
      <c r="AB30" s="160"/>
    </row>
    <row r="31" spans="12:29">
      <c r="T31" s="164" t="s">
        <v>61</v>
      </c>
      <c r="U31" s="180"/>
      <c r="V31" s="178">
        <f>O15</f>
        <v>95.472500000000011</v>
      </c>
      <c r="W31" s="97"/>
      <c r="X31" s="184">
        <v>85.07</v>
      </c>
      <c r="Y31" s="188" t="s">
        <v>104</v>
      </c>
      <c r="Z31" s="101" t="s">
        <v>109</v>
      </c>
      <c r="AB31" s="160"/>
    </row>
    <row r="32" spans="12:29">
      <c r="T32" s="164" t="s">
        <v>58</v>
      </c>
      <c r="U32" s="271">
        <f>X32-V32</f>
        <v>78.043099999999981</v>
      </c>
      <c r="V32" s="181">
        <f>SUM(V25:V31)</f>
        <v>701.20690000000002</v>
      </c>
      <c r="W32" s="186"/>
      <c r="X32" s="185">
        <f>SUM(X26:X31)</f>
        <v>779.25</v>
      </c>
      <c r="Y32" s="189"/>
      <c r="Z32" s="190">
        <f>V32+Z28+Z26</f>
        <v>1279.4569000000001</v>
      </c>
      <c r="AB32" s="160"/>
    </row>
    <row r="33" spans="1:28">
      <c r="Z33" s="91"/>
      <c r="AA33" s="160"/>
      <c r="AB33" s="160"/>
    </row>
    <row r="34" spans="1:28">
      <c r="E34" s="39"/>
      <c r="W34" s="75"/>
      <c r="Z34" s="91"/>
      <c r="AA34" s="160"/>
      <c r="AB34" s="160"/>
    </row>
    <row r="35" spans="1:28" ht="13.5" thickBot="1">
      <c r="Z35" s="91"/>
      <c r="AA35" s="160"/>
      <c r="AB35" s="160"/>
    </row>
    <row r="36" spans="1:28">
      <c r="C36" s="83" t="s">
        <v>58</v>
      </c>
      <c r="D36" s="84" t="s">
        <v>56</v>
      </c>
      <c r="E36" s="85" t="s">
        <v>57</v>
      </c>
      <c r="U36" t="s">
        <v>134</v>
      </c>
      <c r="V36" s="197" t="s">
        <v>135</v>
      </c>
      <c r="Z36" s="91"/>
      <c r="AA36" s="160"/>
      <c r="AB36" s="160"/>
    </row>
    <row r="37" spans="1:28">
      <c r="A37" t="s">
        <v>53</v>
      </c>
      <c r="C37" s="86">
        <f>D37+E37</f>
        <v>3196</v>
      </c>
      <c r="D37" s="87">
        <f>AVERAGE(D7,D8,D9,D10,D11,D12)*12</f>
        <v>1724</v>
      </c>
      <c r="E37" s="88">
        <f>AVERAGE(E8,E9,E11,E12,E7,E10)*12</f>
        <v>1472</v>
      </c>
      <c r="L37" s="261"/>
      <c r="M37" s="261"/>
      <c r="Z37" s="91"/>
      <c r="AA37" s="160"/>
      <c r="AB37" s="160"/>
    </row>
    <row r="38" spans="1:28">
      <c r="A38" t="s">
        <v>54</v>
      </c>
      <c r="C38" s="86">
        <f>D38+E38</f>
        <v>2496</v>
      </c>
      <c r="D38" s="87">
        <f>D15-D37</f>
        <v>1190</v>
      </c>
      <c r="E38" s="88">
        <f>E15-E37</f>
        <v>1306</v>
      </c>
      <c r="Z38" s="91"/>
      <c r="AA38" s="160"/>
      <c r="AB38" s="160"/>
    </row>
    <row r="39" spans="1:28" ht="13.5" thickBot="1">
      <c r="A39" s="74" t="s">
        <v>55</v>
      </c>
      <c r="B39" s="75">
        <f>'2010'!C39</f>
        <v>472.11693333333335</v>
      </c>
      <c r="C39" s="182">
        <f>D39+E39</f>
        <v>267.13386666666662</v>
      </c>
      <c r="D39" s="89">
        <f>D38*P2</f>
        <v>100.79299999999999</v>
      </c>
      <c r="E39" s="154">
        <f>E38*Q2</f>
        <v>166.34086666666664</v>
      </c>
      <c r="G39" s="349"/>
      <c r="H39" s="349"/>
      <c r="I39" s="349"/>
      <c r="J39" s="349"/>
      <c r="K39" s="349"/>
      <c r="M39" s="75"/>
      <c r="N39" s="353"/>
      <c r="O39" s="353"/>
      <c r="V39" s="123"/>
      <c r="Z39" s="91"/>
      <c r="AA39" s="160"/>
      <c r="AB39" s="160"/>
    </row>
    <row r="40" spans="1:28" ht="14.25" thickTop="1" thickBot="1">
      <c r="B40" s="175"/>
      <c r="C40" s="366" t="s">
        <v>84</v>
      </c>
      <c r="D40" s="367"/>
      <c r="E40" s="368">
        <v>2005</v>
      </c>
      <c r="F40" s="369"/>
      <c r="G40" s="369"/>
      <c r="H40" s="363">
        <v>2006</v>
      </c>
      <c r="I40" s="364"/>
      <c r="J40" s="364"/>
      <c r="K40" s="365"/>
      <c r="L40" s="370">
        <v>2007</v>
      </c>
      <c r="M40" s="371"/>
      <c r="N40" s="372"/>
      <c r="O40" s="373">
        <v>2008</v>
      </c>
      <c r="P40" s="359"/>
      <c r="Q40" s="374"/>
      <c r="R40" s="358">
        <v>2009</v>
      </c>
      <c r="S40" s="359"/>
      <c r="T40" s="359"/>
      <c r="U40" s="374"/>
      <c r="V40" s="358">
        <v>2010</v>
      </c>
      <c r="W40" s="359"/>
      <c r="X40" s="360"/>
      <c r="Z40" s="91"/>
      <c r="AA40" s="160"/>
      <c r="AB40" s="160"/>
    </row>
    <row r="41" spans="1:28" ht="13.5" thickTop="1">
      <c r="C41" s="98"/>
      <c r="D41" s="117" t="s">
        <v>66</v>
      </c>
      <c r="E41" s="105">
        <v>38597</v>
      </c>
      <c r="F41" s="101" t="s">
        <v>64</v>
      </c>
      <c r="G41" s="101" t="s">
        <v>65</v>
      </c>
      <c r="H41" s="137" t="s">
        <v>85</v>
      </c>
      <c r="I41" s="66"/>
      <c r="J41" s="101" t="s">
        <v>64</v>
      </c>
      <c r="K41" s="112" t="s">
        <v>65</v>
      </c>
      <c r="L41" s="137" t="s">
        <v>85</v>
      </c>
      <c r="M41" s="101" t="s">
        <v>64</v>
      </c>
      <c r="N41" s="101" t="s">
        <v>65</v>
      </c>
      <c r="O41" s="137" t="s">
        <v>85</v>
      </c>
      <c r="P41" s="101" t="s">
        <v>64</v>
      </c>
      <c r="Q41" s="112" t="s">
        <v>65</v>
      </c>
      <c r="R41" s="137" t="s">
        <v>85</v>
      </c>
      <c r="S41" s="101" t="s">
        <v>64</v>
      </c>
      <c r="T41" s="263"/>
      <c r="U41" s="112" t="s">
        <v>65</v>
      </c>
      <c r="V41" s="137" t="s">
        <v>85</v>
      </c>
      <c r="W41" s="101" t="s">
        <v>64</v>
      </c>
      <c r="X41" s="102" t="s">
        <v>65</v>
      </c>
    </row>
    <row r="42" spans="1:28" ht="13.5" thickBot="1">
      <c r="C42" s="118">
        <v>1</v>
      </c>
      <c r="D42" s="119">
        <f>AVERAGE(J42,M42,P42,S42,W42,F48)</f>
        <v>124.5</v>
      </c>
      <c r="E42" s="106">
        <v>38661</v>
      </c>
      <c r="F42" s="107">
        <f>E42-E41</f>
        <v>64</v>
      </c>
      <c r="G42" s="108">
        <f>F42/30.5</f>
        <v>2.098360655737705</v>
      </c>
      <c r="H42" s="100">
        <v>38774</v>
      </c>
      <c r="I42" s="66"/>
      <c r="J42" s="97">
        <f>H42-E42</f>
        <v>113</v>
      </c>
      <c r="K42" s="113">
        <f>J42/30.5</f>
        <v>3.7049180327868854</v>
      </c>
      <c r="L42" s="115">
        <v>39130</v>
      </c>
      <c r="M42" s="97">
        <f>L42-H45</f>
        <v>105</v>
      </c>
      <c r="N42" s="103">
        <f>M42/30.5</f>
        <v>3.442622950819672</v>
      </c>
      <c r="O42" s="100">
        <v>39490</v>
      </c>
      <c r="P42" s="97">
        <f>O42-L45</f>
        <v>115</v>
      </c>
      <c r="Q42" s="113">
        <f>P42/30.5</f>
        <v>3.7704918032786887</v>
      </c>
      <c r="R42" s="115">
        <v>39846</v>
      </c>
      <c r="S42" s="97">
        <f>R42-O45</f>
        <v>116</v>
      </c>
      <c r="T42" s="264"/>
      <c r="U42" s="113">
        <f>S42/30.5</f>
        <v>3.8032786885245899</v>
      </c>
      <c r="V42" s="115">
        <v>40254</v>
      </c>
      <c r="W42" s="97">
        <f>V42-R45</f>
        <v>143</v>
      </c>
      <c r="X42" s="104">
        <f>W42/30.5</f>
        <v>4.6885245901639347</v>
      </c>
    </row>
    <row r="43" spans="1:28" ht="13.5" thickTop="1">
      <c r="C43" s="99">
        <v>2</v>
      </c>
      <c r="D43" s="119">
        <f>AVERAGE(J43,M43,P43,S43,W43,F49)</f>
        <v>85</v>
      </c>
      <c r="E43" s="155"/>
      <c r="F43" s="66"/>
      <c r="G43" s="66"/>
      <c r="H43" s="100">
        <v>38856</v>
      </c>
      <c r="I43" s="66"/>
      <c r="J43" s="97">
        <f>H43-H42</f>
        <v>82</v>
      </c>
      <c r="K43" s="113">
        <f>J43/30.5</f>
        <v>2.6885245901639343</v>
      </c>
      <c r="L43" s="115">
        <v>39209</v>
      </c>
      <c r="M43" s="97">
        <f>L43-L42</f>
        <v>79</v>
      </c>
      <c r="N43" s="103">
        <f>M43/30.5</f>
        <v>2.5901639344262297</v>
      </c>
      <c r="O43" s="100">
        <v>39567</v>
      </c>
      <c r="P43" s="97">
        <f>O43-O42</f>
        <v>77</v>
      </c>
      <c r="Q43" s="113">
        <f>P43/30.5</f>
        <v>2.5245901639344264</v>
      </c>
      <c r="R43" s="115">
        <v>39922</v>
      </c>
      <c r="S43" s="97">
        <f>R43-R42</f>
        <v>76</v>
      </c>
      <c r="T43" s="264"/>
      <c r="U43" s="113">
        <f>S43/30.5</f>
        <v>2.4918032786885247</v>
      </c>
      <c r="V43" s="115">
        <v>40344</v>
      </c>
      <c r="W43" s="97">
        <f>V43-V42</f>
        <v>90</v>
      </c>
      <c r="X43" s="104">
        <f>W43/30.5</f>
        <v>2.9508196721311477</v>
      </c>
    </row>
    <row r="44" spans="1:28">
      <c r="C44" s="99">
        <v>3</v>
      </c>
      <c r="D44" s="119">
        <f>AVERAGE(J44,M44,P44,S44,W44,F50)</f>
        <v>90.5</v>
      </c>
      <c r="E44" s="155"/>
      <c r="F44" s="66"/>
      <c r="G44" s="66"/>
      <c r="H44" s="100">
        <v>38946</v>
      </c>
      <c r="I44" s="66"/>
      <c r="J44" s="97">
        <f>H44-H43</f>
        <v>90</v>
      </c>
      <c r="K44" s="113">
        <f>J44/30.5</f>
        <v>2.9508196721311477</v>
      </c>
      <c r="L44" s="115">
        <v>39290</v>
      </c>
      <c r="M44" s="97">
        <f>L44-L43</f>
        <v>81</v>
      </c>
      <c r="N44" s="103">
        <f>M44/30.5</f>
        <v>2.6557377049180326</v>
      </c>
      <c r="O44" s="100">
        <v>39648</v>
      </c>
      <c r="P44" s="97">
        <f>O44-O43</f>
        <v>81</v>
      </c>
      <c r="Q44" s="113">
        <f>P44/30.5</f>
        <v>2.6557377049180326</v>
      </c>
      <c r="R44" s="115">
        <v>40014</v>
      </c>
      <c r="S44" s="97">
        <f>R44-R43</f>
        <v>92</v>
      </c>
      <c r="T44" s="264"/>
      <c r="U44" s="113">
        <f>S44/30.5</f>
        <v>3.0163934426229506</v>
      </c>
      <c r="V44" s="115">
        <v>40436</v>
      </c>
      <c r="W44" s="97">
        <f>V44-V43</f>
        <v>92</v>
      </c>
      <c r="X44" s="104">
        <f>W44/30.5</f>
        <v>3.0163934426229506</v>
      </c>
    </row>
    <row r="45" spans="1:28" ht="13.5" thickBot="1">
      <c r="C45" s="120">
        <v>4</v>
      </c>
      <c r="D45" s="121">
        <f>AVERAGE(J45,M45,P45,S45,F42,W45,F51)</f>
        <v>81.400000000000006</v>
      </c>
      <c r="E45" s="156"/>
      <c r="F45" s="157"/>
      <c r="G45" s="157"/>
      <c r="H45" s="109">
        <v>39025</v>
      </c>
      <c r="I45" s="157"/>
      <c r="J45" s="107">
        <f>H45-H44</f>
        <v>79</v>
      </c>
      <c r="K45" s="114">
        <f>J45/30.5</f>
        <v>2.5901639344262297</v>
      </c>
      <c r="L45" s="116">
        <v>39375</v>
      </c>
      <c r="M45" s="107">
        <f>L45-L44</f>
        <v>85</v>
      </c>
      <c r="N45" s="108">
        <f>M45/30.5</f>
        <v>2.7868852459016393</v>
      </c>
      <c r="O45" s="110">
        <v>39730</v>
      </c>
      <c r="P45" s="107">
        <f>O45-O44</f>
        <v>82</v>
      </c>
      <c r="Q45" s="114">
        <f>P45/30.5</f>
        <v>2.6885245901639343</v>
      </c>
      <c r="R45" s="116">
        <v>40111</v>
      </c>
      <c r="S45" s="107">
        <f>R45-R44</f>
        <v>97</v>
      </c>
      <c r="T45" s="265"/>
      <c r="U45" s="114">
        <f>S45/30.5</f>
        <v>3.180327868852459</v>
      </c>
      <c r="V45" s="116"/>
      <c r="W45" s="107"/>
      <c r="X45" s="111"/>
    </row>
    <row r="46" spans="1:28" ht="13.5" thickTop="1">
      <c r="E46" s="361">
        <v>2011</v>
      </c>
      <c r="F46" s="362"/>
      <c r="G46" s="362"/>
      <c r="H46" s="363">
        <v>2012</v>
      </c>
      <c r="I46" s="364"/>
      <c r="J46" s="364"/>
      <c r="K46" s="365"/>
    </row>
    <row r="47" spans="1:28">
      <c r="E47" s="151" t="s">
        <v>85</v>
      </c>
      <c r="F47" s="101" t="s">
        <v>64</v>
      </c>
      <c r="G47" s="112" t="s">
        <v>65</v>
      </c>
      <c r="H47" s="137" t="s">
        <v>85</v>
      </c>
      <c r="I47" s="66"/>
      <c r="J47" s="101" t="s">
        <v>64</v>
      </c>
      <c r="K47" s="112" t="s">
        <v>65</v>
      </c>
    </row>
    <row r="48" spans="1:28">
      <c r="E48" s="105">
        <v>40591</v>
      </c>
      <c r="F48" s="97">
        <f>E48-V44</f>
        <v>155</v>
      </c>
      <c r="G48" s="113">
        <f>F48/30.5</f>
        <v>5.081967213114754</v>
      </c>
      <c r="H48" s="100">
        <v>40941</v>
      </c>
      <c r="I48" s="66"/>
      <c r="J48" s="97">
        <f>H48-E50</f>
        <v>137</v>
      </c>
      <c r="K48" s="113">
        <f>J48/30.5</f>
        <v>4.4918032786885247</v>
      </c>
    </row>
    <row r="49" spans="5:11">
      <c r="E49" s="105">
        <v>40697</v>
      </c>
      <c r="F49" s="97">
        <f t="shared" ref="F49:F50" si="20">E49-E48</f>
        <v>106</v>
      </c>
      <c r="G49" s="113">
        <f t="shared" ref="G49:G50" si="21">F49/30.5</f>
        <v>3.4754098360655736</v>
      </c>
      <c r="H49" s="100">
        <f t="shared" ref="H49:H51" ca="1" si="22">TODAY()</f>
        <v>41254</v>
      </c>
      <c r="I49" s="66"/>
      <c r="J49" s="97">
        <f ca="1">H49-H48</f>
        <v>313</v>
      </c>
      <c r="K49" s="113">
        <f ca="1">J49/30.5</f>
        <v>10.262295081967213</v>
      </c>
    </row>
    <row r="50" spans="5:11">
      <c r="E50" s="105">
        <v>40804</v>
      </c>
      <c r="F50" s="97">
        <f t="shared" si="20"/>
        <v>107</v>
      </c>
      <c r="G50" s="113">
        <f t="shared" si="21"/>
        <v>3.5081967213114753</v>
      </c>
      <c r="H50" s="100">
        <f t="shared" ca="1" si="22"/>
        <v>41254</v>
      </c>
      <c r="I50" s="66"/>
      <c r="J50" s="97">
        <f ca="1">H50-H49</f>
        <v>0</v>
      </c>
      <c r="K50" s="113">
        <f ca="1">J50/30.5</f>
        <v>0</v>
      </c>
    </row>
    <row r="51" spans="5:11" ht="13.5" thickBot="1">
      <c r="E51" s="106"/>
      <c r="F51" s="107"/>
      <c r="G51" s="114"/>
      <c r="H51" s="109">
        <f t="shared" ca="1" si="22"/>
        <v>41254</v>
      </c>
      <c r="I51" s="157"/>
      <c r="J51" s="107">
        <f ca="1">H51-H50</f>
        <v>0</v>
      </c>
      <c r="K51" s="114">
        <f ca="1">J51/30.5</f>
        <v>0</v>
      </c>
    </row>
    <row r="52" spans="5:11" ht="13.5" thickTop="1"/>
  </sheetData>
  <mergeCells count="16">
    <mergeCell ref="C40:D40"/>
    <mergeCell ref="E40:G40"/>
    <mergeCell ref="H40:K40"/>
    <mergeCell ref="L40:N40"/>
    <mergeCell ref="O40:Q40"/>
    <mergeCell ref="E46:G46"/>
    <mergeCell ref="R40:U40"/>
    <mergeCell ref="K1:L1"/>
    <mergeCell ref="U9:W9"/>
    <mergeCell ref="R15:S15"/>
    <mergeCell ref="G39:I39"/>
    <mergeCell ref="J39:K39"/>
    <mergeCell ref="N39:O39"/>
    <mergeCell ref="V40:X40"/>
    <mergeCell ref="H46:K46"/>
    <mergeCell ref="F2:G2"/>
  </mergeCells>
  <conditionalFormatting sqref="F3:G14">
    <cfRule type="expression" dxfId="3" priority="10">
      <formula>B3=""</formula>
    </cfRule>
  </conditionalFormatting>
  <conditionalFormatting sqref="D3:E14">
    <cfRule type="iconSet" priority="5">
      <iconSet iconSet="4TrafficLights" reverse="1">
        <cfvo type="percent" val="0"/>
        <cfvo type="num" val="150"/>
        <cfvo type="num" val="300"/>
        <cfvo type="num" val="600"/>
      </iconSet>
    </cfRule>
  </conditionalFormatting>
  <conditionalFormatting sqref="H3:H14">
    <cfRule type="iconSet" priority="4">
      <iconSet iconSet="4TrafficLights" reverse="1">
        <cfvo type="percent" val="0"/>
        <cfvo type="num" val="300"/>
        <cfvo type="num" val="600"/>
        <cfvo type="num" val="1200"/>
      </iconSet>
    </cfRule>
  </conditionalFormatting>
  <conditionalFormatting sqref="R15">
    <cfRule type="colorScale" priority="1">
      <colorScale>
        <cfvo type="num" val="700"/>
        <cfvo type="num" val="800"/>
        <cfvo type="num" val="90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AG52"/>
  <sheetViews>
    <sheetView tabSelected="1" workbookViewId="0">
      <selection activeCell="K37" sqref="K37:M37"/>
    </sheetView>
  </sheetViews>
  <sheetFormatPr baseColWidth="10" defaultColWidth="11.42578125" defaultRowHeight="12.75"/>
  <cols>
    <col min="1" max="1" width="14.5703125" bestFit="1" customWidth="1"/>
    <col min="2" max="2" width="0.140625" customWidth="1"/>
    <col min="3" max="3" width="9.28515625" bestFit="1" customWidth="1"/>
    <col min="4" max="4" width="9.28515625" customWidth="1"/>
    <col min="5" max="5" width="6.7109375" customWidth="1"/>
    <col min="6" max="6" width="5.7109375" customWidth="1"/>
    <col min="7" max="7" width="6.7109375" customWidth="1"/>
    <col min="8" max="8" width="5.7109375" customWidth="1"/>
    <col min="9" max="10" width="6.140625" bestFit="1" customWidth="1"/>
    <col min="11" max="11" width="7.7109375" customWidth="1"/>
    <col min="12" max="12" width="6.140625" hidden="1" customWidth="1"/>
    <col min="13" max="13" width="7.7109375" customWidth="1"/>
    <col min="14" max="15" width="8.7109375" customWidth="1"/>
    <col min="16" max="16" width="10.140625" customWidth="1"/>
    <col min="17" max="17" width="8.7109375" customWidth="1"/>
    <col min="18" max="18" width="8.42578125" bestFit="1" customWidth="1"/>
    <col min="19" max="20" width="7.85546875" customWidth="1"/>
    <col min="21" max="21" width="9.28515625" bestFit="1" customWidth="1"/>
    <col min="22" max="22" width="7.5703125" bestFit="1" customWidth="1"/>
    <col min="23" max="23" width="9.42578125" customWidth="1"/>
    <col min="24" max="24" width="9.28515625" bestFit="1" customWidth="1"/>
    <col min="25" max="25" width="14.28515625" bestFit="1" customWidth="1"/>
    <col min="26" max="26" width="9.28515625" bestFit="1" customWidth="1"/>
    <col min="27" max="27" width="11" customWidth="1"/>
    <col min="28" max="28" width="9.85546875" bestFit="1" customWidth="1"/>
    <col min="29" max="29" width="13" customWidth="1"/>
    <col min="30" max="30" width="13.140625" customWidth="1"/>
  </cols>
  <sheetData>
    <row r="1" spans="1:33" ht="38.25" customHeight="1">
      <c r="A1" s="275" t="s">
        <v>1</v>
      </c>
      <c r="B1" s="272"/>
      <c r="C1" s="166" t="s">
        <v>2</v>
      </c>
      <c r="D1" s="166" t="s">
        <v>3</v>
      </c>
      <c r="E1" s="388" t="s">
        <v>4</v>
      </c>
      <c r="F1" s="389"/>
      <c r="G1" s="388" t="s">
        <v>5</v>
      </c>
      <c r="H1" s="389"/>
      <c r="I1" s="166" t="s">
        <v>21</v>
      </c>
      <c r="J1" s="166" t="s">
        <v>22</v>
      </c>
      <c r="K1" s="166" t="s">
        <v>13</v>
      </c>
      <c r="L1" s="166"/>
      <c r="M1" s="166" t="s">
        <v>37</v>
      </c>
      <c r="N1" s="350" t="s">
        <v>131</v>
      </c>
      <c r="O1" s="350"/>
      <c r="P1" s="19" t="s">
        <v>8</v>
      </c>
      <c r="Q1" s="19" t="s">
        <v>36</v>
      </c>
      <c r="R1" s="24" t="s">
        <v>14</v>
      </c>
      <c r="S1" s="24" t="s">
        <v>9</v>
      </c>
      <c r="T1" s="24" t="s">
        <v>10</v>
      </c>
      <c r="U1" s="26" t="s">
        <v>11</v>
      </c>
      <c r="V1" s="27" t="s">
        <v>12</v>
      </c>
      <c r="W1" s="270">
        <f>'2011'!U32</f>
        <v>78.043099999999981</v>
      </c>
      <c r="X1" s="33" t="s">
        <v>61</v>
      </c>
      <c r="Y1" s="33" t="s">
        <v>63</v>
      </c>
      <c r="Z1" s="33" t="s">
        <v>62</v>
      </c>
      <c r="AD1" s="152"/>
      <c r="AE1" s="152"/>
    </row>
    <row r="2" spans="1:33" hidden="1">
      <c r="A2" s="276"/>
      <c r="B2" s="273">
        <v>40908</v>
      </c>
      <c r="C2" s="17">
        <f>'2011'!B14</f>
        <v>25370</v>
      </c>
      <c r="D2" s="17">
        <f>'2011'!C14</f>
        <v>27411</v>
      </c>
      <c r="E2" s="192">
        <f>'2011'!D14</f>
        <v>246</v>
      </c>
      <c r="F2" s="320"/>
      <c r="G2" s="192">
        <f>'2011'!E14</f>
        <v>171</v>
      </c>
      <c r="H2" s="326"/>
      <c r="I2" s="375">
        <f ca="1">TODAY()</f>
        <v>41254</v>
      </c>
      <c r="J2" s="376"/>
      <c r="K2" s="17">
        <f>E2+G2</f>
        <v>417</v>
      </c>
      <c r="L2" s="1"/>
      <c r="M2" s="1"/>
      <c r="N2" s="1"/>
      <c r="O2" s="1"/>
      <c r="P2" s="20"/>
      <c r="Q2" s="20"/>
      <c r="R2" s="3"/>
      <c r="S2" s="163">
        <f>AVERAGE(Y4:Y6)</f>
        <v>9.1133333333333344E-2</v>
      </c>
      <c r="T2" s="163">
        <f>AVERAGE(Z4:Z6)</f>
        <v>0.13316666666666666</v>
      </c>
      <c r="U2" s="1"/>
      <c r="V2" s="1"/>
      <c r="W2" s="281"/>
    </row>
    <row r="3" spans="1:33" ht="13.5" customHeight="1">
      <c r="A3" s="276">
        <f t="shared" ref="A3:A4" ca="1" si="0">IF($I$2&lt;B2,"",IF($I$2&gt;B3,B3,$I$2))</f>
        <v>40939</v>
      </c>
      <c r="B3" s="273">
        <f>EOMONTH(B2,1)</f>
        <v>40939</v>
      </c>
      <c r="C3" s="1">
        <v>25639</v>
      </c>
      <c r="D3" s="1">
        <v>27602</v>
      </c>
      <c r="E3" s="327">
        <f t="shared" ref="E3:E14" si="1">IF(C3-C2&lt;=0,0,C3-C2)</f>
        <v>269</v>
      </c>
      <c r="F3" s="329">
        <f ca="1">E3/L3</f>
        <v>8.67741935483871</v>
      </c>
      <c r="G3" s="327">
        <f>IF(D3-D2&lt;=0,0.00000001,D3-D2)</f>
        <v>191</v>
      </c>
      <c r="H3" s="329">
        <f ca="1">G3/L3</f>
        <v>6.161290322580645</v>
      </c>
      <c r="I3" s="158">
        <f>E3-'2011'!D3</f>
        <v>-207</v>
      </c>
      <c r="J3" s="158">
        <f>G3-'2011'!E3</f>
        <v>-380</v>
      </c>
      <c r="K3" s="17">
        <f>E3+G3</f>
        <v>460</v>
      </c>
      <c r="L3" s="2">
        <f t="shared" ref="L3:L14" ca="1" si="2">IF($I$2&gt;B2,IF($I$2&gt;B3,B3-B2,$I$2-B2),1)</f>
        <v>31</v>
      </c>
      <c r="M3" s="3">
        <f ca="1">K3/L3</f>
        <v>14.838709677419354</v>
      </c>
      <c r="N3" s="36">
        <f t="shared" ref="N3:N14" si="3">E3/K3</f>
        <v>0.58478260869565213</v>
      </c>
      <c r="O3" s="36">
        <f t="shared" ref="O3:O14" si="4">G3/K3</f>
        <v>0.41521739130434782</v>
      </c>
      <c r="P3" s="37">
        <f t="shared" ref="P3:P14" si="5">IF(E3=0,"",1/(K2/(K3-K2)))</f>
        <v>0.10311750599520385</v>
      </c>
      <c r="Q3" s="37">
        <f>IF(E3=0,"",1/(K3/(K3-'2011'!H3)))</f>
        <v>-1.276086956521739</v>
      </c>
      <c r="R3" s="3">
        <f>$X$4/12</f>
        <v>7.8383333333333338</v>
      </c>
      <c r="S3" s="3">
        <f t="shared" ref="S3:S8" si="6">E3*$Y$4</f>
        <v>24.075499999999998</v>
      </c>
      <c r="T3" s="3">
        <f t="shared" ref="T3:T8" si="7">G3*$Z$4</f>
        <v>25.059200000000001</v>
      </c>
      <c r="U3" s="30">
        <f>SUM(R3:T3)</f>
        <v>56.973033333333333</v>
      </c>
      <c r="V3" s="31">
        <f>U3</f>
        <v>56.973033333333333</v>
      </c>
      <c r="W3" s="282">
        <v>94</v>
      </c>
      <c r="X3" s="96">
        <f>(X6-X4)/X4</f>
        <v>2.0306187539868133E-2</v>
      </c>
      <c r="Y3" s="96">
        <f>(Y6-Y4)/Y4</f>
        <v>3.4636871508379949E-2</v>
      </c>
      <c r="Z3" s="96">
        <f>(Z6-Z4)/Z4</f>
        <v>3.1249999999999941E-2</v>
      </c>
      <c r="AC3" s="91"/>
      <c r="AD3" s="147"/>
      <c r="AE3" s="147"/>
    </row>
    <row r="4" spans="1:33" ht="13.5" customHeight="1">
      <c r="A4" s="276">
        <f t="shared" ca="1" si="0"/>
        <v>40968</v>
      </c>
      <c r="B4" s="273">
        <f t="shared" ref="B4:B14" si="8">EOMONTH(B3,1)</f>
        <v>40968</v>
      </c>
      <c r="C4" s="1">
        <v>26059</v>
      </c>
      <c r="D4" s="1">
        <v>28195</v>
      </c>
      <c r="E4" s="327">
        <f t="shared" si="1"/>
        <v>420</v>
      </c>
      <c r="F4" s="329">
        <f t="shared" ref="F4:F14" ca="1" si="9">E4/L4</f>
        <v>14.482758620689655</v>
      </c>
      <c r="G4" s="327">
        <f t="shared" ref="G4:G14" si="10">IF(D4-D3&lt;=0,0.00000001,D4-D3)</f>
        <v>593</v>
      </c>
      <c r="H4" s="329">
        <f t="shared" ref="H4:H14" ca="1" si="11">G4/L4</f>
        <v>20.448275862068964</v>
      </c>
      <c r="I4" s="158">
        <f>E4-'2011'!D4</f>
        <v>-81</v>
      </c>
      <c r="J4" s="158">
        <f>G4-'2011'!E4</f>
        <v>29</v>
      </c>
      <c r="K4" s="17">
        <f t="shared" ref="K4:K14" si="12">E4+G4</f>
        <v>1013</v>
      </c>
      <c r="L4" s="2">
        <f t="shared" ca="1" si="2"/>
        <v>29</v>
      </c>
      <c r="M4" s="3">
        <f t="shared" ref="M4:M14" ca="1" si="13">K4/L4</f>
        <v>34.931034482758619</v>
      </c>
      <c r="N4" s="36">
        <f t="shared" si="3"/>
        <v>0.41461006910167819</v>
      </c>
      <c r="O4" s="36">
        <f t="shared" si="4"/>
        <v>0.58538993089832181</v>
      </c>
      <c r="P4" s="37">
        <f t="shared" si="5"/>
        <v>1.2021739130434781</v>
      </c>
      <c r="Q4" s="37">
        <f>IF(E4=0,"",1/(K4/(K4-'2011'!H4)))</f>
        <v>-5.1332675222112538E-2</v>
      </c>
      <c r="R4" s="3">
        <f t="shared" ref="R4:R8" si="14">$X$4/12</f>
        <v>7.8383333333333338</v>
      </c>
      <c r="S4" s="3">
        <f t="shared" si="6"/>
        <v>37.589999999999996</v>
      </c>
      <c r="T4" s="3">
        <f t="shared" si="7"/>
        <v>77.801600000000008</v>
      </c>
      <c r="U4" s="30">
        <f>SUM(R4:T4)</f>
        <v>123.22993333333334</v>
      </c>
      <c r="V4" s="31">
        <f t="shared" ref="V4:V14" si="15">V3+U4</f>
        <v>180.20296666666667</v>
      </c>
      <c r="W4" s="283">
        <f>(W3+W1)-V4</f>
        <v>-8.1598666666666873</v>
      </c>
      <c r="X4" s="267">
        <v>94.06</v>
      </c>
      <c r="Y4" s="162">
        <v>8.9499999999999996E-2</v>
      </c>
      <c r="Z4" s="162">
        <v>0.13120000000000001</v>
      </c>
      <c r="AA4" s="122">
        <v>40725</v>
      </c>
      <c r="AC4" s="91"/>
      <c r="AD4" s="147"/>
      <c r="AE4" s="147"/>
      <c r="AF4" s="153"/>
      <c r="AG4" s="153"/>
    </row>
    <row r="5" spans="1:33" ht="13.5" customHeight="1">
      <c r="A5" s="276">
        <f ca="1">IF($I$2&lt;=B4,"",IF($I$2&gt;B5,B5,$I$2))</f>
        <v>40999</v>
      </c>
      <c r="B5" s="273">
        <f t="shared" si="8"/>
        <v>40999</v>
      </c>
      <c r="C5" s="35">
        <v>26309</v>
      </c>
      <c r="D5" s="35">
        <v>28388</v>
      </c>
      <c r="E5" s="327">
        <f t="shared" si="1"/>
        <v>250</v>
      </c>
      <c r="F5" s="329">
        <f t="shared" ca="1" si="9"/>
        <v>8.064516129032258</v>
      </c>
      <c r="G5" s="327">
        <f t="shared" si="10"/>
        <v>193</v>
      </c>
      <c r="H5" s="329">
        <f t="shared" ca="1" si="11"/>
        <v>6.225806451612903</v>
      </c>
      <c r="I5" s="158">
        <f>E5-'2011'!D5</f>
        <v>-207</v>
      </c>
      <c r="J5" s="158">
        <f>G5-'2011'!E5</f>
        <v>-306</v>
      </c>
      <c r="K5" s="17">
        <f t="shared" si="12"/>
        <v>443</v>
      </c>
      <c r="L5" s="2">
        <f t="shared" ca="1" si="2"/>
        <v>31</v>
      </c>
      <c r="M5" s="3">
        <f t="shared" ca="1" si="13"/>
        <v>14.290322580645162</v>
      </c>
      <c r="N5" s="36">
        <f t="shared" si="3"/>
        <v>0.56433408577878108</v>
      </c>
      <c r="O5" s="36">
        <f t="shared" si="4"/>
        <v>0.43566591422121898</v>
      </c>
      <c r="P5" s="37">
        <f t="shared" si="5"/>
        <v>-0.56268509378084897</v>
      </c>
      <c r="Q5" s="37">
        <f>IF(E5=0,"",1/(K5/(K5-'2011'!H5)))</f>
        <v>-1.1580135440180588</v>
      </c>
      <c r="R5" s="3">
        <f t="shared" si="14"/>
        <v>7.8383333333333338</v>
      </c>
      <c r="S5" s="3">
        <f t="shared" si="6"/>
        <v>22.375</v>
      </c>
      <c r="T5" s="3">
        <f t="shared" si="7"/>
        <v>25.321600000000004</v>
      </c>
      <c r="U5" s="30">
        <f>SUM(R5:T5)</f>
        <v>55.534933333333342</v>
      </c>
      <c r="V5" s="31">
        <f t="shared" si="15"/>
        <v>235.73790000000002</v>
      </c>
      <c r="W5" s="282">
        <v>177.04</v>
      </c>
      <c r="X5" s="266">
        <v>94.06</v>
      </c>
      <c r="Y5" s="149">
        <v>9.1300000000000006E-2</v>
      </c>
      <c r="Z5" s="149">
        <v>0.13300000000000001</v>
      </c>
      <c r="AA5" s="122">
        <v>41091</v>
      </c>
      <c r="AC5" s="91"/>
      <c r="AD5" s="147"/>
      <c r="AE5" s="147"/>
      <c r="AF5" s="153"/>
      <c r="AG5" s="153"/>
    </row>
    <row r="6" spans="1:33" ht="13.5" customHeight="1">
      <c r="A6" s="276">
        <f t="shared" ref="A6:A14" ca="1" si="16">IF($I$2&lt;=B5,"",IF($I$2&gt;B6,B6,$I$2))</f>
        <v>41029</v>
      </c>
      <c r="B6" s="273">
        <f t="shared" si="8"/>
        <v>41029</v>
      </c>
      <c r="C6" s="35">
        <v>26512</v>
      </c>
      <c r="D6" s="35">
        <v>28561</v>
      </c>
      <c r="E6" s="327">
        <f t="shared" si="1"/>
        <v>203</v>
      </c>
      <c r="F6" s="329">
        <f t="shared" ca="1" si="9"/>
        <v>6.7666666666666666</v>
      </c>
      <c r="G6" s="327">
        <f t="shared" si="10"/>
        <v>173</v>
      </c>
      <c r="H6" s="329">
        <f t="shared" ca="1" si="11"/>
        <v>5.7666666666666666</v>
      </c>
      <c r="I6" s="158">
        <f>E6-'2011'!D6</f>
        <v>25</v>
      </c>
      <c r="J6" s="158">
        <f>G6-'2011'!E6</f>
        <v>56</v>
      </c>
      <c r="K6" s="17">
        <f t="shared" si="12"/>
        <v>376</v>
      </c>
      <c r="L6" s="2">
        <f t="shared" ca="1" si="2"/>
        <v>30</v>
      </c>
      <c r="M6" s="3">
        <f t="shared" ca="1" si="13"/>
        <v>12.533333333333333</v>
      </c>
      <c r="N6" s="36">
        <f t="shared" si="3"/>
        <v>0.53989361702127658</v>
      </c>
      <c r="O6" s="36">
        <f t="shared" si="4"/>
        <v>0.46010638297872342</v>
      </c>
      <c r="P6" s="37">
        <f t="shared" si="5"/>
        <v>-0.15124153498871332</v>
      </c>
      <c r="Q6" s="37">
        <f>IF(E6=0,"",1/(K6/(K6-'2011'!H6)))</f>
        <v>0.21542553191489361</v>
      </c>
      <c r="R6" s="3">
        <f t="shared" si="14"/>
        <v>7.8383333333333338</v>
      </c>
      <c r="S6" s="3">
        <f t="shared" si="6"/>
        <v>18.168499999999998</v>
      </c>
      <c r="T6" s="3">
        <f t="shared" si="7"/>
        <v>22.697600000000001</v>
      </c>
      <c r="U6" s="30">
        <f t="shared" ref="U6:U14" si="17">SUM(R6:T6)</f>
        <v>48.704433333333334</v>
      </c>
      <c r="V6" s="31">
        <f t="shared" si="15"/>
        <v>284.44233333333335</v>
      </c>
      <c r="W6" s="283">
        <f>($W$5+$W$3+W1)-V6</f>
        <v>64.640766666666593</v>
      </c>
      <c r="X6" s="267">
        <v>95.97</v>
      </c>
      <c r="Y6" s="162">
        <v>9.2600000000000002E-2</v>
      </c>
      <c r="Z6" s="162">
        <v>0.1353</v>
      </c>
      <c r="AA6" s="122">
        <v>41113</v>
      </c>
      <c r="AC6" s="91"/>
      <c r="AD6" s="147"/>
      <c r="AE6" s="147"/>
      <c r="AF6" s="153"/>
      <c r="AG6" s="153"/>
    </row>
    <row r="7" spans="1:33" ht="13.5" customHeight="1">
      <c r="A7" s="276">
        <f t="shared" ca="1" si="16"/>
        <v>41060</v>
      </c>
      <c r="B7" s="273">
        <f t="shared" si="8"/>
        <v>41060</v>
      </c>
      <c r="C7" s="35">
        <v>26664</v>
      </c>
      <c r="D7" s="35">
        <v>28675</v>
      </c>
      <c r="E7" s="327">
        <f t="shared" si="1"/>
        <v>152</v>
      </c>
      <c r="F7" s="329">
        <f t="shared" ca="1" si="9"/>
        <v>4.903225806451613</v>
      </c>
      <c r="G7" s="327">
        <f t="shared" si="10"/>
        <v>114</v>
      </c>
      <c r="H7" s="329">
        <f t="shared" ca="1" si="11"/>
        <v>3.6774193548387095</v>
      </c>
      <c r="I7" s="158">
        <f>E7-'2011'!D7</f>
        <v>4</v>
      </c>
      <c r="J7" s="158">
        <f>G7-'2011'!E7</f>
        <v>1</v>
      </c>
      <c r="K7" s="17">
        <f t="shared" si="12"/>
        <v>266</v>
      </c>
      <c r="L7" s="2">
        <f t="shared" ca="1" si="2"/>
        <v>31</v>
      </c>
      <c r="M7" s="3">
        <f t="shared" ca="1" si="13"/>
        <v>8.5806451612903221</v>
      </c>
      <c r="N7" s="36">
        <f t="shared" si="3"/>
        <v>0.5714285714285714</v>
      </c>
      <c r="O7" s="36">
        <f t="shared" si="4"/>
        <v>0.42857142857142855</v>
      </c>
      <c r="P7" s="37">
        <f t="shared" si="5"/>
        <v>-0.29255319148936171</v>
      </c>
      <c r="Q7" s="37">
        <f>IF(E7=0,"",1/(K7/(K7-'2011'!H7)))</f>
        <v>1.8796992481203006E-2</v>
      </c>
      <c r="R7" s="3">
        <f t="shared" si="14"/>
        <v>7.8383333333333338</v>
      </c>
      <c r="S7" s="3">
        <f t="shared" si="6"/>
        <v>13.603999999999999</v>
      </c>
      <c r="T7" s="3">
        <f t="shared" si="7"/>
        <v>14.956800000000001</v>
      </c>
      <c r="U7" s="30">
        <f t="shared" si="17"/>
        <v>36.399133333333339</v>
      </c>
      <c r="V7" s="31">
        <f t="shared" si="15"/>
        <v>320.84146666666669</v>
      </c>
      <c r="W7" s="282">
        <v>103.9</v>
      </c>
      <c r="AC7" s="91"/>
      <c r="AD7" s="147"/>
      <c r="AE7" s="147"/>
      <c r="AF7" s="153"/>
      <c r="AG7" s="153"/>
    </row>
    <row r="8" spans="1:33" ht="13.5" customHeight="1">
      <c r="A8" s="276">
        <f t="shared" ca="1" si="16"/>
        <v>41090</v>
      </c>
      <c r="B8" s="273">
        <f t="shared" si="8"/>
        <v>41090</v>
      </c>
      <c r="C8" s="72">
        <v>26796</v>
      </c>
      <c r="D8" s="35">
        <v>28795</v>
      </c>
      <c r="E8" s="327">
        <f t="shared" si="1"/>
        <v>132</v>
      </c>
      <c r="F8" s="329">
        <f t="shared" ca="1" si="9"/>
        <v>4.4000000000000004</v>
      </c>
      <c r="G8" s="327">
        <f t="shared" si="10"/>
        <v>120</v>
      </c>
      <c r="H8" s="329">
        <f t="shared" ca="1" si="11"/>
        <v>4</v>
      </c>
      <c r="I8" s="158">
        <f>E8-'2011'!D8</f>
        <v>0</v>
      </c>
      <c r="J8" s="158">
        <f>G8-'2011'!E8</f>
        <v>11</v>
      </c>
      <c r="K8" s="17">
        <f t="shared" si="12"/>
        <v>252</v>
      </c>
      <c r="L8" s="2">
        <f t="shared" ca="1" si="2"/>
        <v>30</v>
      </c>
      <c r="M8" s="3">
        <f t="shared" ca="1" si="13"/>
        <v>8.4</v>
      </c>
      <c r="N8" s="36">
        <f t="shared" si="3"/>
        <v>0.52380952380952384</v>
      </c>
      <c r="O8" s="36">
        <f t="shared" si="4"/>
        <v>0.47619047619047616</v>
      </c>
      <c r="P8" s="37">
        <f t="shared" si="5"/>
        <v>-5.2631578947368418E-2</v>
      </c>
      <c r="Q8" s="37">
        <f>IF(E8=0,"",1/(K8/(K8-'2011'!H8)))</f>
        <v>4.3650793650793648E-2</v>
      </c>
      <c r="R8" s="3">
        <f t="shared" si="14"/>
        <v>7.8383333333333338</v>
      </c>
      <c r="S8" s="3">
        <f t="shared" si="6"/>
        <v>11.814</v>
      </c>
      <c r="T8" s="3">
        <f t="shared" si="7"/>
        <v>15.744000000000002</v>
      </c>
      <c r="U8" s="30">
        <f t="shared" si="17"/>
        <v>35.396333333333338</v>
      </c>
      <c r="V8" s="31">
        <f t="shared" si="15"/>
        <v>356.23780000000005</v>
      </c>
      <c r="W8" s="283">
        <f>($W$5+$W$3+$W$7+W1)-V8</f>
        <v>96.745299999999872</v>
      </c>
      <c r="AC8" s="91"/>
      <c r="AD8" s="147"/>
      <c r="AE8" s="147"/>
      <c r="AF8" s="153"/>
      <c r="AG8" s="153"/>
    </row>
    <row r="9" spans="1:33" ht="13.5" customHeight="1">
      <c r="A9" s="276">
        <f t="shared" ca="1" si="16"/>
        <v>41121</v>
      </c>
      <c r="B9" s="273">
        <f t="shared" si="8"/>
        <v>41121</v>
      </c>
      <c r="C9" s="72">
        <v>26926</v>
      </c>
      <c r="D9" s="35">
        <v>28906</v>
      </c>
      <c r="E9" s="327">
        <f t="shared" si="1"/>
        <v>130</v>
      </c>
      <c r="F9" s="329">
        <f t="shared" ca="1" si="9"/>
        <v>4.193548387096774</v>
      </c>
      <c r="G9" s="327">
        <f t="shared" si="10"/>
        <v>111</v>
      </c>
      <c r="H9" s="329">
        <f t="shared" ca="1" si="11"/>
        <v>3.5806451612903225</v>
      </c>
      <c r="I9" s="158">
        <f>E9-'2011'!D9</f>
        <v>-4</v>
      </c>
      <c r="J9" s="158">
        <f>G9-'2011'!E9</f>
        <v>-16</v>
      </c>
      <c r="K9" s="17">
        <f t="shared" si="12"/>
        <v>241</v>
      </c>
      <c r="L9" s="2">
        <f t="shared" ca="1" si="2"/>
        <v>31</v>
      </c>
      <c r="M9" s="3">
        <f t="shared" ca="1" si="13"/>
        <v>7.774193548387097</v>
      </c>
      <c r="N9" s="36">
        <f t="shared" si="3"/>
        <v>0.53941908713692943</v>
      </c>
      <c r="O9" s="36">
        <f t="shared" si="4"/>
        <v>0.46058091286307051</v>
      </c>
      <c r="P9" s="37">
        <f t="shared" si="5"/>
        <v>-4.3650793650793648E-2</v>
      </c>
      <c r="Q9" s="37">
        <f>IF(E9=0,"",1/(K9/(K9-'2011'!H9)))</f>
        <v>-8.2987551867219914E-2</v>
      </c>
      <c r="R9" s="3">
        <f>$X$5/12</f>
        <v>7.8383333333333338</v>
      </c>
      <c r="S9" s="3">
        <f>E9*$Y$5</f>
        <v>11.869000000000002</v>
      </c>
      <c r="T9" s="3">
        <f>G9*$Z$5</f>
        <v>14.763000000000002</v>
      </c>
      <c r="U9" s="30">
        <f t="shared" si="17"/>
        <v>34.470333333333336</v>
      </c>
      <c r="V9" s="31">
        <f t="shared" si="15"/>
        <v>390.70813333333336</v>
      </c>
      <c r="W9" s="282">
        <v>61.69</v>
      </c>
      <c r="X9" s="394" t="s">
        <v>59</v>
      </c>
      <c r="Y9" s="355"/>
      <c r="Z9" s="355"/>
      <c r="AA9" s="124"/>
      <c r="AB9" s="32"/>
      <c r="AC9" s="91"/>
      <c r="AD9" s="167"/>
      <c r="AE9" s="167"/>
      <c r="AF9" s="153"/>
      <c r="AG9" s="153"/>
    </row>
    <row r="10" spans="1:33" ht="13.5" customHeight="1">
      <c r="A10" s="276">
        <f t="shared" ca="1" si="16"/>
        <v>41152</v>
      </c>
      <c r="B10" s="273">
        <f t="shared" si="8"/>
        <v>41152</v>
      </c>
      <c r="C10" s="72">
        <v>27047</v>
      </c>
      <c r="D10" s="35">
        <v>29031</v>
      </c>
      <c r="E10" s="327">
        <f t="shared" si="1"/>
        <v>121</v>
      </c>
      <c r="F10" s="329">
        <f t="shared" ca="1" si="9"/>
        <v>3.903225806451613</v>
      </c>
      <c r="G10" s="327">
        <f t="shared" si="10"/>
        <v>125</v>
      </c>
      <c r="H10" s="329">
        <f t="shared" ca="1" si="11"/>
        <v>4.032258064516129</v>
      </c>
      <c r="I10" s="158">
        <f>E10-'2011'!D10</f>
        <v>-14</v>
      </c>
      <c r="J10" s="158">
        <f>G10-'2011'!E10</f>
        <v>-9</v>
      </c>
      <c r="K10" s="17">
        <f t="shared" si="12"/>
        <v>246</v>
      </c>
      <c r="L10" s="2">
        <f t="shared" ca="1" si="2"/>
        <v>31</v>
      </c>
      <c r="M10" s="3">
        <f t="shared" ca="1" si="13"/>
        <v>7.935483870967742</v>
      </c>
      <c r="N10" s="36">
        <f t="shared" si="3"/>
        <v>0.491869918699187</v>
      </c>
      <c r="O10" s="36">
        <f t="shared" si="4"/>
        <v>0.50813008130081305</v>
      </c>
      <c r="P10" s="37">
        <f t="shared" si="5"/>
        <v>2.0746887966804978E-2</v>
      </c>
      <c r="Q10" s="37">
        <f>IF(E10=0,"",1/(K10/(K10-'2011'!H10)))</f>
        <v>-9.3495934959349603E-2</v>
      </c>
      <c r="R10" s="3">
        <f>$X$6/12</f>
        <v>7.9974999999999996</v>
      </c>
      <c r="S10" s="3">
        <f>E10*$Y$6</f>
        <v>11.204600000000001</v>
      </c>
      <c r="T10" s="3">
        <f>G10*$Z$6</f>
        <v>16.912500000000001</v>
      </c>
      <c r="U10" s="30">
        <f t="shared" si="17"/>
        <v>36.114600000000003</v>
      </c>
      <c r="V10" s="31">
        <f t="shared" si="15"/>
        <v>426.82273333333336</v>
      </c>
      <c r="W10" s="283">
        <f>($W$5+$W$3+$W$7+$W$9+W1)-V10</f>
        <v>87.850366666666616</v>
      </c>
      <c r="X10">
        <v>2006</v>
      </c>
      <c r="Y10" s="93">
        <v>121</v>
      </c>
      <c r="Z10" s="259">
        <f t="shared" ref="Z10:Z14" si="18">(Y10*1000)/365</f>
        <v>331.50684931506851</v>
      </c>
      <c r="AA10" s="32"/>
      <c r="AB10" s="32"/>
      <c r="AC10" s="91"/>
      <c r="AD10" s="167"/>
      <c r="AE10" s="167"/>
      <c r="AF10" s="153"/>
      <c r="AG10" s="153"/>
    </row>
    <row r="11" spans="1:33" ht="13.5" customHeight="1">
      <c r="A11" s="276">
        <f t="shared" ca="1" si="16"/>
        <v>41182</v>
      </c>
      <c r="B11" s="273">
        <f t="shared" si="8"/>
        <v>41182</v>
      </c>
      <c r="C11" s="35">
        <v>27194</v>
      </c>
      <c r="D11" s="35">
        <v>29143</v>
      </c>
      <c r="E11" s="327">
        <f t="shared" si="1"/>
        <v>147</v>
      </c>
      <c r="F11" s="329">
        <f t="shared" ca="1" si="9"/>
        <v>4.9000000000000004</v>
      </c>
      <c r="G11" s="327">
        <f t="shared" si="10"/>
        <v>112</v>
      </c>
      <c r="H11" s="329">
        <f t="shared" ca="1" si="11"/>
        <v>3.7333333333333334</v>
      </c>
      <c r="I11" s="158">
        <f>E11-'2011'!D11</f>
        <v>-6</v>
      </c>
      <c r="J11" s="158">
        <f>G11-'2011'!E11</f>
        <v>-14</v>
      </c>
      <c r="K11" s="17">
        <f t="shared" si="12"/>
        <v>259</v>
      </c>
      <c r="L11" s="2">
        <f t="shared" ca="1" si="2"/>
        <v>30</v>
      </c>
      <c r="M11" s="3">
        <f t="shared" ca="1" si="13"/>
        <v>8.6333333333333329</v>
      </c>
      <c r="N11" s="36">
        <f t="shared" si="3"/>
        <v>0.56756756756756754</v>
      </c>
      <c r="O11" s="36">
        <f t="shared" si="4"/>
        <v>0.43243243243243246</v>
      </c>
      <c r="P11" s="37">
        <f t="shared" si="5"/>
        <v>5.2845528455284549E-2</v>
      </c>
      <c r="Q11" s="37">
        <f>IF(E11=0,"",1/(K11/(K11-'2011'!H11)))</f>
        <v>-7.7220077220077218E-2</v>
      </c>
      <c r="R11" s="3">
        <f t="shared" ref="R11:R14" si="19">$X$6/12</f>
        <v>7.9974999999999996</v>
      </c>
      <c r="S11" s="3">
        <f t="shared" ref="S11:S14" si="20">E11*$Y$6</f>
        <v>13.6122</v>
      </c>
      <c r="T11" s="3">
        <f t="shared" ref="T11:T14" si="21">G11*$Z$6</f>
        <v>15.153600000000001</v>
      </c>
      <c r="U11" s="30">
        <f t="shared" si="17"/>
        <v>36.763300000000001</v>
      </c>
      <c r="V11" s="31">
        <f t="shared" si="15"/>
        <v>463.58603333333338</v>
      </c>
      <c r="W11" s="282">
        <v>72.290000000000006</v>
      </c>
      <c r="X11">
        <v>2007</v>
      </c>
      <c r="Y11" s="93">
        <v>118</v>
      </c>
      <c r="Z11" s="259">
        <f t="shared" si="18"/>
        <v>323.28767123287673</v>
      </c>
      <c r="AB11" s="32"/>
      <c r="AC11" s="91"/>
      <c r="AD11" s="167"/>
      <c r="AE11" s="167"/>
      <c r="AF11" s="153"/>
      <c r="AG11" s="153"/>
    </row>
    <row r="12" spans="1:33" ht="13.5" customHeight="1">
      <c r="A12" s="276">
        <f t="shared" ca="1" si="16"/>
        <v>41213</v>
      </c>
      <c r="B12" s="273">
        <f t="shared" si="8"/>
        <v>41213</v>
      </c>
      <c r="C12" s="72">
        <v>27354</v>
      </c>
      <c r="D12" s="35">
        <v>29262</v>
      </c>
      <c r="E12" s="327">
        <f t="shared" si="1"/>
        <v>160</v>
      </c>
      <c r="F12" s="329">
        <f t="shared" ca="1" si="9"/>
        <v>5.161290322580645</v>
      </c>
      <c r="G12" s="327">
        <f t="shared" si="10"/>
        <v>119</v>
      </c>
      <c r="H12" s="329">
        <f t="shared" ca="1" si="11"/>
        <v>3.838709677419355</v>
      </c>
      <c r="I12" s="158">
        <f>E12-'2011'!D12</f>
        <v>0</v>
      </c>
      <c r="J12" s="158">
        <f>G12-'2011'!E12</f>
        <v>-8</v>
      </c>
      <c r="K12" s="17">
        <f t="shared" si="12"/>
        <v>279</v>
      </c>
      <c r="L12" s="2">
        <f t="shared" ca="1" si="2"/>
        <v>31</v>
      </c>
      <c r="M12" s="3">
        <f t="shared" ca="1" si="13"/>
        <v>9</v>
      </c>
      <c r="N12" s="36">
        <f t="shared" si="3"/>
        <v>0.57347670250896055</v>
      </c>
      <c r="O12" s="36">
        <f t="shared" si="4"/>
        <v>0.4265232974910394</v>
      </c>
      <c r="P12" s="37">
        <f t="shared" si="5"/>
        <v>7.7220077220077218E-2</v>
      </c>
      <c r="Q12" s="37">
        <f>IF(E12=0,"",1/(K12/(K12-'2011'!H12)))</f>
        <v>-2.8673835125448029E-2</v>
      </c>
      <c r="R12" s="3">
        <f t="shared" si="19"/>
        <v>7.9974999999999996</v>
      </c>
      <c r="S12" s="3">
        <f t="shared" si="20"/>
        <v>14.816000000000001</v>
      </c>
      <c r="T12" s="3">
        <f t="shared" si="21"/>
        <v>16.1007</v>
      </c>
      <c r="U12" s="30">
        <f t="shared" si="17"/>
        <v>38.914200000000001</v>
      </c>
      <c r="V12" s="31">
        <f t="shared" si="15"/>
        <v>502.50023333333337</v>
      </c>
      <c r="W12" s="283">
        <f>($W$5+$W$3+$W$7+$W$9+$W$11+W1)-V12</f>
        <v>84.462866666666571</v>
      </c>
      <c r="X12">
        <v>2008</v>
      </c>
      <c r="Y12" s="93">
        <v>116</v>
      </c>
      <c r="Z12" s="259">
        <f t="shared" si="18"/>
        <v>317.8082191780822</v>
      </c>
      <c r="AA12" s="143"/>
      <c r="AB12" s="32"/>
      <c r="AC12" s="91"/>
      <c r="AD12" s="167"/>
      <c r="AE12" s="167"/>
      <c r="AF12" s="153"/>
      <c r="AG12" s="153"/>
    </row>
    <row r="13" spans="1:33" ht="13.5" customHeight="1">
      <c r="A13" s="276">
        <f t="shared" ca="1" si="16"/>
        <v>41243</v>
      </c>
      <c r="B13" s="273">
        <f t="shared" si="8"/>
        <v>41243</v>
      </c>
      <c r="C13" s="72">
        <v>27565</v>
      </c>
      <c r="D13" s="35">
        <v>29415</v>
      </c>
      <c r="E13" s="327">
        <f t="shared" si="1"/>
        <v>211</v>
      </c>
      <c r="F13" s="329">
        <f t="shared" ca="1" si="9"/>
        <v>7.0333333333333332</v>
      </c>
      <c r="G13" s="327">
        <f t="shared" si="10"/>
        <v>153</v>
      </c>
      <c r="H13" s="329">
        <f t="shared" ca="1" si="11"/>
        <v>5.0999999999999996</v>
      </c>
      <c r="I13" s="158">
        <f>E13-'2011'!D13</f>
        <v>17</v>
      </c>
      <c r="J13" s="158">
        <f>G13-'2011'!E13</f>
        <v>33</v>
      </c>
      <c r="K13" s="17">
        <f t="shared" si="12"/>
        <v>364</v>
      </c>
      <c r="L13" s="2">
        <f t="shared" ca="1" si="2"/>
        <v>30</v>
      </c>
      <c r="M13" s="3">
        <f t="shared" ca="1" si="13"/>
        <v>12.133333333333333</v>
      </c>
      <c r="N13" s="36">
        <f t="shared" si="3"/>
        <v>0.57967032967032972</v>
      </c>
      <c r="O13" s="36">
        <f t="shared" si="4"/>
        <v>0.42032967032967034</v>
      </c>
      <c r="P13" s="37">
        <f t="shared" si="5"/>
        <v>0.30465949820788529</v>
      </c>
      <c r="Q13" s="37">
        <f>IF(E13=0,"",1/(K13/(K13-'2011'!H13)))</f>
        <v>0.13736263736263735</v>
      </c>
      <c r="R13" s="3">
        <f t="shared" si="19"/>
        <v>7.9974999999999996</v>
      </c>
      <c r="S13" s="3">
        <f t="shared" si="20"/>
        <v>19.538599999999999</v>
      </c>
      <c r="T13" s="3">
        <f t="shared" si="21"/>
        <v>20.700900000000001</v>
      </c>
      <c r="U13" s="30">
        <f t="shared" si="17"/>
        <v>48.236999999999995</v>
      </c>
      <c r="V13" s="31">
        <f t="shared" si="15"/>
        <v>550.73723333333339</v>
      </c>
      <c r="W13" s="282">
        <v>89.34</v>
      </c>
      <c r="X13">
        <v>2009</v>
      </c>
      <c r="Y13" s="93">
        <v>100</v>
      </c>
      <c r="Z13" s="259">
        <f t="shared" si="18"/>
        <v>273.97260273972603</v>
      </c>
      <c r="AB13" s="32"/>
      <c r="AC13" s="91"/>
      <c r="AD13" s="167"/>
      <c r="AE13" s="167"/>
      <c r="AF13" s="153"/>
      <c r="AG13" s="153"/>
    </row>
    <row r="14" spans="1:33" ht="13.5" customHeight="1" thickBot="1">
      <c r="A14" s="276">
        <f t="shared" ca="1" si="16"/>
        <v>41254</v>
      </c>
      <c r="B14" s="273">
        <f t="shared" si="8"/>
        <v>41274</v>
      </c>
      <c r="C14" s="72">
        <f>'Jour le Jour'!B34</f>
        <v>27686</v>
      </c>
      <c r="D14" s="72">
        <f>'Jour le Jour'!C34</f>
        <v>29562</v>
      </c>
      <c r="E14" s="328">
        <f t="shared" si="1"/>
        <v>121</v>
      </c>
      <c r="F14" s="330">
        <f t="shared" ca="1" si="9"/>
        <v>11</v>
      </c>
      <c r="G14" s="327">
        <f t="shared" si="10"/>
        <v>147</v>
      </c>
      <c r="H14" s="330">
        <f t="shared" ca="1" si="11"/>
        <v>13.363636363636363</v>
      </c>
      <c r="I14" s="295">
        <f>E14-'2011'!D14</f>
        <v>-125</v>
      </c>
      <c r="J14" s="295">
        <f>G14-'2011'!E14</f>
        <v>-24</v>
      </c>
      <c r="K14" s="17">
        <f t="shared" si="12"/>
        <v>268</v>
      </c>
      <c r="L14" s="2">
        <f t="shared" ca="1" si="2"/>
        <v>11</v>
      </c>
      <c r="M14" s="9">
        <f t="shared" ca="1" si="13"/>
        <v>24.363636363636363</v>
      </c>
      <c r="N14" s="38">
        <f t="shared" si="3"/>
        <v>0.45149253731343286</v>
      </c>
      <c r="O14" s="38">
        <f t="shared" si="4"/>
        <v>0.54850746268656714</v>
      </c>
      <c r="P14" s="37">
        <f t="shared" si="5"/>
        <v>-0.26373626373626374</v>
      </c>
      <c r="Q14" s="37">
        <f>IF(E14=0,"",1/(K14/(K14-'2011'!H14)))</f>
        <v>-0.55597014925373134</v>
      </c>
      <c r="R14" s="3">
        <f t="shared" si="19"/>
        <v>7.9974999999999996</v>
      </c>
      <c r="S14" s="3">
        <f t="shared" si="20"/>
        <v>11.204600000000001</v>
      </c>
      <c r="T14" s="3">
        <f t="shared" si="21"/>
        <v>19.889099999999999</v>
      </c>
      <c r="U14" s="30">
        <f t="shared" si="17"/>
        <v>39.091200000000001</v>
      </c>
      <c r="V14" s="31">
        <f t="shared" si="15"/>
        <v>589.82843333333335</v>
      </c>
      <c r="W14" s="283">
        <f>($W$5+$W$3+$W$7+$W$9+$W$11+$W$13+W1)-V14</f>
        <v>86.474666666666621</v>
      </c>
      <c r="X14">
        <v>2010</v>
      </c>
      <c r="Y14" s="93">
        <v>86</v>
      </c>
      <c r="Z14" s="259">
        <f t="shared" si="18"/>
        <v>235.61643835616439</v>
      </c>
      <c r="AA14" s="147">
        <v>271.33</v>
      </c>
      <c r="AB14" s="148">
        <f>AA14/Y14</f>
        <v>3.1549999999999998</v>
      </c>
      <c r="AC14" s="91"/>
      <c r="AD14" s="167"/>
      <c r="AE14" s="167"/>
      <c r="AF14" s="153"/>
      <c r="AG14" s="153"/>
    </row>
    <row r="15" spans="1:33" ht="13.5" customHeight="1" thickTop="1" thickBot="1">
      <c r="A15" s="277" t="s">
        <v>0</v>
      </c>
      <c r="B15" s="274"/>
      <c r="C15" s="92">
        <f>'2011'!H15</f>
        <v>5692</v>
      </c>
      <c r="D15" s="18">
        <f>E15+G15</f>
        <v>4467</v>
      </c>
      <c r="E15" s="390">
        <f>SUM(E3:E14)</f>
        <v>2316</v>
      </c>
      <c r="F15" s="391"/>
      <c r="G15" s="390">
        <f>SUM(G3:G14)</f>
        <v>2151</v>
      </c>
      <c r="H15" s="391"/>
      <c r="I15" s="310">
        <f>D15/12</f>
        <v>372.25</v>
      </c>
      <c r="J15" s="311" t="str">
        <f>" / mois"</f>
        <v xml:space="preserve"> / mois</v>
      </c>
      <c r="K15" s="18">
        <f>SUM(K3:K14)</f>
        <v>4467</v>
      </c>
      <c r="L15" s="14"/>
      <c r="M15" s="15">
        <f ca="1">AVERAGE(M3:M14)</f>
        <v>13.617835473758722</v>
      </c>
      <c r="N15" s="16">
        <f>E15/K15</f>
        <v>0.51846877098723976</v>
      </c>
      <c r="O15" s="16">
        <f>G15/K15</f>
        <v>0.48153122901276024</v>
      </c>
      <c r="P15" s="16"/>
      <c r="Q15" s="299">
        <f>1/(C15/(D15-C15))</f>
        <v>-0.21521433591004921</v>
      </c>
      <c r="R15" s="300">
        <f>SUM(R3:R14)</f>
        <v>94.855833333333337</v>
      </c>
      <c r="S15" s="15">
        <f>SUM(S3:S14)</f>
        <v>209.87199999999999</v>
      </c>
      <c r="T15" s="15">
        <f>SUM(T3:T14)</f>
        <v>285.10060000000004</v>
      </c>
      <c r="U15" s="356">
        <f>SUM(R15:T15)</f>
        <v>589.82843333333335</v>
      </c>
      <c r="V15" s="357"/>
      <c r="W15" s="262"/>
      <c r="X15">
        <v>2011</v>
      </c>
      <c r="Y15" s="93">
        <v>81</v>
      </c>
      <c r="Z15" s="259">
        <f>(Y15*1000)/365</f>
        <v>221.91780821917808</v>
      </c>
      <c r="AA15" s="147">
        <v>272.49</v>
      </c>
      <c r="AB15" s="148">
        <f>AA15/Y15</f>
        <v>3.364074074074074</v>
      </c>
      <c r="AC15" s="96">
        <f>(AB15-AB14)/AB14</f>
        <v>6.6267535364207361E-2</v>
      </c>
      <c r="AD15" s="167"/>
      <c r="AE15" s="167"/>
      <c r="AF15" s="153"/>
      <c r="AG15" s="153"/>
    </row>
    <row r="16" spans="1:33">
      <c r="W16" s="75">
        <f>Y32/12</f>
        <v>98.960702777777783</v>
      </c>
      <c r="X16">
        <v>2012</v>
      </c>
      <c r="Y16" s="93">
        <v>36</v>
      </c>
      <c r="Z16" s="259">
        <f t="shared" ref="Z16:Z17" si="22">(Y16*1000)/365</f>
        <v>98.630136986301366</v>
      </c>
      <c r="AA16" s="147">
        <v>141.77000000000001</v>
      </c>
      <c r="AB16" s="148">
        <f>AA16/Y16</f>
        <v>3.9380555555555556</v>
      </c>
      <c r="AC16" s="96">
        <f>(AB16-AB15)/AB15</f>
        <v>0.17062094021798971</v>
      </c>
      <c r="AD16" s="167"/>
      <c r="AE16" s="167"/>
      <c r="AF16" s="153"/>
    </row>
    <row r="17" spans="15:32">
      <c r="X17">
        <v>2013</v>
      </c>
      <c r="Y17" s="93">
        <v>1</v>
      </c>
      <c r="Z17" s="259">
        <f t="shared" si="22"/>
        <v>2.7397260273972601</v>
      </c>
      <c r="AA17" s="147">
        <v>1</v>
      </c>
      <c r="AB17" s="148">
        <f>AA17/Y17</f>
        <v>1</v>
      </c>
      <c r="AC17" s="91"/>
      <c r="AD17" s="167"/>
      <c r="AE17" s="167"/>
      <c r="AF17" s="153"/>
    </row>
    <row r="18" spans="15:32">
      <c r="X18">
        <v>2014</v>
      </c>
      <c r="Y18" s="93">
        <v>1</v>
      </c>
      <c r="Z18" s="259">
        <f>(Y18*1000)/365</f>
        <v>2.7397260273972601</v>
      </c>
      <c r="AA18" s="147">
        <v>1</v>
      </c>
      <c r="AB18" s="148">
        <f>AA18/Y18</f>
        <v>1</v>
      </c>
      <c r="AC18" s="91"/>
      <c r="AD18" s="167"/>
      <c r="AE18" s="167"/>
      <c r="AF18" s="153"/>
    </row>
    <row r="19" spans="15:32">
      <c r="AC19" s="91"/>
      <c r="AD19" s="167"/>
      <c r="AE19" s="167"/>
    </row>
    <row r="20" spans="15:32">
      <c r="W20" s="75"/>
      <c r="Y20" t="s">
        <v>90</v>
      </c>
      <c r="AC20" s="91"/>
      <c r="AD20" s="167"/>
      <c r="AE20" s="167"/>
    </row>
    <row r="21" spans="15:32">
      <c r="W21" s="75"/>
      <c r="Y21">
        <v>2187</v>
      </c>
    </row>
    <row r="22" spans="15:32">
      <c r="Y22">
        <v>2250</v>
      </c>
    </row>
    <row r="24" spans="15:32">
      <c r="T24" s="20" t="s">
        <v>138</v>
      </c>
      <c r="U24" s="316"/>
      <c r="V24" s="315"/>
      <c r="W24" s="152" t="s">
        <v>105</v>
      </c>
    </row>
    <row r="25" spans="15:32">
      <c r="S25" s="43" t="s">
        <v>95</v>
      </c>
      <c r="T25" s="177">
        <v>240</v>
      </c>
      <c r="U25" s="178">
        <f>T25*$S$2</f>
        <v>21.872000000000003</v>
      </c>
      <c r="V25" s="187">
        <f t="shared" ref="V25:V30" si="23">1/($K$15/T25)</f>
        <v>5.3727333781061114E-2</v>
      </c>
      <c r="W25" s="279">
        <f>W1</f>
        <v>78.043099999999981</v>
      </c>
      <c r="Y25" s="101" t="s">
        <v>89</v>
      </c>
    </row>
    <row r="26" spans="15:32">
      <c r="O26" s="12"/>
      <c r="S26" s="183" t="s">
        <v>106</v>
      </c>
      <c r="T26" s="177">
        <v>260</v>
      </c>
      <c r="U26" s="178">
        <f>T26*$S$2</f>
        <v>23.69466666666667</v>
      </c>
      <c r="V26" s="187">
        <f t="shared" si="23"/>
        <v>5.820461159614955E-2</v>
      </c>
      <c r="W26" s="184">
        <f>W3</f>
        <v>94</v>
      </c>
      <c r="X26" s="188" t="s">
        <v>99</v>
      </c>
      <c r="Y26" s="190">
        <f>23.9+23.9+23.9</f>
        <v>71.699999999999989</v>
      </c>
    </row>
    <row r="27" spans="15:32">
      <c r="S27" s="43" t="s">
        <v>96</v>
      </c>
      <c r="T27" s="177">
        <v>280</v>
      </c>
      <c r="U27" s="178">
        <f>T27*$S$2</f>
        <v>25.517333333333337</v>
      </c>
      <c r="V27" s="187">
        <f t="shared" si="23"/>
        <v>6.2681889411237965E-2</v>
      </c>
      <c r="W27" s="184">
        <f>W5</f>
        <v>177.04</v>
      </c>
      <c r="X27" s="188" t="s">
        <v>100</v>
      </c>
      <c r="Y27" s="191" t="s">
        <v>107</v>
      </c>
    </row>
    <row r="28" spans="15:32">
      <c r="S28" s="164" t="s">
        <v>97</v>
      </c>
      <c r="T28" s="177">
        <f>E37-(T25+T27)</f>
        <v>1164</v>
      </c>
      <c r="U28" s="178">
        <f>T28*$S$2</f>
        <v>106.07920000000001</v>
      </c>
      <c r="V28" s="187">
        <f t="shared" si="23"/>
        <v>0.26057756883814642</v>
      </c>
      <c r="W28" s="184">
        <f>W7</f>
        <v>103.9</v>
      </c>
      <c r="X28" s="188" t="s">
        <v>101</v>
      </c>
      <c r="Y28" s="190">
        <f>170+356</f>
        <v>526</v>
      </c>
      <c r="AE28" s="167"/>
    </row>
    <row r="29" spans="15:32">
      <c r="S29" s="164" t="s">
        <v>110</v>
      </c>
      <c r="T29" s="177">
        <f>K15-(T30+T28+T27+T25+T26)</f>
        <v>1402</v>
      </c>
      <c r="U29" s="179">
        <f>(S15+T15)-(U25+U26+U27+U28+U30)</f>
        <v>184.16596666666669</v>
      </c>
      <c r="V29" s="187">
        <f t="shared" si="23"/>
        <v>0.3138571748376987</v>
      </c>
      <c r="W29" s="184">
        <f>W9</f>
        <v>61.69</v>
      </c>
      <c r="X29" s="188" t="s">
        <v>102</v>
      </c>
      <c r="Y29" s="191" t="s">
        <v>108</v>
      </c>
      <c r="AE29" s="167"/>
    </row>
    <row r="30" spans="15:32">
      <c r="S30" s="164" t="s">
        <v>98</v>
      </c>
      <c r="T30" s="177">
        <f>D38-T26</f>
        <v>1121</v>
      </c>
      <c r="U30" s="178">
        <f>D39-U26</f>
        <v>133.64343333333332</v>
      </c>
      <c r="V30" s="187">
        <f t="shared" si="23"/>
        <v>0.25095142153570632</v>
      </c>
      <c r="W30" s="184">
        <f>W11</f>
        <v>72.290000000000006</v>
      </c>
      <c r="X30" s="188" t="s">
        <v>103</v>
      </c>
      <c r="Y30" s="190">
        <f>Y28+U30</f>
        <v>659.64343333333329</v>
      </c>
      <c r="AE30" s="167"/>
    </row>
    <row r="31" spans="15:32">
      <c r="S31" s="164" t="s">
        <v>61</v>
      </c>
      <c r="T31" s="180"/>
      <c r="U31" s="178">
        <f>R15</f>
        <v>94.855833333333337</v>
      </c>
      <c r="V31" s="97"/>
      <c r="W31" s="184">
        <f>W13</f>
        <v>89.34</v>
      </c>
      <c r="X31" s="188" t="s">
        <v>104</v>
      </c>
      <c r="Y31" s="101" t="s">
        <v>109</v>
      </c>
      <c r="AE31" s="167"/>
    </row>
    <row r="32" spans="15:32">
      <c r="S32" s="164" t="s">
        <v>58</v>
      </c>
      <c r="T32" s="271">
        <f>W32-U32</f>
        <v>8.4315666666666402</v>
      </c>
      <c r="U32" s="181">
        <f>SUM(U25:U31)</f>
        <v>589.82843333333335</v>
      </c>
      <c r="V32" s="186"/>
      <c r="W32" s="280">
        <f>SUM(W26:W31)</f>
        <v>598.26</v>
      </c>
      <c r="X32" s="189"/>
      <c r="Y32" s="190">
        <f>U32+Y28+Y26</f>
        <v>1187.5284333333334</v>
      </c>
      <c r="AE32" s="167"/>
    </row>
    <row r="33" spans="1:31">
      <c r="AC33" s="91"/>
      <c r="AD33" s="167"/>
      <c r="AE33" s="167"/>
    </row>
    <row r="34" spans="1:31">
      <c r="G34" s="39"/>
      <c r="H34" s="39"/>
      <c r="X34" t="s">
        <v>107</v>
      </c>
      <c r="Y34" s="197" t="s">
        <v>133</v>
      </c>
      <c r="AC34" s="91"/>
      <c r="AD34" s="167"/>
      <c r="AE34" s="167"/>
    </row>
    <row r="35" spans="1:31" ht="13.5" thickBot="1">
      <c r="AC35" s="91"/>
      <c r="AD35" s="167"/>
      <c r="AE35" s="167"/>
    </row>
    <row r="36" spans="1:31" ht="13.5" thickTop="1">
      <c r="D36" s="83" t="s">
        <v>58</v>
      </c>
      <c r="E36" s="381" t="s">
        <v>56</v>
      </c>
      <c r="F36" s="382"/>
      <c r="G36" s="383" t="s">
        <v>57</v>
      </c>
      <c r="H36" s="384"/>
      <c r="AC36" s="91"/>
      <c r="AD36" s="167"/>
      <c r="AE36" s="167"/>
    </row>
    <row r="37" spans="1:31">
      <c r="A37" t="s">
        <v>53</v>
      </c>
      <c r="D37" s="86">
        <f>E37+G37</f>
        <v>3086</v>
      </c>
      <c r="E37" s="377">
        <f>AVERAGE(E8,E9,E11,E12,E7,E10)*12</f>
        <v>1684</v>
      </c>
      <c r="F37" s="378"/>
      <c r="G37" s="377">
        <f>AVERAGE(G8,G9,G11,G12,G7,G10)*12</f>
        <v>1402</v>
      </c>
      <c r="H37" s="385"/>
      <c r="K37" s="395"/>
      <c r="L37" s="395"/>
      <c r="M37" s="395"/>
      <c r="O37" s="261"/>
      <c r="P37" s="261"/>
      <c r="AC37" s="91"/>
      <c r="AD37" s="167"/>
      <c r="AE37" s="167"/>
    </row>
    <row r="38" spans="1:31">
      <c r="A38" t="s">
        <v>54</v>
      </c>
      <c r="D38" s="86">
        <f>E38+G38</f>
        <v>1381</v>
      </c>
      <c r="E38" s="377">
        <f>E15-E37</f>
        <v>632</v>
      </c>
      <c r="F38" s="378"/>
      <c r="G38" s="377">
        <f>G15-G37</f>
        <v>749</v>
      </c>
      <c r="H38" s="385"/>
      <c r="AC38" s="91"/>
      <c r="AD38" s="167"/>
      <c r="AE38" s="167"/>
    </row>
    <row r="39" spans="1:31" ht="13.5" thickBot="1">
      <c r="A39" s="74" t="s">
        <v>55</v>
      </c>
      <c r="B39" s="74"/>
      <c r="C39" s="75">
        <f>'2011'!C39</f>
        <v>267.13386666666662</v>
      </c>
      <c r="D39" s="90">
        <f>E39+G39</f>
        <v>157.3381</v>
      </c>
      <c r="E39" s="379">
        <f>E38*S2</f>
        <v>57.596266666666672</v>
      </c>
      <c r="F39" s="380"/>
      <c r="G39" s="386">
        <f>G38*T2</f>
        <v>99.741833333333318</v>
      </c>
      <c r="H39" s="387"/>
      <c r="J39" s="349"/>
      <c r="K39" s="349"/>
      <c r="L39" s="349"/>
      <c r="M39" s="349"/>
      <c r="N39" s="349"/>
      <c r="P39" s="75"/>
      <c r="Q39" s="353"/>
      <c r="R39" s="353"/>
      <c r="Y39" s="123"/>
      <c r="AC39" s="91"/>
      <c r="AD39" s="167"/>
      <c r="AE39" s="167"/>
    </row>
    <row r="40" spans="1:31" ht="14.25" thickTop="1" thickBot="1">
      <c r="D40" s="366" t="s">
        <v>84</v>
      </c>
      <c r="E40" s="367"/>
      <c r="F40" s="317"/>
      <c r="G40" s="368">
        <v>2005</v>
      </c>
      <c r="H40" s="393"/>
      <c r="I40" s="369"/>
      <c r="J40" s="369"/>
      <c r="K40" s="363">
        <v>2006</v>
      </c>
      <c r="L40" s="364"/>
      <c r="M40" s="364"/>
      <c r="N40" s="365"/>
      <c r="O40" s="370">
        <v>2007</v>
      </c>
      <c r="P40" s="371"/>
      <c r="Q40" s="372"/>
      <c r="R40" s="373">
        <v>2008</v>
      </c>
      <c r="S40" s="359"/>
      <c r="T40" s="374"/>
      <c r="U40" s="358">
        <v>2009</v>
      </c>
      <c r="V40" s="359"/>
      <c r="W40" s="374"/>
      <c r="X40" s="358">
        <v>2010</v>
      </c>
      <c r="Y40" s="359"/>
      <c r="Z40" s="360"/>
      <c r="AC40" s="91"/>
      <c r="AD40" s="167"/>
      <c r="AE40" s="167"/>
    </row>
    <row r="41" spans="1:31" ht="13.5" thickTop="1">
      <c r="D41" s="98"/>
      <c r="E41" s="117" t="s">
        <v>66</v>
      </c>
      <c r="F41" s="318"/>
      <c r="G41" s="105">
        <v>38597</v>
      </c>
      <c r="H41" s="322"/>
      <c r="I41" s="101" t="s">
        <v>64</v>
      </c>
      <c r="J41" s="101" t="s">
        <v>65</v>
      </c>
      <c r="K41" s="137" t="s">
        <v>85</v>
      </c>
      <c r="L41" s="66"/>
      <c r="M41" s="101" t="s">
        <v>64</v>
      </c>
      <c r="N41" s="112" t="s">
        <v>65</v>
      </c>
      <c r="O41" s="137" t="s">
        <v>85</v>
      </c>
      <c r="P41" s="101" t="s">
        <v>64</v>
      </c>
      <c r="Q41" s="101" t="s">
        <v>65</v>
      </c>
      <c r="R41" s="137" t="s">
        <v>85</v>
      </c>
      <c r="S41" s="101" t="s">
        <v>64</v>
      </c>
      <c r="T41" s="112" t="s">
        <v>65</v>
      </c>
      <c r="U41" s="137" t="s">
        <v>85</v>
      </c>
      <c r="V41" s="101" t="s">
        <v>64</v>
      </c>
      <c r="W41" s="112" t="s">
        <v>65</v>
      </c>
      <c r="X41" s="137" t="s">
        <v>85</v>
      </c>
      <c r="Y41" s="101" t="s">
        <v>64</v>
      </c>
      <c r="Z41" s="102" t="s">
        <v>65</v>
      </c>
    </row>
    <row r="42" spans="1:31" ht="13.5" thickBot="1">
      <c r="D42" s="118">
        <v>1</v>
      </c>
      <c r="E42" s="119">
        <f ca="1">AVERAGE(M42,P42,S42,V42,Y42,I48,M48,P48)</f>
        <v>110.875</v>
      </c>
      <c r="F42" s="319"/>
      <c r="G42" s="106">
        <v>38661</v>
      </c>
      <c r="H42" s="323"/>
      <c r="I42" s="107">
        <f>G42-G41</f>
        <v>64</v>
      </c>
      <c r="J42" s="108">
        <f>I42/30.5</f>
        <v>2.098360655737705</v>
      </c>
      <c r="K42" s="100">
        <v>38774</v>
      </c>
      <c r="L42" s="66"/>
      <c r="M42" s="97">
        <f>K42-G42</f>
        <v>113</v>
      </c>
      <c r="N42" s="113">
        <f>M42/30.5</f>
        <v>3.7049180327868854</v>
      </c>
      <c r="O42" s="115">
        <v>39130</v>
      </c>
      <c r="P42" s="97">
        <f>O42-K45</f>
        <v>105</v>
      </c>
      <c r="Q42" s="103">
        <f>P42/30.5</f>
        <v>3.442622950819672</v>
      </c>
      <c r="R42" s="100">
        <v>39490</v>
      </c>
      <c r="S42" s="97">
        <f>R42-O45</f>
        <v>115</v>
      </c>
      <c r="T42" s="113">
        <f>S42/30.5</f>
        <v>3.7704918032786887</v>
      </c>
      <c r="U42" s="115">
        <v>39846</v>
      </c>
      <c r="V42" s="97">
        <f>U42-R45</f>
        <v>116</v>
      </c>
      <c r="W42" s="113">
        <f>V42/30.5</f>
        <v>3.8032786885245899</v>
      </c>
      <c r="X42" s="115">
        <v>40254</v>
      </c>
      <c r="Y42" s="97">
        <f>X42-U45</f>
        <v>143</v>
      </c>
      <c r="Z42" s="104">
        <f>Y42/30.5</f>
        <v>4.6885245901639347</v>
      </c>
    </row>
    <row r="43" spans="1:31" ht="13.5" thickTop="1">
      <c r="D43" s="99">
        <v>2</v>
      </c>
      <c r="E43" s="119">
        <f ca="1">AVERAGE(M43,P43,S43,V43,Y43,I49,M49,P49)</f>
        <v>78</v>
      </c>
      <c r="F43" s="320"/>
      <c r="G43" s="155"/>
      <c r="H43" s="66"/>
      <c r="I43" s="66"/>
      <c r="J43" s="66"/>
      <c r="K43" s="100">
        <v>38856</v>
      </c>
      <c r="L43" s="66"/>
      <c r="M43" s="97">
        <f>K43-K42</f>
        <v>82</v>
      </c>
      <c r="N43" s="113">
        <f>M43/30.5</f>
        <v>2.6885245901639343</v>
      </c>
      <c r="O43" s="115">
        <v>39209</v>
      </c>
      <c r="P43" s="97">
        <f>O43-O42</f>
        <v>79</v>
      </c>
      <c r="Q43" s="103">
        <f>P43/30.5</f>
        <v>2.5901639344262297</v>
      </c>
      <c r="R43" s="100">
        <v>39567</v>
      </c>
      <c r="S43" s="97">
        <f>R43-R42</f>
        <v>77</v>
      </c>
      <c r="T43" s="113">
        <f>S43/30.5</f>
        <v>2.5245901639344264</v>
      </c>
      <c r="U43" s="115">
        <v>39922</v>
      </c>
      <c r="V43" s="97">
        <f>U43-U42</f>
        <v>76</v>
      </c>
      <c r="W43" s="113">
        <f>V43/30.5</f>
        <v>2.4918032786885247</v>
      </c>
      <c r="X43" s="115">
        <v>40344</v>
      </c>
      <c r="Y43" s="97">
        <f>X43-X42</f>
        <v>90</v>
      </c>
      <c r="Z43" s="104">
        <f>Y43/30.5</f>
        <v>2.9508196721311477</v>
      </c>
    </row>
    <row r="44" spans="1:31">
      <c r="D44" s="99">
        <v>3</v>
      </c>
      <c r="E44" s="119">
        <f ca="1">AVERAGE(M44,P44,S44,V44,Y44,I50,M50,P50)</f>
        <v>80.125</v>
      </c>
      <c r="F44" s="320"/>
      <c r="G44" s="155"/>
      <c r="H44" s="66"/>
      <c r="I44" s="66"/>
      <c r="J44" s="66"/>
      <c r="K44" s="100">
        <v>38946</v>
      </c>
      <c r="L44" s="66"/>
      <c r="M44" s="97">
        <f>K44-K43</f>
        <v>90</v>
      </c>
      <c r="N44" s="113">
        <f>M44/30.5</f>
        <v>2.9508196721311477</v>
      </c>
      <c r="O44" s="115">
        <v>39290</v>
      </c>
      <c r="P44" s="97">
        <f>O44-O43</f>
        <v>81</v>
      </c>
      <c r="Q44" s="103">
        <f>P44/30.5</f>
        <v>2.6557377049180326</v>
      </c>
      <c r="R44" s="100">
        <v>39648</v>
      </c>
      <c r="S44" s="97">
        <f>R44-R43</f>
        <v>81</v>
      </c>
      <c r="T44" s="113">
        <f>S44/30.5</f>
        <v>2.6557377049180326</v>
      </c>
      <c r="U44" s="115">
        <v>40014</v>
      </c>
      <c r="V44" s="97">
        <f>U44-U43</f>
        <v>92</v>
      </c>
      <c r="W44" s="113">
        <f>V44/30.5</f>
        <v>3.0163934426229506</v>
      </c>
      <c r="X44" s="115">
        <v>40436</v>
      </c>
      <c r="Y44" s="97">
        <f>X44-X43</f>
        <v>92</v>
      </c>
      <c r="Z44" s="104">
        <f>Y44/30.5</f>
        <v>3.0163934426229506</v>
      </c>
    </row>
    <row r="45" spans="1:31" ht="13.5" thickBot="1">
      <c r="D45" s="120">
        <v>4</v>
      </c>
      <c r="E45" s="121">
        <f>AVERAGE(M45,P45,S45,V45,I42)</f>
        <v>81.400000000000006</v>
      </c>
      <c r="F45" s="321"/>
      <c r="G45" s="156"/>
      <c r="H45" s="157"/>
      <c r="I45" s="157"/>
      <c r="J45" s="157"/>
      <c r="K45" s="109">
        <v>39025</v>
      </c>
      <c r="L45" s="157"/>
      <c r="M45" s="107">
        <f>K45-K44</f>
        <v>79</v>
      </c>
      <c r="N45" s="114">
        <f>M45/30.5</f>
        <v>2.5901639344262297</v>
      </c>
      <c r="O45" s="116">
        <v>39375</v>
      </c>
      <c r="P45" s="107">
        <f>O45-O44</f>
        <v>85</v>
      </c>
      <c r="Q45" s="108">
        <f>P45/30.5</f>
        <v>2.7868852459016393</v>
      </c>
      <c r="R45" s="110">
        <v>39730</v>
      </c>
      <c r="S45" s="107">
        <f>R45-R44</f>
        <v>82</v>
      </c>
      <c r="T45" s="114">
        <f>S45/30.5</f>
        <v>2.6885245901639343</v>
      </c>
      <c r="U45" s="116">
        <v>40111</v>
      </c>
      <c r="V45" s="107">
        <f>U45-U44</f>
        <v>97</v>
      </c>
      <c r="W45" s="114">
        <f>V45/30.5</f>
        <v>3.180327868852459</v>
      </c>
      <c r="X45" s="116"/>
      <c r="Y45" s="107"/>
      <c r="Z45" s="111"/>
    </row>
    <row r="46" spans="1:31" ht="13.5" thickTop="1">
      <c r="G46" s="361">
        <v>2011</v>
      </c>
      <c r="H46" s="392"/>
      <c r="I46" s="362"/>
      <c r="J46" s="362"/>
      <c r="K46" s="363">
        <v>2012</v>
      </c>
      <c r="L46" s="364"/>
      <c r="M46" s="364"/>
      <c r="N46" s="365"/>
      <c r="O46" s="358">
        <v>2013</v>
      </c>
      <c r="P46" s="359"/>
      <c r="Q46" s="374"/>
      <c r="R46" s="358">
        <v>2014</v>
      </c>
      <c r="S46" s="359"/>
      <c r="T46" s="374"/>
    </row>
    <row r="47" spans="1:31">
      <c r="G47" s="151" t="s">
        <v>85</v>
      </c>
      <c r="H47" s="324"/>
      <c r="I47" s="101" t="s">
        <v>64</v>
      </c>
      <c r="J47" s="112" t="s">
        <v>65</v>
      </c>
      <c r="K47" s="137" t="s">
        <v>85</v>
      </c>
      <c r="L47" s="66"/>
      <c r="M47" s="101" t="s">
        <v>64</v>
      </c>
      <c r="N47" s="112" t="s">
        <v>65</v>
      </c>
      <c r="O47" s="137" t="s">
        <v>85</v>
      </c>
      <c r="P47" s="101" t="s">
        <v>64</v>
      </c>
      <c r="Q47" s="112" t="s">
        <v>65</v>
      </c>
      <c r="R47" s="137" t="s">
        <v>85</v>
      </c>
      <c r="S47" s="101" t="s">
        <v>64</v>
      </c>
      <c r="T47" s="112" t="s">
        <v>65</v>
      </c>
    </row>
    <row r="48" spans="1:31">
      <c r="G48" s="105">
        <v>40591</v>
      </c>
      <c r="H48" s="322"/>
      <c r="I48" s="97">
        <f>G48-X44</f>
        <v>155</v>
      </c>
      <c r="J48" s="113">
        <f>I48/30.5</f>
        <v>5.081967213114754</v>
      </c>
      <c r="K48" s="100">
        <v>40941</v>
      </c>
      <c r="L48" s="66"/>
      <c r="M48" s="97">
        <f>K48-G50</f>
        <v>137</v>
      </c>
      <c r="N48" s="113">
        <f>M48/30.5</f>
        <v>4.4918032786885247</v>
      </c>
      <c r="O48" s="301">
        <f t="shared" ref="O48:O50" ca="1" si="24">TODAY()</f>
        <v>41254</v>
      </c>
      <c r="P48" s="97">
        <f ca="1">O48-K51</f>
        <v>3</v>
      </c>
      <c r="Q48" s="113">
        <f ca="1">P48/30.5</f>
        <v>9.8360655737704916E-2</v>
      </c>
      <c r="R48" s="301">
        <f t="shared" ref="R48:R50" ca="1" si="25">TODAY()</f>
        <v>41254</v>
      </c>
      <c r="S48" s="313">
        <f ca="1">R48-O50</f>
        <v>0</v>
      </c>
      <c r="T48" s="113">
        <f ca="1">S48/30.5</f>
        <v>0</v>
      </c>
    </row>
    <row r="49" spans="7:20">
      <c r="G49" s="105">
        <v>40697</v>
      </c>
      <c r="H49" s="322"/>
      <c r="I49" s="97">
        <f t="shared" ref="I49:I50" si="26">G49-G48</f>
        <v>106</v>
      </c>
      <c r="J49" s="113">
        <f t="shared" ref="J49:J50" si="27">I49/30.5</f>
        <v>3.4754098360655736</v>
      </c>
      <c r="K49" s="100">
        <v>41055</v>
      </c>
      <c r="L49" s="66"/>
      <c r="M49" s="97">
        <f>K49-K48</f>
        <v>114</v>
      </c>
      <c r="N49" s="113">
        <f>M49/30.5</f>
        <v>3.737704918032787</v>
      </c>
      <c r="O49" s="301">
        <f t="shared" ca="1" si="24"/>
        <v>41254</v>
      </c>
      <c r="P49" s="97">
        <f ca="1">O49-O48</f>
        <v>0</v>
      </c>
      <c r="Q49" s="113">
        <f ca="1">P49/30.5</f>
        <v>0</v>
      </c>
      <c r="R49" s="301">
        <f t="shared" ca="1" si="25"/>
        <v>41254</v>
      </c>
      <c r="S49" s="97">
        <f ca="1">R49-R48</f>
        <v>0</v>
      </c>
      <c r="T49" s="113">
        <f ca="1">S49/30.5</f>
        <v>0</v>
      </c>
    </row>
    <row r="50" spans="7:20" ht="13.5" thickBot="1">
      <c r="G50" s="303">
        <v>40804</v>
      </c>
      <c r="H50" s="325"/>
      <c r="I50" s="304">
        <f t="shared" si="26"/>
        <v>107</v>
      </c>
      <c r="J50" s="305">
        <f t="shared" si="27"/>
        <v>3.5081967213114753</v>
      </c>
      <c r="K50" s="306">
        <v>41153</v>
      </c>
      <c r="L50" s="66"/>
      <c r="M50" s="304">
        <f>K50-K49</f>
        <v>98</v>
      </c>
      <c r="N50" s="305">
        <f>M50/30.5</f>
        <v>3.2131147540983607</v>
      </c>
      <c r="O50" s="302">
        <f t="shared" ca="1" si="24"/>
        <v>41254</v>
      </c>
      <c r="P50" s="107">
        <f ca="1">O50-O49</f>
        <v>0</v>
      </c>
      <c r="Q50" s="114">
        <f ca="1">P50/30.5</f>
        <v>0</v>
      </c>
      <c r="R50" s="302">
        <f t="shared" ca="1" si="25"/>
        <v>41254</v>
      </c>
      <c r="S50" s="107">
        <f ca="1">R50-R49</f>
        <v>0</v>
      </c>
      <c r="T50" s="114">
        <f ca="1">S50/30.5</f>
        <v>0</v>
      </c>
    </row>
    <row r="51" spans="7:20" ht="14.25" thickTop="1" thickBot="1">
      <c r="G51" s="307"/>
      <c r="H51" s="307"/>
      <c r="I51" s="308"/>
      <c r="J51" s="309"/>
      <c r="K51" s="110">
        <v>41251</v>
      </c>
      <c r="L51" s="157"/>
      <c r="M51" s="107">
        <f>K51-K50</f>
        <v>98</v>
      </c>
      <c r="N51" s="114">
        <f>M51/30.5</f>
        <v>3.2131147540983607</v>
      </c>
    </row>
    <row r="52" spans="7:20" ht="13.5" thickTop="1"/>
  </sheetData>
  <mergeCells count="31">
    <mergeCell ref="N1:O1"/>
    <mergeCell ref="X9:Z9"/>
    <mergeCell ref="U15:V15"/>
    <mergeCell ref="J39:L39"/>
    <mergeCell ref="M39:N39"/>
    <mergeCell ref="Q39:R39"/>
    <mergeCell ref="K37:M37"/>
    <mergeCell ref="I2:J2"/>
    <mergeCell ref="R40:T40"/>
    <mergeCell ref="K46:N46"/>
    <mergeCell ref="O46:Q46"/>
    <mergeCell ref="U40:W40"/>
    <mergeCell ref="X40:Z40"/>
    <mergeCell ref="R46:T46"/>
    <mergeCell ref="G46:J46"/>
    <mergeCell ref="D40:E40"/>
    <mergeCell ref="G40:J40"/>
    <mergeCell ref="K40:N40"/>
    <mergeCell ref="O40:Q40"/>
    <mergeCell ref="E1:F1"/>
    <mergeCell ref="G1:H1"/>
    <mergeCell ref="E15:F15"/>
    <mergeCell ref="G15:H15"/>
    <mergeCell ref="E37:F37"/>
    <mergeCell ref="E38:F38"/>
    <mergeCell ref="E39:F39"/>
    <mergeCell ref="E36:F36"/>
    <mergeCell ref="G36:H36"/>
    <mergeCell ref="G37:H37"/>
    <mergeCell ref="G38:H38"/>
    <mergeCell ref="G39:H39"/>
  </mergeCells>
  <conditionalFormatting sqref="I3:J14">
    <cfRule type="expression" dxfId="2" priority="13">
      <formula>C3=""</formula>
    </cfRule>
  </conditionalFormatting>
  <conditionalFormatting sqref="K3:K14">
    <cfRule type="iconSet" priority="6">
      <iconSet iconSet="4TrafficLights" reverse="1">
        <cfvo type="percent" val="0"/>
        <cfvo type="num" val="300"/>
        <cfvo type="num" val="600"/>
        <cfvo type="num" val="1200"/>
      </iconSet>
    </cfRule>
  </conditionalFormatting>
  <conditionalFormatting sqref="U15">
    <cfRule type="colorScale" priority="4">
      <colorScale>
        <cfvo type="num" val="700"/>
        <cfvo type="num" val="800"/>
        <cfvo type="num" val="900"/>
        <color rgb="FF63BE7B"/>
        <color rgb="FFFFEB84"/>
        <color rgb="FFF8696B"/>
      </colorScale>
    </cfRule>
  </conditionalFormatting>
  <conditionalFormatting sqref="E3">
    <cfRule type="iconSet" priority="3">
      <iconSet iconSet="4TrafficLights" reverse="1">
        <cfvo type="percent" val="0"/>
        <cfvo type="num" val="150"/>
        <cfvo type="num" val="300"/>
        <cfvo type="num" val="600"/>
      </iconSet>
    </cfRule>
  </conditionalFormatting>
  <conditionalFormatting sqref="E4:E14">
    <cfRule type="iconSet" priority="2">
      <iconSet iconSet="4TrafficLights" reverse="1">
        <cfvo type="percent" val="0"/>
        <cfvo type="num" val="150"/>
        <cfvo type="num" val="300"/>
        <cfvo type="num" val="600"/>
      </iconSet>
    </cfRule>
  </conditionalFormatting>
  <conditionalFormatting sqref="G3:G14">
    <cfRule type="iconSet" priority="1">
      <iconSet iconSet="4TrafficLights" reverse="1">
        <cfvo type="percent" val="0"/>
        <cfvo type="num" val="150"/>
        <cfvo type="num" val="300"/>
        <cfvo type="num" val="600"/>
      </iconSet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AD52"/>
  <sheetViews>
    <sheetView workbookViewId="0">
      <selection activeCell="A39" sqref="A39"/>
    </sheetView>
  </sheetViews>
  <sheetFormatPr baseColWidth="10" defaultColWidth="11.42578125" defaultRowHeight="12.75"/>
  <cols>
    <col min="2" max="2" width="0.42578125" customWidth="1"/>
    <col min="3" max="3" width="9.140625" customWidth="1"/>
    <col min="4" max="4" width="9.28515625" customWidth="1"/>
    <col min="5" max="5" width="10.42578125" customWidth="1"/>
    <col min="6" max="6" width="10.7109375" customWidth="1"/>
    <col min="7" max="8" width="6.140625" bestFit="1" customWidth="1"/>
    <col min="9" max="9" width="7.7109375" customWidth="1"/>
    <col min="10" max="10" width="6.140625" hidden="1" customWidth="1"/>
    <col min="11" max="11" width="7.7109375" customWidth="1"/>
    <col min="12" max="12" width="8.42578125" customWidth="1"/>
    <col min="13" max="13" width="8.140625" customWidth="1"/>
    <col min="14" max="14" width="10.140625" customWidth="1"/>
    <col min="15" max="15" width="7.7109375" customWidth="1"/>
    <col min="16" max="16" width="7.5703125" customWidth="1"/>
    <col min="17" max="18" width="7.85546875" customWidth="1"/>
    <col min="19" max="19" width="8.85546875" customWidth="1"/>
    <col min="20" max="20" width="7.5703125" bestFit="1" customWidth="1"/>
    <col min="21" max="21" width="8.85546875" customWidth="1"/>
    <col min="22" max="24" width="9.28515625" bestFit="1" customWidth="1"/>
    <col min="25" max="25" width="18" bestFit="1" customWidth="1"/>
    <col min="26" max="26" width="9.85546875" bestFit="1" customWidth="1"/>
    <col min="28" max="28" width="13.140625" customWidth="1"/>
  </cols>
  <sheetData>
    <row r="1" spans="1:30" ht="38.25" customHeight="1">
      <c r="A1" s="275" t="s">
        <v>1</v>
      </c>
      <c r="B1" s="272"/>
      <c r="C1" s="260" t="s">
        <v>2</v>
      </c>
      <c r="D1" s="260" t="s">
        <v>3</v>
      </c>
      <c r="E1" s="260" t="s">
        <v>4</v>
      </c>
      <c r="F1" s="260" t="s">
        <v>5</v>
      </c>
      <c r="G1" s="260" t="s">
        <v>21</v>
      </c>
      <c r="H1" s="260" t="s">
        <v>22</v>
      </c>
      <c r="I1" s="260" t="s">
        <v>13</v>
      </c>
      <c r="J1" s="260"/>
      <c r="K1" s="260" t="s">
        <v>37</v>
      </c>
      <c r="L1" s="350" t="s">
        <v>132</v>
      </c>
      <c r="M1" s="350"/>
      <c r="N1" s="19" t="s">
        <v>8</v>
      </c>
      <c r="O1" s="19" t="s">
        <v>36</v>
      </c>
      <c r="P1" s="24" t="s">
        <v>14</v>
      </c>
      <c r="Q1" s="24" t="s">
        <v>9</v>
      </c>
      <c r="R1" s="24" t="s">
        <v>10</v>
      </c>
      <c r="S1" s="26" t="s">
        <v>11</v>
      </c>
      <c r="T1" s="27" t="s">
        <v>12</v>
      </c>
      <c r="U1" s="270">
        <f>'2012'!T32</f>
        <v>8.4315666666666402</v>
      </c>
      <c r="V1" s="33" t="s">
        <v>61</v>
      </c>
      <c r="W1" s="33" t="s">
        <v>63</v>
      </c>
      <c r="X1" s="33" t="s">
        <v>62</v>
      </c>
      <c r="AB1" s="152"/>
      <c r="AC1" s="152" t="s">
        <v>89</v>
      </c>
    </row>
    <row r="2" spans="1:30" hidden="1">
      <c r="A2" s="278"/>
      <c r="B2" s="273">
        <v>41274</v>
      </c>
      <c r="C2" s="17">
        <f>'2012'!C14</f>
        <v>27686</v>
      </c>
      <c r="D2" s="17">
        <f>'2012'!D14</f>
        <v>29562</v>
      </c>
      <c r="E2" s="192">
        <f>'2012'!E14</f>
        <v>121</v>
      </c>
      <c r="F2" s="192">
        <f>'2012'!G14</f>
        <v>147</v>
      </c>
      <c r="G2" s="375">
        <f ca="1">TODAY()</f>
        <v>41254</v>
      </c>
      <c r="H2" s="376"/>
      <c r="I2" s="17">
        <f>E2+F2</f>
        <v>268</v>
      </c>
      <c r="J2" s="1"/>
      <c r="K2" s="1"/>
      <c r="L2" s="1"/>
      <c r="M2" s="1"/>
      <c r="N2" s="20"/>
      <c r="O2" s="20"/>
      <c r="P2" s="3"/>
      <c r="Q2" s="163">
        <f>AVERAGE(W4:W6)</f>
        <v>9.2600000000000002E-2</v>
      </c>
      <c r="R2" s="163">
        <f>AVERAGE(X4:X6)</f>
        <v>0.1353</v>
      </c>
      <c r="S2" s="1"/>
      <c r="T2" s="1"/>
      <c r="U2" s="261"/>
    </row>
    <row r="3" spans="1:30" ht="13.5" customHeight="1">
      <c r="A3" s="276" t="str">
        <f ca="1">IF($G$2&lt;=B2,"",IF($G$2&gt;B3,B3,$G$2))</f>
        <v/>
      </c>
      <c r="B3" s="273">
        <f>EOMONTH(B2,1)</f>
        <v>41305</v>
      </c>
      <c r="C3" s="1"/>
      <c r="D3" s="1"/>
      <c r="E3" s="17">
        <f>IF(C3-C2&lt;=0,0,C3-C2)</f>
        <v>0</v>
      </c>
      <c r="F3" s="17">
        <f t="shared" ref="F3:F14" si="0">IF(D3-D2&lt;=0,0.00000001,D3-D2)</f>
        <v>1E-8</v>
      </c>
      <c r="G3" s="158">
        <f>E3-'2011'!D3</f>
        <v>-476</v>
      </c>
      <c r="H3" s="158">
        <f>F3-'2011'!E3</f>
        <v>-570.99999998999999</v>
      </c>
      <c r="I3" s="17">
        <f>E3+F3</f>
        <v>1E-8</v>
      </c>
      <c r="J3" s="2">
        <f t="shared" ref="J3:J14" ca="1" si="1">IF($G$2&gt;B2,IF($G$2&gt;B3,B3-B2,$G$2-B2),1)</f>
        <v>1</v>
      </c>
      <c r="K3" s="3">
        <f ca="1">I3/J3</f>
        <v>1E-8</v>
      </c>
      <c r="L3" s="36">
        <f t="shared" ref="L3:L14" si="2">E3/I3</f>
        <v>0</v>
      </c>
      <c r="M3" s="36">
        <f t="shared" ref="M3:M14" si="3">F3/I3</f>
        <v>1</v>
      </c>
      <c r="N3" s="37" t="str">
        <f t="shared" ref="N3:N14" si="4">IF(E3=0,"",1/(I2/(I3-I2)))</f>
        <v/>
      </c>
      <c r="O3" s="37" t="str">
        <f>IF(E3=0,"",1/(I3/(I3-'2011'!H3)))</f>
        <v/>
      </c>
      <c r="P3" s="3">
        <f>$V$4/12</f>
        <v>7.9974999999999996</v>
      </c>
      <c r="Q3" s="3">
        <f>E3*$W$4</f>
        <v>0</v>
      </c>
      <c r="R3" s="3">
        <f>F3*$X$4</f>
        <v>1.353E-9</v>
      </c>
      <c r="S3" s="30">
        <f>SUM(P3:R3)</f>
        <v>7.997500001353</v>
      </c>
      <c r="T3" s="31">
        <f>S3</f>
        <v>7.997500001353</v>
      </c>
      <c r="U3" s="268">
        <f>Y26</f>
        <v>0</v>
      </c>
      <c r="V3" s="96">
        <f>(V6-V4)/V4</f>
        <v>-1</v>
      </c>
      <c r="W3" s="96">
        <f>(W6-W4)/W4</f>
        <v>-1</v>
      </c>
      <c r="X3" s="96">
        <f>(X6-X4)/X4</f>
        <v>-1</v>
      </c>
      <c r="AA3" s="91"/>
      <c r="AB3" s="147"/>
      <c r="AC3" s="147"/>
    </row>
    <row r="4" spans="1:30" ht="13.5" customHeight="1">
      <c r="A4" s="276" t="str">
        <f t="shared" ref="A4:A14" ca="1" si="5">IF($G$2&lt;=B3,"",IF($G$2&gt;B4,B4,$G$2))</f>
        <v/>
      </c>
      <c r="B4" s="273">
        <f t="shared" ref="B4:B14" si="6">EOMONTH(B3,1)</f>
        <v>41333</v>
      </c>
      <c r="C4" s="1"/>
      <c r="D4" s="1"/>
      <c r="E4" s="17">
        <f>IF(C4-C3&lt;=0,0,C4-C3)</f>
        <v>0</v>
      </c>
      <c r="F4" s="17">
        <f t="shared" si="0"/>
        <v>1E-8</v>
      </c>
      <c r="G4" s="158">
        <f>E4-'2011'!D4</f>
        <v>-501</v>
      </c>
      <c r="H4" s="158">
        <f>F4-'2011'!E4</f>
        <v>-563.99999998999999</v>
      </c>
      <c r="I4" s="17">
        <f t="shared" ref="I4:I14" si="7">E4+F4</f>
        <v>1E-8</v>
      </c>
      <c r="J4" s="2">
        <f t="shared" ca="1" si="1"/>
        <v>1</v>
      </c>
      <c r="K4" s="3">
        <f ca="1">I4/(J4+J3)</f>
        <v>5.0000000000000001E-9</v>
      </c>
      <c r="L4" s="36">
        <f t="shared" si="2"/>
        <v>0</v>
      </c>
      <c r="M4" s="36">
        <f t="shared" si="3"/>
        <v>1</v>
      </c>
      <c r="N4" s="37" t="str">
        <f t="shared" si="4"/>
        <v/>
      </c>
      <c r="O4" s="37" t="str">
        <f>IF(E4=0,"",1/(I4/(I4-'2011'!H4)))</f>
        <v/>
      </c>
      <c r="P4" s="3">
        <f t="shared" ref="P4:P14" si="8">$V$4/12</f>
        <v>7.9974999999999996</v>
      </c>
      <c r="Q4" s="3">
        <f t="shared" ref="Q4:Q14" si="9">E4*$W$4</f>
        <v>0</v>
      </c>
      <c r="R4" s="3">
        <f t="shared" ref="R4:R14" si="10">F4*$X$4</f>
        <v>1.353E-9</v>
      </c>
      <c r="S4" s="30">
        <f>SUM(P4:R4)</f>
        <v>7.997500001353</v>
      </c>
      <c r="T4" s="31">
        <f t="shared" ref="T4:T14" si="11">T3+S4</f>
        <v>15.995000002706</v>
      </c>
      <c r="U4" s="269">
        <f>(U3+U1)-T4</f>
        <v>-7.5634333360393597</v>
      </c>
      <c r="V4" s="267">
        <v>95.97</v>
      </c>
      <c r="W4" s="162">
        <v>9.2600000000000002E-2</v>
      </c>
      <c r="X4" s="162">
        <v>0.1353</v>
      </c>
      <c r="Y4" s="122">
        <v>41113</v>
      </c>
      <c r="AA4" s="91"/>
      <c r="AB4" s="147"/>
      <c r="AC4" s="147"/>
      <c r="AD4" s="153">
        <f>AA4-AA3</f>
        <v>0</v>
      </c>
    </row>
    <row r="5" spans="1:30" ht="13.5" customHeight="1">
      <c r="A5" s="276" t="str">
        <f t="shared" ca="1" si="5"/>
        <v/>
      </c>
      <c r="B5" s="273">
        <f t="shared" si="6"/>
        <v>41364</v>
      </c>
      <c r="C5" s="35"/>
      <c r="D5" s="35"/>
      <c r="E5" s="17">
        <f>IF(C5-C4&lt;=0,0,C5-C4)</f>
        <v>0</v>
      </c>
      <c r="F5" s="17">
        <f t="shared" si="0"/>
        <v>1E-8</v>
      </c>
      <c r="G5" s="158">
        <f>E5-'2011'!D5</f>
        <v>-457</v>
      </c>
      <c r="H5" s="158">
        <f>F5-'2011'!E5</f>
        <v>-498.99999998999999</v>
      </c>
      <c r="I5" s="17">
        <f t="shared" si="7"/>
        <v>1E-8</v>
      </c>
      <c r="J5" s="2">
        <f t="shared" ca="1" si="1"/>
        <v>1</v>
      </c>
      <c r="K5" s="3">
        <f ca="1">I5/(J5+J4)</f>
        <v>5.0000000000000001E-9</v>
      </c>
      <c r="L5" s="36">
        <f t="shared" si="2"/>
        <v>0</v>
      </c>
      <c r="M5" s="36">
        <f t="shared" si="3"/>
        <v>1</v>
      </c>
      <c r="N5" s="37" t="str">
        <f t="shared" si="4"/>
        <v/>
      </c>
      <c r="O5" s="37" t="str">
        <f>IF(E5=0,"",1/(I5/(I5-'2011'!H5)))</f>
        <v/>
      </c>
      <c r="P5" s="3">
        <f t="shared" si="8"/>
        <v>7.9974999999999996</v>
      </c>
      <c r="Q5" s="3">
        <f t="shared" si="9"/>
        <v>0</v>
      </c>
      <c r="R5" s="3">
        <f t="shared" si="10"/>
        <v>1.353E-9</v>
      </c>
      <c r="S5" s="30">
        <f>SUM(P5:R5)</f>
        <v>7.997500001353</v>
      </c>
      <c r="T5" s="31">
        <f t="shared" si="11"/>
        <v>23.992500004059</v>
      </c>
      <c r="U5" s="268"/>
      <c r="V5" s="150"/>
      <c r="W5" s="149"/>
      <c r="X5" s="149"/>
      <c r="Y5" s="122"/>
      <c r="AA5" s="91"/>
      <c r="AB5" s="147"/>
      <c r="AC5" s="147"/>
      <c r="AD5" s="153">
        <f>AA5-AA4</f>
        <v>0</v>
      </c>
    </row>
    <row r="6" spans="1:30" ht="13.5" customHeight="1">
      <c r="A6" s="276" t="str">
        <f t="shared" ca="1" si="5"/>
        <v/>
      </c>
      <c r="B6" s="273">
        <f t="shared" si="6"/>
        <v>41394</v>
      </c>
      <c r="C6" s="35"/>
      <c r="D6" s="35"/>
      <c r="E6" s="17">
        <f t="shared" ref="E6:E14" si="12">IF(C6-C5&lt;=0,0,C6-C5)</f>
        <v>0</v>
      </c>
      <c r="F6" s="17">
        <f t="shared" si="0"/>
        <v>1E-8</v>
      </c>
      <c r="G6" s="158">
        <f>E6-'2011'!D6</f>
        <v>-178</v>
      </c>
      <c r="H6" s="158">
        <f>F6-'2011'!E6</f>
        <v>-116.99999999000001</v>
      </c>
      <c r="I6" s="17">
        <f t="shared" si="7"/>
        <v>1E-8</v>
      </c>
      <c r="J6" s="2">
        <f t="shared" ca="1" si="1"/>
        <v>1</v>
      </c>
      <c r="K6" s="3">
        <f t="shared" ref="K6:K14" ca="1" si="13">I6/J6</f>
        <v>1E-8</v>
      </c>
      <c r="L6" s="36">
        <f t="shared" si="2"/>
        <v>0</v>
      </c>
      <c r="M6" s="36">
        <f t="shared" si="3"/>
        <v>1</v>
      </c>
      <c r="N6" s="37" t="str">
        <f t="shared" si="4"/>
        <v/>
      </c>
      <c r="O6" s="37" t="str">
        <f>IF(E6=0,"",1/(I6/(I6-'2011'!H6)))</f>
        <v/>
      </c>
      <c r="P6" s="3">
        <f t="shared" si="8"/>
        <v>7.9974999999999996</v>
      </c>
      <c r="Q6" s="3">
        <f t="shared" si="9"/>
        <v>0</v>
      </c>
      <c r="R6" s="3">
        <f t="shared" si="10"/>
        <v>1.353E-9</v>
      </c>
      <c r="S6" s="30">
        <f t="shared" ref="S6:S14" si="14">SUM(P6:R6)</f>
        <v>7.997500001353</v>
      </c>
      <c r="T6" s="31">
        <f t="shared" si="11"/>
        <v>31.990000005412</v>
      </c>
      <c r="U6" s="269">
        <f>($U$5+$U$3+U1)-T6</f>
        <v>-23.55843333874536</v>
      </c>
      <c r="V6" s="161"/>
      <c r="W6" s="162"/>
      <c r="X6" s="162"/>
      <c r="Y6" s="122"/>
      <c r="AA6" s="91"/>
      <c r="AB6" s="147"/>
      <c r="AC6" s="147"/>
      <c r="AD6" s="153">
        <f>AA6-AA5</f>
        <v>0</v>
      </c>
    </row>
    <row r="7" spans="1:30" ht="13.5" customHeight="1">
      <c r="A7" s="276" t="str">
        <f t="shared" ca="1" si="5"/>
        <v/>
      </c>
      <c r="B7" s="273">
        <f t="shared" si="6"/>
        <v>41425</v>
      </c>
      <c r="C7" s="35"/>
      <c r="D7" s="35"/>
      <c r="E7" s="17">
        <f t="shared" si="12"/>
        <v>0</v>
      </c>
      <c r="F7" s="17">
        <f t="shared" si="0"/>
        <v>1E-8</v>
      </c>
      <c r="G7" s="158">
        <f>E7-'2011'!D7</f>
        <v>-148</v>
      </c>
      <c r="H7" s="158">
        <f>F7-'2011'!E7</f>
        <v>-112.99999999000001</v>
      </c>
      <c r="I7" s="17">
        <f t="shared" si="7"/>
        <v>1E-8</v>
      </c>
      <c r="J7" s="2">
        <f t="shared" ca="1" si="1"/>
        <v>1</v>
      </c>
      <c r="K7" s="3">
        <f t="shared" ca="1" si="13"/>
        <v>1E-8</v>
      </c>
      <c r="L7" s="36">
        <f t="shared" si="2"/>
        <v>0</v>
      </c>
      <c r="M7" s="36">
        <f t="shared" si="3"/>
        <v>1</v>
      </c>
      <c r="N7" s="37" t="str">
        <f t="shared" si="4"/>
        <v/>
      </c>
      <c r="O7" s="37" t="str">
        <f>IF(E7=0,"",1/(I7/(I7-'2011'!H7)))</f>
        <v/>
      </c>
      <c r="P7" s="3">
        <f t="shared" si="8"/>
        <v>7.9974999999999996</v>
      </c>
      <c r="Q7" s="3">
        <f t="shared" si="9"/>
        <v>0</v>
      </c>
      <c r="R7" s="3">
        <f t="shared" si="10"/>
        <v>1.353E-9</v>
      </c>
      <c r="S7" s="30">
        <f t="shared" si="14"/>
        <v>7.997500001353</v>
      </c>
      <c r="T7" s="31">
        <f t="shared" si="11"/>
        <v>39.987500006765003</v>
      </c>
      <c r="U7" s="268"/>
      <c r="AA7" s="91"/>
      <c r="AB7" s="147"/>
      <c r="AC7" s="147"/>
      <c r="AD7" s="153">
        <f t="shared" ref="AD7:AD12" si="15">AA7-AA6</f>
        <v>0</v>
      </c>
    </row>
    <row r="8" spans="1:30" ht="13.5" customHeight="1">
      <c r="A8" s="276" t="str">
        <f t="shared" ca="1" si="5"/>
        <v/>
      </c>
      <c r="B8" s="273">
        <f t="shared" si="6"/>
        <v>41455</v>
      </c>
      <c r="C8" s="72"/>
      <c r="D8" s="35"/>
      <c r="E8" s="17">
        <f t="shared" si="12"/>
        <v>0</v>
      </c>
      <c r="F8" s="17">
        <f t="shared" si="0"/>
        <v>1E-8</v>
      </c>
      <c r="G8" s="158">
        <f>E8-'2011'!D8</f>
        <v>-132</v>
      </c>
      <c r="H8" s="158">
        <f>F8-'2011'!E8</f>
        <v>-108.99999999000001</v>
      </c>
      <c r="I8" s="17">
        <f t="shared" si="7"/>
        <v>1E-8</v>
      </c>
      <c r="J8" s="2">
        <f t="shared" ca="1" si="1"/>
        <v>1</v>
      </c>
      <c r="K8" s="3">
        <f t="shared" ca="1" si="13"/>
        <v>1E-8</v>
      </c>
      <c r="L8" s="36">
        <f t="shared" si="2"/>
        <v>0</v>
      </c>
      <c r="M8" s="36">
        <f t="shared" si="3"/>
        <v>1</v>
      </c>
      <c r="N8" s="37" t="str">
        <f t="shared" si="4"/>
        <v/>
      </c>
      <c r="O8" s="37" t="str">
        <f>IF(E8=0,"",1/(I8/(I8-'2011'!H8)))</f>
        <v/>
      </c>
      <c r="P8" s="3">
        <f t="shared" si="8"/>
        <v>7.9974999999999996</v>
      </c>
      <c r="Q8" s="3">
        <f t="shared" si="9"/>
        <v>0</v>
      </c>
      <c r="R8" s="3">
        <f t="shared" si="10"/>
        <v>1.353E-9</v>
      </c>
      <c r="S8" s="30">
        <f t="shared" si="14"/>
        <v>7.997500001353</v>
      </c>
      <c r="T8" s="31">
        <f t="shared" si="11"/>
        <v>47.985000008118007</v>
      </c>
      <c r="U8" s="269">
        <f>($U$5+$U$3+$U$7+U1)-T8</f>
        <v>-39.553433341451367</v>
      </c>
      <c r="AA8" s="91"/>
      <c r="AB8" s="147"/>
      <c r="AC8" s="147"/>
      <c r="AD8" s="153">
        <f t="shared" si="15"/>
        <v>0</v>
      </c>
    </row>
    <row r="9" spans="1:30" ht="13.5" customHeight="1">
      <c r="A9" s="276" t="str">
        <f t="shared" ca="1" si="5"/>
        <v/>
      </c>
      <c r="B9" s="273">
        <f t="shared" si="6"/>
        <v>41486</v>
      </c>
      <c r="C9" s="72"/>
      <c r="D9" s="35"/>
      <c r="E9" s="17">
        <f t="shared" si="12"/>
        <v>0</v>
      </c>
      <c r="F9" s="17">
        <f t="shared" si="0"/>
        <v>1E-8</v>
      </c>
      <c r="G9" s="158">
        <f>E9-'2011'!D9</f>
        <v>-134</v>
      </c>
      <c r="H9" s="158">
        <f>F9-'2011'!E9</f>
        <v>-126.99999999000001</v>
      </c>
      <c r="I9" s="17">
        <f t="shared" si="7"/>
        <v>1E-8</v>
      </c>
      <c r="J9" s="2">
        <f t="shared" ca="1" si="1"/>
        <v>1</v>
      </c>
      <c r="K9" s="3">
        <f t="shared" ca="1" si="13"/>
        <v>1E-8</v>
      </c>
      <c r="L9" s="36">
        <f t="shared" si="2"/>
        <v>0</v>
      </c>
      <c r="M9" s="36">
        <f t="shared" si="3"/>
        <v>1</v>
      </c>
      <c r="N9" s="37" t="str">
        <f t="shared" si="4"/>
        <v/>
      </c>
      <c r="O9" s="37" t="str">
        <f>IF(E9=0,"",1/(I9/(I9-'2011'!H9)))</f>
        <v/>
      </c>
      <c r="P9" s="3">
        <f t="shared" si="8"/>
        <v>7.9974999999999996</v>
      </c>
      <c r="Q9" s="3">
        <f t="shared" si="9"/>
        <v>0</v>
      </c>
      <c r="R9" s="3">
        <f t="shared" si="10"/>
        <v>1.353E-9</v>
      </c>
      <c r="S9" s="30">
        <f t="shared" si="14"/>
        <v>7.997500001353</v>
      </c>
      <c r="T9" s="31">
        <f t="shared" si="11"/>
        <v>55.982500009471011</v>
      </c>
      <c r="U9" s="268"/>
      <c r="V9" s="354" t="s">
        <v>59</v>
      </c>
      <c r="W9" s="355"/>
      <c r="X9" s="355"/>
      <c r="Y9" s="124"/>
      <c r="Z9" s="32"/>
      <c r="AA9" s="91"/>
      <c r="AB9" s="169"/>
      <c r="AC9" s="169"/>
      <c r="AD9" s="153">
        <f t="shared" si="15"/>
        <v>0</v>
      </c>
    </row>
    <row r="10" spans="1:30" ht="13.5" customHeight="1">
      <c r="A10" s="276" t="str">
        <f t="shared" ca="1" si="5"/>
        <v/>
      </c>
      <c r="B10" s="273">
        <f t="shared" si="6"/>
        <v>41517</v>
      </c>
      <c r="C10" s="72"/>
      <c r="D10" s="35"/>
      <c r="E10" s="17">
        <f t="shared" si="12"/>
        <v>0</v>
      </c>
      <c r="F10" s="17">
        <f t="shared" si="0"/>
        <v>1E-8</v>
      </c>
      <c r="G10" s="158">
        <f>E10-'2011'!D10</f>
        <v>-135</v>
      </c>
      <c r="H10" s="158">
        <f>F10-'2011'!E10</f>
        <v>-133.99999998999999</v>
      </c>
      <c r="I10" s="17">
        <f t="shared" si="7"/>
        <v>1E-8</v>
      </c>
      <c r="J10" s="2">
        <f t="shared" ca="1" si="1"/>
        <v>1</v>
      </c>
      <c r="K10" s="3">
        <f t="shared" ca="1" si="13"/>
        <v>1E-8</v>
      </c>
      <c r="L10" s="36">
        <f t="shared" si="2"/>
        <v>0</v>
      </c>
      <c r="M10" s="36">
        <f t="shared" si="3"/>
        <v>1</v>
      </c>
      <c r="N10" s="37" t="str">
        <f t="shared" si="4"/>
        <v/>
      </c>
      <c r="O10" s="37" t="str">
        <f>IF(E10=0,"",1/(I10/(I10-'2011'!H10)))</f>
        <v/>
      </c>
      <c r="P10" s="3">
        <f t="shared" si="8"/>
        <v>7.9974999999999996</v>
      </c>
      <c r="Q10" s="3">
        <f t="shared" si="9"/>
        <v>0</v>
      </c>
      <c r="R10" s="3">
        <f t="shared" si="10"/>
        <v>1.353E-9</v>
      </c>
      <c r="S10" s="30">
        <f t="shared" si="14"/>
        <v>7.997500001353</v>
      </c>
      <c r="T10" s="31">
        <f t="shared" si="11"/>
        <v>63.980000010824014</v>
      </c>
      <c r="U10" s="269">
        <f>($U$5+$U$3+$U$7+$U$9+U1)-T10</f>
        <v>-55.548433344157374</v>
      </c>
      <c r="V10">
        <v>2006</v>
      </c>
      <c r="W10" s="93">
        <v>121</v>
      </c>
      <c r="X10" s="259">
        <f t="shared" ref="X10:X14" si="16">(W10*1000)/365</f>
        <v>331.50684931506851</v>
      </c>
      <c r="Y10" s="32"/>
      <c r="Z10" s="32"/>
      <c r="AA10" s="91"/>
      <c r="AB10" s="169"/>
      <c r="AC10" s="169"/>
      <c r="AD10" s="153">
        <f t="shared" si="15"/>
        <v>0</v>
      </c>
    </row>
    <row r="11" spans="1:30" ht="13.5" customHeight="1">
      <c r="A11" s="276" t="str">
        <f t="shared" ca="1" si="5"/>
        <v/>
      </c>
      <c r="B11" s="273">
        <f t="shared" si="6"/>
        <v>41547</v>
      </c>
      <c r="C11" s="35"/>
      <c r="D11" s="35"/>
      <c r="E11" s="17">
        <f t="shared" si="12"/>
        <v>0</v>
      </c>
      <c r="F11" s="17">
        <f t="shared" si="0"/>
        <v>1E-8</v>
      </c>
      <c r="G11" s="158">
        <f>E11-'2011'!D11</f>
        <v>-153</v>
      </c>
      <c r="H11" s="158">
        <f>F11-'2011'!E11</f>
        <v>-125.99999999000001</v>
      </c>
      <c r="I11" s="17">
        <f t="shared" si="7"/>
        <v>1E-8</v>
      </c>
      <c r="J11" s="2">
        <f t="shared" ca="1" si="1"/>
        <v>1</v>
      </c>
      <c r="K11" s="3">
        <f t="shared" ca="1" si="13"/>
        <v>1E-8</v>
      </c>
      <c r="L11" s="36">
        <f t="shared" si="2"/>
        <v>0</v>
      </c>
      <c r="M11" s="36">
        <f t="shared" si="3"/>
        <v>1</v>
      </c>
      <c r="N11" s="37" t="str">
        <f t="shared" si="4"/>
        <v/>
      </c>
      <c r="O11" s="37" t="str">
        <f>IF(E11=0,"",1/(I11/(I11-'2011'!H11)))</f>
        <v/>
      </c>
      <c r="P11" s="3">
        <f t="shared" si="8"/>
        <v>7.9974999999999996</v>
      </c>
      <c r="Q11" s="3">
        <f t="shared" si="9"/>
        <v>0</v>
      </c>
      <c r="R11" s="3">
        <f t="shared" si="10"/>
        <v>1.353E-9</v>
      </c>
      <c r="S11" s="30">
        <f t="shared" si="14"/>
        <v>7.997500001353</v>
      </c>
      <c r="T11" s="31">
        <f t="shared" si="11"/>
        <v>71.977500012177018</v>
      </c>
      <c r="U11" s="268"/>
      <c r="V11">
        <v>2007</v>
      </c>
      <c r="W11" s="93">
        <v>118</v>
      </c>
      <c r="X11" s="259">
        <f t="shared" si="16"/>
        <v>323.28767123287673</v>
      </c>
      <c r="Z11" s="32"/>
      <c r="AA11" s="91"/>
      <c r="AB11" s="169"/>
      <c r="AC11" s="169"/>
      <c r="AD11" s="153">
        <f t="shared" si="15"/>
        <v>0</v>
      </c>
    </row>
    <row r="12" spans="1:30" ht="13.5" customHeight="1">
      <c r="A12" s="276" t="str">
        <f t="shared" ca="1" si="5"/>
        <v/>
      </c>
      <c r="B12" s="273">
        <f t="shared" si="6"/>
        <v>41578</v>
      </c>
      <c r="C12" s="72"/>
      <c r="D12" s="35"/>
      <c r="E12" s="17">
        <f t="shared" si="12"/>
        <v>0</v>
      </c>
      <c r="F12" s="17">
        <f t="shared" si="0"/>
        <v>1E-8</v>
      </c>
      <c r="G12" s="158">
        <f>E12-'2011'!D12</f>
        <v>-160</v>
      </c>
      <c r="H12" s="158">
        <f>F12-'2011'!E12</f>
        <v>-126.99999999000001</v>
      </c>
      <c r="I12" s="17">
        <f t="shared" si="7"/>
        <v>1E-8</v>
      </c>
      <c r="J12" s="2">
        <f t="shared" ca="1" si="1"/>
        <v>1</v>
      </c>
      <c r="K12" s="3">
        <f t="shared" ca="1" si="13"/>
        <v>1E-8</v>
      </c>
      <c r="L12" s="36">
        <f t="shared" si="2"/>
        <v>0</v>
      </c>
      <c r="M12" s="36">
        <f t="shared" si="3"/>
        <v>1</v>
      </c>
      <c r="N12" s="37" t="str">
        <f t="shared" si="4"/>
        <v/>
      </c>
      <c r="O12" s="37" t="str">
        <f>IF(E12=0,"",1/(I12/(I12-'2011'!H12)))</f>
        <v/>
      </c>
      <c r="P12" s="3">
        <f t="shared" si="8"/>
        <v>7.9974999999999996</v>
      </c>
      <c r="Q12" s="3">
        <f t="shared" si="9"/>
        <v>0</v>
      </c>
      <c r="R12" s="3">
        <f t="shared" si="10"/>
        <v>1.353E-9</v>
      </c>
      <c r="S12" s="30">
        <f t="shared" si="14"/>
        <v>7.997500001353</v>
      </c>
      <c r="T12" s="31">
        <f t="shared" si="11"/>
        <v>79.975000013530021</v>
      </c>
      <c r="U12" s="269">
        <f>($U$5+$U$3+$U$7+$U$9+$U$11+U1)-T12</f>
        <v>-71.543433346863381</v>
      </c>
      <c r="V12">
        <v>2008</v>
      </c>
      <c r="W12" s="93">
        <v>116</v>
      </c>
      <c r="X12" s="259">
        <f t="shared" si="16"/>
        <v>317.8082191780822</v>
      </c>
      <c r="Y12" s="143"/>
      <c r="Z12" s="32"/>
      <c r="AA12" s="91"/>
      <c r="AB12" s="169"/>
      <c r="AC12" s="169"/>
      <c r="AD12" s="153">
        <f t="shared" si="15"/>
        <v>0</v>
      </c>
    </row>
    <row r="13" spans="1:30" ht="13.5" customHeight="1">
      <c r="A13" s="276" t="str">
        <f t="shared" ca="1" si="5"/>
        <v/>
      </c>
      <c r="B13" s="273">
        <f t="shared" si="6"/>
        <v>41608</v>
      </c>
      <c r="C13" s="72"/>
      <c r="D13" s="35"/>
      <c r="E13" s="17">
        <f t="shared" si="12"/>
        <v>0</v>
      </c>
      <c r="F13" s="17">
        <f t="shared" si="0"/>
        <v>1E-8</v>
      </c>
      <c r="G13" s="158">
        <f>E13-'2011'!D13</f>
        <v>-194</v>
      </c>
      <c r="H13" s="158">
        <f>F13-'2011'!E13</f>
        <v>-119.99999999000001</v>
      </c>
      <c r="I13" s="17">
        <f t="shared" si="7"/>
        <v>1E-8</v>
      </c>
      <c r="J13" s="2">
        <f t="shared" ca="1" si="1"/>
        <v>1</v>
      </c>
      <c r="K13" s="3">
        <f t="shared" ca="1" si="13"/>
        <v>1E-8</v>
      </c>
      <c r="L13" s="36">
        <f t="shared" si="2"/>
        <v>0</v>
      </c>
      <c r="M13" s="36">
        <f t="shared" si="3"/>
        <v>1</v>
      </c>
      <c r="N13" s="37" t="str">
        <f t="shared" si="4"/>
        <v/>
      </c>
      <c r="O13" s="37" t="str">
        <f>IF(E13=0,"",1/(I13/(I13-'2011'!H13)))</f>
        <v/>
      </c>
      <c r="P13" s="3">
        <f t="shared" si="8"/>
        <v>7.9974999999999996</v>
      </c>
      <c r="Q13" s="3">
        <f t="shared" si="9"/>
        <v>0</v>
      </c>
      <c r="R13" s="3">
        <f t="shared" si="10"/>
        <v>1.353E-9</v>
      </c>
      <c r="S13" s="30">
        <f t="shared" si="14"/>
        <v>7.997500001353</v>
      </c>
      <c r="T13" s="31">
        <f t="shared" si="11"/>
        <v>87.972500014883025</v>
      </c>
      <c r="U13" s="268"/>
      <c r="V13">
        <v>2009</v>
      </c>
      <c r="W13" s="93">
        <v>100</v>
      </c>
      <c r="X13" s="259">
        <f t="shared" si="16"/>
        <v>273.97260273972603</v>
      </c>
      <c r="Z13" s="32"/>
      <c r="AA13" s="91"/>
      <c r="AB13" s="169"/>
      <c r="AC13" s="169">
        <v>20.45</v>
      </c>
      <c r="AD13" s="153"/>
    </row>
    <row r="14" spans="1:30" ht="13.5" customHeight="1" thickBot="1">
      <c r="A14" s="276" t="str">
        <f t="shared" ca="1" si="5"/>
        <v/>
      </c>
      <c r="B14" s="273">
        <f t="shared" si="6"/>
        <v>41639</v>
      </c>
      <c r="C14" s="72"/>
      <c r="D14" s="35"/>
      <c r="E14" s="17">
        <f t="shared" si="12"/>
        <v>0</v>
      </c>
      <c r="F14" s="17">
        <f t="shared" si="0"/>
        <v>1E-8</v>
      </c>
      <c r="G14" s="158">
        <f>E14-'2011'!D14</f>
        <v>-246</v>
      </c>
      <c r="H14" s="158">
        <f>F14-'2011'!E14</f>
        <v>-170.99999998999999</v>
      </c>
      <c r="I14" s="17">
        <f t="shared" si="7"/>
        <v>1E-8</v>
      </c>
      <c r="J14" s="2">
        <f t="shared" ca="1" si="1"/>
        <v>1</v>
      </c>
      <c r="K14" s="9">
        <f t="shared" ca="1" si="13"/>
        <v>1E-8</v>
      </c>
      <c r="L14" s="38">
        <f t="shared" si="2"/>
        <v>0</v>
      </c>
      <c r="M14" s="38">
        <f t="shared" si="3"/>
        <v>1</v>
      </c>
      <c r="N14" s="37" t="str">
        <f t="shared" si="4"/>
        <v/>
      </c>
      <c r="O14" s="37" t="str">
        <f>IF(E14=0,"",1/(I14/(I14-'2011'!H14)))</f>
        <v/>
      </c>
      <c r="P14" s="3">
        <f t="shared" si="8"/>
        <v>7.9974999999999996</v>
      </c>
      <c r="Q14" s="3">
        <f t="shared" si="9"/>
        <v>0</v>
      </c>
      <c r="R14" s="3">
        <f t="shared" si="10"/>
        <v>1.353E-9</v>
      </c>
      <c r="S14" s="30">
        <f t="shared" si="14"/>
        <v>7.997500001353</v>
      </c>
      <c r="T14" s="31">
        <f t="shared" si="11"/>
        <v>95.970000016236028</v>
      </c>
      <c r="U14" s="269">
        <f>($U$5+$U$3+$U$7+$U$9+$U$11+$U$13+U1)-T14</f>
        <v>-87.538433349569388</v>
      </c>
      <c r="V14">
        <v>2010</v>
      </c>
      <c r="W14" s="93">
        <v>86</v>
      </c>
      <c r="X14" s="259">
        <f t="shared" si="16"/>
        <v>235.61643835616439</v>
      </c>
      <c r="Y14" s="147">
        <v>271.33</v>
      </c>
      <c r="Z14" s="148">
        <f>Y14/W14</f>
        <v>3.1549999999999998</v>
      </c>
      <c r="AA14" s="91"/>
      <c r="AB14" s="169"/>
      <c r="AC14" s="169"/>
      <c r="AD14" s="153">
        <f>AA14-AA12</f>
        <v>0</v>
      </c>
    </row>
    <row r="15" spans="1:30" ht="13.5" customHeight="1" thickTop="1" thickBot="1">
      <c r="A15" s="277" t="s">
        <v>0</v>
      </c>
      <c r="B15" s="274"/>
      <c r="C15" s="92">
        <f>'2012'!K15</f>
        <v>4467</v>
      </c>
      <c r="D15" s="18">
        <f>E15+F15</f>
        <v>1.1999999999999999E-7</v>
      </c>
      <c r="E15" s="18">
        <f>SUM(E3:E14)</f>
        <v>0</v>
      </c>
      <c r="F15" s="18">
        <f>SUM(F3:F14)</f>
        <v>1.1999999999999999E-7</v>
      </c>
      <c r="G15" s="310">
        <f>D15/12</f>
        <v>9.9999999999999986E-9</v>
      </c>
      <c r="H15" s="311" t="str">
        <f>" / mois"</f>
        <v xml:space="preserve"> / mois</v>
      </c>
      <c r="I15" s="18">
        <f>SUM(I3:I14)</f>
        <v>1.1999999999999999E-7</v>
      </c>
      <c r="J15" s="14"/>
      <c r="K15" s="15">
        <f ca="1">AVERAGE(K3:K14)</f>
        <v>9.1666666666666644E-9</v>
      </c>
      <c r="L15" s="16">
        <f>E15/I15</f>
        <v>0</v>
      </c>
      <c r="M15" s="16">
        <f>F15/I15</f>
        <v>1</v>
      </c>
      <c r="N15" s="16"/>
      <c r="O15" s="299">
        <f>1/(C15/(D15-C15))</f>
        <v>-0.99999999997313638</v>
      </c>
      <c r="P15" s="15">
        <f>SUM(P3:P14)</f>
        <v>95.970000000000013</v>
      </c>
      <c r="Q15" s="15">
        <f>SUM(Q3:Q14)</f>
        <v>0</v>
      </c>
      <c r="R15" s="15">
        <f>SUM(R3:R14)</f>
        <v>1.6236000000000004E-8</v>
      </c>
      <c r="S15" s="356">
        <f>SUM(P15:R15)</f>
        <v>95.970000016236014</v>
      </c>
      <c r="T15" s="357"/>
      <c r="U15" s="262"/>
      <c r="V15">
        <v>2011</v>
      </c>
      <c r="W15" s="93">
        <v>81</v>
      </c>
      <c r="X15" s="259">
        <f>(W15*1000)/365</f>
        <v>221.91780821917808</v>
      </c>
      <c r="Y15" s="147">
        <v>272.49</v>
      </c>
      <c r="Z15" s="148">
        <f>Y15/W15</f>
        <v>3.364074074074074</v>
      </c>
      <c r="AA15" s="91"/>
      <c r="AB15" s="169"/>
      <c r="AC15" s="169"/>
      <c r="AD15" s="153">
        <f>AA15-AA14</f>
        <v>0</v>
      </c>
    </row>
    <row r="16" spans="1:30">
      <c r="V16">
        <v>2012</v>
      </c>
      <c r="W16" s="93">
        <v>1</v>
      </c>
      <c r="X16" s="259">
        <f t="shared" ref="X16:X17" si="17">(W16*1000)/365</f>
        <v>2.7397260273972601</v>
      </c>
      <c r="Y16" s="147">
        <v>1</v>
      </c>
      <c r="Z16" s="148">
        <f>Y16/W16</f>
        <v>1</v>
      </c>
      <c r="AA16" s="91"/>
      <c r="AB16" s="169"/>
      <c r="AC16" s="169"/>
      <c r="AD16" s="153">
        <f t="shared" ref="AD16" si="18">AA16-AA14</f>
        <v>0</v>
      </c>
    </row>
    <row r="17" spans="13:30">
      <c r="V17">
        <v>2013</v>
      </c>
      <c r="W17" s="93">
        <v>1</v>
      </c>
      <c r="X17" s="259">
        <f t="shared" si="17"/>
        <v>2.7397260273972601</v>
      </c>
      <c r="Y17" s="147">
        <v>1</v>
      </c>
      <c r="Z17" s="148">
        <f>Y17/W17</f>
        <v>1</v>
      </c>
      <c r="AA17" s="91"/>
      <c r="AB17" s="169"/>
      <c r="AC17" s="169"/>
      <c r="AD17" s="153">
        <f t="shared" ref="AD17" si="19">AA17-AA16</f>
        <v>0</v>
      </c>
    </row>
    <row r="18" spans="13:30">
      <c r="V18">
        <v>2014</v>
      </c>
      <c r="W18" s="93">
        <v>1</v>
      </c>
      <c r="X18" s="259">
        <f>(W18*1000)/365</f>
        <v>2.7397260273972601</v>
      </c>
      <c r="Y18" s="147">
        <v>1</v>
      </c>
      <c r="Z18" s="148">
        <f>Y18/W18</f>
        <v>1</v>
      </c>
      <c r="AA18" s="91"/>
      <c r="AB18" s="169"/>
      <c r="AC18" s="169"/>
      <c r="AD18" s="153">
        <f t="shared" ref="AD18" si="20">AA18-AA16</f>
        <v>0</v>
      </c>
    </row>
    <row r="19" spans="13:30">
      <c r="AA19" s="91"/>
      <c r="AB19" s="169"/>
      <c r="AC19" s="169"/>
    </row>
    <row r="20" spans="13:30">
      <c r="W20" t="s">
        <v>90</v>
      </c>
      <c r="AA20" s="91"/>
      <c r="AB20" s="169"/>
      <c r="AC20" s="169"/>
    </row>
    <row r="21" spans="13:30">
      <c r="W21">
        <v>2187</v>
      </c>
    </row>
    <row r="22" spans="13:30">
      <c r="W22">
        <v>2250</v>
      </c>
    </row>
    <row r="24" spans="13:30">
      <c r="Y24" s="152"/>
    </row>
    <row r="25" spans="13:30">
      <c r="U25" s="43" t="s">
        <v>95</v>
      </c>
      <c r="V25" s="177">
        <v>240</v>
      </c>
      <c r="W25" s="178">
        <f>V25*$Q$2</f>
        <v>22.224</v>
      </c>
      <c r="X25" s="187">
        <f t="shared" ref="X25:X30" si="21">1/($I$15/V25)</f>
        <v>2000000000.0000002</v>
      </c>
      <c r="Y25" s="152" t="s">
        <v>105</v>
      </c>
      <c r="AA25" s="101" t="s">
        <v>89</v>
      </c>
    </row>
    <row r="26" spans="13:30">
      <c r="M26" s="12"/>
      <c r="U26" s="183" t="s">
        <v>106</v>
      </c>
      <c r="V26" s="177">
        <v>260</v>
      </c>
      <c r="W26" s="178">
        <f>V26*$Q$2</f>
        <v>24.076000000000001</v>
      </c>
      <c r="X26" s="187">
        <f t="shared" si="21"/>
        <v>2166666666.666667</v>
      </c>
      <c r="Y26" s="184"/>
      <c r="Z26" s="188" t="s">
        <v>99</v>
      </c>
      <c r="AA26" s="190">
        <f>23.9</f>
        <v>23.9</v>
      </c>
    </row>
    <row r="27" spans="13:30">
      <c r="U27" s="43" t="s">
        <v>96</v>
      </c>
      <c r="V27" s="177">
        <v>280</v>
      </c>
      <c r="W27" s="178">
        <f>V27*$Q$2</f>
        <v>25.928000000000001</v>
      </c>
      <c r="X27" s="187">
        <f t="shared" si="21"/>
        <v>2333333333.3333335</v>
      </c>
      <c r="Y27" s="184"/>
      <c r="Z27" s="188" t="s">
        <v>100</v>
      </c>
      <c r="AA27" s="191" t="s">
        <v>107</v>
      </c>
    </row>
    <row r="28" spans="13:30">
      <c r="U28" s="164" t="s">
        <v>97</v>
      </c>
      <c r="V28" s="177">
        <f>E37-(V25+V27)</f>
        <v>-520</v>
      </c>
      <c r="W28" s="178">
        <f>V28*$Q$2</f>
        <v>-48.152000000000001</v>
      </c>
      <c r="X28" s="187">
        <f t="shared" si="21"/>
        <v>-4333333333.333334</v>
      </c>
      <c r="Y28" s="184"/>
      <c r="Z28" s="188" t="s">
        <v>101</v>
      </c>
      <c r="AA28" s="190"/>
      <c r="AC28" s="169"/>
    </row>
    <row r="29" spans="13:30">
      <c r="U29" s="164" t="s">
        <v>110</v>
      </c>
      <c r="V29" s="177">
        <f>I15-(V30+V28+V27+V25+V26)</f>
        <v>1.1999999999999999E-7</v>
      </c>
      <c r="W29" s="179">
        <f>(Q15+R15)-(W25+W26+W27+W28+W30)</f>
        <v>1.6236007105427362E-8</v>
      </c>
      <c r="X29" s="187">
        <f t="shared" si="21"/>
        <v>1</v>
      </c>
      <c r="Y29" s="184"/>
      <c r="Z29" s="188" t="s">
        <v>102</v>
      </c>
      <c r="AA29" s="191" t="s">
        <v>108</v>
      </c>
      <c r="AC29" s="169"/>
    </row>
    <row r="30" spans="13:30">
      <c r="U30" s="164" t="s">
        <v>98</v>
      </c>
      <c r="V30" s="177">
        <f>D38-V26</f>
        <v>-260</v>
      </c>
      <c r="W30" s="178">
        <f>D39-W26</f>
        <v>-24.076000000000001</v>
      </c>
      <c r="X30" s="187">
        <f t="shared" si="21"/>
        <v>-2166666666.666667</v>
      </c>
      <c r="Y30" s="184"/>
      <c r="Z30" s="188" t="s">
        <v>103</v>
      </c>
      <c r="AA30" s="190">
        <f>AA28+W30</f>
        <v>-24.076000000000001</v>
      </c>
      <c r="AC30" s="169"/>
    </row>
    <row r="31" spans="13:30">
      <c r="U31" s="164" t="s">
        <v>61</v>
      </c>
      <c r="V31" s="180"/>
      <c r="W31" s="178">
        <f>P15</f>
        <v>95.970000000000013</v>
      </c>
      <c r="X31" s="97"/>
      <c r="Y31" s="184"/>
      <c r="Z31" s="188" t="s">
        <v>104</v>
      </c>
      <c r="AA31" s="101" t="s">
        <v>109</v>
      </c>
      <c r="AC31" s="169"/>
    </row>
    <row r="32" spans="13:30">
      <c r="U32" s="164" t="s">
        <v>58</v>
      </c>
      <c r="V32" s="271">
        <f>Y32-W32</f>
        <v>-95.970000016236014</v>
      </c>
      <c r="W32" s="181">
        <f>SUM(W25:W31)</f>
        <v>95.970000016236014</v>
      </c>
      <c r="X32" s="186"/>
      <c r="Y32" s="185">
        <f>SUM(Y26:Y31)</f>
        <v>0</v>
      </c>
      <c r="Z32" s="189"/>
      <c r="AA32" s="190">
        <f>W32+AA28+AA26</f>
        <v>119.87000001623602</v>
      </c>
      <c r="AC32" s="169"/>
    </row>
    <row r="33" spans="2:29">
      <c r="AA33" s="91"/>
      <c r="AB33" s="169"/>
      <c r="AC33" s="169"/>
    </row>
    <row r="34" spans="2:29">
      <c r="F34" s="39"/>
      <c r="AA34" s="91"/>
      <c r="AB34" s="169"/>
      <c r="AC34" s="169"/>
    </row>
    <row r="35" spans="2:29" ht="13.5" thickBot="1">
      <c r="AA35" s="91"/>
      <c r="AB35" s="169"/>
      <c r="AC35" s="169"/>
    </row>
    <row r="36" spans="2:29">
      <c r="D36" s="83" t="s">
        <v>58</v>
      </c>
      <c r="E36" s="84" t="s">
        <v>56</v>
      </c>
      <c r="F36" s="85" t="s">
        <v>57</v>
      </c>
      <c r="AA36" s="91"/>
      <c r="AB36" s="169"/>
      <c r="AC36" s="169"/>
    </row>
    <row r="37" spans="2:29">
      <c r="B37" t="s">
        <v>53</v>
      </c>
      <c r="D37" s="86">
        <f>E37+F37</f>
        <v>1.1999999999999999E-7</v>
      </c>
      <c r="E37" s="87">
        <f>AVERAGE(E8,E9,E11,E12,E7,E10)*12</f>
        <v>0</v>
      </c>
      <c r="F37" s="88">
        <f>AVERAGE(F8,F9,F11,F12,F7,F10)*12</f>
        <v>1.1999999999999999E-7</v>
      </c>
      <c r="I37" s="395"/>
      <c r="J37" s="395"/>
      <c r="K37" s="395"/>
      <c r="M37" s="261"/>
      <c r="N37" s="261"/>
      <c r="AA37" s="91"/>
      <c r="AB37" s="169"/>
      <c r="AC37" s="169"/>
    </row>
    <row r="38" spans="2:29">
      <c r="B38" t="s">
        <v>54</v>
      </c>
      <c r="D38" s="86">
        <f>E38+F38</f>
        <v>0</v>
      </c>
      <c r="E38" s="87">
        <f>E15-E37</f>
        <v>0</v>
      </c>
      <c r="F38" s="88">
        <f>F15-F37</f>
        <v>0</v>
      </c>
      <c r="AA38" s="91"/>
      <c r="AB38" s="169"/>
      <c r="AC38" s="169"/>
    </row>
    <row r="39" spans="2:29" ht="13.5" thickBot="1">
      <c r="B39" s="74" t="s">
        <v>55</v>
      </c>
      <c r="C39" s="75">
        <f>'2012'!D39</f>
        <v>157.3381</v>
      </c>
      <c r="D39" s="90">
        <f>E39+F39</f>
        <v>0</v>
      </c>
      <c r="E39" s="89">
        <f>E38*Q2</f>
        <v>0</v>
      </c>
      <c r="F39" s="154">
        <f>F38*R2</f>
        <v>0</v>
      </c>
      <c r="H39" s="349"/>
      <c r="I39" s="349"/>
      <c r="J39" s="349"/>
      <c r="K39" s="349"/>
      <c r="L39" s="349"/>
      <c r="N39" s="75"/>
      <c r="O39" s="353"/>
      <c r="P39" s="353"/>
      <c r="W39" s="123"/>
      <c r="AA39" s="91"/>
      <c r="AB39" s="169"/>
      <c r="AC39" s="169"/>
    </row>
    <row r="40" spans="2:29" ht="14.25" thickTop="1" thickBot="1">
      <c r="D40" s="366" t="s">
        <v>84</v>
      </c>
      <c r="E40" s="367"/>
      <c r="F40" s="368">
        <v>2005</v>
      </c>
      <c r="G40" s="369"/>
      <c r="H40" s="369"/>
      <c r="I40" s="363">
        <v>2006</v>
      </c>
      <c r="J40" s="364"/>
      <c r="K40" s="364"/>
      <c r="L40" s="365"/>
      <c r="M40" s="370">
        <v>2007</v>
      </c>
      <c r="N40" s="371"/>
      <c r="O40" s="372"/>
      <c r="P40" s="373">
        <v>2008</v>
      </c>
      <c r="Q40" s="359"/>
      <c r="R40" s="374"/>
      <c r="S40" s="358">
        <v>2009</v>
      </c>
      <c r="T40" s="359"/>
      <c r="U40" s="359"/>
      <c r="V40" s="374"/>
      <c r="W40" s="358">
        <v>2010</v>
      </c>
      <c r="X40" s="359"/>
      <c r="Y40" s="360"/>
      <c r="AA40" s="91"/>
      <c r="AB40" s="169"/>
      <c r="AC40" s="169"/>
    </row>
    <row r="41" spans="2:29" ht="13.5" thickTop="1">
      <c r="D41" s="98"/>
      <c r="E41" s="117" t="s">
        <v>66</v>
      </c>
      <c r="F41" s="105">
        <v>38597</v>
      </c>
      <c r="G41" s="101" t="s">
        <v>64</v>
      </c>
      <c r="H41" s="101" t="s">
        <v>65</v>
      </c>
      <c r="I41" s="137" t="s">
        <v>85</v>
      </c>
      <c r="J41" s="66"/>
      <c r="K41" s="101" t="s">
        <v>64</v>
      </c>
      <c r="L41" s="112" t="s">
        <v>65</v>
      </c>
      <c r="M41" s="137" t="s">
        <v>85</v>
      </c>
      <c r="N41" s="101" t="s">
        <v>64</v>
      </c>
      <c r="O41" s="101" t="s">
        <v>65</v>
      </c>
      <c r="P41" s="137" t="s">
        <v>85</v>
      </c>
      <c r="Q41" s="101" t="s">
        <v>64</v>
      </c>
      <c r="R41" s="112" t="s">
        <v>65</v>
      </c>
      <c r="S41" s="137" t="s">
        <v>85</v>
      </c>
      <c r="T41" s="101" t="s">
        <v>64</v>
      </c>
      <c r="U41" s="263"/>
      <c r="V41" s="112" t="s">
        <v>65</v>
      </c>
      <c r="W41" s="137" t="s">
        <v>85</v>
      </c>
      <c r="X41" s="101" t="s">
        <v>64</v>
      </c>
      <c r="Y41" s="102" t="s">
        <v>65</v>
      </c>
    </row>
    <row r="42" spans="2:29" ht="13.5" thickBot="1">
      <c r="D42" s="118">
        <v>1</v>
      </c>
      <c r="E42" s="119">
        <f>AVERAGE(K42,N42,Q42,T42,X42,G48)</f>
        <v>124.5</v>
      </c>
      <c r="F42" s="106">
        <v>38661</v>
      </c>
      <c r="G42" s="107">
        <f>F42-F41</f>
        <v>64</v>
      </c>
      <c r="H42" s="108">
        <f>G42/30.5</f>
        <v>2.098360655737705</v>
      </c>
      <c r="I42" s="100">
        <v>38774</v>
      </c>
      <c r="J42" s="66"/>
      <c r="K42" s="97">
        <f>I42-F42</f>
        <v>113</v>
      </c>
      <c r="L42" s="113">
        <f>K42/30.5</f>
        <v>3.7049180327868854</v>
      </c>
      <c r="M42" s="115">
        <v>39130</v>
      </c>
      <c r="N42" s="97">
        <f>M42-I45</f>
        <v>105</v>
      </c>
      <c r="O42" s="103">
        <f>N42/30.5</f>
        <v>3.442622950819672</v>
      </c>
      <c r="P42" s="100">
        <v>39490</v>
      </c>
      <c r="Q42" s="97">
        <f>P42-M45</f>
        <v>115</v>
      </c>
      <c r="R42" s="113">
        <f>Q42/30.5</f>
        <v>3.7704918032786887</v>
      </c>
      <c r="S42" s="115">
        <v>39846</v>
      </c>
      <c r="T42" s="97">
        <f>S42-P45</f>
        <v>116</v>
      </c>
      <c r="U42" s="264"/>
      <c r="V42" s="113">
        <f>T42/30.5</f>
        <v>3.8032786885245899</v>
      </c>
      <c r="W42" s="115">
        <v>40254</v>
      </c>
      <c r="X42" s="97">
        <f>W42-S45</f>
        <v>143</v>
      </c>
      <c r="Y42" s="104">
        <f>X42/30.5</f>
        <v>4.6885245901639347</v>
      </c>
    </row>
    <row r="43" spans="2:29" ht="13.5" thickTop="1">
      <c r="D43" s="99">
        <v>2</v>
      </c>
      <c r="E43" s="119">
        <f>AVERAGE(K43,N43,Q43,T43,X43,G49)</f>
        <v>85</v>
      </c>
      <c r="F43" s="155"/>
      <c r="G43" s="66"/>
      <c r="H43" s="66"/>
      <c r="I43" s="100">
        <v>38856</v>
      </c>
      <c r="J43" s="66"/>
      <c r="K43" s="97">
        <f>I43-I42</f>
        <v>82</v>
      </c>
      <c r="L43" s="113">
        <f>K43/30.5</f>
        <v>2.6885245901639343</v>
      </c>
      <c r="M43" s="115">
        <v>39209</v>
      </c>
      <c r="N43" s="97">
        <f>M43-M42</f>
        <v>79</v>
      </c>
      <c r="O43" s="103">
        <f>N43/30.5</f>
        <v>2.5901639344262297</v>
      </c>
      <c r="P43" s="100">
        <v>39567</v>
      </c>
      <c r="Q43" s="97">
        <f>P43-P42</f>
        <v>77</v>
      </c>
      <c r="R43" s="113">
        <f>Q43/30.5</f>
        <v>2.5245901639344264</v>
      </c>
      <c r="S43" s="115">
        <v>39922</v>
      </c>
      <c r="T43" s="97">
        <f>S43-S42</f>
        <v>76</v>
      </c>
      <c r="U43" s="264"/>
      <c r="V43" s="113">
        <f>T43/30.5</f>
        <v>2.4918032786885247</v>
      </c>
      <c r="W43" s="115">
        <v>40344</v>
      </c>
      <c r="X43" s="97">
        <f>W43-W42</f>
        <v>90</v>
      </c>
      <c r="Y43" s="104">
        <f>X43/30.5</f>
        <v>2.9508196721311477</v>
      </c>
    </row>
    <row r="44" spans="2:29">
      <c r="D44" s="99">
        <v>3</v>
      </c>
      <c r="E44" s="119">
        <f>AVERAGE(K44,N44,Q44,T44,X44,G50)</f>
        <v>90.5</v>
      </c>
      <c r="F44" s="155"/>
      <c r="G44" s="66"/>
      <c r="H44" s="66"/>
      <c r="I44" s="100">
        <v>38946</v>
      </c>
      <c r="J44" s="66"/>
      <c r="K44" s="97">
        <f>I44-I43</f>
        <v>90</v>
      </c>
      <c r="L44" s="113">
        <f>K44/30.5</f>
        <v>2.9508196721311477</v>
      </c>
      <c r="M44" s="115">
        <v>39290</v>
      </c>
      <c r="N44" s="97">
        <f>M44-M43</f>
        <v>81</v>
      </c>
      <c r="O44" s="103">
        <f>N44/30.5</f>
        <v>2.6557377049180326</v>
      </c>
      <c r="P44" s="100">
        <v>39648</v>
      </c>
      <c r="Q44" s="97">
        <f>P44-P43</f>
        <v>81</v>
      </c>
      <c r="R44" s="113">
        <f>Q44/30.5</f>
        <v>2.6557377049180326</v>
      </c>
      <c r="S44" s="115">
        <v>40014</v>
      </c>
      <c r="T44" s="97">
        <f>S44-S43</f>
        <v>92</v>
      </c>
      <c r="U44" s="264"/>
      <c r="V44" s="113">
        <f>T44/30.5</f>
        <v>3.0163934426229506</v>
      </c>
      <c r="W44" s="115">
        <v>40436</v>
      </c>
      <c r="X44" s="97">
        <f>W44-W43</f>
        <v>92</v>
      </c>
      <c r="Y44" s="104">
        <f>X44/30.5</f>
        <v>3.0163934426229506</v>
      </c>
    </row>
    <row r="45" spans="2:29" ht="13.5" thickBot="1">
      <c r="D45" s="120">
        <v>4</v>
      </c>
      <c r="E45" s="121">
        <f>AVERAGE(K45,N45,Q45,T45,G42,X45,G51)</f>
        <v>81.400000000000006</v>
      </c>
      <c r="F45" s="156"/>
      <c r="G45" s="157"/>
      <c r="H45" s="157"/>
      <c r="I45" s="109">
        <v>39025</v>
      </c>
      <c r="J45" s="157"/>
      <c r="K45" s="107">
        <f>I45-I44</f>
        <v>79</v>
      </c>
      <c r="L45" s="114">
        <f>K45/30.5</f>
        <v>2.5901639344262297</v>
      </c>
      <c r="M45" s="116">
        <v>39375</v>
      </c>
      <c r="N45" s="107">
        <f>M45-M44</f>
        <v>85</v>
      </c>
      <c r="O45" s="108">
        <f>N45/30.5</f>
        <v>2.7868852459016393</v>
      </c>
      <c r="P45" s="110">
        <v>39730</v>
      </c>
      <c r="Q45" s="107">
        <f>P45-P44</f>
        <v>82</v>
      </c>
      <c r="R45" s="114">
        <f>Q45/30.5</f>
        <v>2.6885245901639343</v>
      </c>
      <c r="S45" s="116">
        <v>40111</v>
      </c>
      <c r="T45" s="107">
        <f>S45-S44</f>
        <v>97</v>
      </c>
      <c r="U45" s="265"/>
      <c r="V45" s="114">
        <f>T45/30.5</f>
        <v>3.180327868852459</v>
      </c>
      <c r="W45" s="116"/>
      <c r="X45" s="107"/>
      <c r="Y45" s="111"/>
    </row>
    <row r="46" spans="2:29" ht="13.5" thickTop="1">
      <c r="F46" s="361">
        <v>2011</v>
      </c>
      <c r="G46" s="362"/>
      <c r="H46" s="362"/>
      <c r="I46" s="363">
        <v>2012</v>
      </c>
      <c r="J46" s="364"/>
      <c r="K46" s="364"/>
      <c r="L46" s="365"/>
      <c r="M46" s="358">
        <v>2013</v>
      </c>
      <c r="N46" s="359"/>
      <c r="O46" s="374"/>
      <c r="P46" s="358">
        <v>2014</v>
      </c>
      <c r="Q46" s="359"/>
      <c r="R46" s="374"/>
    </row>
    <row r="47" spans="2:29">
      <c r="F47" s="151" t="s">
        <v>85</v>
      </c>
      <c r="G47" s="101" t="s">
        <v>64</v>
      </c>
      <c r="H47" s="112" t="s">
        <v>65</v>
      </c>
      <c r="I47" s="137" t="s">
        <v>85</v>
      </c>
      <c r="J47" s="66"/>
      <c r="K47" s="101" t="s">
        <v>64</v>
      </c>
      <c r="L47" s="112" t="s">
        <v>65</v>
      </c>
      <c r="M47" s="137" t="s">
        <v>85</v>
      </c>
      <c r="N47" s="101" t="s">
        <v>64</v>
      </c>
      <c r="O47" s="112" t="s">
        <v>65</v>
      </c>
      <c r="P47" s="137" t="s">
        <v>85</v>
      </c>
      <c r="Q47" s="101" t="s">
        <v>64</v>
      </c>
      <c r="R47" s="112" t="s">
        <v>65</v>
      </c>
    </row>
    <row r="48" spans="2:29">
      <c r="F48" s="105">
        <v>40591</v>
      </c>
      <c r="G48" s="97">
        <f>F48-W44</f>
        <v>155</v>
      </c>
      <c r="H48" s="113">
        <f>G48/30.5</f>
        <v>5.081967213114754</v>
      </c>
      <c r="I48" s="100">
        <v>40941</v>
      </c>
      <c r="J48" s="66"/>
      <c r="K48" s="97">
        <f>I48-F50</f>
        <v>137</v>
      </c>
      <c r="L48" s="113">
        <f>K48/30.5</f>
        <v>4.4918032786885247</v>
      </c>
      <c r="M48" s="100">
        <f t="shared" ref="M48:M50" ca="1" si="22">TODAY()</f>
        <v>41254</v>
      </c>
      <c r="N48" s="97">
        <f ca="1">M48-I50</f>
        <v>101</v>
      </c>
      <c r="O48" s="113">
        <f ca="1">N48/30.5</f>
        <v>3.3114754098360657</v>
      </c>
      <c r="P48" s="301">
        <f t="shared" ref="P48:P50" ca="1" si="23">TODAY()</f>
        <v>41254</v>
      </c>
      <c r="Q48" s="313">
        <f ca="1">P48-M50</f>
        <v>0</v>
      </c>
      <c r="R48" s="113">
        <f ca="1">Q48/30.5</f>
        <v>0</v>
      </c>
    </row>
    <row r="49" spans="6:18">
      <c r="F49" s="105">
        <v>40697</v>
      </c>
      <c r="G49" s="97">
        <f t="shared" ref="G49:G50" si="24">F49-F48</f>
        <v>106</v>
      </c>
      <c r="H49" s="113">
        <f t="shared" ref="H49:H50" si="25">G49/30.5</f>
        <v>3.4754098360655736</v>
      </c>
      <c r="I49" s="100">
        <v>41055</v>
      </c>
      <c r="J49" s="66"/>
      <c r="K49" s="97">
        <f>I49-I48</f>
        <v>114</v>
      </c>
      <c r="L49" s="113">
        <f>K49/30.5</f>
        <v>3.737704918032787</v>
      </c>
      <c r="M49" s="100">
        <f t="shared" ca="1" si="22"/>
        <v>41254</v>
      </c>
      <c r="N49" s="97">
        <f ca="1">M49-M48</f>
        <v>0</v>
      </c>
      <c r="O49" s="113">
        <f ca="1">N49/30.5</f>
        <v>0</v>
      </c>
      <c r="P49" s="301">
        <f t="shared" ca="1" si="23"/>
        <v>41254</v>
      </c>
      <c r="Q49" s="97">
        <f ca="1">P49-P48</f>
        <v>0</v>
      </c>
      <c r="R49" s="113">
        <f ca="1">Q49/30.5</f>
        <v>0</v>
      </c>
    </row>
    <row r="50" spans="6:18" ht="13.5" thickBot="1">
      <c r="F50" s="105">
        <v>40804</v>
      </c>
      <c r="G50" s="97">
        <f t="shared" si="24"/>
        <v>107</v>
      </c>
      <c r="H50" s="113">
        <f t="shared" si="25"/>
        <v>3.5081967213114753</v>
      </c>
      <c r="I50" s="100">
        <v>41153</v>
      </c>
      <c r="J50" s="66"/>
      <c r="K50" s="97">
        <f>I50-I49</f>
        <v>98</v>
      </c>
      <c r="L50" s="113">
        <f>K50/30.5</f>
        <v>3.2131147540983607</v>
      </c>
      <c r="M50" s="100">
        <f t="shared" ca="1" si="22"/>
        <v>41254</v>
      </c>
      <c r="N50" s="97">
        <f ca="1">M50-M49</f>
        <v>0</v>
      </c>
      <c r="O50" s="113">
        <f ca="1">N50/30.5</f>
        <v>0</v>
      </c>
      <c r="P50" s="302">
        <f t="shared" ca="1" si="23"/>
        <v>41254</v>
      </c>
      <c r="Q50" s="107">
        <f ca="1">P50-P49</f>
        <v>0</v>
      </c>
      <c r="R50" s="114">
        <f ca="1">Q50/30.5</f>
        <v>0</v>
      </c>
    </row>
    <row r="51" spans="6:18" ht="14.25" thickTop="1" thickBot="1">
      <c r="F51" s="106"/>
      <c r="G51" s="107"/>
      <c r="H51" s="114"/>
      <c r="I51" s="109"/>
      <c r="J51" s="157"/>
      <c r="K51" s="107"/>
      <c r="L51" s="114"/>
      <c r="M51" s="109"/>
      <c r="N51" s="107"/>
      <c r="O51" s="114"/>
    </row>
    <row r="52" spans="6:18" ht="13.5" thickTop="1"/>
  </sheetData>
  <mergeCells count="19">
    <mergeCell ref="D40:E40"/>
    <mergeCell ref="F40:H40"/>
    <mergeCell ref="I40:L40"/>
    <mergeCell ref="M40:O40"/>
    <mergeCell ref="P40:R40"/>
    <mergeCell ref="W40:Y40"/>
    <mergeCell ref="F46:H46"/>
    <mergeCell ref="S40:V40"/>
    <mergeCell ref="H39:J39"/>
    <mergeCell ref="K39:L39"/>
    <mergeCell ref="O39:P39"/>
    <mergeCell ref="I46:L46"/>
    <mergeCell ref="M46:O46"/>
    <mergeCell ref="P46:R46"/>
    <mergeCell ref="L1:M1"/>
    <mergeCell ref="G2:H2"/>
    <mergeCell ref="V9:X9"/>
    <mergeCell ref="S15:T15"/>
    <mergeCell ref="I37:K37"/>
  </mergeCells>
  <conditionalFormatting sqref="G3:H14">
    <cfRule type="expression" dxfId="1" priority="8">
      <formula>C3=""</formula>
    </cfRule>
  </conditionalFormatting>
  <conditionalFormatting sqref="E3:F14">
    <cfRule type="iconSet" priority="3">
      <iconSet iconSet="4TrafficLights" reverse="1">
        <cfvo type="percent" val="0"/>
        <cfvo type="num" val="150"/>
        <cfvo type="num" val="300"/>
        <cfvo type="num" val="600"/>
      </iconSet>
    </cfRule>
  </conditionalFormatting>
  <conditionalFormatting sqref="I3:I14">
    <cfRule type="iconSet" priority="2">
      <iconSet iconSet="4TrafficLights" reverse="1">
        <cfvo type="percent" val="0"/>
        <cfvo type="num" val="300"/>
        <cfvo type="num" val="600"/>
        <cfvo type="num" val="1200"/>
      </iconSet>
    </cfRule>
  </conditionalFormatting>
  <conditionalFormatting sqref="S15">
    <cfRule type="colorScale" priority="1">
      <colorScale>
        <cfvo type="num" val="700"/>
        <cfvo type="num" val="800"/>
        <cfvo type="num" val="90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AD52"/>
  <sheetViews>
    <sheetView workbookViewId="0">
      <selection activeCell="I3" sqref="I3:I14"/>
    </sheetView>
  </sheetViews>
  <sheetFormatPr baseColWidth="10" defaultColWidth="11.42578125" defaultRowHeight="12.75"/>
  <cols>
    <col min="2" max="2" width="0.42578125" customWidth="1"/>
    <col min="3" max="3" width="9.140625" customWidth="1"/>
    <col min="4" max="4" width="9.28515625" customWidth="1"/>
    <col min="5" max="5" width="10.42578125" customWidth="1"/>
    <col min="6" max="6" width="10.7109375" customWidth="1"/>
    <col min="7" max="8" width="6.140625" bestFit="1" customWidth="1"/>
    <col min="9" max="9" width="7.7109375" customWidth="1"/>
    <col min="10" max="10" width="6.140625" hidden="1" customWidth="1"/>
    <col min="11" max="11" width="7.7109375" customWidth="1"/>
    <col min="12" max="12" width="8.42578125" customWidth="1"/>
    <col min="13" max="13" width="8.140625" customWidth="1"/>
    <col min="14" max="14" width="10.140625" customWidth="1"/>
    <col min="15" max="15" width="7.7109375" customWidth="1"/>
    <col min="16" max="16" width="7.5703125" customWidth="1"/>
    <col min="17" max="18" width="7.85546875" customWidth="1"/>
    <col min="19" max="19" width="8.85546875" customWidth="1"/>
    <col min="20" max="20" width="7.5703125" bestFit="1" customWidth="1"/>
    <col min="21" max="21" width="8.85546875" customWidth="1"/>
    <col min="22" max="24" width="9.28515625" bestFit="1" customWidth="1"/>
    <col min="25" max="25" width="18" bestFit="1" customWidth="1"/>
    <col min="26" max="26" width="9.85546875" bestFit="1" customWidth="1"/>
    <col min="28" max="28" width="13.140625" customWidth="1"/>
  </cols>
  <sheetData>
    <row r="1" spans="1:30" ht="38.25" customHeight="1">
      <c r="A1" s="275" t="s">
        <v>1</v>
      </c>
      <c r="B1" s="272"/>
      <c r="C1" s="312" t="s">
        <v>2</v>
      </c>
      <c r="D1" s="312" t="s">
        <v>3</v>
      </c>
      <c r="E1" s="312" t="s">
        <v>4</v>
      </c>
      <c r="F1" s="312" t="s">
        <v>5</v>
      </c>
      <c r="G1" s="312" t="s">
        <v>21</v>
      </c>
      <c r="H1" s="312" t="s">
        <v>22</v>
      </c>
      <c r="I1" s="312" t="s">
        <v>13</v>
      </c>
      <c r="J1" s="312"/>
      <c r="K1" s="312" t="s">
        <v>37</v>
      </c>
      <c r="L1" s="350" t="s">
        <v>132</v>
      </c>
      <c r="M1" s="350"/>
      <c r="N1" s="19" t="s">
        <v>8</v>
      </c>
      <c r="O1" s="19" t="s">
        <v>36</v>
      </c>
      <c r="P1" s="24" t="s">
        <v>14</v>
      </c>
      <c r="Q1" s="24" t="s">
        <v>9</v>
      </c>
      <c r="R1" s="24" t="s">
        <v>10</v>
      </c>
      <c r="S1" s="26" t="s">
        <v>11</v>
      </c>
      <c r="T1" s="27" t="s">
        <v>12</v>
      </c>
      <c r="U1" s="270">
        <f>'2013'!V32</f>
        <v>-95.970000016236014</v>
      </c>
      <c r="V1" s="33" t="s">
        <v>61</v>
      </c>
      <c r="W1" s="33" t="s">
        <v>63</v>
      </c>
      <c r="X1" s="33" t="s">
        <v>62</v>
      </c>
      <c r="AB1" s="152"/>
      <c r="AC1" s="152" t="s">
        <v>89</v>
      </c>
    </row>
    <row r="2" spans="1:30" hidden="1">
      <c r="A2" s="278"/>
      <c r="B2" s="273">
        <v>41639</v>
      </c>
      <c r="C2" s="17">
        <f>'2012'!C14</f>
        <v>27686</v>
      </c>
      <c r="D2" s="17">
        <f>'2012'!D14</f>
        <v>29562</v>
      </c>
      <c r="E2" s="192">
        <f>'2012'!E14</f>
        <v>121</v>
      </c>
      <c r="F2" s="192">
        <f>'2012'!G14</f>
        <v>147</v>
      </c>
      <c r="G2" s="375">
        <f ca="1">TODAY()</f>
        <v>41254</v>
      </c>
      <c r="H2" s="376"/>
      <c r="I2" s="17">
        <f>E2+F2</f>
        <v>268</v>
      </c>
      <c r="J2" s="1"/>
      <c r="K2" s="1"/>
      <c r="L2" s="1"/>
      <c r="M2" s="1"/>
      <c r="N2" s="20"/>
      <c r="O2" s="20"/>
      <c r="P2" s="3"/>
      <c r="Q2" s="163">
        <f>AVERAGE(W4:W6)</f>
        <v>9.2600000000000002E-2</v>
      </c>
      <c r="R2" s="163">
        <f>AVERAGE(X4:X6)</f>
        <v>0.1353</v>
      </c>
      <c r="S2" s="1"/>
      <c r="T2" s="1"/>
      <c r="U2" s="261"/>
    </row>
    <row r="3" spans="1:30" ht="13.5" customHeight="1">
      <c r="A3" s="276" t="str">
        <f ca="1">IF($G$2&lt;=B2,"",IF($G$2&gt;B3,B3,$G$2))</f>
        <v/>
      </c>
      <c r="B3" s="273">
        <f>EOMONTH(B2,1)</f>
        <v>41670</v>
      </c>
      <c r="C3" s="1"/>
      <c r="D3" s="1"/>
      <c r="E3" s="17">
        <f>IF(C3-C2&lt;=0,0,C3-C2)</f>
        <v>0</v>
      </c>
      <c r="F3" s="17">
        <f t="shared" ref="F3:F14" si="0">IF(D3-D2&lt;=0,0.00000001,D3-D2)</f>
        <v>1E-8</v>
      </c>
      <c r="G3" s="158">
        <f>E3-'2011'!D3</f>
        <v>-476</v>
      </c>
      <c r="H3" s="158">
        <f>F3-'2011'!E3</f>
        <v>-570.99999998999999</v>
      </c>
      <c r="I3" s="17">
        <f>E3+F3</f>
        <v>1E-8</v>
      </c>
      <c r="J3" s="2">
        <f t="shared" ref="J3:J14" ca="1" si="1">IF($G$2&gt;B2,IF($G$2&gt;B3,B3-B2,$G$2-B2),1)</f>
        <v>1</v>
      </c>
      <c r="K3" s="3">
        <f ca="1">I3/J3</f>
        <v>1E-8</v>
      </c>
      <c r="L3" s="36">
        <f t="shared" ref="L3:L14" si="2">E3/I3</f>
        <v>0</v>
      </c>
      <c r="M3" s="36">
        <f t="shared" ref="M3:M14" si="3">F3/I3</f>
        <v>1</v>
      </c>
      <c r="N3" s="37" t="str">
        <f t="shared" ref="N3:N14" si="4">IF(E3=0,"",1/(I2/(I3-I2)))</f>
        <v/>
      </c>
      <c r="O3" s="37" t="str">
        <f>IF(E3=0,"",1/(I3/(I3-'2011'!H3)))</f>
        <v/>
      </c>
      <c r="P3" s="3">
        <f>$V$4/12</f>
        <v>7.9974999999999996</v>
      </c>
      <c r="Q3" s="3">
        <f>E3*$W$4</f>
        <v>0</v>
      </c>
      <c r="R3" s="3">
        <f>F3*$X$4</f>
        <v>1.353E-9</v>
      </c>
      <c r="S3" s="30">
        <f>SUM(P3:R3)</f>
        <v>7.997500001353</v>
      </c>
      <c r="T3" s="31">
        <f>S3</f>
        <v>7.997500001353</v>
      </c>
      <c r="U3" s="268">
        <f>Y26</f>
        <v>0</v>
      </c>
      <c r="V3" s="96">
        <f>(V6-V4)/V4</f>
        <v>-1</v>
      </c>
      <c r="W3" s="96">
        <f>(W6-W4)/W4</f>
        <v>-1</v>
      </c>
      <c r="X3" s="96">
        <f>(X6-X4)/X4</f>
        <v>-1</v>
      </c>
      <c r="AA3" s="91"/>
      <c r="AB3" s="147"/>
      <c r="AC3" s="147"/>
    </row>
    <row r="4" spans="1:30" ht="13.5" customHeight="1">
      <c r="A4" s="276" t="str">
        <f t="shared" ref="A4:A14" ca="1" si="5">IF($G$2&lt;=B3,"",IF($G$2&gt;B4,B4,$G$2))</f>
        <v/>
      </c>
      <c r="B4" s="273">
        <f t="shared" ref="B4:B14" si="6">EOMONTH(B3,1)</f>
        <v>41698</v>
      </c>
      <c r="C4" s="1"/>
      <c r="D4" s="1"/>
      <c r="E4" s="17">
        <f>IF(C4-C3&lt;=0,0,C4-C3)</f>
        <v>0</v>
      </c>
      <c r="F4" s="17">
        <f t="shared" si="0"/>
        <v>1E-8</v>
      </c>
      <c r="G4" s="158">
        <f>E4-'2011'!D4</f>
        <v>-501</v>
      </c>
      <c r="H4" s="158">
        <f>F4-'2011'!E4</f>
        <v>-563.99999998999999</v>
      </c>
      <c r="I4" s="17">
        <f t="shared" ref="I4:I14" si="7">E4+F4</f>
        <v>1E-8</v>
      </c>
      <c r="J4" s="2">
        <f t="shared" ca="1" si="1"/>
        <v>1</v>
      </c>
      <c r="K4" s="3">
        <f ca="1">I4/(J4+J3)</f>
        <v>5.0000000000000001E-9</v>
      </c>
      <c r="L4" s="36">
        <f t="shared" si="2"/>
        <v>0</v>
      </c>
      <c r="M4" s="36">
        <f t="shared" si="3"/>
        <v>1</v>
      </c>
      <c r="N4" s="37" t="str">
        <f t="shared" si="4"/>
        <v/>
      </c>
      <c r="O4" s="37" t="str">
        <f>IF(E4=0,"",1/(I4/(I4-'2011'!H4)))</f>
        <v/>
      </c>
      <c r="P4" s="3">
        <f t="shared" ref="P4:P14" si="8">$V$4/12</f>
        <v>7.9974999999999996</v>
      </c>
      <c r="Q4" s="3">
        <f t="shared" ref="Q4:Q14" si="9">E4*$W$4</f>
        <v>0</v>
      </c>
      <c r="R4" s="3">
        <f t="shared" ref="R4:R14" si="10">F4*$X$4</f>
        <v>1.353E-9</v>
      </c>
      <c r="S4" s="30">
        <f>SUM(P4:R4)</f>
        <v>7.997500001353</v>
      </c>
      <c r="T4" s="31">
        <f t="shared" ref="T4:T14" si="11">T3+S4</f>
        <v>15.995000002706</v>
      </c>
      <c r="U4" s="269">
        <f>(U3+U1)-T4</f>
        <v>-111.96500001894202</v>
      </c>
      <c r="V4" s="267">
        <v>95.97</v>
      </c>
      <c r="W4" s="162">
        <v>9.2600000000000002E-2</v>
      </c>
      <c r="X4" s="162">
        <v>0.1353</v>
      </c>
      <c r="Y4" s="122">
        <v>41113</v>
      </c>
      <c r="AA4" s="91"/>
      <c r="AB4" s="147"/>
      <c r="AC4" s="147"/>
      <c r="AD4" s="153">
        <f>AA4-AA3</f>
        <v>0</v>
      </c>
    </row>
    <row r="5" spans="1:30" ht="13.5" customHeight="1">
      <c r="A5" s="276" t="str">
        <f t="shared" ca="1" si="5"/>
        <v/>
      </c>
      <c r="B5" s="273">
        <f t="shared" si="6"/>
        <v>41729</v>
      </c>
      <c r="C5" s="35"/>
      <c r="D5" s="35"/>
      <c r="E5" s="17">
        <f>IF(C5-C4&lt;=0,0,C5-C4)</f>
        <v>0</v>
      </c>
      <c r="F5" s="17">
        <f t="shared" si="0"/>
        <v>1E-8</v>
      </c>
      <c r="G5" s="158">
        <f>E5-'2011'!D5</f>
        <v>-457</v>
      </c>
      <c r="H5" s="158">
        <f>F5-'2011'!E5</f>
        <v>-498.99999998999999</v>
      </c>
      <c r="I5" s="17">
        <f t="shared" si="7"/>
        <v>1E-8</v>
      </c>
      <c r="J5" s="2">
        <f t="shared" ca="1" si="1"/>
        <v>1</v>
      </c>
      <c r="K5" s="3">
        <f ca="1">I5/(J5+J4)</f>
        <v>5.0000000000000001E-9</v>
      </c>
      <c r="L5" s="36">
        <f t="shared" si="2"/>
        <v>0</v>
      </c>
      <c r="M5" s="36">
        <f t="shared" si="3"/>
        <v>1</v>
      </c>
      <c r="N5" s="37" t="str">
        <f t="shared" si="4"/>
        <v/>
      </c>
      <c r="O5" s="37" t="str">
        <f>IF(E5=0,"",1/(I5/(I5-'2011'!H5)))</f>
        <v/>
      </c>
      <c r="P5" s="3">
        <f t="shared" si="8"/>
        <v>7.9974999999999996</v>
      </c>
      <c r="Q5" s="3">
        <f t="shared" si="9"/>
        <v>0</v>
      </c>
      <c r="R5" s="3">
        <f t="shared" si="10"/>
        <v>1.353E-9</v>
      </c>
      <c r="S5" s="30">
        <f>SUM(P5:R5)</f>
        <v>7.997500001353</v>
      </c>
      <c r="T5" s="31">
        <f t="shared" si="11"/>
        <v>23.992500004059</v>
      </c>
      <c r="U5" s="268"/>
      <c r="V5" s="150"/>
      <c r="W5" s="149"/>
      <c r="X5" s="149"/>
      <c r="Y5" s="122"/>
      <c r="AA5" s="91"/>
      <c r="AB5" s="147"/>
      <c r="AC5" s="147"/>
      <c r="AD5" s="153">
        <f>AA5-AA4</f>
        <v>0</v>
      </c>
    </row>
    <row r="6" spans="1:30" ht="13.5" customHeight="1">
      <c r="A6" s="276" t="str">
        <f t="shared" ca="1" si="5"/>
        <v/>
      </c>
      <c r="B6" s="273">
        <f t="shared" si="6"/>
        <v>41759</v>
      </c>
      <c r="C6" s="35"/>
      <c r="D6" s="35"/>
      <c r="E6" s="17">
        <f t="shared" ref="E6:E14" si="12">IF(C6-C5&lt;=0,0,C6-C5)</f>
        <v>0</v>
      </c>
      <c r="F6" s="17">
        <f t="shared" si="0"/>
        <v>1E-8</v>
      </c>
      <c r="G6" s="158">
        <f>E6-'2011'!D6</f>
        <v>-178</v>
      </c>
      <c r="H6" s="158">
        <f>F6-'2011'!E6</f>
        <v>-116.99999999000001</v>
      </c>
      <c r="I6" s="17">
        <f t="shared" si="7"/>
        <v>1E-8</v>
      </c>
      <c r="J6" s="2">
        <f t="shared" ca="1" si="1"/>
        <v>1</v>
      </c>
      <c r="K6" s="3">
        <f t="shared" ref="K6:K14" ca="1" si="13">I6/J6</f>
        <v>1E-8</v>
      </c>
      <c r="L6" s="36">
        <f t="shared" si="2"/>
        <v>0</v>
      </c>
      <c r="M6" s="36">
        <f t="shared" si="3"/>
        <v>1</v>
      </c>
      <c r="N6" s="37" t="str">
        <f t="shared" si="4"/>
        <v/>
      </c>
      <c r="O6" s="37" t="str">
        <f>IF(E6=0,"",1/(I6/(I6-'2011'!H6)))</f>
        <v/>
      </c>
      <c r="P6" s="3">
        <f t="shared" si="8"/>
        <v>7.9974999999999996</v>
      </c>
      <c r="Q6" s="3">
        <f t="shared" si="9"/>
        <v>0</v>
      </c>
      <c r="R6" s="3">
        <f t="shared" si="10"/>
        <v>1.353E-9</v>
      </c>
      <c r="S6" s="30">
        <f t="shared" ref="S6:S14" si="14">SUM(P6:R6)</f>
        <v>7.997500001353</v>
      </c>
      <c r="T6" s="31">
        <f t="shared" si="11"/>
        <v>31.990000005412</v>
      </c>
      <c r="U6" s="269">
        <f>($U$5+$U$3+U1)-T6</f>
        <v>-127.96000002164801</v>
      </c>
      <c r="V6" s="161"/>
      <c r="W6" s="162"/>
      <c r="X6" s="162"/>
      <c r="Y6" s="122"/>
      <c r="AA6" s="91"/>
      <c r="AB6" s="147"/>
      <c r="AC6" s="147"/>
      <c r="AD6" s="153">
        <f>AA6-AA5</f>
        <v>0</v>
      </c>
    </row>
    <row r="7" spans="1:30" ht="13.5" customHeight="1">
      <c r="A7" s="276" t="str">
        <f t="shared" ca="1" si="5"/>
        <v/>
      </c>
      <c r="B7" s="273">
        <f t="shared" si="6"/>
        <v>41790</v>
      </c>
      <c r="C7" s="35"/>
      <c r="D7" s="35"/>
      <c r="E7" s="17">
        <f t="shared" si="12"/>
        <v>0</v>
      </c>
      <c r="F7" s="17">
        <f t="shared" si="0"/>
        <v>1E-8</v>
      </c>
      <c r="G7" s="158">
        <f>E7-'2011'!D7</f>
        <v>-148</v>
      </c>
      <c r="H7" s="158">
        <f>F7-'2011'!E7</f>
        <v>-112.99999999000001</v>
      </c>
      <c r="I7" s="17">
        <f t="shared" si="7"/>
        <v>1E-8</v>
      </c>
      <c r="J7" s="2">
        <f t="shared" ca="1" si="1"/>
        <v>1</v>
      </c>
      <c r="K7" s="3">
        <f t="shared" ca="1" si="13"/>
        <v>1E-8</v>
      </c>
      <c r="L7" s="36">
        <f t="shared" si="2"/>
        <v>0</v>
      </c>
      <c r="M7" s="36">
        <f t="shared" si="3"/>
        <v>1</v>
      </c>
      <c r="N7" s="37" t="str">
        <f t="shared" si="4"/>
        <v/>
      </c>
      <c r="O7" s="37" t="str">
        <f>IF(E7=0,"",1/(I7/(I7-'2011'!H7)))</f>
        <v/>
      </c>
      <c r="P7" s="3">
        <f t="shared" si="8"/>
        <v>7.9974999999999996</v>
      </c>
      <c r="Q7" s="3">
        <f t="shared" si="9"/>
        <v>0</v>
      </c>
      <c r="R7" s="3">
        <f t="shared" si="10"/>
        <v>1.353E-9</v>
      </c>
      <c r="S7" s="30">
        <f t="shared" si="14"/>
        <v>7.997500001353</v>
      </c>
      <c r="T7" s="31">
        <f t="shared" si="11"/>
        <v>39.987500006765003</v>
      </c>
      <c r="U7" s="268"/>
      <c r="AA7" s="91"/>
      <c r="AB7" s="147"/>
      <c r="AC7" s="147"/>
      <c r="AD7" s="153">
        <f t="shared" ref="AD7:AD12" si="15">AA7-AA6</f>
        <v>0</v>
      </c>
    </row>
    <row r="8" spans="1:30" ht="13.5" customHeight="1">
      <c r="A8" s="276" t="str">
        <f t="shared" ca="1" si="5"/>
        <v/>
      </c>
      <c r="B8" s="273">
        <f t="shared" si="6"/>
        <v>41820</v>
      </c>
      <c r="C8" s="72"/>
      <c r="D8" s="35"/>
      <c r="E8" s="17">
        <f t="shared" si="12"/>
        <v>0</v>
      </c>
      <c r="F8" s="17">
        <f t="shared" si="0"/>
        <v>1E-8</v>
      </c>
      <c r="G8" s="158">
        <f>E8-'2011'!D8</f>
        <v>-132</v>
      </c>
      <c r="H8" s="158">
        <f>F8-'2011'!E8</f>
        <v>-108.99999999000001</v>
      </c>
      <c r="I8" s="17">
        <f t="shared" si="7"/>
        <v>1E-8</v>
      </c>
      <c r="J8" s="2">
        <f t="shared" ca="1" si="1"/>
        <v>1</v>
      </c>
      <c r="K8" s="3">
        <f t="shared" ca="1" si="13"/>
        <v>1E-8</v>
      </c>
      <c r="L8" s="36">
        <f t="shared" si="2"/>
        <v>0</v>
      </c>
      <c r="M8" s="36">
        <f t="shared" si="3"/>
        <v>1</v>
      </c>
      <c r="N8" s="37" t="str">
        <f t="shared" si="4"/>
        <v/>
      </c>
      <c r="O8" s="37" t="str">
        <f>IF(E8=0,"",1/(I8/(I8-'2011'!H8)))</f>
        <v/>
      </c>
      <c r="P8" s="3">
        <f t="shared" si="8"/>
        <v>7.9974999999999996</v>
      </c>
      <c r="Q8" s="3">
        <f t="shared" si="9"/>
        <v>0</v>
      </c>
      <c r="R8" s="3">
        <f t="shared" si="10"/>
        <v>1.353E-9</v>
      </c>
      <c r="S8" s="30">
        <f t="shared" si="14"/>
        <v>7.997500001353</v>
      </c>
      <c r="T8" s="31">
        <f t="shared" si="11"/>
        <v>47.985000008118007</v>
      </c>
      <c r="U8" s="269">
        <f>($U$5+$U$3+$U$7+U1)-T8</f>
        <v>-143.95500002435404</v>
      </c>
      <c r="AA8" s="91"/>
      <c r="AB8" s="147"/>
      <c r="AC8" s="147"/>
      <c r="AD8" s="153">
        <f t="shared" si="15"/>
        <v>0</v>
      </c>
    </row>
    <row r="9" spans="1:30" ht="13.5" customHeight="1">
      <c r="A9" s="276" t="str">
        <f t="shared" ca="1" si="5"/>
        <v/>
      </c>
      <c r="B9" s="273">
        <f t="shared" si="6"/>
        <v>41851</v>
      </c>
      <c r="C9" s="72"/>
      <c r="D9" s="35"/>
      <c r="E9" s="17">
        <f t="shared" si="12"/>
        <v>0</v>
      </c>
      <c r="F9" s="17">
        <f t="shared" si="0"/>
        <v>1E-8</v>
      </c>
      <c r="G9" s="158">
        <f>E9-'2011'!D9</f>
        <v>-134</v>
      </c>
      <c r="H9" s="158">
        <f>F9-'2011'!E9</f>
        <v>-126.99999999000001</v>
      </c>
      <c r="I9" s="17">
        <f t="shared" si="7"/>
        <v>1E-8</v>
      </c>
      <c r="J9" s="2">
        <f t="shared" ca="1" si="1"/>
        <v>1</v>
      </c>
      <c r="K9" s="3">
        <f t="shared" ca="1" si="13"/>
        <v>1E-8</v>
      </c>
      <c r="L9" s="36">
        <f t="shared" si="2"/>
        <v>0</v>
      </c>
      <c r="M9" s="36">
        <f t="shared" si="3"/>
        <v>1</v>
      </c>
      <c r="N9" s="37" t="str">
        <f t="shared" si="4"/>
        <v/>
      </c>
      <c r="O9" s="37" t="str">
        <f>IF(E9=0,"",1/(I9/(I9-'2011'!H9)))</f>
        <v/>
      </c>
      <c r="P9" s="3">
        <f t="shared" si="8"/>
        <v>7.9974999999999996</v>
      </c>
      <c r="Q9" s="3">
        <f t="shared" si="9"/>
        <v>0</v>
      </c>
      <c r="R9" s="3">
        <f t="shared" si="10"/>
        <v>1.353E-9</v>
      </c>
      <c r="S9" s="30">
        <f t="shared" si="14"/>
        <v>7.997500001353</v>
      </c>
      <c r="T9" s="31">
        <f t="shared" si="11"/>
        <v>55.982500009471011</v>
      </c>
      <c r="U9" s="268"/>
      <c r="V9" s="354" t="s">
        <v>59</v>
      </c>
      <c r="W9" s="355"/>
      <c r="X9" s="355"/>
      <c r="Y9" s="124"/>
      <c r="Z9" s="32"/>
      <c r="AA9" s="91"/>
      <c r="AB9" s="169"/>
      <c r="AC9" s="169"/>
      <c r="AD9" s="153">
        <f t="shared" si="15"/>
        <v>0</v>
      </c>
    </row>
    <row r="10" spans="1:30" ht="13.5" customHeight="1">
      <c r="A10" s="276" t="str">
        <f t="shared" ca="1" si="5"/>
        <v/>
      </c>
      <c r="B10" s="273">
        <f t="shared" si="6"/>
        <v>41882</v>
      </c>
      <c r="C10" s="72"/>
      <c r="D10" s="35"/>
      <c r="E10" s="17">
        <f t="shared" si="12"/>
        <v>0</v>
      </c>
      <c r="F10" s="17">
        <f t="shared" si="0"/>
        <v>1E-8</v>
      </c>
      <c r="G10" s="158">
        <f>E10-'2011'!D10</f>
        <v>-135</v>
      </c>
      <c r="H10" s="158">
        <f>F10-'2011'!E10</f>
        <v>-133.99999998999999</v>
      </c>
      <c r="I10" s="17">
        <f t="shared" si="7"/>
        <v>1E-8</v>
      </c>
      <c r="J10" s="2">
        <f t="shared" ca="1" si="1"/>
        <v>1</v>
      </c>
      <c r="K10" s="3">
        <f t="shared" ca="1" si="13"/>
        <v>1E-8</v>
      </c>
      <c r="L10" s="36">
        <f t="shared" si="2"/>
        <v>0</v>
      </c>
      <c r="M10" s="36">
        <f t="shared" si="3"/>
        <v>1</v>
      </c>
      <c r="N10" s="37" t="str">
        <f t="shared" si="4"/>
        <v/>
      </c>
      <c r="O10" s="37" t="str">
        <f>IF(E10=0,"",1/(I10/(I10-'2011'!H10)))</f>
        <v/>
      </c>
      <c r="P10" s="3">
        <f t="shared" si="8"/>
        <v>7.9974999999999996</v>
      </c>
      <c r="Q10" s="3">
        <f t="shared" si="9"/>
        <v>0</v>
      </c>
      <c r="R10" s="3">
        <f t="shared" si="10"/>
        <v>1.353E-9</v>
      </c>
      <c r="S10" s="30">
        <f t="shared" si="14"/>
        <v>7.997500001353</v>
      </c>
      <c r="T10" s="31">
        <f t="shared" si="11"/>
        <v>63.980000010824014</v>
      </c>
      <c r="U10" s="269">
        <f>($U$5+$U$3+$U$7+$U$9+U1)-T10</f>
        <v>-159.95000002706001</v>
      </c>
      <c r="V10">
        <v>2006</v>
      </c>
      <c r="W10" s="93">
        <v>121</v>
      </c>
      <c r="X10" s="259">
        <f t="shared" ref="X10:X14" si="16">(W10*1000)/365</f>
        <v>331.50684931506851</v>
      </c>
      <c r="Y10" s="32"/>
      <c r="Z10" s="32"/>
      <c r="AA10" s="91"/>
      <c r="AB10" s="169"/>
      <c r="AC10" s="169"/>
      <c r="AD10" s="153">
        <f t="shared" si="15"/>
        <v>0</v>
      </c>
    </row>
    <row r="11" spans="1:30" ht="13.5" customHeight="1">
      <c r="A11" s="276" t="str">
        <f t="shared" ca="1" si="5"/>
        <v/>
      </c>
      <c r="B11" s="273">
        <f t="shared" si="6"/>
        <v>41912</v>
      </c>
      <c r="C11" s="35"/>
      <c r="D11" s="35"/>
      <c r="E11" s="17">
        <f t="shared" si="12"/>
        <v>0</v>
      </c>
      <c r="F11" s="17">
        <f t="shared" si="0"/>
        <v>1E-8</v>
      </c>
      <c r="G11" s="158">
        <f>E11-'2011'!D11</f>
        <v>-153</v>
      </c>
      <c r="H11" s="158">
        <f>F11-'2011'!E11</f>
        <v>-125.99999999000001</v>
      </c>
      <c r="I11" s="17">
        <f t="shared" si="7"/>
        <v>1E-8</v>
      </c>
      <c r="J11" s="2">
        <f t="shared" ca="1" si="1"/>
        <v>1</v>
      </c>
      <c r="K11" s="3">
        <f t="shared" ca="1" si="13"/>
        <v>1E-8</v>
      </c>
      <c r="L11" s="36">
        <f t="shared" si="2"/>
        <v>0</v>
      </c>
      <c r="M11" s="36">
        <f t="shared" si="3"/>
        <v>1</v>
      </c>
      <c r="N11" s="37" t="str">
        <f t="shared" si="4"/>
        <v/>
      </c>
      <c r="O11" s="37" t="str">
        <f>IF(E11=0,"",1/(I11/(I11-'2011'!H11)))</f>
        <v/>
      </c>
      <c r="P11" s="3">
        <f t="shared" si="8"/>
        <v>7.9974999999999996</v>
      </c>
      <c r="Q11" s="3">
        <f t="shared" si="9"/>
        <v>0</v>
      </c>
      <c r="R11" s="3">
        <f t="shared" si="10"/>
        <v>1.353E-9</v>
      </c>
      <c r="S11" s="30">
        <f t="shared" si="14"/>
        <v>7.997500001353</v>
      </c>
      <c r="T11" s="31">
        <f t="shared" si="11"/>
        <v>71.977500012177018</v>
      </c>
      <c r="U11" s="268"/>
      <c r="V11">
        <v>2007</v>
      </c>
      <c r="W11" s="93">
        <v>118</v>
      </c>
      <c r="X11" s="259">
        <f t="shared" si="16"/>
        <v>323.28767123287673</v>
      </c>
      <c r="Z11" s="32"/>
      <c r="AA11" s="91"/>
      <c r="AB11" s="169"/>
      <c r="AC11" s="169"/>
      <c r="AD11" s="153">
        <f t="shared" si="15"/>
        <v>0</v>
      </c>
    </row>
    <row r="12" spans="1:30" ht="13.5" customHeight="1">
      <c r="A12" s="276" t="str">
        <f t="shared" ca="1" si="5"/>
        <v/>
      </c>
      <c r="B12" s="273">
        <f t="shared" si="6"/>
        <v>41943</v>
      </c>
      <c r="C12" s="72"/>
      <c r="D12" s="35"/>
      <c r="E12" s="17">
        <f t="shared" si="12"/>
        <v>0</v>
      </c>
      <c r="F12" s="17">
        <f t="shared" si="0"/>
        <v>1E-8</v>
      </c>
      <c r="G12" s="158">
        <f>E12-'2011'!D12</f>
        <v>-160</v>
      </c>
      <c r="H12" s="158">
        <f>F12-'2011'!E12</f>
        <v>-126.99999999000001</v>
      </c>
      <c r="I12" s="17">
        <f t="shared" si="7"/>
        <v>1E-8</v>
      </c>
      <c r="J12" s="2">
        <f t="shared" ca="1" si="1"/>
        <v>1</v>
      </c>
      <c r="K12" s="3">
        <f t="shared" ca="1" si="13"/>
        <v>1E-8</v>
      </c>
      <c r="L12" s="36">
        <f t="shared" si="2"/>
        <v>0</v>
      </c>
      <c r="M12" s="36">
        <f t="shared" si="3"/>
        <v>1</v>
      </c>
      <c r="N12" s="37" t="str">
        <f t="shared" si="4"/>
        <v/>
      </c>
      <c r="O12" s="37" t="str">
        <f>IF(E12=0,"",1/(I12/(I12-'2011'!H12)))</f>
        <v/>
      </c>
      <c r="P12" s="3">
        <f t="shared" si="8"/>
        <v>7.9974999999999996</v>
      </c>
      <c r="Q12" s="3">
        <f t="shared" si="9"/>
        <v>0</v>
      </c>
      <c r="R12" s="3">
        <f t="shared" si="10"/>
        <v>1.353E-9</v>
      </c>
      <c r="S12" s="30">
        <f t="shared" si="14"/>
        <v>7.997500001353</v>
      </c>
      <c r="T12" s="31">
        <f t="shared" si="11"/>
        <v>79.975000013530021</v>
      </c>
      <c r="U12" s="269">
        <f>($U$5+$U$3+$U$7+$U$9+$U$11+U1)-T12</f>
        <v>-175.94500002976605</v>
      </c>
      <c r="V12">
        <v>2008</v>
      </c>
      <c r="W12" s="93">
        <v>116</v>
      </c>
      <c r="X12" s="259">
        <f t="shared" si="16"/>
        <v>317.8082191780822</v>
      </c>
      <c r="Y12" s="143"/>
      <c r="Z12" s="32"/>
      <c r="AA12" s="91"/>
      <c r="AB12" s="169"/>
      <c r="AC12" s="169"/>
      <c r="AD12" s="153">
        <f t="shared" si="15"/>
        <v>0</v>
      </c>
    </row>
    <row r="13" spans="1:30" ht="13.5" customHeight="1">
      <c r="A13" s="276" t="str">
        <f t="shared" ca="1" si="5"/>
        <v/>
      </c>
      <c r="B13" s="273">
        <f t="shared" si="6"/>
        <v>41973</v>
      </c>
      <c r="C13" s="72"/>
      <c r="D13" s="35"/>
      <c r="E13" s="17">
        <f t="shared" si="12"/>
        <v>0</v>
      </c>
      <c r="F13" s="17">
        <f t="shared" si="0"/>
        <v>1E-8</v>
      </c>
      <c r="G13" s="158">
        <f>E13-'2011'!D13</f>
        <v>-194</v>
      </c>
      <c r="H13" s="158">
        <f>F13-'2011'!E13</f>
        <v>-119.99999999000001</v>
      </c>
      <c r="I13" s="17">
        <f t="shared" si="7"/>
        <v>1E-8</v>
      </c>
      <c r="J13" s="2">
        <f t="shared" ca="1" si="1"/>
        <v>1</v>
      </c>
      <c r="K13" s="3">
        <f t="shared" ca="1" si="13"/>
        <v>1E-8</v>
      </c>
      <c r="L13" s="36">
        <f t="shared" si="2"/>
        <v>0</v>
      </c>
      <c r="M13" s="36">
        <f t="shared" si="3"/>
        <v>1</v>
      </c>
      <c r="N13" s="37" t="str">
        <f t="shared" si="4"/>
        <v/>
      </c>
      <c r="O13" s="37" t="str">
        <f>IF(E13=0,"",1/(I13/(I13-'2011'!H13)))</f>
        <v/>
      </c>
      <c r="P13" s="3">
        <f t="shared" si="8"/>
        <v>7.9974999999999996</v>
      </c>
      <c r="Q13" s="3">
        <f t="shared" si="9"/>
        <v>0</v>
      </c>
      <c r="R13" s="3">
        <f t="shared" si="10"/>
        <v>1.353E-9</v>
      </c>
      <c r="S13" s="30">
        <f t="shared" si="14"/>
        <v>7.997500001353</v>
      </c>
      <c r="T13" s="31">
        <f t="shared" si="11"/>
        <v>87.972500014883025</v>
      </c>
      <c r="U13" s="268"/>
      <c r="V13">
        <v>2009</v>
      </c>
      <c r="W13" s="93">
        <v>100</v>
      </c>
      <c r="X13" s="259">
        <f t="shared" si="16"/>
        <v>273.97260273972603</v>
      </c>
      <c r="Z13" s="32"/>
      <c r="AA13" s="91"/>
      <c r="AB13" s="169"/>
      <c r="AC13" s="169">
        <v>20.45</v>
      </c>
      <c r="AD13" s="153"/>
    </row>
    <row r="14" spans="1:30" ht="13.5" customHeight="1" thickBot="1">
      <c r="A14" s="276" t="str">
        <f t="shared" ca="1" si="5"/>
        <v/>
      </c>
      <c r="B14" s="273">
        <f t="shared" si="6"/>
        <v>42004</v>
      </c>
      <c r="C14" s="72"/>
      <c r="D14" s="35"/>
      <c r="E14" s="17">
        <f t="shared" si="12"/>
        <v>0</v>
      </c>
      <c r="F14" s="17">
        <f t="shared" si="0"/>
        <v>1E-8</v>
      </c>
      <c r="G14" s="158">
        <f>E14-'2011'!D14</f>
        <v>-246</v>
      </c>
      <c r="H14" s="158">
        <f>F14-'2011'!E14</f>
        <v>-170.99999998999999</v>
      </c>
      <c r="I14" s="17">
        <f t="shared" si="7"/>
        <v>1E-8</v>
      </c>
      <c r="J14" s="2">
        <f t="shared" ca="1" si="1"/>
        <v>1</v>
      </c>
      <c r="K14" s="9">
        <f t="shared" ca="1" si="13"/>
        <v>1E-8</v>
      </c>
      <c r="L14" s="38">
        <f t="shared" si="2"/>
        <v>0</v>
      </c>
      <c r="M14" s="38">
        <f t="shared" si="3"/>
        <v>1</v>
      </c>
      <c r="N14" s="37" t="str">
        <f t="shared" si="4"/>
        <v/>
      </c>
      <c r="O14" s="37" t="str">
        <f>IF(E14=0,"",1/(I14/(I14-'2011'!H14)))</f>
        <v/>
      </c>
      <c r="P14" s="3">
        <f t="shared" si="8"/>
        <v>7.9974999999999996</v>
      </c>
      <c r="Q14" s="3">
        <f t="shared" si="9"/>
        <v>0</v>
      </c>
      <c r="R14" s="3">
        <f t="shared" si="10"/>
        <v>1.353E-9</v>
      </c>
      <c r="S14" s="30">
        <f t="shared" si="14"/>
        <v>7.997500001353</v>
      </c>
      <c r="T14" s="31">
        <f t="shared" si="11"/>
        <v>95.970000016236028</v>
      </c>
      <c r="U14" s="269">
        <f>($U$5+$U$3+$U$7+$U$9+$U$11+$U$13+U1)-T14</f>
        <v>-191.94000003247203</v>
      </c>
      <c r="V14">
        <v>2010</v>
      </c>
      <c r="W14" s="93">
        <v>86</v>
      </c>
      <c r="X14" s="259">
        <f t="shared" si="16"/>
        <v>235.61643835616439</v>
      </c>
      <c r="Y14" s="147">
        <v>271.33</v>
      </c>
      <c r="Z14" s="148">
        <f>Y14/W14</f>
        <v>3.1549999999999998</v>
      </c>
      <c r="AA14" s="91"/>
      <c r="AB14" s="169"/>
      <c r="AC14" s="169"/>
      <c r="AD14" s="153">
        <f>AA14-AA12</f>
        <v>0</v>
      </c>
    </row>
    <row r="15" spans="1:30" ht="13.5" customHeight="1" thickTop="1" thickBot="1">
      <c r="A15" s="277" t="s">
        <v>0</v>
      </c>
      <c r="B15" s="274"/>
      <c r="C15" s="92">
        <f>'2012'!K15</f>
        <v>4467</v>
      </c>
      <c r="D15" s="18">
        <f>E15+F15</f>
        <v>1.1999999999999999E-7</v>
      </c>
      <c r="E15" s="18">
        <f>SUM(E3:E14)</f>
        <v>0</v>
      </c>
      <c r="F15" s="18">
        <f>SUM(F3:F14)</f>
        <v>1.1999999999999999E-7</v>
      </c>
      <c r="G15" s="310">
        <f>D15/12</f>
        <v>9.9999999999999986E-9</v>
      </c>
      <c r="H15" s="311" t="str">
        <f>" / mois"</f>
        <v xml:space="preserve"> / mois</v>
      </c>
      <c r="I15" s="18">
        <f>SUM(I3:I14)</f>
        <v>1.1999999999999999E-7</v>
      </c>
      <c r="J15" s="14"/>
      <c r="K15" s="15">
        <f ca="1">AVERAGE(K3:K14)</f>
        <v>9.1666666666666644E-9</v>
      </c>
      <c r="L15" s="16">
        <f>E15/I15</f>
        <v>0</v>
      </c>
      <c r="M15" s="16">
        <f>F15/I15</f>
        <v>1</v>
      </c>
      <c r="N15" s="16"/>
      <c r="O15" s="299">
        <f>1/(C15/(D15-C15))</f>
        <v>-0.99999999997313638</v>
      </c>
      <c r="P15" s="15">
        <f>SUM(P3:P14)</f>
        <v>95.970000000000013</v>
      </c>
      <c r="Q15" s="15">
        <f>SUM(Q3:Q14)</f>
        <v>0</v>
      </c>
      <c r="R15" s="15">
        <f>SUM(R3:R14)</f>
        <v>1.6236000000000004E-8</v>
      </c>
      <c r="S15" s="356">
        <f>SUM(P15:R15)</f>
        <v>95.970000016236014</v>
      </c>
      <c r="T15" s="357"/>
      <c r="U15" s="262"/>
      <c r="V15">
        <v>2011</v>
      </c>
      <c r="W15" s="93">
        <v>81</v>
      </c>
      <c r="X15" s="259">
        <f>(W15*1000)/365</f>
        <v>221.91780821917808</v>
      </c>
      <c r="Y15" s="147">
        <v>272.49</v>
      </c>
      <c r="Z15" s="148">
        <f>Y15/W15</f>
        <v>3.364074074074074</v>
      </c>
      <c r="AA15" s="91"/>
      <c r="AB15" s="169"/>
      <c r="AC15" s="169"/>
      <c r="AD15" s="153">
        <f>AA15-AA14</f>
        <v>0</v>
      </c>
    </row>
    <row r="16" spans="1:30">
      <c r="V16">
        <v>2012</v>
      </c>
      <c r="W16" s="93">
        <v>1</v>
      </c>
      <c r="X16" s="259">
        <f t="shared" ref="X16:X17" si="17">(W16*1000)/365</f>
        <v>2.7397260273972601</v>
      </c>
      <c r="Y16" s="147">
        <v>1</v>
      </c>
      <c r="Z16" s="148">
        <f>Y16/W16</f>
        <v>1</v>
      </c>
      <c r="AA16" s="91"/>
      <c r="AB16" s="169"/>
      <c r="AC16" s="169"/>
      <c r="AD16" s="153">
        <f t="shared" ref="AD16" si="18">AA16-AA14</f>
        <v>0</v>
      </c>
    </row>
    <row r="17" spans="13:30">
      <c r="V17">
        <v>2013</v>
      </c>
      <c r="W17" s="93">
        <v>1</v>
      </c>
      <c r="X17" s="259">
        <f t="shared" si="17"/>
        <v>2.7397260273972601</v>
      </c>
      <c r="Y17" s="147">
        <v>1</v>
      </c>
      <c r="Z17" s="148">
        <f>Y17/W17</f>
        <v>1</v>
      </c>
      <c r="AA17" s="91"/>
      <c r="AB17" s="169"/>
      <c r="AC17" s="169"/>
      <c r="AD17" s="153">
        <f t="shared" ref="AD17" si="19">AA17-AA16</f>
        <v>0</v>
      </c>
    </row>
    <row r="18" spans="13:30">
      <c r="V18">
        <v>2014</v>
      </c>
      <c r="W18" s="93">
        <v>1</v>
      </c>
      <c r="X18" s="259">
        <f>(W18*1000)/365</f>
        <v>2.7397260273972601</v>
      </c>
      <c r="Y18" s="147">
        <v>1</v>
      </c>
      <c r="Z18" s="148">
        <f>Y18/W18</f>
        <v>1</v>
      </c>
      <c r="AA18" s="91"/>
      <c r="AB18" s="169"/>
      <c r="AC18" s="169"/>
      <c r="AD18" s="153">
        <f t="shared" ref="AD18" si="20">AA18-AA16</f>
        <v>0</v>
      </c>
    </row>
    <row r="19" spans="13:30">
      <c r="AA19" s="91"/>
      <c r="AB19" s="169"/>
      <c r="AC19" s="169"/>
    </row>
    <row r="20" spans="13:30">
      <c r="W20" t="s">
        <v>90</v>
      </c>
      <c r="AA20" s="91"/>
      <c r="AB20" s="169"/>
      <c r="AC20" s="169"/>
    </row>
    <row r="21" spans="13:30">
      <c r="W21">
        <v>2187</v>
      </c>
    </row>
    <row r="22" spans="13:30">
      <c r="W22">
        <v>2250</v>
      </c>
    </row>
    <row r="24" spans="13:30">
      <c r="Y24" s="152"/>
    </row>
    <row r="25" spans="13:30">
      <c r="U25" s="43" t="s">
        <v>95</v>
      </c>
      <c r="V25" s="177">
        <v>240</v>
      </c>
      <c r="W25" s="178">
        <f>V25*$Q$2</f>
        <v>22.224</v>
      </c>
      <c r="X25" s="187">
        <f t="shared" ref="X25:X30" si="21">1/($I$15/V25)</f>
        <v>2000000000.0000002</v>
      </c>
      <c r="Y25" s="152" t="s">
        <v>105</v>
      </c>
      <c r="AA25" s="101" t="s">
        <v>89</v>
      </c>
    </row>
    <row r="26" spans="13:30">
      <c r="M26" s="12"/>
      <c r="U26" s="183" t="s">
        <v>106</v>
      </c>
      <c r="V26" s="177">
        <v>260</v>
      </c>
      <c r="W26" s="178">
        <f>V26*$Q$2</f>
        <v>24.076000000000001</v>
      </c>
      <c r="X26" s="187">
        <f t="shared" si="21"/>
        <v>2166666666.666667</v>
      </c>
      <c r="Y26" s="184"/>
      <c r="Z26" s="188" t="s">
        <v>99</v>
      </c>
      <c r="AA26" s="190">
        <f>23.9</f>
        <v>23.9</v>
      </c>
    </row>
    <row r="27" spans="13:30">
      <c r="U27" s="43" t="s">
        <v>96</v>
      </c>
      <c r="V27" s="177">
        <v>280</v>
      </c>
      <c r="W27" s="178">
        <f>V27*$Q$2</f>
        <v>25.928000000000001</v>
      </c>
      <c r="X27" s="187">
        <f t="shared" si="21"/>
        <v>2333333333.3333335</v>
      </c>
      <c r="Y27" s="184"/>
      <c r="Z27" s="188" t="s">
        <v>100</v>
      </c>
      <c r="AA27" s="191" t="s">
        <v>107</v>
      </c>
    </row>
    <row r="28" spans="13:30">
      <c r="U28" s="164" t="s">
        <v>97</v>
      </c>
      <c r="V28" s="177">
        <f>E37-(V25+V27)</f>
        <v>-520</v>
      </c>
      <c r="W28" s="178">
        <f>V28*$Q$2</f>
        <v>-48.152000000000001</v>
      </c>
      <c r="X28" s="187">
        <f t="shared" si="21"/>
        <v>-4333333333.333334</v>
      </c>
      <c r="Y28" s="184"/>
      <c r="Z28" s="188" t="s">
        <v>101</v>
      </c>
      <c r="AA28" s="190"/>
      <c r="AC28" s="169"/>
    </row>
    <row r="29" spans="13:30">
      <c r="U29" s="164" t="s">
        <v>110</v>
      </c>
      <c r="V29" s="177">
        <f>I15-(V30+V28+V27+V25+V26)</f>
        <v>1.1999999999999999E-7</v>
      </c>
      <c r="W29" s="179">
        <f>(Q15+R15)-(W25+W26+W27+W28+W30)</f>
        <v>1.6236007105427362E-8</v>
      </c>
      <c r="X29" s="187">
        <f t="shared" si="21"/>
        <v>1</v>
      </c>
      <c r="Y29" s="184"/>
      <c r="Z29" s="188" t="s">
        <v>102</v>
      </c>
      <c r="AA29" s="191" t="s">
        <v>108</v>
      </c>
      <c r="AC29" s="169"/>
    </row>
    <row r="30" spans="13:30">
      <c r="U30" s="164" t="s">
        <v>98</v>
      </c>
      <c r="V30" s="177">
        <f>D38-V26</f>
        <v>-260</v>
      </c>
      <c r="W30" s="178">
        <f>D39-W26</f>
        <v>-24.076000000000001</v>
      </c>
      <c r="X30" s="187">
        <f t="shared" si="21"/>
        <v>-2166666666.666667</v>
      </c>
      <c r="Y30" s="184"/>
      <c r="Z30" s="188" t="s">
        <v>103</v>
      </c>
      <c r="AA30" s="190">
        <f>AA28+W30</f>
        <v>-24.076000000000001</v>
      </c>
      <c r="AC30" s="169"/>
    </row>
    <row r="31" spans="13:30">
      <c r="U31" s="164" t="s">
        <v>61</v>
      </c>
      <c r="V31" s="180"/>
      <c r="W31" s="178">
        <f>P15</f>
        <v>95.970000000000013</v>
      </c>
      <c r="X31" s="97"/>
      <c r="Y31" s="184"/>
      <c r="Z31" s="188" t="s">
        <v>104</v>
      </c>
      <c r="AA31" s="101" t="s">
        <v>109</v>
      </c>
      <c r="AC31" s="169"/>
    </row>
    <row r="32" spans="13:30">
      <c r="U32" s="164" t="s">
        <v>58</v>
      </c>
      <c r="V32" s="271">
        <f>Y32-W32</f>
        <v>-95.970000016236014</v>
      </c>
      <c r="W32" s="181">
        <f>SUM(W25:W31)</f>
        <v>95.970000016236014</v>
      </c>
      <c r="X32" s="186"/>
      <c r="Y32" s="185">
        <f>SUM(Y26:Y31)</f>
        <v>0</v>
      </c>
      <c r="Z32" s="189"/>
      <c r="AA32" s="190">
        <f>W32+AA28+AA26</f>
        <v>119.87000001623602</v>
      </c>
      <c r="AC32" s="169"/>
    </row>
    <row r="33" spans="2:29">
      <c r="AA33" s="91"/>
      <c r="AB33" s="169"/>
      <c r="AC33" s="169"/>
    </row>
    <row r="34" spans="2:29">
      <c r="F34" s="39"/>
      <c r="AA34" s="91"/>
      <c r="AB34" s="169"/>
      <c r="AC34" s="169"/>
    </row>
    <row r="35" spans="2:29" ht="13.5" thickBot="1">
      <c r="AA35" s="91"/>
      <c r="AB35" s="169"/>
      <c r="AC35" s="169"/>
    </row>
    <row r="36" spans="2:29">
      <c r="D36" s="83" t="s">
        <v>58</v>
      </c>
      <c r="E36" s="84" t="s">
        <v>56</v>
      </c>
      <c r="F36" s="85" t="s">
        <v>57</v>
      </c>
      <c r="AA36" s="91"/>
      <c r="AB36" s="169"/>
      <c r="AC36" s="169"/>
    </row>
    <row r="37" spans="2:29">
      <c r="B37" t="s">
        <v>53</v>
      </c>
      <c r="D37" s="86">
        <f>E37+F37</f>
        <v>1.1999999999999999E-7</v>
      </c>
      <c r="E37" s="87">
        <f>AVERAGE(E8,E9,E11,E12,E7,E10)*12</f>
        <v>0</v>
      </c>
      <c r="F37" s="88">
        <f>AVERAGE(F8,F9,F11,F12,F7,F10)*12</f>
        <v>1.1999999999999999E-7</v>
      </c>
      <c r="I37" s="395"/>
      <c r="J37" s="395"/>
      <c r="K37" s="395"/>
      <c r="M37" s="261"/>
      <c r="N37" s="261"/>
      <c r="AA37" s="91"/>
      <c r="AB37" s="169"/>
      <c r="AC37" s="169"/>
    </row>
    <row r="38" spans="2:29">
      <c r="B38" t="s">
        <v>54</v>
      </c>
      <c r="D38" s="86">
        <f>E38+F38</f>
        <v>0</v>
      </c>
      <c r="E38" s="87">
        <f>E15-E37</f>
        <v>0</v>
      </c>
      <c r="F38" s="88">
        <f>F15-F37</f>
        <v>0</v>
      </c>
      <c r="AA38" s="91"/>
      <c r="AB38" s="169"/>
      <c r="AC38" s="169"/>
    </row>
    <row r="39" spans="2:29" ht="13.5" thickBot="1">
      <c r="B39" s="74" t="s">
        <v>55</v>
      </c>
      <c r="C39" s="75">
        <f>'2012'!D39</f>
        <v>157.3381</v>
      </c>
      <c r="D39" s="90">
        <f>E39+F39</f>
        <v>0</v>
      </c>
      <c r="E39" s="89">
        <f>E38*Q2</f>
        <v>0</v>
      </c>
      <c r="F39" s="154">
        <f>F38*R2</f>
        <v>0</v>
      </c>
      <c r="H39" s="349"/>
      <c r="I39" s="349"/>
      <c r="J39" s="349"/>
      <c r="K39" s="349"/>
      <c r="L39" s="349"/>
      <c r="N39" s="75"/>
      <c r="O39" s="353"/>
      <c r="P39" s="353"/>
      <c r="W39" s="123"/>
      <c r="AA39" s="91"/>
      <c r="AB39" s="169"/>
      <c r="AC39" s="169"/>
    </row>
    <row r="40" spans="2:29" ht="14.25" thickTop="1" thickBot="1">
      <c r="D40" s="366" t="s">
        <v>84</v>
      </c>
      <c r="E40" s="367"/>
      <c r="F40" s="368">
        <v>2005</v>
      </c>
      <c r="G40" s="369"/>
      <c r="H40" s="369"/>
      <c r="I40" s="363">
        <v>2006</v>
      </c>
      <c r="J40" s="364"/>
      <c r="K40" s="364"/>
      <c r="L40" s="365"/>
      <c r="M40" s="370">
        <v>2007</v>
      </c>
      <c r="N40" s="371"/>
      <c r="O40" s="372"/>
      <c r="P40" s="373">
        <v>2008</v>
      </c>
      <c r="Q40" s="359"/>
      <c r="R40" s="374"/>
      <c r="S40" s="358">
        <v>2009</v>
      </c>
      <c r="T40" s="359"/>
      <c r="U40" s="359"/>
      <c r="V40" s="374"/>
      <c r="W40" s="358">
        <v>2010</v>
      </c>
      <c r="X40" s="359"/>
      <c r="Y40" s="360"/>
      <c r="AA40" s="91"/>
      <c r="AB40" s="169"/>
      <c r="AC40" s="169"/>
    </row>
    <row r="41" spans="2:29" ht="13.5" thickTop="1">
      <c r="D41" s="98"/>
      <c r="E41" s="117" t="s">
        <v>66</v>
      </c>
      <c r="F41" s="105">
        <v>38597</v>
      </c>
      <c r="G41" s="101" t="s">
        <v>64</v>
      </c>
      <c r="H41" s="101" t="s">
        <v>65</v>
      </c>
      <c r="I41" s="137" t="s">
        <v>85</v>
      </c>
      <c r="J41" s="66"/>
      <c r="K41" s="101" t="s">
        <v>64</v>
      </c>
      <c r="L41" s="112" t="s">
        <v>65</v>
      </c>
      <c r="M41" s="137" t="s">
        <v>85</v>
      </c>
      <c r="N41" s="101" t="s">
        <v>64</v>
      </c>
      <c r="O41" s="101" t="s">
        <v>65</v>
      </c>
      <c r="P41" s="137" t="s">
        <v>85</v>
      </c>
      <c r="Q41" s="101" t="s">
        <v>64</v>
      </c>
      <c r="R41" s="112" t="s">
        <v>65</v>
      </c>
      <c r="S41" s="137" t="s">
        <v>85</v>
      </c>
      <c r="T41" s="101" t="s">
        <v>64</v>
      </c>
      <c r="U41" s="263"/>
      <c r="V41" s="112" t="s">
        <v>65</v>
      </c>
      <c r="W41" s="137" t="s">
        <v>85</v>
      </c>
      <c r="X41" s="101" t="s">
        <v>64</v>
      </c>
      <c r="Y41" s="102" t="s">
        <v>65</v>
      </c>
    </row>
    <row r="42" spans="2:29" ht="13.5" thickBot="1">
      <c r="D42" s="118">
        <v>1</v>
      </c>
      <c r="E42" s="119">
        <f>AVERAGE(K42,N42,Q42,T42,X42,G48)</f>
        <v>124.5</v>
      </c>
      <c r="F42" s="106">
        <v>38661</v>
      </c>
      <c r="G42" s="107">
        <f>F42-F41</f>
        <v>64</v>
      </c>
      <c r="H42" s="108">
        <f>G42/30.5</f>
        <v>2.098360655737705</v>
      </c>
      <c r="I42" s="100">
        <v>38774</v>
      </c>
      <c r="J42" s="66"/>
      <c r="K42" s="97">
        <f>I42-F42</f>
        <v>113</v>
      </c>
      <c r="L42" s="113">
        <f>K42/30.5</f>
        <v>3.7049180327868854</v>
      </c>
      <c r="M42" s="115">
        <v>39130</v>
      </c>
      <c r="N42" s="97">
        <f>M42-I45</f>
        <v>105</v>
      </c>
      <c r="O42" s="103">
        <f>N42/30.5</f>
        <v>3.442622950819672</v>
      </c>
      <c r="P42" s="100">
        <v>39490</v>
      </c>
      <c r="Q42" s="97">
        <f>P42-M45</f>
        <v>115</v>
      </c>
      <c r="R42" s="113">
        <f>Q42/30.5</f>
        <v>3.7704918032786887</v>
      </c>
      <c r="S42" s="115">
        <v>39846</v>
      </c>
      <c r="T42" s="97">
        <f>S42-P45</f>
        <v>116</v>
      </c>
      <c r="U42" s="264"/>
      <c r="V42" s="113">
        <f>T42/30.5</f>
        <v>3.8032786885245899</v>
      </c>
      <c r="W42" s="115">
        <v>40254</v>
      </c>
      <c r="X42" s="97">
        <f>W42-S45</f>
        <v>143</v>
      </c>
      <c r="Y42" s="104">
        <f>X42/30.5</f>
        <v>4.6885245901639347</v>
      </c>
    </row>
    <row r="43" spans="2:29" ht="13.5" thickTop="1">
      <c r="D43" s="99">
        <v>2</v>
      </c>
      <c r="E43" s="119">
        <f>AVERAGE(K43,N43,Q43,T43,X43,G49)</f>
        <v>85</v>
      </c>
      <c r="F43" s="155"/>
      <c r="G43" s="66"/>
      <c r="H43" s="66"/>
      <c r="I43" s="100">
        <v>38856</v>
      </c>
      <c r="J43" s="66"/>
      <c r="K43" s="97">
        <f>I43-I42</f>
        <v>82</v>
      </c>
      <c r="L43" s="113">
        <f>K43/30.5</f>
        <v>2.6885245901639343</v>
      </c>
      <c r="M43" s="115">
        <v>39209</v>
      </c>
      <c r="N43" s="97">
        <f>M43-M42</f>
        <v>79</v>
      </c>
      <c r="O43" s="103">
        <f>N43/30.5</f>
        <v>2.5901639344262297</v>
      </c>
      <c r="P43" s="100">
        <v>39567</v>
      </c>
      <c r="Q43" s="97">
        <f>P43-P42</f>
        <v>77</v>
      </c>
      <c r="R43" s="113">
        <f>Q43/30.5</f>
        <v>2.5245901639344264</v>
      </c>
      <c r="S43" s="115">
        <v>39922</v>
      </c>
      <c r="T43" s="97">
        <f>S43-S42</f>
        <v>76</v>
      </c>
      <c r="U43" s="264"/>
      <c r="V43" s="113">
        <f>T43/30.5</f>
        <v>2.4918032786885247</v>
      </c>
      <c r="W43" s="115">
        <v>40344</v>
      </c>
      <c r="X43" s="97">
        <f>W43-W42</f>
        <v>90</v>
      </c>
      <c r="Y43" s="104">
        <f>X43/30.5</f>
        <v>2.9508196721311477</v>
      </c>
    </row>
    <row r="44" spans="2:29">
      <c r="D44" s="99">
        <v>3</v>
      </c>
      <c r="E44" s="119">
        <f>AVERAGE(K44,N44,Q44,T44,X44,G50)</f>
        <v>90.5</v>
      </c>
      <c r="F44" s="155"/>
      <c r="G44" s="66"/>
      <c r="H44" s="66"/>
      <c r="I44" s="100">
        <v>38946</v>
      </c>
      <c r="J44" s="66"/>
      <c r="K44" s="97">
        <f>I44-I43</f>
        <v>90</v>
      </c>
      <c r="L44" s="113">
        <f>K44/30.5</f>
        <v>2.9508196721311477</v>
      </c>
      <c r="M44" s="115">
        <v>39290</v>
      </c>
      <c r="N44" s="97">
        <f>M44-M43</f>
        <v>81</v>
      </c>
      <c r="O44" s="103">
        <f>N44/30.5</f>
        <v>2.6557377049180326</v>
      </c>
      <c r="P44" s="100">
        <v>39648</v>
      </c>
      <c r="Q44" s="97">
        <f>P44-P43</f>
        <v>81</v>
      </c>
      <c r="R44" s="113">
        <f>Q44/30.5</f>
        <v>2.6557377049180326</v>
      </c>
      <c r="S44" s="115">
        <v>40014</v>
      </c>
      <c r="T44" s="97">
        <f>S44-S43</f>
        <v>92</v>
      </c>
      <c r="U44" s="264"/>
      <c r="V44" s="113">
        <f>T44/30.5</f>
        <v>3.0163934426229506</v>
      </c>
      <c r="W44" s="115">
        <v>40436</v>
      </c>
      <c r="X44" s="97">
        <f>W44-W43</f>
        <v>92</v>
      </c>
      <c r="Y44" s="104">
        <f>X44/30.5</f>
        <v>3.0163934426229506</v>
      </c>
    </row>
    <row r="45" spans="2:29" ht="13.5" thickBot="1">
      <c r="D45" s="120">
        <v>4</v>
      </c>
      <c r="E45" s="121">
        <f>AVERAGE(K45,N45,Q45,T45,G42,X45,G51)</f>
        <v>81.400000000000006</v>
      </c>
      <c r="F45" s="156"/>
      <c r="G45" s="157"/>
      <c r="H45" s="157"/>
      <c r="I45" s="109">
        <v>39025</v>
      </c>
      <c r="J45" s="157"/>
      <c r="K45" s="107">
        <f>I45-I44</f>
        <v>79</v>
      </c>
      <c r="L45" s="114">
        <f>K45/30.5</f>
        <v>2.5901639344262297</v>
      </c>
      <c r="M45" s="116">
        <v>39375</v>
      </c>
      <c r="N45" s="107">
        <f>M45-M44</f>
        <v>85</v>
      </c>
      <c r="O45" s="108">
        <f>N45/30.5</f>
        <v>2.7868852459016393</v>
      </c>
      <c r="P45" s="110">
        <v>39730</v>
      </c>
      <c r="Q45" s="107">
        <f>P45-P44</f>
        <v>82</v>
      </c>
      <c r="R45" s="114">
        <f>Q45/30.5</f>
        <v>2.6885245901639343</v>
      </c>
      <c r="S45" s="116">
        <v>40111</v>
      </c>
      <c r="T45" s="107">
        <f>S45-S44</f>
        <v>97</v>
      </c>
      <c r="U45" s="265"/>
      <c r="V45" s="114">
        <f>T45/30.5</f>
        <v>3.180327868852459</v>
      </c>
      <c r="W45" s="116"/>
      <c r="X45" s="107"/>
      <c r="Y45" s="111"/>
    </row>
    <row r="46" spans="2:29" ht="13.5" thickTop="1">
      <c r="F46" s="361">
        <v>2011</v>
      </c>
      <c r="G46" s="362"/>
      <c r="H46" s="362"/>
      <c r="I46" s="363">
        <v>2012</v>
      </c>
      <c r="J46" s="364"/>
      <c r="K46" s="364"/>
      <c r="L46" s="365"/>
      <c r="M46" s="358">
        <v>2013</v>
      </c>
      <c r="N46" s="359"/>
      <c r="O46" s="374"/>
      <c r="P46" s="358">
        <v>2014</v>
      </c>
      <c r="Q46" s="359"/>
      <c r="R46" s="374"/>
    </row>
    <row r="47" spans="2:29">
      <c r="F47" s="151" t="s">
        <v>85</v>
      </c>
      <c r="G47" s="101" t="s">
        <v>64</v>
      </c>
      <c r="H47" s="112" t="s">
        <v>65</v>
      </c>
      <c r="I47" s="137" t="s">
        <v>85</v>
      </c>
      <c r="J47" s="66"/>
      <c r="K47" s="101" t="s">
        <v>64</v>
      </c>
      <c r="L47" s="112" t="s">
        <v>65</v>
      </c>
      <c r="M47" s="137" t="s">
        <v>85</v>
      </c>
      <c r="N47" s="101" t="s">
        <v>64</v>
      </c>
      <c r="O47" s="112" t="s">
        <v>65</v>
      </c>
      <c r="P47" s="137" t="s">
        <v>85</v>
      </c>
      <c r="Q47" s="101" t="s">
        <v>64</v>
      </c>
      <c r="R47" s="112" t="s">
        <v>65</v>
      </c>
    </row>
    <row r="48" spans="2:29">
      <c r="F48" s="105">
        <v>40591</v>
      </c>
      <c r="G48" s="97">
        <f>F48-W44</f>
        <v>155</v>
      </c>
      <c r="H48" s="113">
        <f>G48/30.5</f>
        <v>5.081967213114754</v>
      </c>
      <c r="I48" s="100">
        <v>40941</v>
      </c>
      <c r="J48" s="66"/>
      <c r="K48" s="97">
        <f>I48-F50</f>
        <v>137</v>
      </c>
      <c r="L48" s="113">
        <f>K48/30.5</f>
        <v>4.4918032786885247</v>
      </c>
      <c r="M48" s="100">
        <f t="shared" ref="M48:M50" ca="1" si="22">TODAY()</f>
        <v>41254</v>
      </c>
      <c r="N48" s="97">
        <f ca="1">M48-I50</f>
        <v>101</v>
      </c>
      <c r="O48" s="113">
        <f ca="1">N48/30.5</f>
        <v>3.3114754098360657</v>
      </c>
      <c r="P48" s="301">
        <f t="shared" ref="P48:P50" ca="1" si="23">TODAY()</f>
        <v>41254</v>
      </c>
      <c r="Q48" s="313">
        <f ca="1">P48-M50</f>
        <v>0</v>
      </c>
      <c r="R48" s="113">
        <f ca="1">Q48/30.5</f>
        <v>0</v>
      </c>
    </row>
    <row r="49" spans="6:18">
      <c r="F49" s="105">
        <v>40697</v>
      </c>
      <c r="G49" s="97">
        <f t="shared" ref="G49:G50" si="24">F49-F48</f>
        <v>106</v>
      </c>
      <c r="H49" s="113">
        <f t="shared" ref="H49:H50" si="25">G49/30.5</f>
        <v>3.4754098360655736</v>
      </c>
      <c r="I49" s="100">
        <v>41055</v>
      </c>
      <c r="J49" s="66"/>
      <c r="K49" s="97">
        <f>I49-I48</f>
        <v>114</v>
      </c>
      <c r="L49" s="113">
        <f>K49/30.5</f>
        <v>3.737704918032787</v>
      </c>
      <c r="M49" s="100">
        <f t="shared" ca="1" si="22"/>
        <v>41254</v>
      </c>
      <c r="N49" s="97">
        <f ca="1">M49-M48</f>
        <v>0</v>
      </c>
      <c r="O49" s="113">
        <f ca="1">N49/30.5</f>
        <v>0</v>
      </c>
      <c r="P49" s="301">
        <f t="shared" ca="1" si="23"/>
        <v>41254</v>
      </c>
      <c r="Q49" s="97">
        <f ca="1">P49-P48</f>
        <v>0</v>
      </c>
      <c r="R49" s="113">
        <f ca="1">Q49/30.5</f>
        <v>0</v>
      </c>
    </row>
    <row r="50" spans="6:18" ht="13.5" thickBot="1">
      <c r="F50" s="105">
        <v>40804</v>
      </c>
      <c r="G50" s="97">
        <f t="shared" si="24"/>
        <v>107</v>
      </c>
      <c r="H50" s="113">
        <f t="shared" si="25"/>
        <v>3.5081967213114753</v>
      </c>
      <c r="I50" s="100">
        <v>41153</v>
      </c>
      <c r="J50" s="66"/>
      <c r="K50" s="97">
        <f>I50-I49</f>
        <v>98</v>
      </c>
      <c r="L50" s="113">
        <f>K50/30.5</f>
        <v>3.2131147540983607</v>
      </c>
      <c r="M50" s="100">
        <f t="shared" ca="1" si="22"/>
        <v>41254</v>
      </c>
      <c r="N50" s="97">
        <f ca="1">M50-M49</f>
        <v>0</v>
      </c>
      <c r="O50" s="113">
        <f ca="1">N50/30.5</f>
        <v>0</v>
      </c>
      <c r="P50" s="302">
        <f t="shared" ca="1" si="23"/>
        <v>41254</v>
      </c>
      <c r="Q50" s="107">
        <f ca="1">P50-P49</f>
        <v>0</v>
      </c>
      <c r="R50" s="114">
        <f ca="1">Q50/30.5</f>
        <v>0</v>
      </c>
    </row>
    <row r="51" spans="6:18" ht="14.25" thickTop="1" thickBot="1">
      <c r="F51" s="106"/>
      <c r="G51" s="107"/>
      <c r="H51" s="114"/>
      <c r="I51" s="109"/>
      <c r="J51" s="157"/>
      <c r="K51" s="107"/>
      <c r="L51" s="114"/>
      <c r="M51" s="109"/>
      <c r="N51" s="107"/>
      <c r="O51" s="114"/>
    </row>
    <row r="52" spans="6:18" ht="13.5" thickTop="1"/>
  </sheetData>
  <mergeCells count="19">
    <mergeCell ref="L1:M1"/>
    <mergeCell ref="G2:H2"/>
    <mergeCell ref="V9:X9"/>
    <mergeCell ref="S15:T15"/>
    <mergeCell ref="I37:K37"/>
    <mergeCell ref="D40:E40"/>
    <mergeCell ref="F40:H40"/>
    <mergeCell ref="I40:L40"/>
    <mergeCell ref="M40:O40"/>
    <mergeCell ref="P40:R40"/>
    <mergeCell ref="W40:Y40"/>
    <mergeCell ref="H39:J39"/>
    <mergeCell ref="K39:L39"/>
    <mergeCell ref="O39:P39"/>
    <mergeCell ref="F46:H46"/>
    <mergeCell ref="I46:L46"/>
    <mergeCell ref="M46:O46"/>
    <mergeCell ref="P46:R46"/>
    <mergeCell ref="S40:V40"/>
  </mergeCells>
  <conditionalFormatting sqref="G3:H14">
    <cfRule type="expression" dxfId="0" priority="6">
      <formula>C3=""</formula>
    </cfRule>
  </conditionalFormatting>
  <conditionalFormatting sqref="E3:F14">
    <cfRule type="iconSet" priority="3">
      <iconSet iconSet="4TrafficLights" reverse="1">
        <cfvo type="percent" val="0"/>
        <cfvo type="num" val="150"/>
        <cfvo type="num" val="300"/>
        <cfvo type="num" val="600"/>
      </iconSet>
    </cfRule>
  </conditionalFormatting>
  <conditionalFormatting sqref="I3:I14">
    <cfRule type="iconSet" priority="2">
      <iconSet iconSet="4TrafficLights" reverse="1">
        <cfvo type="percent" val="0"/>
        <cfvo type="num" val="300"/>
        <cfvo type="num" val="600"/>
        <cfvo type="num" val="1200"/>
      </iconSet>
    </cfRule>
  </conditionalFormatting>
  <conditionalFormatting sqref="S15">
    <cfRule type="colorScale" priority="1">
      <colorScale>
        <cfvo type="num" val="700"/>
        <cfvo type="num" val="800"/>
        <cfvo type="num" val="900"/>
        <color rgb="FF63BE7B"/>
        <color rgb="FFFFEB84"/>
        <color rgb="FFF8696B"/>
      </colorScale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J34"/>
  <sheetViews>
    <sheetView topLeftCell="K4" workbookViewId="0">
      <selection activeCell="Y28" sqref="Y28"/>
    </sheetView>
  </sheetViews>
  <sheetFormatPr baseColWidth="10" defaultColWidth="11.42578125" defaultRowHeight="12.75"/>
  <cols>
    <col min="1" max="1" width="9.7109375" bestFit="1" customWidth="1"/>
    <col min="2" max="2" width="6.5703125" bestFit="1" customWidth="1"/>
    <col min="3" max="3" width="6.7109375" bestFit="1" customWidth="1"/>
    <col min="4" max="6" width="6.5703125" bestFit="1" customWidth="1"/>
    <col min="7" max="10" width="6.5703125" customWidth="1"/>
  </cols>
  <sheetData>
    <row r="1" spans="1:10" ht="15.75">
      <c r="A1" s="164" t="s">
        <v>91</v>
      </c>
      <c r="B1" s="145">
        <v>2005</v>
      </c>
      <c r="C1" s="145">
        <v>2006</v>
      </c>
      <c r="D1" s="145">
        <v>2007</v>
      </c>
      <c r="E1" s="145">
        <v>2008</v>
      </c>
      <c r="F1" s="145">
        <v>2009</v>
      </c>
      <c r="G1" s="145">
        <v>2010</v>
      </c>
      <c r="H1" s="145">
        <v>2011</v>
      </c>
      <c r="I1" s="145">
        <v>2012</v>
      </c>
      <c r="J1" s="145">
        <v>2013</v>
      </c>
    </row>
    <row r="2" spans="1:10" ht="15.75">
      <c r="A2" s="146" t="s">
        <v>44</v>
      </c>
      <c r="B2" s="1"/>
      <c r="C2" s="17">
        <f>'2006'!H3</f>
        <v>1528</v>
      </c>
      <c r="D2" s="17">
        <f>'2007'!$H3</f>
        <v>1187</v>
      </c>
      <c r="E2" s="17">
        <f>'2008'!H3</f>
        <v>1022</v>
      </c>
      <c r="F2" s="17">
        <f>'2009'!H3</f>
        <v>1607</v>
      </c>
      <c r="G2" s="17">
        <f>'2010'!$H3</f>
        <v>1069</v>
      </c>
      <c r="H2" s="17">
        <f>'2011'!H3</f>
        <v>1047</v>
      </c>
      <c r="I2" s="17">
        <f>'2012'!K3</f>
        <v>460</v>
      </c>
      <c r="J2" s="17">
        <f>'2013'!I3</f>
        <v>1E-8</v>
      </c>
    </row>
    <row r="3" spans="1:10" ht="15.75">
      <c r="A3" s="146" t="s">
        <v>45</v>
      </c>
      <c r="B3" s="1"/>
      <c r="C3" s="17">
        <f>'2006'!H4</f>
        <v>1649</v>
      </c>
      <c r="D3" s="17">
        <f>'2007'!$H4</f>
        <v>958</v>
      </c>
      <c r="E3" s="17">
        <f>'2008'!H4</f>
        <v>1161</v>
      </c>
      <c r="F3" s="17">
        <f>'2009'!H4</f>
        <v>1359</v>
      </c>
      <c r="G3" s="17">
        <f>'2010'!$H4</f>
        <v>1234</v>
      </c>
      <c r="H3" s="17">
        <f>'2011'!H4</f>
        <v>1065</v>
      </c>
      <c r="I3" s="17">
        <f>'2012'!K4</f>
        <v>1013</v>
      </c>
      <c r="J3" s="17">
        <f>'2013'!I4</f>
        <v>1E-8</v>
      </c>
    </row>
    <row r="4" spans="1:10" ht="15.75">
      <c r="A4" s="146" t="s">
        <v>43</v>
      </c>
      <c r="B4" s="1"/>
      <c r="C4" s="17">
        <f>'2006'!H5</f>
        <v>1575</v>
      </c>
      <c r="D4" s="17">
        <f>'2007'!$H5</f>
        <v>1121</v>
      </c>
      <c r="E4" s="17">
        <f>'2008'!H5</f>
        <v>1493</v>
      </c>
      <c r="F4" s="17">
        <f>'2009'!H5</f>
        <v>1308</v>
      </c>
      <c r="G4" s="17">
        <f>'2010'!$H5</f>
        <v>1542</v>
      </c>
      <c r="H4" s="17">
        <f>'2011'!H5</f>
        <v>956</v>
      </c>
      <c r="I4" s="17">
        <f>'2012'!K5</f>
        <v>443</v>
      </c>
      <c r="J4" s="17">
        <f>'2013'!I5</f>
        <v>1E-8</v>
      </c>
    </row>
    <row r="5" spans="1:10" ht="15.75">
      <c r="A5" s="146" t="s">
        <v>46</v>
      </c>
      <c r="B5" s="1"/>
      <c r="C5" s="17">
        <f>'2006'!H6</f>
        <v>578</v>
      </c>
      <c r="D5" s="17">
        <f>'2007'!$H6</f>
        <v>759</v>
      </c>
      <c r="E5" s="17">
        <f>'2008'!H6</f>
        <v>1019</v>
      </c>
      <c r="F5" s="17">
        <f>'2009'!H6</f>
        <v>1116</v>
      </c>
      <c r="G5" s="17">
        <f>'2010'!$H6</f>
        <v>782</v>
      </c>
      <c r="H5" s="17">
        <f>'2011'!H6</f>
        <v>295</v>
      </c>
      <c r="I5" s="17">
        <f>'2012'!K6</f>
        <v>376</v>
      </c>
      <c r="J5" s="17">
        <f>'2013'!I6</f>
        <v>1E-8</v>
      </c>
    </row>
    <row r="6" spans="1:10" ht="15.75">
      <c r="A6" s="146" t="s">
        <v>39</v>
      </c>
      <c r="B6" s="1"/>
      <c r="C6" s="17">
        <f>'2006'!H7</f>
        <v>330</v>
      </c>
      <c r="D6" s="17">
        <f>'2007'!$H7</f>
        <v>377</v>
      </c>
      <c r="E6" s="17">
        <f>'2008'!H7</f>
        <v>398</v>
      </c>
      <c r="F6" s="17">
        <f>'2009'!H7</f>
        <v>348</v>
      </c>
      <c r="G6" s="17">
        <f>'2010'!$H7</f>
        <v>436</v>
      </c>
      <c r="H6" s="17">
        <f>'2011'!H7</f>
        <v>261</v>
      </c>
      <c r="I6" s="17">
        <f>'2012'!K7</f>
        <v>266</v>
      </c>
      <c r="J6" s="17">
        <f>'2013'!I7</f>
        <v>1E-8</v>
      </c>
    </row>
    <row r="7" spans="1:10" ht="15.75">
      <c r="A7" s="146" t="s">
        <v>40</v>
      </c>
      <c r="B7" s="1"/>
      <c r="C7" s="17">
        <f>'2006'!H8</f>
        <v>324</v>
      </c>
      <c r="D7" s="17">
        <f>'2007'!$H8</f>
        <v>367</v>
      </c>
      <c r="E7" s="17">
        <f>'2008'!H8</f>
        <v>368</v>
      </c>
      <c r="F7" s="17">
        <f>'2009'!H8</f>
        <v>329</v>
      </c>
      <c r="G7" s="17">
        <f>'2010'!$H8</f>
        <v>286</v>
      </c>
      <c r="H7" s="17">
        <f>'2011'!H8</f>
        <v>241</v>
      </c>
      <c r="I7" s="17">
        <f>'2012'!K8</f>
        <v>252</v>
      </c>
      <c r="J7" s="17">
        <f>'2013'!I8</f>
        <v>1E-8</v>
      </c>
    </row>
    <row r="8" spans="1:10" ht="15.75">
      <c r="A8" s="146" t="s">
        <v>47</v>
      </c>
      <c r="B8" s="1"/>
      <c r="C8" s="17">
        <f>'2006'!H9</f>
        <v>300</v>
      </c>
      <c r="D8" s="17">
        <f>'2007'!$H9</f>
        <v>323</v>
      </c>
      <c r="E8" s="17">
        <f>'2008'!H9</f>
        <v>332</v>
      </c>
      <c r="F8" s="17">
        <f>'2009'!H9</f>
        <v>305</v>
      </c>
      <c r="G8" s="17">
        <f>'2010'!$H9</f>
        <v>330</v>
      </c>
      <c r="H8" s="17">
        <f>'2011'!H9</f>
        <v>261</v>
      </c>
      <c r="I8" s="17">
        <f>'2012'!K9</f>
        <v>241</v>
      </c>
      <c r="J8" s="17">
        <f>'2013'!I9</f>
        <v>1E-8</v>
      </c>
    </row>
    <row r="9" spans="1:10" ht="15.75">
      <c r="A9" s="146" t="s">
        <v>48</v>
      </c>
      <c r="B9" s="1">
        <f>'05_06'!F3</f>
        <v>313</v>
      </c>
      <c r="C9" s="17">
        <f>'2006'!H10</f>
        <v>325</v>
      </c>
      <c r="D9" s="17">
        <f>'2007'!$H10</f>
        <v>375</v>
      </c>
      <c r="E9" s="17">
        <f>'2008'!H10</f>
        <v>355</v>
      </c>
      <c r="F9" s="17">
        <f>'2009'!H10</f>
        <v>308</v>
      </c>
      <c r="G9" s="17">
        <f>'2010'!$H10</f>
        <v>313</v>
      </c>
      <c r="H9" s="17">
        <f>'2011'!H10</f>
        <v>269</v>
      </c>
      <c r="I9" s="17">
        <f>'2012'!K10</f>
        <v>246</v>
      </c>
      <c r="J9" s="17">
        <f>'2013'!I10</f>
        <v>1E-8</v>
      </c>
    </row>
    <row r="10" spans="1:10" ht="15.75">
      <c r="A10" s="146" t="s">
        <v>49</v>
      </c>
      <c r="B10" s="1">
        <f>'05_06'!F4</f>
        <v>329</v>
      </c>
      <c r="C10" s="17">
        <f>'2006'!H11</f>
        <v>346</v>
      </c>
      <c r="D10" s="17">
        <f>'2007'!$H11</f>
        <v>355</v>
      </c>
      <c r="E10" s="17">
        <f>'2008'!H11</f>
        <v>358</v>
      </c>
      <c r="F10" s="17">
        <f>'2009'!H11</f>
        <v>283</v>
      </c>
      <c r="G10" s="17">
        <f>'2010'!$H11</f>
        <v>270</v>
      </c>
      <c r="H10" s="17">
        <f>'2011'!H11</f>
        <v>279</v>
      </c>
      <c r="I10" s="17">
        <f>'2012'!K11</f>
        <v>259</v>
      </c>
      <c r="J10" s="17">
        <f>'2013'!I11</f>
        <v>1E-8</v>
      </c>
    </row>
    <row r="11" spans="1:10" ht="15.75">
      <c r="A11" s="146" t="s">
        <v>50</v>
      </c>
      <c r="B11" s="1">
        <f>'05_06'!F5</f>
        <v>368</v>
      </c>
      <c r="C11" s="17">
        <f>'2006'!H12</f>
        <v>365</v>
      </c>
      <c r="D11" s="17">
        <f>'2007'!$H12</f>
        <v>433</v>
      </c>
      <c r="E11" s="17">
        <f>'2008'!H12</f>
        <v>425</v>
      </c>
      <c r="F11" s="17">
        <f>'2009'!H12</f>
        <v>393</v>
      </c>
      <c r="G11" s="17">
        <f>'2010'!$H12</f>
        <v>349</v>
      </c>
      <c r="H11" s="17">
        <f>'2011'!H12</f>
        <v>287</v>
      </c>
      <c r="I11" s="17">
        <f>'2012'!K12</f>
        <v>279</v>
      </c>
      <c r="J11" s="17">
        <f>'2013'!I12</f>
        <v>1E-8</v>
      </c>
    </row>
    <row r="12" spans="1:10" ht="15.75">
      <c r="A12" s="146" t="s">
        <v>51</v>
      </c>
      <c r="B12" s="1">
        <f>'05_06'!F6</f>
        <v>836</v>
      </c>
      <c r="C12" s="17">
        <f>'2006'!H13</f>
        <v>686</v>
      </c>
      <c r="D12" s="17">
        <f>'2007'!$H13</f>
        <v>873</v>
      </c>
      <c r="E12" s="17">
        <f>'2008'!H13</f>
        <v>804</v>
      </c>
      <c r="F12" s="17">
        <f>'2009'!H13</f>
        <v>633</v>
      </c>
      <c r="G12" s="17">
        <f>'2010'!$H13</f>
        <v>657</v>
      </c>
      <c r="H12" s="17">
        <f>'2011'!H13</f>
        <v>314</v>
      </c>
      <c r="I12" s="17">
        <f>'2012'!K13</f>
        <v>364</v>
      </c>
      <c r="J12" s="17">
        <f>'2013'!I13</f>
        <v>1E-8</v>
      </c>
    </row>
    <row r="13" spans="1:10" ht="15.75">
      <c r="A13" s="146" t="s">
        <v>52</v>
      </c>
      <c r="B13" s="1">
        <f>'05_06'!F7</f>
        <v>1768</v>
      </c>
      <c r="C13" s="17">
        <f>'2006'!H14</f>
        <v>1059</v>
      </c>
      <c r="D13" s="17">
        <f>'2007'!$H14</f>
        <v>1139</v>
      </c>
      <c r="E13" s="17">
        <f>'2008'!H14</f>
        <v>1353</v>
      </c>
      <c r="F13" s="17">
        <f>'2009'!H14</f>
        <v>782</v>
      </c>
      <c r="G13" s="17">
        <f>'2010'!$H14</f>
        <v>1016</v>
      </c>
      <c r="H13" s="17">
        <f>'2011'!H14</f>
        <v>417</v>
      </c>
      <c r="I13" s="17">
        <f>'2012'!K14</f>
        <v>268</v>
      </c>
      <c r="J13" s="17">
        <f>'2013'!I14</f>
        <v>1E-8</v>
      </c>
    </row>
    <row r="14" spans="1:10" ht="15.75">
      <c r="A14" s="94" t="s">
        <v>60</v>
      </c>
      <c r="B14" s="95">
        <f>'05_06'!O8</f>
        <v>417.1524</v>
      </c>
      <c r="C14" s="95">
        <f>'2006'!R15</f>
        <v>1074.1823999999999</v>
      </c>
      <c r="D14" s="95">
        <f>'2007'!$R$15</f>
        <v>987.15359999999987</v>
      </c>
      <c r="E14" s="95">
        <f>'2008'!$R$15</f>
        <v>1083.4621999999999</v>
      </c>
      <c r="F14" s="95">
        <f>'2009'!$R$15</f>
        <v>1055.1574000000001</v>
      </c>
      <c r="G14" s="95">
        <f>'2010'!$R$15</f>
        <v>993.16309999999999</v>
      </c>
      <c r="H14" s="165">
        <f>'2011'!R15</f>
        <v>701.20690000000002</v>
      </c>
      <c r="I14" s="165">
        <f>'2012'!U15</f>
        <v>589.82843333333335</v>
      </c>
      <c r="J14" s="165">
        <f>'2013'!S15</f>
        <v>95.970000016236014</v>
      </c>
    </row>
    <row r="15" spans="1:10" ht="15.75">
      <c r="A15" s="146" t="s">
        <v>44</v>
      </c>
      <c r="B15" s="43"/>
      <c r="C15" s="44">
        <f>'2006'!R3</f>
        <v>167.03883333333334</v>
      </c>
      <c r="D15" s="44">
        <f>'2007'!$R3</f>
        <v>130.65940000000001</v>
      </c>
      <c r="E15" s="44">
        <f>'2008'!R3</f>
        <v>112.80043333333333</v>
      </c>
      <c r="F15" s="44">
        <f>'2009'!R3</f>
        <v>180.23269999999999</v>
      </c>
      <c r="G15" s="44">
        <f>'2010'!$R3</f>
        <v>118.13339999999999</v>
      </c>
      <c r="H15" s="44">
        <f>'2011'!R3</f>
        <v>117.83356666666667</v>
      </c>
      <c r="I15" s="44">
        <f>'2012'!U3</f>
        <v>56.973033333333333</v>
      </c>
      <c r="J15" s="44">
        <f>'2013'!S3</f>
        <v>7.997500001353</v>
      </c>
    </row>
    <row r="16" spans="1:10" ht="15.75">
      <c r="A16" s="146" t="s">
        <v>45</v>
      </c>
      <c r="B16" s="43"/>
      <c r="C16" s="44">
        <f>'2006'!R4</f>
        <v>190.20973333333333</v>
      </c>
      <c r="D16" s="44">
        <f>'2007'!$R4</f>
        <v>111.37309999999999</v>
      </c>
      <c r="E16" s="44">
        <f>'2008'!R4</f>
        <v>133.36003333333332</v>
      </c>
      <c r="F16" s="44">
        <f>'2009'!R4</f>
        <v>157.536</v>
      </c>
      <c r="G16" s="44">
        <f>'2010'!$R4</f>
        <v>143.0693</v>
      </c>
      <c r="H16" s="44">
        <f>'2011'!R4</f>
        <v>122.88556666666666</v>
      </c>
      <c r="I16" s="44">
        <f>'2012'!U4</f>
        <v>123.22993333333334</v>
      </c>
      <c r="J16" s="44">
        <f>'2013'!S4</f>
        <v>7.997500001353</v>
      </c>
    </row>
    <row r="17" spans="1:10" ht="15.75">
      <c r="A17" s="146" t="s">
        <v>43</v>
      </c>
      <c r="B17" s="43"/>
      <c r="C17" s="44">
        <f>'2006'!R5</f>
        <v>182.82973333333334</v>
      </c>
      <c r="D17" s="44">
        <f>'2007'!$R5</f>
        <v>129.77180000000001</v>
      </c>
      <c r="E17" s="44">
        <f>'2008'!R5</f>
        <v>172.44313333333332</v>
      </c>
      <c r="F17" s="44">
        <f>'2009'!R5</f>
        <v>152.30760000000001</v>
      </c>
      <c r="G17" s="44">
        <f>'2010'!$R5</f>
        <v>178.88690000000003</v>
      </c>
      <c r="H17" s="44">
        <f>'2011'!R5</f>
        <v>110.79646666666667</v>
      </c>
      <c r="I17" s="44">
        <f>'2012'!U5</f>
        <v>55.534933333333342</v>
      </c>
      <c r="J17" s="44">
        <f>'2013'!S5</f>
        <v>7.997500001353</v>
      </c>
    </row>
    <row r="18" spans="1:10" ht="15.75">
      <c r="A18" s="146" t="s">
        <v>46</v>
      </c>
      <c r="B18" s="43"/>
      <c r="C18" s="44">
        <f>'2006'!R6</f>
        <v>68.165533333333343</v>
      </c>
      <c r="D18" s="44">
        <f>'2007'!$R6</f>
        <v>89.617400000000004</v>
      </c>
      <c r="E18" s="44">
        <f>'2008'!R6</f>
        <v>118.46083333333334</v>
      </c>
      <c r="F18" s="44">
        <f>'2009'!R6</f>
        <v>130.869</v>
      </c>
      <c r="G18" s="44">
        <f>'2010'!$R6</f>
        <v>94.152500000000003</v>
      </c>
      <c r="H18" s="44">
        <f>'2011'!R6</f>
        <v>37.985866666666666</v>
      </c>
      <c r="I18" s="44">
        <f>'2012'!U6</f>
        <v>48.704433333333334</v>
      </c>
      <c r="J18" s="44">
        <f>'2013'!S6</f>
        <v>7.997500001353</v>
      </c>
    </row>
    <row r="19" spans="1:10" ht="15.75">
      <c r="A19" s="146" t="s">
        <v>39</v>
      </c>
      <c r="B19" s="43"/>
      <c r="C19" s="44">
        <f>'2006'!R7</f>
        <v>42.587233333333337</v>
      </c>
      <c r="D19" s="44">
        <f>'2007'!$R7</f>
        <v>47.652799999999999</v>
      </c>
      <c r="E19" s="44">
        <f>'2008'!R7</f>
        <v>50.380333333333333</v>
      </c>
      <c r="F19" s="44">
        <f>'2009'!R7</f>
        <v>44.703599999999994</v>
      </c>
      <c r="G19" s="44">
        <f>'2010'!$R7</f>
        <v>54.928399999999996</v>
      </c>
      <c r="H19" s="44">
        <f>'2011'!R7</f>
        <v>34.88386666666667</v>
      </c>
      <c r="I19" s="44">
        <f>'2012'!U7</f>
        <v>36.399133333333339</v>
      </c>
      <c r="J19" s="44">
        <f>'2013'!S7</f>
        <v>7.997500001353</v>
      </c>
    </row>
    <row r="20" spans="1:10" ht="15.75">
      <c r="A20" s="146" t="s">
        <v>40</v>
      </c>
      <c r="B20" s="43"/>
      <c r="C20" s="44">
        <f>'2006'!R8</f>
        <v>42.562033333333332</v>
      </c>
      <c r="D20" s="44">
        <f>'2007'!$R8</f>
        <v>46.994299999999996</v>
      </c>
      <c r="E20" s="44">
        <f>'2008'!R8</f>
        <v>47.212933333333339</v>
      </c>
      <c r="F20" s="44">
        <f>'2009'!R8</f>
        <v>43.020899999999997</v>
      </c>
      <c r="G20" s="44">
        <f>'2010'!$R8</f>
        <v>37.817300000000003</v>
      </c>
      <c r="H20" s="44">
        <f>'2011'!R8</f>
        <v>32.991466666666668</v>
      </c>
      <c r="I20" s="44">
        <f>'2012'!U8</f>
        <v>35.396333333333338</v>
      </c>
      <c r="J20" s="44">
        <f>'2013'!S8</f>
        <v>7.997500001353</v>
      </c>
    </row>
    <row r="21" spans="1:10" ht="15.75">
      <c r="A21" s="146" t="s">
        <v>47</v>
      </c>
      <c r="B21" s="43"/>
      <c r="C21" s="44">
        <f>'2006'!R9</f>
        <v>41.167933333333337</v>
      </c>
      <c r="D21" s="44">
        <f>'2007'!$R9</f>
        <v>43.322099999999999</v>
      </c>
      <c r="E21" s="44">
        <f>'2008'!R9</f>
        <v>44.993533333333332</v>
      </c>
      <c r="F21" s="44">
        <f>'2009'!R9</f>
        <v>41.47</v>
      </c>
      <c r="G21" s="44">
        <f>'2010'!$R9</f>
        <v>44.538399999999996</v>
      </c>
      <c r="H21" s="44">
        <f>'2011'!R9</f>
        <v>36.454233333333335</v>
      </c>
      <c r="I21" s="44">
        <f>'2012'!U9</f>
        <v>34.470333333333336</v>
      </c>
      <c r="J21" s="44">
        <f>'2013'!S9</f>
        <v>7.997500001353</v>
      </c>
    </row>
    <row r="22" spans="1:10" ht="15.75">
      <c r="A22" s="146" t="s">
        <v>48</v>
      </c>
      <c r="B22" s="44">
        <f>'05_06'!O3</f>
        <v>35.125533333333337</v>
      </c>
      <c r="C22" s="44">
        <f>'2006'!R10</f>
        <v>43.564433333333334</v>
      </c>
      <c r="D22" s="44">
        <f>'2007'!$R10</f>
        <v>49.293300000000002</v>
      </c>
      <c r="E22" s="44">
        <f>'2008'!R10</f>
        <v>47.549433333333333</v>
      </c>
      <c r="F22" s="44">
        <f>'2009'!R10</f>
        <v>41.941499999999998</v>
      </c>
      <c r="G22" s="44">
        <f>'2010'!$R10</f>
        <v>41.964100000000002</v>
      </c>
      <c r="H22" s="44">
        <f>'2011'!R10</f>
        <v>37.461233333333332</v>
      </c>
      <c r="I22" s="44">
        <f>'2012'!U10</f>
        <v>36.114600000000003</v>
      </c>
      <c r="J22" s="44">
        <f>'2013'!S10</f>
        <v>7.997500001353</v>
      </c>
    </row>
    <row r="23" spans="1:10" ht="15.75">
      <c r="A23" s="146" t="s">
        <v>49</v>
      </c>
      <c r="B23" s="44">
        <f>'05_06'!O4</f>
        <v>35.949433333333339</v>
      </c>
      <c r="C23" s="44">
        <f>'2006'!R11</f>
        <v>45.527333333333331</v>
      </c>
      <c r="D23" s="44">
        <f>'2007'!$R11</f>
        <v>46.749099999999999</v>
      </c>
      <c r="E23" s="44">
        <f>'2008'!R11</f>
        <v>47.519333333333336</v>
      </c>
      <c r="F23" s="44">
        <f>'2009'!R11</f>
        <v>39.210599999999999</v>
      </c>
      <c r="G23" s="44">
        <f>'2010'!$R11</f>
        <v>36.362399999999994</v>
      </c>
      <c r="H23" s="44">
        <f>'2011'!R11</f>
        <v>38.019833333333338</v>
      </c>
      <c r="I23" s="44">
        <f>'2012'!U11</f>
        <v>36.763300000000001</v>
      </c>
      <c r="J23" s="44">
        <f>'2013'!S11</f>
        <v>7.997500001353</v>
      </c>
    </row>
    <row r="24" spans="1:10" ht="15.75">
      <c r="A24" s="146" t="s">
        <v>50</v>
      </c>
      <c r="B24" s="44">
        <f>'05_06'!O5</f>
        <v>38.502333333333333</v>
      </c>
      <c r="C24" s="44">
        <f>'2006'!R12</f>
        <v>46.897233333333332</v>
      </c>
      <c r="D24" s="44">
        <f>'2007'!$R12</f>
        <v>54.451899999999995</v>
      </c>
      <c r="E24" s="44">
        <f>'2008'!R12</f>
        <v>53.298233333333329</v>
      </c>
      <c r="F24" s="44">
        <f>'2009'!R12</f>
        <v>51.343600000000002</v>
      </c>
      <c r="G24" s="44">
        <f>'2010'!$R12</f>
        <v>44.737899999999996</v>
      </c>
      <c r="H24" s="44">
        <f>'2011'!R12</f>
        <v>38.776033333333331</v>
      </c>
      <c r="I24" s="44">
        <f>'2012'!U12</f>
        <v>38.914200000000001</v>
      </c>
      <c r="J24" s="44">
        <f>'2013'!S12</f>
        <v>7.997500001353</v>
      </c>
    </row>
    <row r="25" spans="1:10" ht="15.75">
      <c r="A25" s="146" t="s">
        <v>51</v>
      </c>
      <c r="B25" s="44">
        <f>'05_06'!O6</f>
        <v>80.535933333333332</v>
      </c>
      <c r="C25" s="44">
        <f>'2006'!R13</f>
        <v>80.126133333333343</v>
      </c>
      <c r="D25" s="44">
        <f>'2007'!$R13</f>
        <v>103.0675</v>
      </c>
      <c r="E25" s="44">
        <f>'2008'!R13</f>
        <v>96.116533333333336</v>
      </c>
      <c r="F25" s="44">
        <f>'2009'!R13</f>
        <v>77.401399999999995</v>
      </c>
      <c r="G25" s="44">
        <f>'2010'!$R13</f>
        <v>78.752099999999984</v>
      </c>
      <c r="H25" s="44">
        <f>'2011'!R13</f>
        <v>40.894533333333335</v>
      </c>
      <c r="I25" s="44">
        <f>'2012'!U13</f>
        <v>48.236999999999995</v>
      </c>
      <c r="J25" s="44">
        <f>'2013'!S13</f>
        <v>7.997500001353</v>
      </c>
    </row>
    <row r="26" spans="1:10" ht="15.75">
      <c r="A26" s="146" t="s">
        <v>52</v>
      </c>
      <c r="B26" s="44">
        <f>'05_06'!O7</f>
        <v>165.62583333333333</v>
      </c>
      <c r="C26" s="44">
        <f>'2006'!R14</f>
        <v>123.50623333333333</v>
      </c>
      <c r="D26" s="44">
        <f>'2007'!$R14</f>
        <v>134.20089999999999</v>
      </c>
      <c r="E26" s="44">
        <f>'2008'!R14</f>
        <v>159.32743333333332</v>
      </c>
      <c r="F26" s="44">
        <f>'2009'!R14</f>
        <v>95.120499999999993</v>
      </c>
      <c r="G26" s="44">
        <f>'2010'!$R14</f>
        <v>119.82039999999999</v>
      </c>
      <c r="H26" s="44">
        <f>'2011'!R14</f>
        <v>52.224233333333331</v>
      </c>
      <c r="I26" s="44">
        <f>'2012'!U14</f>
        <v>39.091200000000001</v>
      </c>
      <c r="J26" s="44">
        <f>'2013'!S14</f>
        <v>7.997500001353</v>
      </c>
    </row>
    <row r="27" spans="1:10" ht="15.75">
      <c r="A27" s="94" t="s">
        <v>60</v>
      </c>
      <c r="B27" s="95">
        <f>SUM(B22:B26)</f>
        <v>355.73906666666664</v>
      </c>
      <c r="C27" s="174">
        <v>883.75243763422577</v>
      </c>
      <c r="D27" s="95">
        <v>821.09114204242405</v>
      </c>
      <c r="E27" s="95">
        <v>909.94363848043349</v>
      </c>
      <c r="F27" s="95">
        <v>920.52581290322564</v>
      </c>
      <c r="G27" s="95">
        <v>808.50181111111124</v>
      </c>
      <c r="H27" s="95">
        <f>SUM(H15:H26)</f>
        <v>701.20690000000013</v>
      </c>
      <c r="I27" s="95">
        <f>SUM(I15:I26)</f>
        <v>589.82843333333335</v>
      </c>
      <c r="J27" s="95">
        <f>SUM(J15:J26)</f>
        <v>95.970000016236028</v>
      </c>
    </row>
    <row r="28" spans="1:10" ht="15.75">
      <c r="A28" s="285" t="s">
        <v>58</v>
      </c>
      <c r="B28" s="39">
        <f t="shared" ref="B28:G28" si="0">SUM(B2:B13)</f>
        <v>3614</v>
      </c>
      <c r="C28" s="39">
        <f t="shared" si="0"/>
        <v>9065</v>
      </c>
      <c r="D28" s="39">
        <f t="shared" si="0"/>
        <v>8267</v>
      </c>
      <c r="E28" s="39">
        <f t="shared" si="0"/>
        <v>9088</v>
      </c>
      <c r="F28" s="39">
        <f t="shared" si="0"/>
        <v>8771</v>
      </c>
      <c r="G28" s="39">
        <f t="shared" si="0"/>
        <v>8284</v>
      </c>
      <c r="H28" s="39">
        <f>SUM(H2:H13)</f>
        <v>5692</v>
      </c>
      <c r="I28" s="39">
        <f>SUM(I2:I13)</f>
        <v>4467</v>
      </c>
      <c r="J28" s="39">
        <f>SUM(J2:J13)</f>
        <v>1.1999999999999999E-7</v>
      </c>
    </row>
    <row r="29" spans="1:10" ht="15.75">
      <c r="A29" s="284" t="s">
        <v>98</v>
      </c>
      <c r="C29" s="314">
        <f>'2006'!C39</f>
        <v>446.50060000000002</v>
      </c>
      <c r="D29" s="314">
        <f>'2007'!C39</f>
        <v>338.31180000000001</v>
      </c>
      <c r="E29">
        <f>'2008'!C39</f>
        <v>416.24799999999999</v>
      </c>
      <c r="F29">
        <f>'2009'!C39</f>
        <v>454.48220000000003</v>
      </c>
      <c r="G29">
        <f>'2010'!C39</f>
        <v>472.11693333333335</v>
      </c>
      <c r="H29">
        <f>'2011'!C39</f>
        <v>267.13386666666662</v>
      </c>
      <c r="I29">
        <f>'2012'!D39</f>
        <v>157.3381</v>
      </c>
      <c r="J29">
        <f>'2013'!D39</f>
        <v>0</v>
      </c>
    </row>
    <row r="33" spans="4:4" ht="15.75" customHeight="1"/>
    <row r="34" spans="4:4">
      <c r="D34" s="124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I75"/>
  <sheetViews>
    <sheetView workbookViewId="0">
      <selection activeCell="A67" sqref="A67"/>
    </sheetView>
  </sheetViews>
  <sheetFormatPr baseColWidth="10" defaultColWidth="11.42578125" defaultRowHeight="12.75"/>
  <cols>
    <col min="1" max="1" width="34.42578125" bestFit="1" customWidth="1"/>
  </cols>
  <sheetData>
    <row r="1" spans="1:9" ht="13.5" thickBot="1">
      <c r="A1" s="138" t="s">
        <v>112</v>
      </c>
      <c r="B1" s="139" t="s">
        <v>79</v>
      </c>
      <c r="D1" s="396" t="s">
        <v>83</v>
      </c>
      <c r="E1" s="397"/>
      <c r="G1" s="398" t="s">
        <v>92</v>
      </c>
      <c r="H1" s="399"/>
      <c r="I1" s="400"/>
    </row>
    <row r="2" spans="1:9">
      <c r="A2" s="126" t="s">
        <v>67</v>
      </c>
      <c r="B2" s="195">
        <f>AVERAGE('2006'!E39,'2007'!E39,'2008'!E39,'2009'!E39,'2010'!E39,'2011'!E39)</f>
        <v>272.84845000000001</v>
      </c>
      <c r="D2" s="140" t="s">
        <v>69</v>
      </c>
      <c r="E2" s="141" t="s">
        <v>72</v>
      </c>
      <c r="G2" s="171">
        <v>105</v>
      </c>
      <c r="H2" s="170" t="s">
        <v>93</v>
      </c>
      <c r="I2" s="172">
        <v>150</v>
      </c>
    </row>
    <row r="3" spans="1:9" ht="13.5" thickBot="1">
      <c r="A3" s="126" t="s">
        <v>68</v>
      </c>
      <c r="B3" s="194">
        <f>AVERAGE('2006'!D39,'2007'!D39,'2008'!D39,'2009'!D39,'2010'!D39,'2011'!D39)</f>
        <v>126.28378333333335</v>
      </c>
      <c r="C3" s="75">
        <f>B2+B3</f>
        <v>399.13223333333337</v>
      </c>
      <c r="D3" s="49" t="s">
        <v>70</v>
      </c>
      <c r="E3" s="125" t="s">
        <v>73</v>
      </c>
      <c r="G3" s="401" t="s">
        <v>94</v>
      </c>
      <c r="H3" s="402"/>
      <c r="I3" s="403"/>
    </row>
    <row r="4" spans="1:9" ht="13.5" thickBot="1">
      <c r="A4" s="128" t="s">
        <v>77</v>
      </c>
      <c r="B4" s="129">
        <f>1/(D5/E5)</f>
        <v>0.38461538461538458</v>
      </c>
      <c r="D4" s="131" t="s">
        <v>71</v>
      </c>
      <c r="E4" s="132" t="s">
        <v>71</v>
      </c>
    </row>
    <row r="5" spans="1:9" ht="14.25" thickTop="1" thickBot="1">
      <c r="A5" s="128" t="s">
        <v>74</v>
      </c>
      <c r="B5" s="127">
        <f>B2*$B$4</f>
        <v>104.94171153846153</v>
      </c>
      <c r="D5" s="133">
        <v>6500</v>
      </c>
      <c r="E5" s="134">
        <v>2500</v>
      </c>
    </row>
    <row r="6" spans="1:9">
      <c r="A6" s="128" t="s">
        <v>75</v>
      </c>
      <c r="B6" s="127">
        <f>B3*$B$4</f>
        <v>48.570685897435901</v>
      </c>
    </row>
    <row r="7" spans="1:9">
      <c r="A7" s="128" t="s">
        <v>76</v>
      </c>
      <c r="B7" s="127">
        <f>SUM(B5:B6)</f>
        <v>153.51239743589744</v>
      </c>
      <c r="C7" s="144" t="str">
        <f>"(1/5)"</f>
        <v>(1/5)</v>
      </c>
      <c r="D7">
        <v>4000</v>
      </c>
      <c r="E7">
        <v>4000</v>
      </c>
    </row>
    <row r="8" spans="1:9" ht="13.5" thickBot="1">
      <c r="A8" s="128" t="s">
        <v>78</v>
      </c>
      <c r="B8" s="135">
        <f>$B$7/3</f>
        <v>51.170799145299149</v>
      </c>
      <c r="C8" s="142">
        <f>$B$7/5</f>
        <v>30.702479487179488</v>
      </c>
    </row>
    <row r="9" spans="1:9" ht="14.25" thickTop="1" thickBot="1">
      <c r="A9" s="130" t="s">
        <v>82</v>
      </c>
      <c r="B9" s="136">
        <v>2500</v>
      </c>
    </row>
    <row r="46" spans="2:9">
      <c r="B46" s="198" t="s">
        <v>81</v>
      </c>
      <c r="C46" s="198" t="s">
        <v>86</v>
      </c>
      <c r="D46" s="198"/>
      <c r="E46" s="198" t="s">
        <v>87</v>
      </c>
      <c r="F46" s="198"/>
      <c r="G46" s="198" t="s">
        <v>80</v>
      </c>
      <c r="H46" s="198" t="s">
        <v>111</v>
      </c>
    </row>
    <row r="47" spans="2:9">
      <c r="B47" s="200">
        <f>B7</f>
        <v>153.51239743589744</v>
      </c>
      <c r="C47" s="200">
        <f>B9+B8</f>
        <v>2551.170799145299</v>
      </c>
      <c r="D47" s="201">
        <f>B47-C47</f>
        <v>-2397.6584017094015</v>
      </c>
      <c r="E47" s="200">
        <f>B9+C8</f>
        <v>2530.7024794871795</v>
      </c>
      <c r="F47" s="201">
        <f>B47-E47</f>
        <v>-2377.1900820512819</v>
      </c>
      <c r="G47" s="197">
        <v>1</v>
      </c>
      <c r="H47" s="204">
        <f>I2</f>
        <v>150</v>
      </c>
      <c r="I47">
        <v>4000</v>
      </c>
    </row>
    <row r="48" spans="2:9">
      <c r="B48" s="200">
        <f>B47+$B$7</f>
        <v>307.02479487179488</v>
      </c>
      <c r="C48" s="200">
        <f>C47+$B$8</f>
        <v>2602.3415982905981</v>
      </c>
      <c r="D48" s="201">
        <f t="shared" ref="D48:D75" si="0">B48-C48</f>
        <v>-2295.3168034188034</v>
      </c>
      <c r="E48" s="200">
        <f>E47+$C$8</f>
        <v>2561.404958974359</v>
      </c>
      <c r="F48" s="201">
        <f t="shared" ref="F48:F63" si="1">B48-E48</f>
        <v>-2254.3801641025643</v>
      </c>
      <c r="G48" s="197">
        <v>2</v>
      </c>
      <c r="H48" s="204">
        <f>H47+$I$2</f>
        <v>300</v>
      </c>
      <c r="I48">
        <v>4000</v>
      </c>
    </row>
    <row r="49" spans="2:9">
      <c r="B49" s="200">
        <f t="shared" ref="B49:B75" si="2">B48+$B$7</f>
        <v>460.53719230769229</v>
      </c>
      <c r="C49" s="200">
        <f t="shared" ref="C49:C75" si="3">C48+$B$8</f>
        <v>2653.5123974358971</v>
      </c>
      <c r="D49" s="201">
        <f t="shared" si="0"/>
        <v>-2192.9752051282048</v>
      </c>
      <c r="E49" s="200">
        <f t="shared" ref="E49:E75" si="4">E48+$C$8</f>
        <v>2592.1074384615385</v>
      </c>
      <c r="F49" s="201">
        <f t="shared" si="1"/>
        <v>-2131.5702461538463</v>
      </c>
      <c r="G49" s="197">
        <v>3</v>
      </c>
      <c r="H49" s="204">
        <f t="shared" ref="H49:H75" si="5">H48+$I$2</f>
        <v>450</v>
      </c>
      <c r="I49">
        <v>4000</v>
      </c>
    </row>
    <row r="50" spans="2:9">
      <c r="B50" s="200">
        <f t="shared" si="2"/>
        <v>614.04958974358976</v>
      </c>
      <c r="C50" s="200">
        <f t="shared" si="3"/>
        <v>2704.6831965811962</v>
      </c>
      <c r="D50" s="201">
        <f t="shared" si="0"/>
        <v>-2090.6336068376063</v>
      </c>
      <c r="E50" s="200">
        <f t="shared" si="4"/>
        <v>2622.8099179487181</v>
      </c>
      <c r="F50" s="201">
        <f t="shared" si="1"/>
        <v>-2008.7603282051282</v>
      </c>
      <c r="G50" s="197">
        <v>4</v>
      </c>
      <c r="H50" s="204">
        <f t="shared" si="5"/>
        <v>600</v>
      </c>
      <c r="I50">
        <v>4000</v>
      </c>
    </row>
    <row r="51" spans="2:9">
      <c r="B51" s="200">
        <f t="shared" si="2"/>
        <v>767.56198717948723</v>
      </c>
      <c r="C51" s="200">
        <f t="shared" si="3"/>
        <v>2755.8539957264952</v>
      </c>
      <c r="D51" s="201">
        <f t="shared" si="0"/>
        <v>-1988.292008547008</v>
      </c>
      <c r="E51" s="200">
        <f t="shared" si="4"/>
        <v>2653.5123974358976</v>
      </c>
      <c r="F51" s="201">
        <f t="shared" si="1"/>
        <v>-1885.9504102564104</v>
      </c>
      <c r="G51" s="197">
        <v>5</v>
      </c>
      <c r="H51" s="204">
        <f t="shared" si="5"/>
        <v>750</v>
      </c>
      <c r="I51">
        <v>4000</v>
      </c>
    </row>
    <row r="52" spans="2:9">
      <c r="B52" s="200">
        <f t="shared" si="2"/>
        <v>921.0743846153847</v>
      </c>
      <c r="C52" s="200">
        <f t="shared" si="3"/>
        <v>2807.0247948717943</v>
      </c>
      <c r="D52" s="201">
        <f t="shared" si="0"/>
        <v>-1885.9504102564097</v>
      </c>
      <c r="E52" s="200">
        <f t="shared" si="4"/>
        <v>2684.2148769230771</v>
      </c>
      <c r="F52" s="201">
        <f t="shared" si="1"/>
        <v>-1763.1404923076925</v>
      </c>
      <c r="G52" s="197">
        <v>6</v>
      </c>
      <c r="H52" s="204">
        <f t="shared" si="5"/>
        <v>900</v>
      </c>
      <c r="I52">
        <v>4000</v>
      </c>
    </row>
    <row r="53" spans="2:9">
      <c r="B53" s="200">
        <f t="shared" si="2"/>
        <v>1074.5867820512822</v>
      </c>
      <c r="C53" s="200">
        <f t="shared" si="3"/>
        <v>2858.1955940170933</v>
      </c>
      <c r="D53" s="201">
        <f t="shared" si="0"/>
        <v>-1783.6088119658111</v>
      </c>
      <c r="E53" s="200">
        <f t="shared" si="4"/>
        <v>2714.9173564102566</v>
      </c>
      <c r="F53" s="201">
        <f t="shared" si="1"/>
        <v>-1640.3305743589744</v>
      </c>
      <c r="G53" s="197">
        <v>7</v>
      </c>
      <c r="H53" s="204">
        <f t="shared" si="5"/>
        <v>1050</v>
      </c>
      <c r="I53">
        <v>4000</v>
      </c>
    </row>
    <row r="54" spans="2:9">
      <c r="B54" s="200">
        <f t="shared" si="2"/>
        <v>1228.0991794871795</v>
      </c>
      <c r="C54" s="200">
        <f t="shared" si="3"/>
        <v>2909.3663931623923</v>
      </c>
      <c r="D54" s="201">
        <f t="shared" si="0"/>
        <v>-1681.2672136752128</v>
      </c>
      <c r="E54" s="200">
        <f t="shared" si="4"/>
        <v>2745.6198358974361</v>
      </c>
      <c r="F54" s="201">
        <f t="shared" si="1"/>
        <v>-1517.5206564102566</v>
      </c>
      <c r="G54" s="197">
        <v>8</v>
      </c>
      <c r="H54" s="204">
        <f t="shared" si="5"/>
        <v>1200</v>
      </c>
      <c r="I54">
        <v>4000</v>
      </c>
    </row>
    <row r="55" spans="2:9">
      <c r="B55" s="200">
        <f t="shared" si="2"/>
        <v>1381.6115769230769</v>
      </c>
      <c r="C55" s="200">
        <f t="shared" si="3"/>
        <v>2960.5371923076914</v>
      </c>
      <c r="D55" s="201">
        <f t="shared" si="0"/>
        <v>-1578.9256153846145</v>
      </c>
      <c r="E55" s="200">
        <f t="shared" si="4"/>
        <v>2776.3223153846156</v>
      </c>
      <c r="F55" s="201">
        <f t="shared" si="1"/>
        <v>-1394.7107384615388</v>
      </c>
      <c r="G55" s="197">
        <v>9</v>
      </c>
      <c r="H55" s="204">
        <f t="shared" si="5"/>
        <v>1350</v>
      </c>
      <c r="I55">
        <v>4000</v>
      </c>
    </row>
    <row r="56" spans="2:9">
      <c r="B56" s="200">
        <f t="shared" si="2"/>
        <v>1535.1239743589742</v>
      </c>
      <c r="C56" s="200">
        <f t="shared" si="3"/>
        <v>3011.7079914529904</v>
      </c>
      <c r="D56" s="201">
        <f t="shared" si="0"/>
        <v>-1476.5840170940162</v>
      </c>
      <c r="E56" s="200">
        <f t="shared" si="4"/>
        <v>2807.0247948717952</v>
      </c>
      <c r="F56" s="201">
        <f t="shared" si="1"/>
        <v>-1271.9008205128209</v>
      </c>
      <c r="G56" s="197">
        <v>10</v>
      </c>
      <c r="H56" s="204">
        <f t="shared" si="5"/>
        <v>1500</v>
      </c>
      <c r="I56">
        <v>4000</v>
      </c>
    </row>
    <row r="57" spans="2:9">
      <c r="B57" s="200">
        <f t="shared" si="2"/>
        <v>1688.6363717948716</v>
      </c>
      <c r="C57" s="200">
        <f t="shared" si="3"/>
        <v>3062.8787905982895</v>
      </c>
      <c r="D57" s="201">
        <f t="shared" si="0"/>
        <v>-1374.2424188034179</v>
      </c>
      <c r="E57" s="200">
        <f t="shared" si="4"/>
        <v>2837.7272743589747</v>
      </c>
      <c r="F57" s="201">
        <f t="shared" si="1"/>
        <v>-1149.0909025641031</v>
      </c>
      <c r="G57" s="197">
        <v>11</v>
      </c>
      <c r="H57" s="204">
        <f t="shared" si="5"/>
        <v>1650</v>
      </c>
      <c r="I57">
        <v>4000</v>
      </c>
    </row>
    <row r="58" spans="2:9">
      <c r="B58" s="200">
        <f t="shared" si="2"/>
        <v>1842.1487692307689</v>
      </c>
      <c r="C58" s="200">
        <f t="shared" si="3"/>
        <v>3114.0495897435885</v>
      </c>
      <c r="D58" s="201">
        <f t="shared" si="0"/>
        <v>-1271.9008205128196</v>
      </c>
      <c r="E58" s="200">
        <f t="shared" si="4"/>
        <v>2868.4297538461542</v>
      </c>
      <c r="F58" s="201">
        <f t="shared" si="1"/>
        <v>-1026.2809846153853</v>
      </c>
      <c r="G58" s="197">
        <v>12</v>
      </c>
      <c r="H58" s="204">
        <f t="shared" si="5"/>
        <v>1800</v>
      </c>
      <c r="I58">
        <v>4000</v>
      </c>
    </row>
    <row r="59" spans="2:9">
      <c r="B59" s="200">
        <f t="shared" si="2"/>
        <v>1995.6611666666663</v>
      </c>
      <c r="C59" s="200">
        <f t="shared" si="3"/>
        <v>3165.2203888888876</v>
      </c>
      <c r="D59" s="201">
        <f t="shared" si="0"/>
        <v>-1169.5592222222213</v>
      </c>
      <c r="E59" s="200">
        <f t="shared" si="4"/>
        <v>2899.1322333333337</v>
      </c>
      <c r="F59" s="201">
        <f t="shared" si="1"/>
        <v>-903.47106666666741</v>
      </c>
      <c r="G59" s="197">
        <v>13</v>
      </c>
      <c r="H59" s="204">
        <f t="shared" si="5"/>
        <v>1950</v>
      </c>
      <c r="I59">
        <v>4000</v>
      </c>
    </row>
    <row r="60" spans="2:9">
      <c r="B60" s="200">
        <f t="shared" si="2"/>
        <v>2149.1735641025639</v>
      </c>
      <c r="C60" s="200">
        <f t="shared" si="3"/>
        <v>3216.3911880341866</v>
      </c>
      <c r="D60" s="201">
        <f t="shared" si="0"/>
        <v>-1067.2176239316227</v>
      </c>
      <c r="E60" s="200">
        <f t="shared" si="4"/>
        <v>2929.8347128205132</v>
      </c>
      <c r="F60" s="201">
        <f t="shared" si="1"/>
        <v>-780.66114871794935</v>
      </c>
      <c r="G60" s="197">
        <v>14</v>
      </c>
      <c r="H60" s="204">
        <f t="shared" si="5"/>
        <v>2100</v>
      </c>
      <c r="I60">
        <v>4000</v>
      </c>
    </row>
    <row r="61" spans="2:9">
      <c r="B61" s="200">
        <f t="shared" si="2"/>
        <v>2302.6859615384615</v>
      </c>
      <c r="C61" s="200">
        <f t="shared" si="3"/>
        <v>3267.5619871794856</v>
      </c>
      <c r="D61" s="201">
        <f t="shared" si="0"/>
        <v>-964.87602564102417</v>
      </c>
      <c r="E61" s="200">
        <f t="shared" si="4"/>
        <v>2960.5371923076927</v>
      </c>
      <c r="F61" s="201">
        <f t="shared" si="1"/>
        <v>-657.85123076923128</v>
      </c>
      <c r="G61" s="197">
        <v>15</v>
      </c>
      <c r="H61" s="204">
        <f t="shared" si="5"/>
        <v>2250</v>
      </c>
      <c r="I61">
        <v>4000</v>
      </c>
    </row>
    <row r="62" spans="2:9">
      <c r="B62" s="200">
        <f t="shared" si="2"/>
        <v>2456.1983589743591</v>
      </c>
      <c r="C62" s="200">
        <f t="shared" si="3"/>
        <v>3318.7327863247847</v>
      </c>
      <c r="D62" s="201">
        <f t="shared" si="0"/>
        <v>-862.53442735042563</v>
      </c>
      <c r="E62" s="200">
        <f t="shared" si="4"/>
        <v>2991.2396717948723</v>
      </c>
      <c r="F62" s="201">
        <f t="shared" si="1"/>
        <v>-535.04131282051321</v>
      </c>
      <c r="G62" s="197">
        <v>16</v>
      </c>
      <c r="H62" s="204">
        <f t="shared" si="5"/>
        <v>2400</v>
      </c>
      <c r="I62">
        <v>4000</v>
      </c>
    </row>
    <row r="63" spans="2:9">
      <c r="B63" s="200">
        <f t="shared" si="2"/>
        <v>2609.7107564102566</v>
      </c>
      <c r="C63" s="200">
        <f t="shared" si="3"/>
        <v>3369.9035854700837</v>
      </c>
      <c r="D63" s="201">
        <f t="shared" si="0"/>
        <v>-760.19282905982709</v>
      </c>
      <c r="E63" s="200">
        <f t="shared" si="4"/>
        <v>3021.9421512820518</v>
      </c>
      <c r="F63" s="201">
        <f t="shared" si="1"/>
        <v>-412.23139487179515</v>
      </c>
      <c r="G63" s="197">
        <v>17</v>
      </c>
      <c r="H63" s="204">
        <f t="shared" si="5"/>
        <v>2550</v>
      </c>
      <c r="I63">
        <v>4000</v>
      </c>
    </row>
    <row r="64" spans="2:9">
      <c r="B64" s="200">
        <f t="shared" si="2"/>
        <v>2763.2231538461542</v>
      </c>
      <c r="C64" s="200">
        <f t="shared" si="3"/>
        <v>3421.0743846153828</v>
      </c>
      <c r="D64" s="201">
        <f t="shared" si="0"/>
        <v>-657.85123076922855</v>
      </c>
      <c r="E64" s="200">
        <f t="shared" si="4"/>
        <v>3052.6446307692313</v>
      </c>
      <c r="F64" s="201">
        <f>B64-E64</f>
        <v>-289.42147692307708</v>
      </c>
      <c r="G64" s="152">
        <v>18</v>
      </c>
      <c r="H64" s="204">
        <f t="shared" si="5"/>
        <v>2700</v>
      </c>
      <c r="I64">
        <v>4000</v>
      </c>
    </row>
    <row r="65" spans="1:9">
      <c r="A65" s="124"/>
      <c r="B65" s="200">
        <f t="shared" si="2"/>
        <v>2916.7355512820518</v>
      </c>
      <c r="C65" s="200">
        <f t="shared" si="3"/>
        <v>3472.2451837606818</v>
      </c>
      <c r="D65" s="201">
        <f t="shared" si="0"/>
        <v>-555.50963247863001</v>
      </c>
      <c r="E65" s="200">
        <f t="shared" si="4"/>
        <v>3083.3471102564108</v>
      </c>
      <c r="F65" s="201">
        <f t="shared" ref="F65:F75" si="6">B65-E65</f>
        <v>-166.61155897435901</v>
      </c>
      <c r="G65" s="152">
        <v>19</v>
      </c>
      <c r="H65" s="204">
        <f t="shared" si="5"/>
        <v>2850</v>
      </c>
      <c r="I65">
        <v>4000</v>
      </c>
    </row>
    <row r="66" spans="1:9">
      <c r="A66" s="196"/>
      <c r="B66" s="205">
        <f t="shared" si="2"/>
        <v>3070.2479487179494</v>
      </c>
      <c r="C66" s="205">
        <f t="shared" si="3"/>
        <v>3523.4159829059809</v>
      </c>
      <c r="D66" s="206">
        <f t="shared" si="0"/>
        <v>-453.16803418803147</v>
      </c>
      <c r="E66" s="202">
        <f t="shared" si="4"/>
        <v>3114.0495897435903</v>
      </c>
      <c r="F66" s="203">
        <f t="shared" si="6"/>
        <v>-43.801641025640947</v>
      </c>
      <c r="G66" s="199">
        <v>20</v>
      </c>
      <c r="H66" s="204">
        <f t="shared" si="5"/>
        <v>3000</v>
      </c>
      <c r="I66">
        <v>4000</v>
      </c>
    </row>
    <row r="67" spans="1:9">
      <c r="B67" s="200">
        <f t="shared" si="2"/>
        <v>3223.760346153847</v>
      </c>
      <c r="C67" s="200">
        <f t="shared" si="3"/>
        <v>3574.5867820512799</v>
      </c>
      <c r="D67" s="201">
        <f t="shared" si="0"/>
        <v>-350.82643589743293</v>
      </c>
      <c r="E67" s="200">
        <f t="shared" si="4"/>
        <v>3144.7520692307698</v>
      </c>
      <c r="F67" s="201">
        <f t="shared" si="6"/>
        <v>79.008276923077119</v>
      </c>
      <c r="G67" s="152">
        <v>21</v>
      </c>
      <c r="H67" s="204">
        <f t="shared" si="5"/>
        <v>3150</v>
      </c>
      <c r="I67">
        <v>4000</v>
      </c>
    </row>
    <row r="68" spans="1:9">
      <c r="A68" s="124"/>
      <c r="B68" s="200">
        <f t="shared" si="2"/>
        <v>3377.2727435897446</v>
      </c>
      <c r="C68" s="200">
        <f t="shared" si="3"/>
        <v>3625.7575811965789</v>
      </c>
      <c r="D68" s="201">
        <f t="shared" si="0"/>
        <v>-248.48483760683439</v>
      </c>
      <c r="E68" s="200">
        <f t="shared" si="4"/>
        <v>3175.4545487179494</v>
      </c>
      <c r="F68" s="201">
        <f t="shared" si="6"/>
        <v>201.81819487179519</v>
      </c>
      <c r="G68" s="152">
        <v>22</v>
      </c>
      <c r="H68" s="204">
        <f t="shared" si="5"/>
        <v>3300</v>
      </c>
      <c r="I68">
        <v>4000</v>
      </c>
    </row>
    <row r="69" spans="1:9">
      <c r="B69" s="200">
        <f t="shared" si="2"/>
        <v>3530.7851410256421</v>
      </c>
      <c r="C69" s="200">
        <f t="shared" si="3"/>
        <v>3676.928380341878</v>
      </c>
      <c r="D69" s="201">
        <f t="shared" si="0"/>
        <v>-146.14323931623585</v>
      </c>
      <c r="E69" s="200">
        <f t="shared" si="4"/>
        <v>3206.1570282051289</v>
      </c>
      <c r="F69" s="201">
        <f t="shared" si="6"/>
        <v>324.62811282051325</v>
      </c>
      <c r="G69" s="152">
        <v>23</v>
      </c>
      <c r="H69" s="204">
        <f t="shared" si="5"/>
        <v>3450</v>
      </c>
      <c r="I69">
        <v>4000</v>
      </c>
    </row>
    <row r="70" spans="1:9">
      <c r="A70" s="196"/>
      <c r="B70" s="202">
        <f t="shared" si="2"/>
        <v>3684.2975384615397</v>
      </c>
      <c r="C70" s="202">
        <f t="shared" si="3"/>
        <v>3728.099179487177</v>
      </c>
      <c r="D70" s="203">
        <f t="shared" si="0"/>
        <v>-43.801641025637309</v>
      </c>
      <c r="E70" s="205">
        <f t="shared" si="4"/>
        <v>3236.8595076923084</v>
      </c>
      <c r="F70" s="206">
        <f t="shared" si="6"/>
        <v>447.43803076923132</v>
      </c>
      <c r="G70" s="199">
        <v>24</v>
      </c>
      <c r="H70" s="204">
        <f t="shared" si="5"/>
        <v>3600</v>
      </c>
      <c r="I70">
        <v>4000</v>
      </c>
    </row>
    <row r="71" spans="1:9">
      <c r="B71" s="200">
        <f t="shared" si="2"/>
        <v>3837.8099358974373</v>
      </c>
      <c r="C71" s="200">
        <f t="shared" si="3"/>
        <v>3779.2699786324761</v>
      </c>
      <c r="D71" s="201">
        <f t="shared" si="0"/>
        <v>58.539957264961231</v>
      </c>
      <c r="E71" s="200">
        <f t="shared" si="4"/>
        <v>3267.5619871794879</v>
      </c>
      <c r="F71" s="201">
        <f t="shared" si="6"/>
        <v>570.24794871794938</v>
      </c>
      <c r="G71" s="152">
        <v>25</v>
      </c>
      <c r="H71" s="204">
        <f t="shared" si="5"/>
        <v>3750</v>
      </c>
      <c r="I71">
        <v>4000</v>
      </c>
    </row>
    <row r="72" spans="1:9">
      <c r="B72" s="200">
        <f t="shared" si="2"/>
        <v>3991.3223333333349</v>
      </c>
      <c r="C72" s="200">
        <f t="shared" si="3"/>
        <v>3830.4407777777751</v>
      </c>
      <c r="D72" s="201">
        <f t="shared" si="0"/>
        <v>160.88155555555977</v>
      </c>
      <c r="E72" s="200">
        <f t="shared" si="4"/>
        <v>3298.2644666666674</v>
      </c>
      <c r="F72" s="201">
        <f t="shared" si="6"/>
        <v>693.05786666666745</v>
      </c>
      <c r="G72" s="152">
        <v>26</v>
      </c>
      <c r="H72" s="204">
        <f t="shared" si="5"/>
        <v>3900</v>
      </c>
      <c r="I72">
        <v>4000</v>
      </c>
    </row>
    <row r="73" spans="1:9">
      <c r="B73" s="200">
        <f t="shared" si="2"/>
        <v>4144.834730769232</v>
      </c>
      <c r="C73" s="200">
        <f t="shared" si="3"/>
        <v>3881.6115769230742</v>
      </c>
      <c r="D73" s="201">
        <f t="shared" si="0"/>
        <v>263.22315384615786</v>
      </c>
      <c r="E73" s="200">
        <f t="shared" si="4"/>
        <v>3328.9669461538469</v>
      </c>
      <c r="F73" s="201">
        <f t="shared" si="6"/>
        <v>815.86778461538506</v>
      </c>
      <c r="G73" s="199">
        <v>27</v>
      </c>
      <c r="H73" s="207">
        <f t="shared" si="5"/>
        <v>4050</v>
      </c>
      <c r="I73">
        <v>4000</v>
      </c>
    </row>
    <row r="74" spans="1:9">
      <c r="B74" s="200">
        <f t="shared" si="2"/>
        <v>4298.3471282051296</v>
      </c>
      <c r="C74" s="200">
        <f t="shared" si="3"/>
        <v>3932.7823760683732</v>
      </c>
      <c r="D74" s="201">
        <f t="shared" si="0"/>
        <v>365.5647521367564</v>
      </c>
      <c r="E74" s="200">
        <f t="shared" si="4"/>
        <v>3359.6694256410265</v>
      </c>
      <c r="F74" s="201">
        <f t="shared" si="6"/>
        <v>938.67770256410313</v>
      </c>
      <c r="G74" s="152">
        <v>28</v>
      </c>
      <c r="H74" s="204">
        <f t="shared" si="5"/>
        <v>4200</v>
      </c>
      <c r="I74">
        <v>4000</v>
      </c>
    </row>
    <row r="75" spans="1:9">
      <c r="B75" s="200">
        <f t="shared" si="2"/>
        <v>4451.8595256410272</v>
      </c>
      <c r="C75" s="200">
        <f t="shared" si="3"/>
        <v>3983.9531752136722</v>
      </c>
      <c r="D75" s="201">
        <f t="shared" si="0"/>
        <v>467.90635042735494</v>
      </c>
      <c r="E75" s="200">
        <f t="shared" si="4"/>
        <v>3390.371905128206</v>
      </c>
      <c r="F75" s="201">
        <f t="shared" si="6"/>
        <v>1061.4876205128212</v>
      </c>
      <c r="G75" s="152">
        <v>29</v>
      </c>
      <c r="H75" s="204">
        <f t="shared" si="5"/>
        <v>4350</v>
      </c>
      <c r="I75">
        <v>4000</v>
      </c>
    </row>
  </sheetData>
  <mergeCells count="3">
    <mergeCell ref="D1:E1"/>
    <mergeCell ref="G1:I1"/>
    <mergeCell ref="G3:I3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H27"/>
  <sheetViews>
    <sheetView workbookViewId="0">
      <selection activeCell="D31" sqref="D31"/>
    </sheetView>
  </sheetViews>
  <sheetFormatPr baseColWidth="10" defaultColWidth="11.42578125" defaultRowHeight="15"/>
  <cols>
    <col min="1" max="1" width="11.42578125" style="208"/>
    <col min="2" max="2" width="24.140625" style="208" bestFit="1" customWidth="1"/>
    <col min="3" max="4" width="19.85546875" style="208" bestFit="1" customWidth="1"/>
    <col min="5" max="5" width="18.85546875" style="208" bestFit="1" customWidth="1"/>
    <col min="6" max="6" width="17.85546875" style="208" bestFit="1" customWidth="1"/>
    <col min="7" max="7" width="25.5703125" style="208" customWidth="1"/>
    <col min="8" max="8" width="14.85546875" style="208" bestFit="1" customWidth="1"/>
    <col min="9" max="16384" width="11.42578125" style="208"/>
  </cols>
  <sheetData>
    <row r="1" spans="1:8" ht="16.5" thickTop="1" thickBot="1">
      <c r="B1" s="217"/>
      <c r="C1" s="251" t="s">
        <v>124</v>
      </c>
      <c r="D1" s="251" t="s">
        <v>125</v>
      </c>
      <c r="E1" s="251" t="s">
        <v>60</v>
      </c>
      <c r="F1" s="251" t="s">
        <v>126</v>
      </c>
      <c r="G1" s="208">
        <f>365.25*24</f>
        <v>8766</v>
      </c>
    </row>
    <row r="2" spans="1:8" ht="16.5" thickTop="1" thickBot="1">
      <c r="A2" s="404" t="s">
        <v>128</v>
      </c>
      <c r="B2" s="253" t="s">
        <v>123</v>
      </c>
      <c r="C2" s="218">
        <v>8.8000000000000007</v>
      </c>
      <c r="D2" s="219">
        <v>97000</v>
      </c>
      <c r="E2" s="220">
        <v>54000000</v>
      </c>
      <c r="F2" s="287">
        <v>6.8000000000000005E-2</v>
      </c>
      <c r="G2" s="216">
        <f>C3*C8</f>
        <v>30600</v>
      </c>
    </row>
    <row r="3" spans="1:8" ht="16.5" thickTop="1" thickBot="1">
      <c r="A3" s="405"/>
      <c r="B3" s="221" t="s">
        <v>122</v>
      </c>
      <c r="C3" s="222">
        <v>900</v>
      </c>
      <c r="D3" s="222">
        <v>1300</v>
      </c>
      <c r="E3" s="222">
        <v>1450</v>
      </c>
      <c r="F3" s="223">
        <v>1600</v>
      </c>
      <c r="G3" s="215">
        <f>D3*D8</f>
        <v>27300</v>
      </c>
    </row>
    <row r="4" spans="1:8" ht="15.75" thickTop="1">
      <c r="A4" s="405"/>
      <c r="B4" s="224" t="s">
        <v>121</v>
      </c>
      <c r="C4" s="225">
        <f>C3/$C$2</f>
        <v>102.27272727272727</v>
      </c>
      <c r="D4" s="225">
        <f>D3/$C$2</f>
        <v>147.72727272727272</v>
      </c>
      <c r="E4" s="225">
        <f>E3/$C$2</f>
        <v>164.77272727272725</v>
      </c>
      <c r="F4" s="226">
        <f>F3/$C$2</f>
        <v>181.81818181818181</v>
      </c>
      <c r="G4" s="215">
        <f>E3*E8</f>
        <v>5800</v>
      </c>
    </row>
    <row r="5" spans="1:8">
      <c r="A5" s="405"/>
      <c r="B5" s="227" t="s">
        <v>119</v>
      </c>
      <c r="C5" s="228">
        <f>C4*$D$2</f>
        <v>9920454.5454545449</v>
      </c>
      <c r="D5" s="228">
        <f>D4*$D$2</f>
        <v>14329545.454545453</v>
      </c>
      <c r="E5" s="228">
        <f>E4*$D$2</f>
        <v>15982954.545454543</v>
      </c>
      <c r="F5" s="229">
        <f>F4*$D$2</f>
        <v>17636363.636363637</v>
      </c>
      <c r="G5" s="215">
        <f>F3*F8</f>
        <v>1600</v>
      </c>
    </row>
    <row r="6" spans="1:8">
      <c r="A6" s="405"/>
      <c r="B6" s="227" t="s">
        <v>60</v>
      </c>
      <c r="C6" s="230">
        <f>C4*$E$2</f>
        <v>5522727272.727272</v>
      </c>
      <c r="D6" s="230">
        <f>D4*$E$2</f>
        <v>7977272727.272727</v>
      </c>
      <c r="E6" s="230">
        <f>E4*$E$2</f>
        <v>8897727272.727272</v>
      </c>
      <c r="F6" s="231">
        <f>F4*$E$2</f>
        <v>9818181818.181818</v>
      </c>
      <c r="G6" s="215">
        <f>SUM(G2:G5)</f>
        <v>65300</v>
      </c>
    </row>
    <row r="7" spans="1:8" ht="15.75" thickBot="1">
      <c r="A7" s="405"/>
      <c r="B7" s="232" t="s">
        <v>118</v>
      </c>
      <c r="C7" s="288">
        <f>C4*$F$2</f>
        <v>6.954545454545455</v>
      </c>
      <c r="D7" s="288">
        <f>D4*$F$2</f>
        <v>10.045454545454545</v>
      </c>
      <c r="E7" s="288">
        <f>E4*$F$2</f>
        <v>11.204545454545453</v>
      </c>
      <c r="F7" s="289">
        <f>F4*$F$2</f>
        <v>12.363636363636363</v>
      </c>
      <c r="G7" s="214">
        <f>G1*G6</f>
        <v>572419800</v>
      </c>
    </row>
    <row r="8" spans="1:8" ht="16.5" thickTop="1" thickBot="1">
      <c r="A8" s="405"/>
      <c r="B8" s="233" t="s">
        <v>120</v>
      </c>
      <c r="C8" s="234">
        <v>34</v>
      </c>
      <c r="D8" s="234">
        <v>21</v>
      </c>
      <c r="E8" s="234">
        <v>4</v>
      </c>
      <c r="F8" s="235">
        <v>1</v>
      </c>
      <c r="G8" s="208">
        <f>SUM(C8:F8)</f>
        <v>60</v>
      </c>
    </row>
    <row r="9" spans="1:8" ht="16.5" thickTop="1" thickBot="1">
      <c r="A9" s="405"/>
      <c r="B9" s="227" t="s">
        <v>119</v>
      </c>
      <c r="C9" s="228">
        <f>C5*C8</f>
        <v>337295454.5454545</v>
      </c>
      <c r="D9" s="228">
        <f>D5*D8</f>
        <v>300920454.5454545</v>
      </c>
      <c r="E9" s="228">
        <f>E5*E8</f>
        <v>63931818.181818172</v>
      </c>
      <c r="F9" s="236">
        <f>F5*F8</f>
        <v>17636363.636363637</v>
      </c>
      <c r="G9" s="213">
        <f>SUM(C9:F9)</f>
        <v>719784090.90909076</v>
      </c>
    </row>
    <row r="10" spans="1:8" ht="16.5" thickTop="1" thickBot="1">
      <c r="A10" s="405"/>
      <c r="B10" s="227" t="s">
        <v>60</v>
      </c>
      <c r="C10" s="230">
        <f>C6*C8</f>
        <v>187772727272.72723</v>
      </c>
      <c r="D10" s="230">
        <f>D6*D8</f>
        <v>167522727272.72726</v>
      </c>
      <c r="E10" s="230">
        <f>E6*E8</f>
        <v>35590909090.909088</v>
      </c>
      <c r="F10" s="231">
        <f>F6*F8</f>
        <v>9818181818.181818</v>
      </c>
      <c r="G10" s="209">
        <f>SUM(C10:F10)</f>
        <v>400704545454.54535</v>
      </c>
    </row>
    <row r="11" spans="1:8" ht="16.5" thickTop="1" thickBot="1">
      <c r="A11" s="406"/>
      <c r="B11" s="237" t="s">
        <v>118</v>
      </c>
      <c r="C11" s="291">
        <f>C7*C8</f>
        <v>236.45454545454547</v>
      </c>
      <c r="D11" s="291">
        <f>D7*D8</f>
        <v>210.95454545454544</v>
      </c>
      <c r="E11" s="291">
        <f>E7*E8</f>
        <v>44.818181818181813</v>
      </c>
      <c r="F11" s="292">
        <f>F7*F8</f>
        <v>12.363636363636363</v>
      </c>
      <c r="G11" s="294">
        <f>SUM(C11:F11)</f>
        <v>504.59090909090907</v>
      </c>
    </row>
    <row r="12" spans="1:8" ht="5.25" customHeight="1" thickTop="1" thickBot="1">
      <c r="A12" s="256"/>
      <c r="B12" s="257"/>
      <c r="C12" s="258"/>
      <c r="D12" s="258"/>
      <c r="E12" s="258"/>
      <c r="F12" s="258"/>
      <c r="G12" s="212"/>
    </row>
    <row r="13" spans="1:8" ht="15.75" thickTop="1">
      <c r="A13" s="407" t="s">
        <v>127</v>
      </c>
      <c r="B13" s="238" t="s">
        <v>129</v>
      </c>
      <c r="C13" s="239">
        <v>37</v>
      </c>
      <c r="D13" s="239">
        <v>46</v>
      </c>
      <c r="E13" s="239">
        <v>70</v>
      </c>
      <c r="F13" s="240">
        <v>112</v>
      </c>
      <c r="G13" s="212"/>
    </row>
    <row r="14" spans="1:8" ht="15.75" thickBot="1">
      <c r="A14" s="408"/>
      <c r="B14" s="241" t="s">
        <v>117</v>
      </c>
      <c r="C14" s="242">
        <v>0.5</v>
      </c>
      <c r="D14" s="242">
        <v>0.6</v>
      </c>
      <c r="E14" s="242">
        <v>1.5</v>
      </c>
      <c r="F14" s="243">
        <v>4.5</v>
      </c>
      <c r="G14" s="211">
        <f>AVERAGE(C14:F14)</f>
        <v>1.7749999999999999</v>
      </c>
      <c r="H14" s="208" t="s">
        <v>115</v>
      </c>
    </row>
    <row r="15" spans="1:8" ht="16.5" thickTop="1" thickBot="1">
      <c r="A15" s="408"/>
      <c r="B15" s="252" t="s">
        <v>116</v>
      </c>
      <c r="C15" s="218">
        <v>1.8</v>
      </c>
      <c r="D15" s="244"/>
      <c r="E15" s="220">
        <v>300000</v>
      </c>
      <c r="F15" s="255">
        <v>10</v>
      </c>
    </row>
    <row r="16" spans="1:8" ht="16.5" thickTop="1" thickBot="1">
      <c r="A16" s="408"/>
      <c r="B16" s="245" t="s">
        <v>130</v>
      </c>
      <c r="C16" s="246">
        <f>C3/$C$15</f>
        <v>500</v>
      </c>
      <c r="D16" s="247">
        <f>D3/$C$15</f>
        <v>722.22222222222217</v>
      </c>
      <c r="E16" s="247">
        <f>E3/$C$15</f>
        <v>805.55555555555554</v>
      </c>
      <c r="F16" s="248">
        <f>F3/$C$15</f>
        <v>888.88888888888891</v>
      </c>
      <c r="G16" s="210">
        <f>AVERAGE(C16:F16)</f>
        <v>729.16666666666674</v>
      </c>
      <c r="H16" s="208" t="s">
        <v>115</v>
      </c>
    </row>
    <row r="17" spans="1:7" ht="16.5" thickTop="1" thickBot="1">
      <c r="A17" s="408"/>
      <c r="B17" s="227" t="s">
        <v>114</v>
      </c>
      <c r="C17" s="249">
        <f>C16*C8</f>
        <v>17000</v>
      </c>
      <c r="D17" s="249">
        <f>D16*D8</f>
        <v>15166.666666666666</v>
      </c>
      <c r="E17" s="249">
        <f>E16*E8</f>
        <v>3222.2222222222222</v>
      </c>
      <c r="F17" s="250">
        <f>F16*F8</f>
        <v>888.88888888888891</v>
      </c>
      <c r="G17" s="254">
        <f>SUM(C17:F17)</f>
        <v>36277.777777777774</v>
      </c>
    </row>
    <row r="18" spans="1:7" ht="16.5" thickTop="1" thickBot="1">
      <c r="A18" s="408"/>
      <c r="B18" s="227" t="s">
        <v>60</v>
      </c>
      <c r="C18" s="230">
        <f>$E$15*C17</f>
        <v>5100000000</v>
      </c>
      <c r="D18" s="230">
        <f>$E$15*D17</f>
        <v>4550000000</v>
      </c>
      <c r="E18" s="230">
        <f>$E$15*E17</f>
        <v>966666666.66666663</v>
      </c>
      <c r="F18" s="231">
        <f>$E$15*F17</f>
        <v>266666666.66666669</v>
      </c>
      <c r="G18" s="209">
        <f>SUM(C18:F18)</f>
        <v>10883333333.333332</v>
      </c>
    </row>
    <row r="19" spans="1:7" ht="16.5" thickTop="1" thickBot="1">
      <c r="A19" s="409"/>
      <c r="B19" s="237" t="s">
        <v>113</v>
      </c>
      <c r="C19" s="290">
        <f>($C$15*0.1)*C17</f>
        <v>3060.0000000000005</v>
      </c>
      <c r="D19" s="290">
        <f>($C$15*0.1)*D17</f>
        <v>2730</v>
      </c>
      <c r="E19" s="290">
        <f>($C$15*0.1)*E17</f>
        <v>580.00000000000011</v>
      </c>
      <c r="F19" s="290">
        <f>($C$15*0.1)*F17</f>
        <v>160.00000000000003</v>
      </c>
      <c r="G19" s="293">
        <f>SUM(C19:F19)</f>
        <v>6530</v>
      </c>
    </row>
    <row r="20" spans="1:7" ht="15.75" thickTop="1"/>
    <row r="27" spans="1:7">
      <c r="C27" s="286"/>
    </row>
  </sheetData>
  <mergeCells count="2">
    <mergeCell ref="A2:A11"/>
    <mergeCell ref="A13:A19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4"/>
  <dimension ref="A1:J34"/>
  <sheetViews>
    <sheetView workbookViewId="0">
      <selection activeCell="C1" sqref="C1"/>
    </sheetView>
  </sheetViews>
  <sheetFormatPr baseColWidth="10" defaultRowHeight="12.75"/>
  <cols>
    <col min="7" max="7" width="8.28515625" bestFit="1" customWidth="1"/>
    <col min="9" max="9" width="11.42578125" customWidth="1"/>
  </cols>
  <sheetData>
    <row r="1" spans="1:8" ht="13.5" thickBot="1">
      <c r="A1" s="122">
        <f ca="1">TODAY()</f>
        <v>41254</v>
      </c>
      <c r="B1" s="193">
        <f ca="1">MONTH(A1)</f>
        <v>12</v>
      </c>
      <c r="C1" s="197">
        <f ca="1">YEAR(A1)</f>
        <v>2012</v>
      </c>
      <c r="F1" s="346">
        <f>'2012'!X6/12</f>
        <v>7.9974999999999996</v>
      </c>
      <c r="G1">
        <f>'2012'!Y6</f>
        <v>9.2600000000000002E-2</v>
      </c>
      <c r="H1">
        <f>'2012'!Z6</f>
        <v>0.1353</v>
      </c>
    </row>
    <row r="2" spans="1:8" ht="14.25" thickTop="1" thickBot="1">
      <c r="A2" s="335" t="s">
        <v>141</v>
      </c>
      <c r="B2" s="336">
        <v>27565</v>
      </c>
      <c r="C2" s="336">
        <v>29415</v>
      </c>
      <c r="D2" s="337" t="s">
        <v>139</v>
      </c>
      <c r="E2" s="338" t="s">
        <v>140</v>
      </c>
      <c r="F2" s="124" t="s">
        <v>142</v>
      </c>
      <c r="G2" s="152" t="s">
        <v>60</v>
      </c>
    </row>
    <row r="3" spans="1:8" ht="13.5" thickTop="1">
      <c r="A3" s="333">
        <f ca="1">DATE(C1,B1,1)</f>
        <v>41244</v>
      </c>
      <c r="B3" s="97">
        <v>27575</v>
      </c>
      <c r="C3" s="334">
        <v>29429</v>
      </c>
      <c r="D3" s="340">
        <f>IF(B3="","",B3-B2)</f>
        <v>10</v>
      </c>
      <c r="E3" s="341">
        <f>IF(C3="","",C3-C2)</f>
        <v>14</v>
      </c>
      <c r="F3" s="339">
        <v>4.3</v>
      </c>
      <c r="G3" s="169">
        <f>IF(D3="",0,D3*$G$1+E3*$H$1)</f>
        <v>2.8202000000000003</v>
      </c>
    </row>
    <row r="4" spans="1:8">
      <c r="A4" s="331">
        <f ca="1">A3+1</f>
        <v>41245</v>
      </c>
      <c r="B4" s="97">
        <v>27585</v>
      </c>
      <c r="C4" s="97">
        <v>29442</v>
      </c>
      <c r="D4" s="87">
        <f t="shared" ref="D4:D33" si="0">IF(B4="","",B4-B3)</f>
        <v>10</v>
      </c>
      <c r="E4" s="342">
        <f t="shared" ref="E4:E33" si="1">IF(C4="","",C4-C3)</f>
        <v>13</v>
      </c>
      <c r="F4" s="339">
        <v>6.1</v>
      </c>
      <c r="G4" s="169">
        <f t="shared" ref="G4:G33" si="2">IF(D4="",0,D4*$G$1+E4*$H$1)</f>
        <v>2.6849000000000003</v>
      </c>
    </row>
    <row r="5" spans="1:8">
      <c r="A5" s="331">
        <f t="shared" ref="A5:A30" ca="1" si="3">A4+1</f>
        <v>41246</v>
      </c>
      <c r="B5" s="97">
        <v>27595</v>
      </c>
      <c r="C5" s="97">
        <v>29455</v>
      </c>
      <c r="D5" s="87">
        <f t="shared" si="0"/>
        <v>10</v>
      </c>
      <c r="E5" s="342">
        <f t="shared" si="1"/>
        <v>13</v>
      </c>
      <c r="F5" s="339">
        <v>12.3</v>
      </c>
      <c r="G5" s="169">
        <f t="shared" si="2"/>
        <v>2.6849000000000003</v>
      </c>
    </row>
    <row r="6" spans="1:8">
      <c r="A6" s="331">
        <f t="shared" ca="1" si="3"/>
        <v>41247</v>
      </c>
      <c r="B6" s="97">
        <v>27606</v>
      </c>
      <c r="C6" s="97">
        <v>29469</v>
      </c>
      <c r="D6" s="87">
        <f t="shared" si="0"/>
        <v>11</v>
      </c>
      <c r="E6" s="342">
        <f t="shared" si="1"/>
        <v>14</v>
      </c>
      <c r="F6" s="339">
        <v>1.2</v>
      </c>
      <c r="G6" s="169">
        <f t="shared" si="2"/>
        <v>2.9127999999999998</v>
      </c>
    </row>
    <row r="7" spans="1:8">
      <c r="A7" s="331">
        <f t="shared" ca="1" si="3"/>
        <v>41248</v>
      </c>
      <c r="B7" s="97">
        <v>27616</v>
      </c>
      <c r="C7" s="97">
        <v>29482</v>
      </c>
      <c r="D7" s="87">
        <f t="shared" si="0"/>
        <v>10</v>
      </c>
      <c r="E7" s="342">
        <f t="shared" si="1"/>
        <v>13</v>
      </c>
      <c r="F7" s="339">
        <v>7.6</v>
      </c>
      <c r="G7" s="169">
        <f t="shared" si="2"/>
        <v>2.6849000000000003</v>
      </c>
    </row>
    <row r="8" spans="1:8">
      <c r="A8" s="331">
        <f t="shared" ca="1" si="3"/>
        <v>41249</v>
      </c>
      <c r="B8" s="97">
        <v>27626</v>
      </c>
      <c r="C8" s="97">
        <v>29495</v>
      </c>
      <c r="D8" s="87">
        <f t="shared" si="0"/>
        <v>10</v>
      </c>
      <c r="E8" s="342">
        <f t="shared" si="1"/>
        <v>13</v>
      </c>
      <c r="F8" s="339">
        <v>6.6</v>
      </c>
      <c r="G8" s="169">
        <f t="shared" si="2"/>
        <v>2.6849000000000003</v>
      </c>
    </row>
    <row r="9" spans="1:8">
      <c r="A9" s="331">
        <f t="shared" ca="1" si="3"/>
        <v>41250</v>
      </c>
      <c r="B9" s="97">
        <v>27637</v>
      </c>
      <c r="C9" s="97">
        <v>29509</v>
      </c>
      <c r="D9" s="87">
        <f t="shared" si="0"/>
        <v>11</v>
      </c>
      <c r="E9" s="342">
        <f t="shared" si="1"/>
        <v>14</v>
      </c>
      <c r="F9" s="339">
        <v>0</v>
      </c>
      <c r="G9" s="169">
        <f t="shared" si="2"/>
        <v>2.9127999999999998</v>
      </c>
    </row>
    <row r="10" spans="1:8">
      <c r="A10" s="331">
        <f t="shared" ca="1" si="3"/>
        <v>41251</v>
      </c>
      <c r="B10" s="97">
        <v>27647</v>
      </c>
      <c r="C10" s="97">
        <v>29522</v>
      </c>
      <c r="D10" s="87">
        <f t="shared" si="0"/>
        <v>10</v>
      </c>
      <c r="E10" s="342">
        <f t="shared" si="1"/>
        <v>13</v>
      </c>
      <c r="F10" s="339">
        <v>7.7</v>
      </c>
      <c r="G10" s="169">
        <f t="shared" si="2"/>
        <v>2.6849000000000003</v>
      </c>
    </row>
    <row r="11" spans="1:8">
      <c r="A11" s="331">
        <f t="shared" ca="1" si="3"/>
        <v>41252</v>
      </c>
      <c r="B11" s="97">
        <v>27657</v>
      </c>
      <c r="C11" s="97">
        <v>29535</v>
      </c>
      <c r="D11" s="87">
        <f t="shared" si="0"/>
        <v>10</v>
      </c>
      <c r="E11" s="342">
        <f t="shared" si="1"/>
        <v>13</v>
      </c>
      <c r="F11" s="339">
        <v>5.9</v>
      </c>
      <c r="G11" s="169">
        <f t="shared" si="2"/>
        <v>2.6849000000000003</v>
      </c>
    </row>
    <row r="12" spans="1:8">
      <c r="A12" s="331">
        <f t="shared" ca="1" si="3"/>
        <v>41253</v>
      </c>
      <c r="B12" s="97">
        <v>27667</v>
      </c>
      <c r="C12" s="97">
        <v>29548</v>
      </c>
      <c r="D12" s="87">
        <f t="shared" si="0"/>
        <v>10</v>
      </c>
      <c r="E12" s="342">
        <f t="shared" si="1"/>
        <v>13</v>
      </c>
      <c r="F12" s="339">
        <v>5.8</v>
      </c>
      <c r="G12" s="169">
        <f t="shared" si="2"/>
        <v>2.6849000000000003</v>
      </c>
    </row>
    <row r="13" spans="1:8">
      <c r="A13" s="331">
        <f t="shared" ca="1" si="3"/>
        <v>41254</v>
      </c>
      <c r="B13" s="97">
        <v>27686</v>
      </c>
      <c r="C13" s="97">
        <v>29562</v>
      </c>
      <c r="D13" s="87">
        <f t="shared" si="0"/>
        <v>19</v>
      </c>
      <c r="E13" s="342">
        <f t="shared" si="1"/>
        <v>14</v>
      </c>
      <c r="F13" s="339">
        <v>5.4</v>
      </c>
      <c r="G13" s="169">
        <f t="shared" si="2"/>
        <v>3.6536</v>
      </c>
    </row>
    <row r="14" spans="1:8">
      <c r="A14" s="331">
        <f t="shared" ca="1" si="3"/>
        <v>41255</v>
      </c>
      <c r="B14" s="97"/>
      <c r="C14" s="97"/>
      <c r="D14" s="87" t="str">
        <f t="shared" si="0"/>
        <v/>
      </c>
      <c r="E14" s="342" t="str">
        <f t="shared" si="1"/>
        <v/>
      </c>
      <c r="F14" s="339"/>
      <c r="G14" s="169">
        <f t="shared" si="2"/>
        <v>0</v>
      </c>
    </row>
    <row r="15" spans="1:8">
      <c r="A15" s="331">
        <f t="shared" ca="1" si="3"/>
        <v>41256</v>
      </c>
      <c r="B15" s="97"/>
      <c r="C15" s="97"/>
      <c r="D15" s="87" t="str">
        <f t="shared" si="0"/>
        <v/>
      </c>
      <c r="E15" s="342" t="str">
        <f t="shared" si="1"/>
        <v/>
      </c>
      <c r="F15" s="339"/>
      <c r="G15" s="169">
        <f t="shared" si="2"/>
        <v>0</v>
      </c>
    </row>
    <row r="16" spans="1:8">
      <c r="A16" s="331">
        <f t="shared" ca="1" si="3"/>
        <v>41257</v>
      </c>
      <c r="B16" s="97"/>
      <c r="C16" s="97"/>
      <c r="D16" s="87" t="str">
        <f t="shared" si="0"/>
        <v/>
      </c>
      <c r="E16" s="342" t="str">
        <f t="shared" si="1"/>
        <v/>
      </c>
      <c r="F16" s="339"/>
      <c r="G16" s="169">
        <f t="shared" si="2"/>
        <v>0</v>
      </c>
    </row>
    <row r="17" spans="1:10">
      <c r="A17" s="331">
        <f t="shared" ca="1" si="3"/>
        <v>41258</v>
      </c>
      <c r="B17" s="97"/>
      <c r="C17" s="97"/>
      <c r="D17" s="87" t="str">
        <f t="shared" si="0"/>
        <v/>
      </c>
      <c r="E17" s="342" t="str">
        <f t="shared" si="1"/>
        <v/>
      </c>
      <c r="F17" s="339"/>
      <c r="G17" s="169">
        <f t="shared" si="2"/>
        <v>0</v>
      </c>
    </row>
    <row r="18" spans="1:10">
      <c r="A18" s="331">
        <f t="shared" ca="1" si="3"/>
        <v>41259</v>
      </c>
      <c r="B18" s="97"/>
      <c r="C18" s="97"/>
      <c r="D18" s="87" t="str">
        <f t="shared" si="0"/>
        <v/>
      </c>
      <c r="E18" s="342" t="str">
        <f t="shared" si="1"/>
        <v/>
      </c>
      <c r="F18" s="339"/>
      <c r="G18" s="169">
        <f t="shared" si="2"/>
        <v>0</v>
      </c>
    </row>
    <row r="19" spans="1:10">
      <c r="A19" s="331">
        <f t="shared" ca="1" si="3"/>
        <v>41260</v>
      </c>
      <c r="B19" s="97"/>
      <c r="C19" s="97"/>
      <c r="D19" s="87" t="str">
        <f t="shared" si="0"/>
        <v/>
      </c>
      <c r="E19" s="342" t="str">
        <f t="shared" si="1"/>
        <v/>
      </c>
      <c r="F19" s="339"/>
      <c r="G19" s="169">
        <f t="shared" si="2"/>
        <v>0</v>
      </c>
    </row>
    <row r="20" spans="1:10">
      <c r="A20" s="331">
        <f t="shared" ca="1" si="3"/>
        <v>41261</v>
      </c>
      <c r="B20" s="97"/>
      <c r="C20" s="97"/>
      <c r="D20" s="87" t="str">
        <f t="shared" si="0"/>
        <v/>
      </c>
      <c r="E20" s="342" t="str">
        <f t="shared" si="1"/>
        <v/>
      </c>
      <c r="F20" s="339"/>
      <c r="G20" s="169">
        <f t="shared" si="2"/>
        <v>0</v>
      </c>
    </row>
    <row r="21" spans="1:10">
      <c r="A21" s="331">
        <f t="shared" ca="1" si="3"/>
        <v>41262</v>
      </c>
      <c r="B21" s="97"/>
      <c r="C21" s="97"/>
      <c r="D21" s="87" t="str">
        <f t="shared" si="0"/>
        <v/>
      </c>
      <c r="E21" s="342" t="str">
        <f t="shared" si="1"/>
        <v/>
      </c>
      <c r="F21" s="339"/>
      <c r="G21" s="169">
        <f t="shared" si="2"/>
        <v>0</v>
      </c>
    </row>
    <row r="22" spans="1:10">
      <c r="A22" s="331">
        <f t="shared" ca="1" si="3"/>
        <v>41263</v>
      </c>
      <c r="B22" s="97"/>
      <c r="C22" s="97"/>
      <c r="D22" s="87" t="str">
        <f t="shared" si="0"/>
        <v/>
      </c>
      <c r="E22" s="342" t="str">
        <f t="shared" si="1"/>
        <v/>
      </c>
      <c r="G22" s="169">
        <f t="shared" si="2"/>
        <v>0</v>
      </c>
      <c r="H22" s="345" t="s">
        <v>143</v>
      </c>
      <c r="I22" s="345"/>
      <c r="J22" s="345"/>
    </row>
    <row r="23" spans="1:10">
      <c r="A23" s="331">
        <f t="shared" ca="1" si="3"/>
        <v>41264</v>
      </c>
      <c r="B23" s="97"/>
      <c r="C23" s="97"/>
      <c r="D23" s="87" t="str">
        <f t="shared" si="0"/>
        <v/>
      </c>
      <c r="E23" s="342" t="str">
        <f t="shared" si="1"/>
        <v/>
      </c>
      <c r="F23" s="339"/>
      <c r="G23" s="169">
        <f t="shared" si="2"/>
        <v>0</v>
      </c>
      <c r="I23" s="410" t="s">
        <v>144</v>
      </c>
      <c r="J23" s="410"/>
    </row>
    <row r="24" spans="1:10">
      <c r="A24" s="331">
        <f t="shared" ca="1" si="3"/>
        <v>41265</v>
      </c>
      <c r="B24" s="97"/>
      <c r="C24" s="97"/>
      <c r="D24" s="87" t="str">
        <f t="shared" si="0"/>
        <v/>
      </c>
      <c r="E24" s="342" t="str">
        <f t="shared" si="1"/>
        <v/>
      </c>
      <c r="F24" s="339"/>
      <c r="G24" s="169">
        <f t="shared" si="2"/>
        <v>0</v>
      </c>
    </row>
    <row r="25" spans="1:10">
      <c r="A25" s="331">
        <f t="shared" ca="1" si="3"/>
        <v>41266</v>
      </c>
      <c r="B25" s="97"/>
      <c r="C25" s="97"/>
      <c r="D25" s="87" t="str">
        <f t="shared" si="0"/>
        <v/>
      </c>
      <c r="E25" s="342" t="str">
        <f t="shared" si="1"/>
        <v/>
      </c>
      <c r="F25" s="339"/>
      <c r="G25" s="169">
        <f t="shared" si="2"/>
        <v>0</v>
      </c>
    </row>
    <row r="26" spans="1:10">
      <c r="A26" s="331">
        <f t="shared" ca="1" si="3"/>
        <v>41267</v>
      </c>
      <c r="B26" s="97"/>
      <c r="C26" s="97"/>
      <c r="D26" s="87" t="str">
        <f t="shared" si="0"/>
        <v/>
      </c>
      <c r="E26" s="342" t="str">
        <f t="shared" si="1"/>
        <v/>
      </c>
      <c r="F26" s="339"/>
      <c r="G26" s="169">
        <f t="shared" si="2"/>
        <v>0</v>
      </c>
    </row>
    <row r="27" spans="1:10">
      <c r="A27" s="331">
        <f t="shared" ca="1" si="3"/>
        <v>41268</v>
      </c>
      <c r="B27" s="97"/>
      <c r="C27" s="97"/>
      <c r="D27" s="87" t="str">
        <f t="shared" si="0"/>
        <v/>
      </c>
      <c r="E27" s="342" t="str">
        <f t="shared" si="1"/>
        <v/>
      </c>
      <c r="F27" s="339"/>
      <c r="G27" s="169">
        <f t="shared" si="2"/>
        <v>0</v>
      </c>
    </row>
    <row r="28" spans="1:10">
      <c r="A28" s="331">
        <f t="shared" ca="1" si="3"/>
        <v>41269</v>
      </c>
      <c r="B28" s="97"/>
      <c r="C28" s="97"/>
      <c r="D28" s="87" t="str">
        <f t="shared" si="0"/>
        <v/>
      </c>
      <c r="E28" s="342" t="str">
        <f t="shared" si="1"/>
        <v/>
      </c>
      <c r="F28" s="339"/>
      <c r="G28" s="169">
        <f t="shared" si="2"/>
        <v>0</v>
      </c>
    </row>
    <row r="29" spans="1:10">
      <c r="A29" s="331">
        <f t="shared" ca="1" si="3"/>
        <v>41270</v>
      </c>
      <c r="B29" s="97"/>
      <c r="C29" s="97"/>
      <c r="D29" s="87" t="str">
        <f t="shared" si="0"/>
        <v/>
      </c>
      <c r="E29" s="342" t="str">
        <f t="shared" si="1"/>
        <v/>
      </c>
      <c r="F29" s="339"/>
      <c r="G29" s="169">
        <f t="shared" si="2"/>
        <v>0</v>
      </c>
    </row>
    <row r="30" spans="1:10">
      <c r="A30" s="331">
        <f t="shared" ca="1" si="3"/>
        <v>41271</v>
      </c>
      <c r="B30" s="97"/>
      <c r="C30" s="97"/>
      <c r="D30" s="87" t="str">
        <f t="shared" si="0"/>
        <v/>
      </c>
      <c r="E30" s="342" t="str">
        <f t="shared" si="1"/>
        <v/>
      </c>
      <c r="F30" s="339"/>
      <c r="G30" s="169">
        <f t="shared" si="2"/>
        <v>0</v>
      </c>
    </row>
    <row r="31" spans="1:10">
      <c r="A31" s="331">
        <f t="shared" ref="A31" ca="1" si="4">IF(MONTH(A30+1)&gt;MONTH(A30),"",A30+1)</f>
        <v>41272</v>
      </c>
      <c r="B31" s="97"/>
      <c r="C31" s="97"/>
      <c r="D31" s="87" t="str">
        <f t="shared" si="0"/>
        <v/>
      </c>
      <c r="E31" s="342" t="str">
        <f t="shared" si="1"/>
        <v/>
      </c>
      <c r="F31" s="339"/>
      <c r="G31" s="169">
        <f t="shared" si="2"/>
        <v>0</v>
      </c>
    </row>
    <row r="32" spans="1:10">
      <c r="A32" s="331">
        <f ca="1">IF(A31="","",IF(MONTH(A31+1)&gt;MONTH(A31),"",A31+1))</f>
        <v>41273</v>
      </c>
      <c r="B32" s="97"/>
      <c r="C32" s="97"/>
      <c r="D32" s="87" t="str">
        <f t="shared" si="0"/>
        <v/>
      </c>
      <c r="E32" s="342" t="str">
        <f t="shared" si="1"/>
        <v/>
      </c>
      <c r="F32" s="339"/>
      <c r="G32" s="169">
        <f t="shared" si="2"/>
        <v>0</v>
      </c>
    </row>
    <row r="33" spans="1:7" ht="13.5" thickBot="1">
      <c r="A33" s="332">
        <f ca="1">IF(A32="","",IF(MONTH(A32+1)&gt;MONTH(A32),"",A32+1))</f>
        <v>41274</v>
      </c>
      <c r="B33" s="107"/>
      <c r="C33" s="107"/>
      <c r="D33" s="343" t="str">
        <f t="shared" si="0"/>
        <v/>
      </c>
      <c r="E33" s="344" t="str">
        <f t="shared" si="1"/>
        <v/>
      </c>
      <c r="F33" s="339"/>
      <c r="G33" s="169">
        <f t="shared" si="2"/>
        <v>0</v>
      </c>
    </row>
    <row r="34" spans="1:7" ht="13.5" thickTop="1">
      <c r="B34" s="197">
        <f>MAX(B2:B33)</f>
        <v>27686</v>
      </c>
      <c r="C34" s="197">
        <f>MAX(C2:C33)</f>
        <v>29562</v>
      </c>
      <c r="D34" s="347">
        <f>SUM(D3:D33)</f>
        <v>121</v>
      </c>
      <c r="E34" s="347">
        <f>SUM(E3:E33)</f>
        <v>147</v>
      </c>
      <c r="F34" s="339">
        <f>AVERAGE(F3:F33)</f>
        <v>5.7181818181818178</v>
      </c>
      <c r="G34" s="75">
        <f>SUM(G3:G33)+F1</f>
        <v>39.091200000000001</v>
      </c>
    </row>
  </sheetData>
  <mergeCells count="1">
    <mergeCell ref="I23:J23"/>
  </mergeCell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2</vt:i4>
      </vt:variant>
    </vt:vector>
  </HeadingPairs>
  <TitlesOfParts>
    <vt:vector size="16" baseType="lpstr">
      <vt:lpstr>05_06</vt:lpstr>
      <vt:lpstr>2006</vt:lpstr>
      <vt:lpstr>2007</vt:lpstr>
      <vt:lpstr>2008</vt:lpstr>
      <vt:lpstr>2009</vt:lpstr>
      <vt:lpstr>2010</vt:lpstr>
      <vt:lpstr>2011</vt:lpstr>
      <vt:lpstr>2012</vt:lpstr>
      <vt:lpstr>2013</vt:lpstr>
      <vt:lpstr>2014</vt:lpstr>
      <vt:lpstr>recap annuel</vt:lpstr>
      <vt:lpstr>Etude Clim</vt:lpstr>
      <vt:lpstr>Feuil1</vt:lpstr>
      <vt:lpstr>Jour le Jour</vt:lpstr>
      <vt:lpstr>'Etude Clim'!Zone_d_impression</vt:lpstr>
      <vt:lpstr>Feuil1!Zone_d_impression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BONNET</dc:creator>
  <cp:lastModifiedBy>Olivier</cp:lastModifiedBy>
  <cp:lastPrinted>2011-12-13T15:55:33Z</cp:lastPrinted>
  <dcterms:created xsi:type="dcterms:W3CDTF">2005-10-17T07:57:16Z</dcterms:created>
  <dcterms:modified xsi:type="dcterms:W3CDTF">2012-12-11T14:04:45Z</dcterms:modified>
</cp:coreProperties>
</file>