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updateLinks="always" codeName="ThisWorkbook"/>
  <bookViews>
    <workbookView xWindow="510" yWindow="75" windowWidth="4110" windowHeight="8070" activeTab="1"/>
  </bookViews>
  <sheets>
    <sheet name="Données" sheetId="22" r:id="rId1"/>
    <sheet name="JANVIER" sheetId="18" r:id="rId2"/>
  </sheets>
  <externalReferences>
    <externalReference r:id="rId3"/>
    <externalReference r:id="rId4"/>
  </externalReferences>
  <definedNames>
    <definedName name="Abscences">JANVIER!$AI$11:$AI$18</definedName>
    <definedName name="absnonprog">JANVIER!$S$11:$T$41</definedName>
    <definedName name="an">Données!$A$12</definedName>
    <definedName name="Client">[1]BD!$D$2:$D$12</definedName>
    <definedName name="Congés">#REF!</definedName>
    <definedName name="Début">[1]BD!$G$2:$G$12</definedName>
    <definedName name="ecarts">JANVIER!$AL$11:$AL$27</definedName>
    <definedName name="Enfantsmalades">Données!$L$16:$L$20</definedName>
    <definedName name="Entreprise">[1]BD!$C$2:$C$12</definedName>
    <definedName name="Etat">[1]BD!$F$2:$F$12</definedName>
    <definedName name="fériés">Données!$A$18:$A$28</definedName>
    <definedName name="Fin">[1]BD!$H$2:$H$12</definedName>
    <definedName name="ListeEnt">OFFSET([1]Calendrier!$AT$2,,,COUNTIF([1]Calendrier!$AT$2:$AT$8,"&lt;&gt;0"))</definedName>
    <definedName name="REC">#REF!</definedName>
    <definedName name="table_choix" localSheetId="1">#REF!,#REF!,#REF!,#REF!,#REF!,#REF!,#REF!,#REF!,#REF!,#REF!,#REF!,#REF!</definedName>
    <definedName name="table_choix">#REF!,#REF!,#REF!,#REF!,#REF!,#REF!,#REF!,#REF!,#REF!,#REF!,#REF!,#REF!</definedName>
    <definedName name="table_HAMB" localSheetId="1">JANVIER!$C$11:$L$41,JANVIER!$N$11:$N$41,JANVIER!$Q$11:$U$41</definedName>
    <definedName name="table_HAMB">#REF!,#REF!,#REF!</definedName>
    <definedName name="table_Hctr">#REF!,#REF!,#REF!</definedName>
    <definedName name="Z_29ED3FAA_43E2_4BA8_8C96_37141622C57A_.wvu.PrintArea" localSheetId="1" hidden="1">JANVIER!$A$1:$U$58</definedName>
    <definedName name="_xlnm.Print_Area" localSheetId="1">JANVIER!$A$1:$U$58</definedName>
  </definedNames>
  <calcPr calcId="145621"/>
  <customWorkbookViews>
    <customWorkbookView name="ALiA49 - Affichage personnalisé" guid="{29ED3FAA-43E2-4BA8-8C96-37141622C57A}" mergeInterval="0" personalView="1" maximized="1" windowWidth="1276" windowHeight="795" activeSheetId="4"/>
  </customWorkbookViews>
</workbook>
</file>

<file path=xl/calcChain.xml><?xml version="1.0" encoding="utf-8"?>
<calcChain xmlns="http://schemas.openxmlformats.org/spreadsheetml/2006/main">
  <c r="AF12" i="18" l="1"/>
  <c r="AF13" i="18"/>
  <c r="AF14" i="18"/>
  <c r="AF15" i="18"/>
  <c r="AF16" i="18"/>
  <c r="AF17" i="18"/>
  <c r="AF18" i="18"/>
  <c r="AF19" i="18"/>
  <c r="AF20" i="18"/>
  <c r="AF21" i="18"/>
  <c r="AF22" i="18"/>
  <c r="AF23" i="18"/>
  <c r="AF24" i="18"/>
  <c r="AF25" i="18"/>
  <c r="AF26" i="18"/>
  <c r="AF27" i="18"/>
  <c r="AF28" i="18"/>
  <c r="AF29" i="18"/>
  <c r="AF30" i="18"/>
  <c r="AF31" i="18"/>
  <c r="AF32" i="18"/>
  <c r="AF33" i="18"/>
  <c r="AF34" i="18"/>
  <c r="AF35" i="18"/>
  <c r="AF36" i="18"/>
  <c r="AF37" i="18"/>
  <c r="AF38" i="18"/>
  <c r="AF39" i="18"/>
  <c r="AF40" i="18"/>
  <c r="AF41" i="18"/>
  <c r="L19" i="22" l="1"/>
  <c r="L20" i="22"/>
  <c r="T62" i="18" l="1"/>
  <c r="T63" i="18"/>
  <c r="T64" i="18"/>
  <c r="T65" i="18"/>
  <c r="T61" i="18"/>
  <c r="H2" i="18" l="1"/>
  <c r="M42" i="18" l="1"/>
  <c r="L2" i="18" l="1"/>
  <c r="L3" i="18" l="1"/>
  <c r="I17" i="22"/>
  <c r="I18" i="22"/>
  <c r="I16" i="22"/>
  <c r="N4" i="18" l="1"/>
  <c r="A25" i="22"/>
  <c r="A24" i="22"/>
  <c r="A23" i="22"/>
  <c r="A22" i="22"/>
  <c r="A21" i="22"/>
  <c r="A20" i="22"/>
  <c r="A19" i="22"/>
  <c r="A18" i="22"/>
  <c r="A15" i="22"/>
  <c r="A28" i="22" s="1"/>
  <c r="AP6" i="22"/>
  <c r="AN6" i="22"/>
  <c r="AL6" i="22"/>
  <c r="AJ6" i="22"/>
  <c r="AH6" i="22"/>
  <c r="AF6" i="22"/>
  <c r="AD6" i="22"/>
  <c r="AB6" i="22"/>
  <c r="Z6" i="22"/>
  <c r="X6" i="22"/>
  <c r="V6" i="22"/>
  <c r="T6" i="22"/>
  <c r="R6" i="22"/>
  <c r="P6" i="22"/>
  <c r="N6" i="22"/>
  <c r="L6" i="22"/>
  <c r="J6" i="22"/>
  <c r="H6" i="22"/>
  <c r="F6" i="22"/>
  <c r="D6" i="22"/>
  <c r="D7" i="22" l="1"/>
  <c r="AB7" i="22"/>
  <c r="L7" i="22"/>
  <c r="T7" i="22"/>
  <c r="AJ7" i="22"/>
  <c r="P7" i="22"/>
  <c r="X7" i="22"/>
  <c r="AF7" i="22"/>
  <c r="AN7" i="22"/>
  <c r="H7" i="22"/>
  <c r="Y10" i="18"/>
  <c r="U6" i="18"/>
  <c r="N51" i="18"/>
  <c r="C5" i="18"/>
  <c r="O5" i="18"/>
  <c r="A45" i="18" s="1"/>
  <c r="O4" i="18"/>
  <c r="G17" i="22"/>
  <c r="L17" i="22" s="1"/>
  <c r="G18" i="22"/>
  <c r="L18" i="22" s="1"/>
  <c r="G16" i="22"/>
  <c r="L16" i="22" s="1"/>
  <c r="A26" i="22"/>
  <c r="A27" i="22"/>
  <c r="X8" i="22" l="1"/>
  <c r="D8" i="22"/>
  <c r="AC45" i="18"/>
  <c r="AB47" i="18"/>
  <c r="AB45" i="18"/>
  <c r="AA47" i="18"/>
  <c r="AA45" i="18"/>
  <c r="Z47" i="18"/>
  <c r="Z45" i="18"/>
  <c r="Y47" i="18"/>
  <c r="Y45" i="18"/>
  <c r="X47" i="18"/>
  <c r="X45" i="18"/>
  <c r="M10" i="22" l="1"/>
  <c r="A2" i="18"/>
  <c r="P62" i="18" l="1"/>
  <c r="A11" i="18"/>
  <c r="P61" i="18" l="1"/>
  <c r="P63" i="18" s="1"/>
  <c r="C10" i="18"/>
  <c r="E10" i="18"/>
  <c r="G10" i="18"/>
  <c r="AN14" i="18"/>
  <c r="AN18" i="18"/>
  <c r="AN12" i="18"/>
  <c r="AN19" i="18"/>
  <c r="AN13" i="18"/>
  <c r="AN17" i="18"/>
  <c r="AN15" i="18"/>
  <c r="AN16" i="18"/>
  <c r="AN11" i="18"/>
  <c r="I10" i="18"/>
  <c r="A4" i="18"/>
  <c r="Y9" i="18"/>
  <c r="R54" i="18" l="1"/>
  <c r="J47" i="18"/>
  <c r="AC46" i="18"/>
  <c r="AB46" i="18"/>
  <c r="AA46" i="18"/>
  <c r="Z46" i="18"/>
  <c r="Y46" i="18"/>
  <c r="P46" i="18"/>
  <c r="Q44" i="18"/>
  <c r="T42" i="18"/>
  <c r="O7" i="18"/>
  <c r="B11" i="18"/>
  <c r="V11" i="18" s="1"/>
  <c r="C11" i="18" l="1"/>
  <c r="I11" i="18"/>
  <c r="G11" i="18"/>
  <c r="E11" i="18"/>
  <c r="B12" i="18"/>
  <c r="V12" i="18" s="1"/>
  <c r="AA11" i="18" l="1"/>
  <c r="Z11" i="18"/>
  <c r="X11" i="18"/>
  <c r="W11" i="18"/>
  <c r="A12" i="18"/>
  <c r="B13" i="18"/>
  <c r="V13" i="18" s="1"/>
  <c r="I12" i="18" l="1"/>
  <c r="AA12" i="18" s="1"/>
  <c r="G12" i="18"/>
  <c r="Z12" i="18" s="1"/>
  <c r="E12" i="18"/>
  <c r="X12" i="18" s="1"/>
  <c r="C12" i="18"/>
  <c r="AB11" i="18"/>
  <c r="Y11" i="18"/>
  <c r="A13" i="18"/>
  <c r="B14" i="18"/>
  <c r="V14" i="18" s="1"/>
  <c r="G13" i="18" l="1"/>
  <c r="Z13" i="18" s="1"/>
  <c r="C13" i="18"/>
  <c r="I13" i="18"/>
  <c r="AA13" i="18" s="1"/>
  <c r="E13" i="18"/>
  <c r="X13" i="18" s="1"/>
  <c r="W12" i="18"/>
  <c r="Y12" i="18" s="1"/>
  <c r="AC11" i="18"/>
  <c r="AB12" i="18"/>
  <c r="A14" i="18"/>
  <c r="B15" i="18"/>
  <c r="V15" i="18" s="1"/>
  <c r="K11" i="18" l="1"/>
  <c r="C14" i="18"/>
  <c r="G14" i="18"/>
  <c r="Z14" i="18" s="1"/>
  <c r="I14" i="18"/>
  <c r="AA14" i="18" s="1"/>
  <c r="E14" i="18"/>
  <c r="X14" i="18" s="1"/>
  <c r="W13" i="18"/>
  <c r="Y13" i="18" s="1"/>
  <c r="AB13" i="18"/>
  <c r="AC12" i="18"/>
  <c r="A15" i="18"/>
  <c r="B16" i="18"/>
  <c r="V16" i="18" s="1"/>
  <c r="AE11" i="18" l="1"/>
  <c r="AG11" i="18"/>
  <c r="AD11" i="18"/>
  <c r="AF11" i="18" s="1"/>
  <c r="K12" i="18"/>
  <c r="AG12" i="18" s="1"/>
  <c r="I15" i="18"/>
  <c r="AA15" i="18" s="1"/>
  <c r="E15" i="18"/>
  <c r="X15" i="18" s="1"/>
  <c r="C15" i="18"/>
  <c r="G15" i="18"/>
  <c r="Z15" i="18" s="1"/>
  <c r="W14" i="18"/>
  <c r="Y14" i="18" s="1"/>
  <c r="AC13" i="18"/>
  <c r="AB14" i="18"/>
  <c r="A16" i="18"/>
  <c r="B17" i="18"/>
  <c r="V17" i="18" s="1"/>
  <c r="AE12" i="18" l="1"/>
  <c r="AD12" i="18"/>
  <c r="K13" i="18"/>
  <c r="AG13" i="18" s="1"/>
  <c r="E16" i="18"/>
  <c r="X16" i="18" s="1"/>
  <c r="C16" i="18"/>
  <c r="G16" i="18"/>
  <c r="Z16" i="18" s="1"/>
  <c r="I16" i="18"/>
  <c r="AA16" i="18" s="1"/>
  <c r="W15" i="18"/>
  <c r="Y15" i="18" s="1"/>
  <c r="AB15" i="18"/>
  <c r="AC14" i="18"/>
  <c r="A17" i="18"/>
  <c r="B18" i="18"/>
  <c r="V18" i="18" s="1"/>
  <c r="AE13" i="18" l="1"/>
  <c r="AD13" i="18"/>
  <c r="K14" i="18"/>
  <c r="AG14" i="18" s="1"/>
  <c r="G17" i="18"/>
  <c r="Z17" i="18" s="1"/>
  <c r="E17" i="18"/>
  <c r="X17" i="18" s="1"/>
  <c r="C17" i="18"/>
  <c r="I17" i="18"/>
  <c r="AA17" i="18" s="1"/>
  <c r="W16" i="18"/>
  <c r="Y16" i="18" s="1"/>
  <c r="AC15" i="18"/>
  <c r="AB16" i="18"/>
  <c r="A18" i="18"/>
  <c r="B19" i="18"/>
  <c r="V19" i="18" s="1"/>
  <c r="AE14" i="18" l="1"/>
  <c r="AD14" i="18"/>
  <c r="K15" i="18"/>
  <c r="AG15" i="18" s="1"/>
  <c r="C18" i="18"/>
  <c r="I18" i="18"/>
  <c r="AA18" i="18" s="1"/>
  <c r="E18" i="18"/>
  <c r="X18" i="18" s="1"/>
  <c r="G18" i="18"/>
  <c r="Z18" i="18" s="1"/>
  <c r="W17" i="18"/>
  <c r="Y17" i="18" s="1"/>
  <c r="AC16" i="18"/>
  <c r="AB17" i="18"/>
  <c r="A19" i="18"/>
  <c r="B20" i="18"/>
  <c r="V20" i="18" s="1"/>
  <c r="AE15" i="18" l="1"/>
  <c r="AD15" i="18"/>
  <c r="K16" i="18"/>
  <c r="AG16" i="18" s="1"/>
  <c r="I19" i="18"/>
  <c r="AA19" i="18" s="1"/>
  <c r="E19" i="18"/>
  <c r="X19" i="18" s="1"/>
  <c r="G19" i="18"/>
  <c r="Z19" i="18" s="1"/>
  <c r="C19" i="18"/>
  <c r="W18" i="18"/>
  <c r="Y18" i="18" s="1"/>
  <c r="AC17" i="18"/>
  <c r="AB18" i="18"/>
  <c r="A20" i="18"/>
  <c r="B21" i="18"/>
  <c r="V21" i="18" s="1"/>
  <c r="AE16" i="18" l="1"/>
  <c r="AD16" i="18"/>
  <c r="K17" i="18"/>
  <c r="AG17" i="18" s="1"/>
  <c r="I20" i="18"/>
  <c r="AA20" i="18" s="1"/>
  <c r="G20" i="18"/>
  <c r="Z20" i="18" s="1"/>
  <c r="E20" i="18"/>
  <c r="X20" i="18" s="1"/>
  <c r="C20" i="18"/>
  <c r="W19" i="18"/>
  <c r="Y19" i="18" s="1"/>
  <c r="AC18" i="18"/>
  <c r="AB19" i="18"/>
  <c r="A21" i="18"/>
  <c r="B22" i="18"/>
  <c r="V22" i="18" s="1"/>
  <c r="AE17" i="18" l="1"/>
  <c r="AD17" i="18"/>
  <c r="K18" i="18"/>
  <c r="AG18" i="18" s="1"/>
  <c r="G21" i="18"/>
  <c r="Z21" i="18" s="1"/>
  <c r="C21" i="18"/>
  <c r="I21" i="18"/>
  <c r="AA21" i="18" s="1"/>
  <c r="E21" i="18"/>
  <c r="X21" i="18" s="1"/>
  <c r="W20" i="18"/>
  <c r="Y20" i="18" s="1"/>
  <c r="AC19" i="18"/>
  <c r="AB20" i="18"/>
  <c r="A22" i="18"/>
  <c r="B23" i="18"/>
  <c r="V23" i="18" s="1"/>
  <c r="AE18" i="18" l="1"/>
  <c r="AD18" i="18"/>
  <c r="K19" i="18"/>
  <c r="AG19" i="18" s="1"/>
  <c r="C22" i="18"/>
  <c r="G22" i="18"/>
  <c r="Z22" i="18" s="1"/>
  <c r="I22" i="18"/>
  <c r="AA22" i="18" s="1"/>
  <c r="E22" i="18"/>
  <c r="X22" i="18" s="1"/>
  <c r="W21" i="18"/>
  <c r="Y21" i="18" s="1"/>
  <c r="AC20" i="18"/>
  <c r="AB21" i="18"/>
  <c r="A23" i="18"/>
  <c r="B24" i="18"/>
  <c r="V24" i="18" s="1"/>
  <c r="AE19" i="18" l="1"/>
  <c r="AD19" i="18"/>
  <c r="K20" i="18"/>
  <c r="AG20" i="18" s="1"/>
  <c r="I23" i="18"/>
  <c r="AA23" i="18" s="1"/>
  <c r="E23" i="18"/>
  <c r="X23" i="18" s="1"/>
  <c r="C23" i="18"/>
  <c r="G23" i="18"/>
  <c r="Z23" i="18" s="1"/>
  <c r="W22" i="18"/>
  <c r="Y22" i="18" s="1"/>
  <c r="AC21" i="18"/>
  <c r="K21" i="18" s="1"/>
  <c r="AB22" i="18"/>
  <c r="A24" i="18"/>
  <c r="B25" i="18"/>
  <c r="V25" i="18" s="1"/>
  <c r="AD21" i="18" l="1"/>
  <c r="AG21" i="18"/>
  <c r="AE20" i="18"/>
  <c r="AD20" i="18"/>
  <c r="AE21" i="18"/>
  <c r="E24" i="18"/>
  <c r="X24" i="18" s="1"/>
  <c r="C24" i="18"/>
  <c r="G24" i="18"/>
  <c r="Z24" i="18" s="1"/>
  <c r="I24" i="18"/>
  <c r="AA24" i="18" s="1"/>
  <c r="W23" i="18"/>
  <c r="Y23" i="18" s="1"/>
  <c r="AC22" i="18"/>
  <c r="AB23" i="18"/>
  <c r="A25" i="18"/>
  <c r="B26" i="18"/>
  <c r="V26" i="18" s="1"/>
  <c r="K22" i="18" l="1"/>
  <c r="AG22" i="18" s="1"/>
  <c r="G25" i="18"/>
  <c r="Z25" i="18" s="1"/>
  <c r="I25" i="18"/>
  <c r="AA25" i="18" s="1"/>
  <c r="E25" i="18"/>
  <c r="X25" i="18" s="1"/>
  <c r="C25" i="18"/>
  <c r="W24" i="18"/>
  <c r="Y24" i="18" s="1"/>
  <c r="AC23" i="18"/>
  <c r="AB24" i="18"/>
  <c r="A26" i="18"/>
  <c r="B27" i="18"/>
  <c r="V27" i="18" s="1"/>
  <c r="AE22" i="18" l="1"/>
  <c r="AD22" i="18"/>
  <c r="K23" i="18"/>
  <c r="AG23" i="18" s="1"/>
  <c r="C26" i="18"/>
  <c r="I26" i="18"/>
  <c r="AA26" i="18" s="1"/>
  <c r="E26" i="18"/>
  <c r="X26" i="18" s="1"/>
  <c r="G26" i="18"/>
  <c r="Z26" i="18" s="1"/>
  <c r="W25" i="18"/>
  <c r="Y25" i="18" s="1"/>
  <c r="AC24" i="18"/>
  <c r="K24" i="18" s="1"/>
  <c r="AB25" i="18"/>
  <c r="A27" i="18"/>
  <c r="B28" i="18"/>
  <c r="V28" i="18" s="1"/>
  <c r="AD24" i="18" l="1"/>
  <c r="AG24" i="18"/>
  <c r="AE23" i="18"/>
  <c r="AD23" i="18"/>
  <c r="AE24" i="18"/>
  <c r="I27" i="18"/>
  <c r="AA27" i="18" s="1"/>
  <c r="E27" i="18"/>
  <c r="X27" i="18" s="1"/>
  <c r="C27" i="18"/>
  <c r="G27" i="18"/>
  <c r="Z27" i="18" s="1"/>
  <c r="W26" i="18"/>
  <c r="Y26" i="18" s="1"/>
  <c r="AC25" i="18"/>
  <c r="K25" i="18" s="1"/>
  <c r="AB26" i="18"/>
  <c r="A28" i="18"/>
  <c r="B29" i="18"/>
  <c r="V29" i="18" s="1"/>
  <c r="AD25" i="18" l="1"/>
  <c r="AG25" i="18"/>
  <c r="AE25" i="18"/>
  <c r="I28" i="18"/>
  <c r="AA28" i="18" s="1"/>
  <c r="G28" i="18"/>
  <c r="Z28" i="18" s="1"/>
  <c r="E28" i="18"/>
  <c r="X28" i="18" s="1"/>
  <c r="C28" i="18"/>
  <c r="W27" i="18"/>
  <c r="Y27" i="18" s="1"/>
  <c r="AB27" i="18"/>
  <c r="AC26" i="18"/>
  <c r="A29" i="18"/>
  <c r="B30" i="18"/>
  <c r="V30" i="18" s="1"/>
  <c r="K26" i="18" l="1"/>
  <c r="AG26" i="18" s="1"/>
  <c r="G29" i="18"/>
  <c r="Z29" i="18" s="1"/>
  <c r="C29" i="18"/>
  <c r="I29" i="18"/>
  <c r="AA29" i="18" s="1"/>
  <c r="E29" i="18"/>
  <c r="X29" i="18" s="1"/>
  <c r="W28" i="18"/>
  <c r="Y28" i="18" s="1"/>
  <c r="AC27" i="18"/>
  <c r="AB28" i="18"/>
  <c r="A30" i="18"/>
  <c r="B31" i="18"/>
  <c r="V31" i="18" s="1"/>
  <c r="AE26" i="18" l="1"/>
  <c r="AD26" i="18"/>
  <c r="K27" i="18"/>
  <c r="AG27" i="18" s="1"/>
  <c r="C30" i="18"/>
  <c r="G30" i="18"/>
  <c r="Z30" i="18" s="1"/>
  <c r="I30" i="18"/>
  <c r="AA30" i="18" s="1"/>
  <c r="E30" i="18"/>
  <c r="X30" i="18" s="1"/>
  <c r="W29" i="18"/>
  <c r="Y29" i="18" s="1"/>
  <c r="AC28" i="18"/>
  <c r="AB29" i="18"/>
  <c r="A31" i="18"/>
  <c r="B32" i="18"/>
  <c r="V32" i="18" s="1"/>
  <c r="AE27" i="18" l="1"/>
  <c r="AD27" i="18"/>
  <c r="K28" i="18"/>
  <c r="AG28" i="18" s="1"/>
  <c r="I31" i="18"/>
  <c r="AA31" i="18" s="1"/>
  <c r="E31" i="18"/>
  <c r="X31" i="18" s="1"/>
  <c r="C31" i="18"/>
  <c r="G31" i="18"/>
  <c r="Z31" i="18" s="1"/>
  <c r="W30" i="18"/>
  <c r="Y30" i="18" s="1"/>
  <c r="AC29" i="18"/>
  <c r="AB30" i="18"/>
  <c r="A32" i="18"/>
  <c r="B33" i="18"/>
  <c r="V33" i="18" s="1"/>
  <c r="AE28" i="18" l="1"/>
  <c r="AD28" i="18"/>
  <c r="K29" i="18"/>
  <c r="AG29" i="18" s="1"/>
  <c r="E32" i="18"/>
  <c r="X32" i="18" s="1"/>
  <c r="G32" i="18"/>
  <c r="Z32" i="18" s="1"/>
  <c r="I32" i="18"/>
  <c r="AA32" i="18" s="1"/>
  <c r="C32" i="18"/>
  <c r="W31" i="18"/>
  <c r="Y31" i="18" s="1"/>
  <c r="AC30" i="18"/>
  <c r="AB31" i="18"/>
  <c r="A33" i="18"/>
  <c r="B34" i="18"/>
  <c r="V34" i="18" s="1"/>
  <c r="AE29" i="18" l="1"/>
  <c r="AD29" i="18"/>
  <c r="K30" i="18"/>
  <c r="AG30" i="18" s="1"/>
  <c r="G33" i="18"/>
  <c r="Z33" i="18" s="1"/>
  <c r="E33" i="18"/>
  <c r="X33" i="18" s="1"/>
  <c r="C33" i="18"/>
  <c r="I33" i="18"/>
  <c r="AA33" i="18" s="1"/>
  <c r="W32" i="18"/>
  <c r="Y32" i="18" s="1"/>
  <c r="AC31" i="18"/>
  <c r="AB32" i="18"/>
  <c r="A34" i="18"/>
  <c r="B35" i="18"/>
  <c r="V35" i="18" s="1"/>
  <c r="AE30" i="18" l="1"/>
  <c r="AD30" i="18"/>
  <c r="K31" i="18"/>
  <c r="AG31" i="18" s="1"/>
  <c r="C34" i="18"/>
  <c r="I34" i="18"/>
  <c r="AA34" i="18" s="1"/>
  <c r="E34" i="18"/>
  <c r="X34" i="18" s="1"/>
  <c r="G34" i="18"/>
  <c r="Z34" i="18" s="1"/>
  <c r="W33" i="18"/>
  <c r="Y33" i="18" s="1"/>
  <c r="AB33" i="18"/>
  <c r="AC32" i="18"/>
  <c r="A35" i="18"/>
  <c r="B36" i="18"/>
  <c r="V36" i="18" s="1"/>
  <c r="AE31" i="18" l="1"/>
  <c r="AD31" i="18"/>
  <c r="K32" i="18"/>
  <c r="AG32" i="18" s="1"/>
  <c r="I35" i="18"/>
  <c r="AA35" i="18" s="1"/>
  <c r="E35" i="18"/>
  <c r="X35" i="18" s="1"/>
  <c r="C35" i="18"/>
  <c r="G35" i="18"/>
  <c r="Z35" i="18" s="1"/>
  <c r="W34" i="18"/>
  <c r="Y34" i="18" s="1"/>
  <c r="AC33" i="18"/>
  <c r="AB34" i="18"/>
  <c r="A36" i="18"/>
  <c r="B37" i="18"/>
  <c r="V37" i="18" s="1"/>
  <c r="AE32" i="18" l="1"/>
  <c r="AD32" i="18"/>
  <c r="K33" i="18"/>
  <c r="AG33" i="18" s="1"/>
  <c r="I36" i="18"/>
  <c r="AA36" i="18" s="1"/>
  <c r="C36" i="18"/>
  <c r="G36" i="18"/>
  <c r="Z36" i="18" s="1"/>
  <c r="E36" i="18"/>
  <c r="X36" i="18" s="1"/>
  <c r="W35" i="18"/>
  <c r="Y35" i="18" s="1"/>
  <c r="AC34" i="18"/>
  <c r="AB35" i="18"/>
  <c r="A37" i="18"/>
  <c r="B38" i="18"/>
  <c r="AE33" i="18" l="1"/>
  <c r="AD33" i="18"/>
  <c r="K34" i="18"/>
  <c r="AG34" i="18" s="1"/>
  <c r="G37" i="18"/>
  <c r="Z37" i="18" s="1"/>
  <c r="C37" i="18"/>
  <c r="I37" i="18"/>
  <c r="AA37" i="18" s="1"/>
  <c r="E37" i="18"/>
  <c r="X37" i="18" s="1"/>
  <c r="W36" i="18"/>
  <c r="Y36" i="18" s="1"/>
  <c r="AC35" i="18"/>
  <c r="AB36" i="18"/>
  <c r="A38" i="18"/>
  <c r="B39" i="18"/>
  <c r="B40" i="18" s="1"/>
  <c r="AE34" i="18" l="1"/>
  <c r="AD34" i="18"/>
  <c r="K35" i="18"/>
  <c r="AG35" i="18" s="1"/>
  <c r="W37" i="18"/>
  <c r="Y37" i="18" s="1"/>
  <c r="V38" i="18"/>
  <c r="I38" i="18" s="1"/>
  <c r="AC36" i="18"/>
  <c r="AB37" i="18"/>
  <c r="A39" i="18"/>
  <c r="B41" i="18"/>
  <c r="AE35" i="18" l="1"/>
  <c r="AD35" i="18"/>
  <c r="K36" i="18"/>
  <c r="AG36" i="18" s="1"/>
  <c r="E38" i="18"/>
  <c r="X38" i="18" s="1"/>
  <c r="G38" i="18"/>
  <c r="Z38" i="18" s="1"/>
  <c r="C38" i="18"/>
  <c r="AA38" i="18"/>
  <c r="AC37" i="18"/>
  <c r="A40" i="18"/>
  <c r="V39" i="18"/>
  <c r="G39" i="18" s="1"/>
  <c r="AE36" i="18" l="1"/>
  <c r="AD36" i="18"/>
  <c r="K37" i="18"/>
  <c r="AG37" i="18" s="1"/>
  <c r="I39" i="18"/>
  <c r="AA39" i="18" s="1"/>
  <c r="C39" i="18"/>
  <c r="E39" i="18"/>
  <c r="X39" i="18" s="1"/>
  <c r="AB38" i="18"/>
  <c r="W38" i="18"/>
  <c r="Y38" i="18" s="1"/>
  <c r="Z39" i="18"/>
  <c r="A41" i="18"/>
  <c r="AF42" i="18" s="1"/>
  <c r="V40" i="18"/>
  <c r="E40" i="18" s="1"/>
  <c r="AE37" i="18" l="1"/>
  <c r="AD37" i="18"/>
  <c r="I40" i="18"/>
  <c r="AA40" i="18" s="1"/>
  <c r="AC38" i="18"/>
  <c r="C40" i="18"/>
  <c r="G40" i="18"/>
  <c r="Z40" i="18" s="1"/>
  <c r="W39" i="18"/>
  <c r="Y39" i="18" s="1"/>
  <c r="X40" i="18"/>
  <c r="AB39" i="18"/>
  <c r="V41" i="18"/>
  <c r="G41" i="18" s="1"/>
  <c r="K38" i="18" l="1"/>
  <c r="AG38" i="18" s="1"/>
  <c r="I41" i="18"/>
  <c r="AA41" i="18" s="1"/>
  <c r="C41" i="18"/>
  <c r="E41" i="18"/>
  <c r="X41" i="18" s="1"/>
  <c r="W40" i="18"/>
  <c r="Y40" i="18" s="1"/>
  <c r="AC39" i="18"/>
  <c r="Z41" i="18"/>
  <c r="AB40" i="18"/>
  <c r="AE38" i="18" l="1"/>
  <c r="AD38" i="18"/>
  <c r="K39" i="18"/>
  <c r="AG39" i="18" s="1"/>
  <c r="W41" i="18"/>
  <c r="Y41" i="18" s="1"/>
  <c r="AB41" i="18"/>
  <c r="AC40" i="18"/>
  <c r="AE39" i="18" l="1"/>
  <c r="AD39" i="18"/>
  <c r="K40" i="18"/>
  <c r="AC41" i="18"/>
  <c r="AD40" i="18" l="1"/>
  <c r="AG40" i="18"/>
  <c r="AE40" i="18"/>
  <c r="K41" i="18"/>
  <c r="AG41" i="18" s="1"/>
  <c r="AG42" i="18" l="1"/>
  <c r="K42" i="18"/>
  <c r="K43" i="18" s="1"/>
  <c r="AD41" i="18"/>
  <c r="X50" i="18" s="1"/>
  <c r="AE41" i="18"/>
  <c r="AE42" i="18" s="1"/>
  <c r="AE44" i="18" s="1"/>
  <c r="AD42" i="18" l="1"/>
  <c r="Z55" i="18"/>
  <c r="E43" i="18" l="1"/>
  <c r="Z54" i="18" l="1"/>
  <c r="AB50" i="18"/>
  <c r="AB44" i="18" s="1"/>
  <c r="AA50" i="18"/>
  <c r="AA44" i="18" s="1"/>
  <c r="N44" i="18" l="1"/>
  <c r="K44" i="18"/>
  <c r="Y50" i="18"/>
  <c r="Y44" i="18" s="1"/>
  <c r="Y54" i="18" s="1"/>
  <c r="AB43" i="18"/>
  <c r="Z43" i="18"/>
  <c r="X43" i="18"/>
  <c r="P43" i="18"/>
  <c r="N43" i="18"/>
  <c r="AA54" i="18"/>
  <c r="AB54" i="18"/>
  <c r="E46" i="18" l="1"/>
  <c r="AC44" i="18" l="1"/>
  <c r="E45" i="18"/>
  <c r="X54" i="18" l="1"/>
</calcChain>
</file>

<file path=xl/sharedStrings.xml><?xml version="1.0" encoding="utf-8"?>
<sst xmlns="http://schemas.openxmlformats.org/spreadsheetml/2006/main" count="119" uniqueCount="91">
  <si>
    <t>FEUILLE MENSUELLE DE TRAVAIL</t>
  </si>
  <si>
    <t>MOIS :</t>
  </si>
  <si>
    <t>NOM :</t>
  </si>
  <si>
    <t>PRENOM :</t>
  </si>
  <si>
    <t>Poste occupé :</t>
  </si>
  <si>
    <t>TOTAL</t>
  </si>
  <si>
    <t>J.F.</t>
  </si>
  <si>
    <t>ABSENCES</t>
  </si>
  <si>
    <t>HEURES PAYEES (MENSUEL)</t>
  </si>
  <si>
    <t>Horaire journalier (jour ouvré)</t>
  </si>
  <si>
    <t>Horaire journalier (jour ouvrable)</t>
  </si>
  <si>
    <t>Pris dans le mois</t>
  </si>
  <si>
    <t>C</t>
  </si>
  <si>
    <t>Horaire prévu</t>
  </si>
  <si>
    <t>Acquis dans le mois</t>
  </si>
  <si>
    <t>SIGNATURES</t>
  </si>
  <si>
    <t>Annotations Service GRH</t>
  </si>
  <si>
    <t>REGUL. DU MOIS PRECEDENT (date+motif)</t>
  </si>
  <si>
    <t>Nombre de jours travaillés</t>
  </si>
  <si>
    <t>Base horaire contrat de travail</t>
  </si>
  <si>
    <t xml:space="preserve">Base horaire avec Aménagement du temps de travail </t>
  </si>
  <si>
    <t>C.P.(30)</t>
  </si>
  <si>
    <t>Calcul majo</t>
  </si>
  <si>
    <t>Plafond légal annuel 220h</t>
  </si>
  <si>
    <t xml:space="preserve"> Solde du mois </t>
  </si>
  <si>
    <t>Période de congés payés acquis de Juin 2011 à Mai 2012 à prendre avant le 30/04/2013- le solde qui apparait concerne le solde des cp acquis sur 2011/2012</t>
  </si>
  <si>
    <t>*Jours</t>
  </si>
  <si>
    <t>*Heures</t>
  </si>
  <si>
    <t>JEUDI</t>
  </si>
  <si>
    <t>VENDREDI</t>
  </si>
  <si>
    <t>LUNDI</t>
  </si>
  <si>
    <t>MARDI</t>
  </si>
  <si>
    <t>MERCREDI</t>
  </si>
  <si>
    <t>Matin</t>
  </si>
  <si>
    <t>Après-midi</t>
  </si>
  <si>
    <t>Jours fériés</t>
  </si>
  <si>
    <t>pâques</t>
  </si>
  <si>
    <t>j. Wés  janvier</t>
  </si>
  <si>
    <t>Semaine impaire</t>
  </si>
  <si>
    <t>Semaine paire</t>
  </si>
  <si>
    <t>Amplitude prévue</t>
  </si>
  <si>
    <t>ÉCART (+motif)</t>
  </si>
  <si>
    <t>Report du Solde du 31/12/2012</t>
  </si>
  <si>
    <t>Solde au 31/01/2013</t>
  </si>
  <si>
    <t>PRÉSENCES</t>
  </si>
  <si>
    <t>Nom</t>
  </si>
  <si>
    <t>Prénom</t>
  </si>
  <si>
    <t>Modulation sur deux semaines</t>
  </si>
  <si>
    <t>Date de naissance</t>
  </si>
  <si>
    <t>Prénoms des enfants</t>
  </si>
  <si>
    <t>Age au début d'année</t>
  </si>
  <si>
    <t>Age</t>
  </si>
  <si>
    <t>REC</t>
  </si>
  <si>
    <t>CP</t>
  </si>
  <si>
    <t>JF</t>
  </si>
  <si>
    <t>JD</t>
  </si>
  <si>
    <t>JAnc</t>
  </si>
  <si>
    <t>JC</t>
  </si>
  <si>
    <t>RTT</t>
  </si>
  <si>
    <t>CT</t>
  </si>
  <si>
    <t>½RTT</t>
  </si>
  <si>
    <t>Congés plannifiés</t>
  </si>
  <si>
    <t>Arrêt de Travail</t>
  </si>
  <si>
    <t>Réduction tps grossesse</t>
  </si>
  <si>
    <t>Naissance</t>
  </si>
  <si>
    <t>Mariage</t>
  </si>
  <si>
    <t>Congés Maternité</t>
  </si>
  <si>
    <t>Congés Paternité</t>
  </si>
  <si>
    <t>Décés</t>
  </si>
  <si>
    <t>Enfantsmalades</t>
  </si>
  <si>
    <t>Absences non plannifiables</t>
  </si>
  <si>
    <t>enfants</t>
  </si>
  <si>
    <t>Heures par jour</t>
  </si>
  <si>
    <t>Heures par semaine</t>
  </si>
  <si>
    <t>Prenom</t>
  </si>
  <si>
    <t>enfant1</t>
  </si>
  <si>
    <t>enfant2</t>
  </si>
  <si>
    <t>enfant3</t>
  </si>
  <si>
    <t>enfant4</t>
  </si>
  <si>
    <t>enfant5</t>
  </si>
  <si>
    <t>eft1</t>
  </si>
  <si>
    <t>eft2</t>
  </si>
  <si>
    <t>eft3</t>
  </si>
  <si>
    <t>eft4</t>
  </si>
  <si>
    <t>eft5</t>
  </si>
  <si>
    <t>Heures restantes</t>
  </si>
  <si>
    <t>heures fériés prises</t>
  </si>
  <si>
    <t>heures fériés a prendre</t>
  </si>
  <si>
    <t>JANVIER</t>
  </si>
  <si>
    <t>An37</t>
  </si>
  <si>
    <t>Les deux</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</si>
</sst>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 #,##0.00\ _F_-;\-* #,##0.00\ _F_-;_-* &quot;-&quot;??\ _F_-;_-@_-"/>
    <numFmt numFmtId="165" formatCode="mmmm\-yy"/>
    <numFmt numFmtId="166" formatCode="0.0"/>
    <numFmt numFmtId="167" formatCode="[$-F800]dddd\,\ mmmm\ dd\,\ yyyy"/>
    <numFmt numFmtId="168" formatCode="_-* #,##0.00\ [$€]_-;\-* #,##0.00\ [$€]_-;_-* &quot;-&quot;??\ [$€]_-;_-@_-"/>
    <numFmt numFmtId="169" formatCode="d"/>
    <numFmt numFmtId="170" formatCode="dddd"/>
    <numFmt numFmtId="171" formatCode="h:mm;@"/>
    <numFmt numFmtId="172" formatCode="dd/mm/yy;@"/>
    <numFmt numFmtId="177" formatCode="hh:mm;@"/>
    <numFmt numFmtId="178" formatCode="[$-F400]h:mm:ss\ AM/PM"/>
    <numFmt numFmtId="179" formatCode="00000"/>
  </numFmts>
  <fonts count="59" x14ac:knownFonts="1">
    <font>
      <sz val="10"/>
      <name val="Arial"/>
    </font>
    <font>
      <sz val="10"/>
      <name val="Arial"/>
      <family val="2"/>
    </font>
    <font>
      <sz val="8"/>
      <name val="Arial"/>
      <family val="2"/>
    </font>
    <font>
      <b/>
      <sz val="8"/>
      <name val="Arial"/>
      <family val="2"/>
    </font>
    <font>
      <b/>
      <sz val="12"/>
      <name val="Arial"/>
      <family val="2"/>
    </font>
    <font>
      <sz val="8"/>
      <name val="Arial"/>
      <family val="2"/>
    </font>
    <font>
      <sz val="10"/>
      <name val="Modern"/>
      <family val="3"/>
      <charset val="255"/>
    </font>
    <font>
      <sz val="10"/>
      <name val="Arial"/>
      <family val="2"/>
    </font>
    <font>
      <b/>
      <sz val="14"/>
      <name val="Arial"/>
      <family val="2"/>
    </font>
    <font>
      <sz val="9"/>
      <name val="Arial"/>
      <family val="2"/>
    </font>
    <font>
      <b/>
      <sz val="11"/>
      <name val="Arial"/>
      <family val="2"/>
    </font>
    <font>
      <sz val="14"/>
      <name val="Arial"/>
      <family val="2"/>
    </font>
    <font>
      <sz val="12"/>
      <name val="Arial"/>
      <family val="2"/>
    </font>
    <font>
      <sz val="12"/>
      <name val="Arial"/>
      <family val="2"/>
    </font>
    <font>
      <sz val="14"/>
      <name val="Times New Roman"/>
      <family val="1"/>
    </font>
    <font>
      <b/>
      <sz val="14"/>
      <name val="Comic Sans MS"/>
      <family val="4"/>
    </font>
    <font>
      <b/>
      <sz val="12"/>
      <name val="Comic Sans MS"/>
      <family val="4"/>
    </font>
    <font>
      <b/>
      <sz val="16"/>
      <name val="Comic Sans MS"/>
      <family val="4"/>
    </font>
    <font>
      <sz val="12"/>
      <name val="Comic Sans MS"/>
      <family val="4"/>
    </font>
    <font>
      <sz val="16"/>
      <name val="Comic Sans MS"/>
      <family val="4"/>
    </font>
    <font>
      <sz val="10"/>
      <name val="Comic Sans MS"/>
      <family val="4"/>
    </font>
    <font>
      <sz val="8"/>
      <name val="Comic Sans MS"/>
      <family val="4"/>
    </font>
    <font>
      <sz val="14"/>
      <name val="Comic Sans MS"/>
      <family val="4"/>
    </font>
    <font>
      <b/>
      <sz val="8"/>
      <name val="Comic Sans MS"/>
      <family val="4"/>
    </font>
    <font>
      <sz val="13"/>
      <name val="Comic Sans MS"/>
      <family val="4"/>
    </font>
    <font>
      <b/>
      <sz val="10"/>
      <name val="Comic Sans MS"/>
      <family val="4"/>
    </font>
    <font>
      <b/>
      <sz val="13"/>
      <name val="Comic Sans MS"/>
      <family val="4"/>
    </font>
    <font>
      <sz val="9"/>
      <name val="Comic Sans MS"/>
      <family val="4"/>
    </font>
    <font>
      <sz val="11"/>
      <name val="Comic Sans MS"/>
      <family val="4"/>
    </font>
    <font>
      <b/>
      <sz val="18"/>
      <name val="Comic Sans MS"/>
      <family val="4"/>
    </font>
    <font>
      <b/>
      <sz val="11"/>
      <name val="Comic Sans MS"/>
      <family val="4"/>
    </font>
    <font>
      <sz val="20"/>
      <name val="Arial"/>
      <family val="2"/>
    </font>
    <font>
      <sz val="18"/>
      <name val="Arial"/>
      <family val="2"/>
    </font>
    <font>
      <b/>
      <sz val="11"/>
      <name val="Times New Roman"/>
      <family val="1"/>
    </font>
    <font>
      <sz val="16"/>
      <name val="Arial"/>
      <family val="2"/>
    </font>
    <font>
      <u/>
      <sz val="14"/>
      <name val="Comic Sans MS"/>
      <family val="4"/>
    </font>
    <font>
      <b/>
      <sz val="14"/>
      <name val="Times New Roman"/>
      <family val="1"/>
    </font>
    <font>
      <sz val="18"/>
      <color rgb="FFFF0000"/>
      <name val="Comic Sans MS"/>
      <family val="4"/>
    </font>
    <font>
      <sz val="1"/>
      <name val="Comic Sans MS"/>
      <family val="4"/>
    </font>
    <font>
      <b/>
      <sz val="1"/>
      <name val="Comic Sans MS"/>
      <family val="4"/>
    </font>
    <font>
      <b/>
      <sz val="16"/>
      <color rgb="FFFF0000"/>
      <name val="Comic Sans MS"/>
      <family val="4"/>
    </font>
    <font>
      <b/>
      <sz val="9"/>
      <name val="Arial"/>
      <family val="2"/>
    </font>
    <font>
      <b/>
      <sz val="18"/>
      <color theme="0"/>
      <name val="Comic Sans MS"/>
      <family val="4"/>
    </font>
    <font>
      <sz val="10"/>
      <color theme="0"/>
      <name val="Arial"/>
      <family val="2"/>
    </font>
    <font>
      <sz val="8"/>
      <name val="Verdana"/>
      <family val="2"/>
    </font>
    <font>
      <b/>
      <sz val="12"/>
      <color indexed="8"/>
      <name val="Calibri"/>
      <family val="2"/>
    </font>
    <font>
      <sz val="8"/>
      <color indexed="8"/>
      <name val="Arial Narrow"/>
      <family val="2"/>
    </font>
    <font>
      <sz val="10"/>
      <color indexed="8"/>
      <name val="Calibri"/>
      <family val="2"/>
    </font>
    <font>
      <sz val="8"/>
      <color indexed="8"/>
      <name val="Times New Roman"/>
      <family val="1"/>
    </font>
    <font>
      <sz val="8"/>
      <color indexed="8"/>
      <name val="Arial"/>
      <family val="2"/>
    </font>
    <font>
      <sz val="8"/>
      <color indexed="8"/>
      <name val="Calibri"/>
      <family val="2"/>
    </font>
    <font>
      <sz val="11"/>
      <name val="Times New Roman"/>
      <family val="1"/>
    </font>
    <font>
      <b/>
      <i/>
      <sz val="10"/>
      <name val="Comic Sans MS"/>
      <family val="4"/>
    </font>
    <font>
      <b/>
      <u/>
      <sz val="18"/>
      <color rgb="FFFF0000"/>
      <name val="Comic Sans MS"/>
      <family val="4"/>
    </font>
    <font>
      <b/>
      <sz val="14"/>
      <color theme="1"/>
      <name val="Calibri"/>
      <family val="2"/>
      <scheme val="minor"/>
    </font>
    <font>
      <sz val="10"/>
      <color theme="0"/>
      <name val="Comic Sans MS"/>
      <family val="4"/>
    </font>
    <font>
      <b/>
      <sz val="10"/>
      <color theme="0"/>
      <name val="Comic Sans MS"/>
      <family val="4"/>
    </font>
    <font>
      <b/>
      <sz val="9"/>
      <color indexed="8"/>
      <name val="Arial"/>
      <family val="2"/>
    </font>
    <font>
      <sz val="10"/>
      <name val="Wingdings"/>
      <charset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168" fontId="1" fillId="0" borderId="0" applyFont="0" applyFill="0" applyBorder="0" applyAlignment="0" applyProtection="0"/>
    <xf numFmtId="164" fontId="1" fillId="0" borderId="0" applyFont="0" applyFill="0" applyBorder="0" applyAlignment="0" applyProtection="0"/>
    <xf numFmtId="0" fontId="5" fillId="0" borderId="0"/>
    <xf numFmtId="0" fontId="1" fillId="0" borderId="0"/>
    <xf numFmtId="0" fontId="1" fillId="0" borderId="0"/>
  </cellStyleXfs>
  <cellXfs count="342">
    <xf numFmtId="0" fontId="0" fillId="0" borderId="0" xfId="0"/>
    <xf numFmtId="0" fontId="0" fillId="0" borderId="0" xfId="0" applyProtection="1"/>
    <xf numFmtId="0" fontId="0" fillId="0" borderId="0" xfId="0" applyFill="1" applyProtection="1"/>
    <xf numFmtId="0" fontId="0" fillId="0" borderId="0" xfId="0" applyBorder="1" applyProtection="1"/>
    <xf numFmtId="0" fontId="0" fillId="0" borderId="0" xfId="0" applyAlignment="1" applyProtection="1">
      <alignment horizontal="center" vertical="center"/>
    </xf>
    <xf numFmtId="0" fontId="0" fillId="0" borderId="0" xfId="0" applyFill="1" applyBorder="1" applyProtection="1"/>
    <xf numFmtId="0" fontId="3" fillId="7" borderId="0" xfId="3" applyFont="1" applyFill="1" applyAlignment="1" applyProtection="1">
      <alignment vertical="center"/>
    </xf>
    <xf numFmtId="0" fontId="3" fillId="7" borderId="0" xfId="3" applyFont="1" applyFill="1" applyAlignment="1" applyProtection="1">
      <alignment horizontal="center" vertical="center"/>
    </xf>
    <xf numFmtId="0" fontId="0" fillId="7" borderId="0" xfId="0" applyFill="1" applyProtection="1"/>
    <xf numFmtId="0" fontId="5" fillId="7" borderId="0" xfId="3" applyFill="1" applyAlignment="1" applyProtection="1">
      <alignment vertical="center"/>
    </xf>
    <xf numFmtId="0" fontId="50" fillId="7" borderId="0" xfId="0" applyFont="1" applyFill="1" applyProtection="1"/>
    <xf numFmtId="0" fontId="50" fillId="7" borderId="0" xfId="0" applyFont="1" applyFill="1" applyAlignment="1" applyProtection="1">
      <alignment horizontal="center" vertical="center"/>
    </xf>
    <xf numFmtId="0" fontId="0" fillId="7" borderId="0" xfId="0" applyFont="1" applyFill="1" applyBorder="1" applyProtection="1"/>
    <xf numFmtId="0" fontId="46" fillId="7" borderId="0" xfId="0" applyFont="1" applyFill="1" applyBorder="1" applyProtection="1"/>
    <xf numFmtId="0" fontId="2" fillId="7" borderId="0" xfId="3" applyFont="1" applyFill="1" applyAlignment="1" applyProtection="1">
      <alignment vertical="center"/>
    </xf>
    <xf numFmtId="0" fontId="45" fillId="7" borderId="0" xfId="0" applyFont="1" applyFill="1" applyBorder="1" applyAlignment="1" applyProtection="1">
      <alignment horizontal="center" vertical="center"/>
    </xf>
    <xf numFmtId="0" fontId="2" fillId="7" borderId="0" xfId="3" applyFont="1" applyFill="1" applyAlignment="1" applyProtection="1">
      <alignment horizontal="center" vertical="center"/>
    </xf>
    <xf numFmtId="0" fontId="47" fillId="7" borderId="0" xfId="0" applyFont="1" applyFill="1" applyBorder="1" applyAlignment="1" applyProtection="1">
      <alignment horizontal="center"/>
    </xf>
    <xf numFmtId="20" fontId="48" fillId="7" borderId="0" xfId="0" applyNumberFormat="1" applyFont="1" applyFill="1" applyBorder="1" applyAlignment="1" applyProtection="1">
      <alignment horizontal="center" vertical="center"/>
    </xf>
    <xf numFmtId="177" fontId="0" fillId="7" borderId="0" xfId="0" applyNumberFormat="1" applyFill="1" applyProtection="1"/>
    <xf numFmtId="0" fontId="18" fillId="7" borderId="0" xfId="0" applyFont="1" applyFill="1" applyAlignment="1" applyProtection="1">
      <alignment horizontal="center" vertical="center"/>
    </xf>
    <xf numFmtId="14" fontId="10" fillId="7" borderId="0" xfId="0" applyNumberFormat="1" applyFont="1" applyFill="1" applyAlignment="1" applyProtection="1">
      <alignment horizontal="center" vertical="center"/>
    </xf>
    <xf numFmtId="0" fontId="43" fillId="7" borderId="0" xfId="0" applyFont="1" applyFill="1" applyAlignment="1" applyProtection="1">
      <alignment horizontal="center"/>
    </xf>
    <xf numFmtId="0" fontId="1" fillId="7" borderId="6" xfId="0" applyFont="1" applyFill="1" applyBorder="1" applyAlignment="1" applyProtection="1">
      <alignment horizontal="center" vertical="center"/>
    </xf>
    <xf numFmtId="14" fontId="44" fillId="7" borderId="6" xfId="5" applyNumberFormat="1" applyFont="1" applyFill="1" applyBorder="1" applyAlignment="1" applyProtection="1">
      <alignment horizontal="center"/>
    </xf>
    <xf numFmtId="14" fontId="44" fillId="7" borderId="6" xfId="5" applyNumberFormat="1" applyFont="1" applyFill="1" applyBorder="1" applyAlignment="1" applyProtection="1">
      <alignment horizontal="center" vertical="center"/>
    </xf>
    <xf numFmtId="0" fontId="2" fillId="0" borderId="6" xfId="3" applyFont="1" applyFill="1" applyBorder="1" applyAlignment="1" applyProtection="1">
      <alignment vertical="center"/>
      <protection locked="0"/>
    </xf>
    <xf numFmtId="0" fontId="1" fillId="0" borderId="34" xfId="0" applyFont="1" applyFill="1" applyBorder="1" applyProtection="1">
      <protection locked="0"/>
    </xf>
    <xf numFmtId="0" fontId="54" fillId="0" borderId="0" xfId="0" applyNumberFormat="1" applyFont="1" applyFill="1" applyAlignment="1" applyProtection="1">
      <alignment horizontal="center"/>
      <protection locked="0"/>
    </xf>
    <xf numFmtId="0" fontId="0" fillId="0" borderId="0" xfId="0" applyFill="1" applyAlignment="1" applyProtection="1">
      <alignment horizontal="center" vertical="center"/>
    </xf>
    <xf numFmtId="0" fontId="20" fillId="0" borderId="0" xfId="0" applyFont="1" applyProtection="1"/>
    <xf numFmtId="0" fontId="42" fillId="0" borderId="0" xfId="0" applyFont="1" applyBorder="1" applyAlignment="1" applyProtection="1"/>
    <xf numFmtId="172" fontId="20" fillId="0" borderId="0" xfId="0" applyNumberFormat="1" applyFont="1" applyProtection="1"/>
    <xf numFmtId="2" fontId="25" fillId="0" borderId="27" xfId="0" applyNumberFormat="1" applyFont="1" applyBorder="1" applyAlignment="1" applyProtection="1">
      <alignment horizontal="center"/>
    </xf>
    <xf numFmtId="2" fontId="25" fillId="0" borderId="0" xfId="0" applyNumberFormat="1" applyFont="1" applyBorder="1" applyAlignment="1" applyProtection="1"/>
    <xf numFmtId="0" fontId="35" fillId="0" borderId="0" xfId="0" applyFont="1" applyBorder="1" applyAlignment="1" applyProtection="1">
      <alignment horizontal="center"/>
    </xf>
    <xf numFmtId="0" fontId="21" fillId="0" borderId="0" xfId="0" applyFont="1" applyBorder="1" applyAlignment="1" applyProtection="1">
      <alignment horizontal="left"/>
    </xf>
    <xf numFmtId="0" fontId="21" fillId="0" borderId="0" xfId="0" applyFont="1" applyBorder="1" applyAlignment="1" applyProtection="1">
      <alignment horizontal="right"/>
    </xf>
    <xf numFmtId="0" fontId="25" fillId="0" borderId="0" xfId="0" applyFont="1" applyBorder="1" applyProtection="1"/>
    <xf numFmtId="0" fontId="21" fillId="0" borderId="0" xfId="0" applyFont="1" applyBorder="1" applyProtection="1"/>
    <xf numFmtId="0" fontId="28" fillId="0" borderId="0" xfId="0" applyFont="1" applyBorder="1" applyAlignment="1" applyProtection="1">
      <alignment horizontal="right"/>
    </xf>
    <xf numFmtId="0" fontId="15" fillId="0" borderId="0" xfId="0" applyFont="1" applyBorder="1" applyAlignment="1" applyProtection="1"/>
    <xf numFmtId="167" fontId="0" fillId="0" borderId="0" xfId="0" applyNumberFormat="1" applyAlignment="1" applyProtection="1"/>
    <xf numFmtId="0" fontId="1" fillId="0" borderId="0" xfId="0" quotePrefix="1" applyFont="1" applyProtection="1"/>
    <xf numFmtId="0" fontId="1" fillId="0" borderId="0" xfId="0" applyFont="1" applyProtection="1"/>
    <xf numFmtId="0" fontId="15" fillId="0" borderId="0" xfId="0" applyFont="1" applyBorder="1" applyAlignment="1" applyProtection="1">
      <alignment horizontal="left"/>
    </xf>
    <xf numFmtId="2" fontId="39" fillId="0" borderId="0" xfId="0" applyNumberFormat="1" applyFont="1" applyBorder="1" applyAlignment="1" applyProtection="1">
      <alignment horizontal="center"/>
    </xf>
    <xf numFmtId="0" fontId="55" fillId="6" borderId="0" xfId="0" applyFont="1" applyFill="1" applyBorder="1" applyProtection="1"/>
    <xf numFmtId="0" fontId="0" fillId="0" borderId="0" xfId="0" applyNumberFormat="1" applyAlignment="1" applyProtection="1"/>
    <xf numFmtId="170" fontId="16" fillId="0" borderId="23" xfId="0" applyNumberFormat="1" applyFont="1" applyFill="1" applyBorder="1" applyAlignment="1" applyProtection="1">
      <alignment horizontal="left"/>
    </xf>
    <xf numFmtId="167" fontId="38" fillId="0" borderId="0" xfId="0" applyNumberFormat="1" applyFont="1" applyBorder="1" applyAlignment="1" applyProtection="1">
      <alignment horizontal="center" vertical="center"/>
    </xf>
    <xf numFmtId="2" fontId="56" fillId="0" borderId="0" xfId="0" applyNumberFormat="1" applyFont="1" applyFill="1" applyBorder="1" applyAlignment="1" applyProtection="1">
      <alignment horizontal="center"/>
    </xf>
    <xf numFmtId="167" fontId="37" fillId="0" borderId="0" xfId="0" applyNumberFormat="1" applyFont="1" applyBorder="1" applyAlignment="1" applyProtection="1">
      <alignment vertical="center"/>
    </xf>
    <xf numFmtId="0" fontId="19" fillId="0" borderId="0" xfId="0" applyFont="1" applyBorder="1" applyAlignment="1" applyProtection="1">
      <alignment horizontal="right"/>
    </xf>
    <xf numFmtId="0" fontId="0" fillId="0" borderId="0" xfId="0" applyBorder="1" applyAlignment="1" applyProtection="1">
      <alignment horizontal="center" vertical="center"/>
    </xf>
    <xf numFmtId="0" fontId="16" fillId="0" borderId="15" xfId="0" applyFont="1" applyBorder="1" applyAlignment="1" applyProtection="1"/>
    <xf numFmtId="0" fontId="0" fillId="0" borderId="23" xfId="0" applyBorder="1" applyAlignment="1" applyProtection="1">
      <alignment vertical="center"/>
    </xf>
    <xf numFmtId="0" fontId="23" fillId="5" borderId="0" xfId="0" applyFont="1" applyFill="1" applyBorder="1" applyAlignment="1" applyProtection="1">
      <alignment vertical="center"/>
    </xf>
    <xf numFmtId="0" fontId="0" fillId="0" borderId="0" xfId="0" applyAlignment="1" applyProtection="1">
      <alignment vertical="center"/>
    </xf>
    <xf numFmtId="0" fontId="8" fillId="0" borderId="0" xfId="0" applyFont="1" applyFill="1" applyBorder="1" applyAlignment="1" applyProtection="1">
      <alignment horizontal="center" vertical="center"/>
    </xf>
    <xf numFmtId="0" fontId="6" fillId="0" borderId="23" xfId="0" applyFont="1" applyBorder="1" applyProtection="1"/>
    <xf numFmtId="0" fontId="33" fillId="0" borderId="0" xfId="0" applyFont="1" applyBorder="1" applyAlignment="1" applyProtection="1">
      <alignment vertical="center" wrapText="1"/>
    </xf>
    <xf numFmtId="0" fontId="6" fillId="0" borderId="0" xfId="0" applyFont="1" applyProtection="1"/>
    <xf numFmtId="0" fontId="6" fillId="0" borderId="0" xfId="0" applyFont="1" applyAlignment="1" applyProtection="1">
      <alignment horizontal="center" vertical="center" textRotation="180"/>
    </xf>
    <xf numFmtId="16" fontId="6" fillId="0" borderId="0" xfId="0" applyNumberFormat="1" applyFont="1" applyProtection="1"/>
    <xf numFmtId="0" fontId="7" fillId="0" borderId="25" xfId="0" applyFont="1" applyBorder="1" applyAlignment="1" applyProtection="1"/>
    <xf numFmtId="0" fontId="7" fillId="0" borderId="15" xfId="0" applyFont="1" applyBorder="1" applyAlignment="1" applyProtection="1"/>
    <xf numFmtId="0" fontId="36" fillId="0" borderId="20" xfId="0" applyFont="1" applyBorder="1" applyAlignment="1" applyProtection="1">
      <alignment vertical="top" wrapText="1"/>
    </xf>
    <xf numFmtId="11" fontId="51" fillId="4" borderId="33" xfId="0" applyNumberFormat="1" applyFont="1" applyFill="1" applyBorder="1" applyAlignment="1" applyProtection="1">
      <alignment vertical="center" textRotation="90"/>
    </xf>
    <xf numFmtId="11" fontId="51" fillId="4" borderId="9" xfId="0" applyNumberFormat="1" applyFont="1" applyFill="1" applyBorder="1" applyAlignment="1" applyProtection="1">
      <alignment vertical="center" textRotation="90"/>
    </xf>
    <xf numFmtId="0" fontId="7" fillId="0" borderId="0" xfId="0" applyFont="1" applyFill="1" applyAlignment="1" applyProtection="1"/>
    <xf numFmtId="0" fontId="7" fillId="0" borderId="0" xfId="0" applyFont="1" applyAlignment="1" applyProtection="1"/>
    <xf numFmtId="0" fontId="9" fillId="10" borderId="0" xfId="0" applyFont="1" applyFill="1" applyAlignment="1" applyProtection="1">
      <alignment horizontal="center" vertical="center" wrapText="1"/>
    </xf>
    <xf numFmtId="170" fontId="16" fillId="0" borderId="26" xfId="0" applyNumberFormat="1" applyFont="1" applyFill="1" applyBorder="1" applyAlignment="1" applyProtection="1">
      <alignment horizontal="left"/>
    </xf>
    <xf numFmtId="169" fontId="16" fillId="0" borderId="26" xfId="0" applyNumberFormat="1" applyFont="1" applyFill="1" applyBorder="1" applyAlignment="1" applyProtection="1">
      <alignment horizontal="center"/>
    </xf>
    <xf numFmtId="4" fontId="0" fillId="0" borderId="41" xfId="0" applyNumberFormat="1" applyFill="1" applyBorder="1" applyAlignment="1" applyProtection="1">
      <alignment horizontal="center"/>
    </xf>
    <xf numFmtId="171" fontId="7" fillId="0" borderId="0" xfId="0" applyNumberFormat="1" applyFont="1" applyAlignment="1" applyProtection="1">
      <alignment horizontal="center" vertical="center"/>
    </xf>
    <xf numFmtId="171" fontId="0" fillId="8" borderId="0" xfId="0" applyNumberFormat="1" applyFill="1" applyAlignment="1" applyProtection="1">
      <alignment horizontal="center" vertical="center"/>
    </xf>
    <xf numFmtId="171" fontId="0" fillId="0" borderId="0" xfId="0" applyNumberFormat="1" applyFill="1" applyAlignment="1" applyProtection="1">
      <alignment horizontal="center" vertical="center"/>
    </xf>
    <xf numFmtId="4" fontId="10" fillId="7" borderId="0" xfId="0" applyNumberFormat="1" applyFont="1" applyFill="1" applyAlignment="1" applyProtection="1">
      <alignment horizontal="center" vertical="center"/>
    </xf>
    <xf numFmtId="4" fontId="10" fillId="10" borderId="0" xfId="0" applyNumberFormat="1" applyFont="1" applyFill="1" applyAlignment="1" applyProtection="1">
      <alignment horizontal="center" vertical="center"/>
    </xf>
    <xf numFmtId="0" fontId="0" fillId="3" borderId="0" xfId="0" applyFill="1" applyProtection="1"/>
    <xf numFmtId="0" fontId="1" fillId="0" borderId="0" xfId="0" applyFont="1" applyFill="1" applyProtection="1"/>
    <xf numFmtId="0" fontId="1" fillId="0" borderId="0" xfId="0" applyFont="1" applyAlignment="1" applyProtection="1">
      <alignment horizontal="center" vertical="center"/>
    </xf>
    <xf numFmtId="0" fontId="0" fillId="9" borderId="0" xfId="0" applyFill="1" applyAlignment="1" applyProtection="1">
      <alignment horizontal="center" vertical="center"/>
    </xf>
    <xf numFmtId="170" fontId="16" fillId="6" borderId="19" xfId="0" applyNumberFormat="1" applyFont="1" applyFill="1" applyBorder="1" applyAlignment="1" applyProtection="1">
      <alignment horizontal="left"/>
    </xf>
    <xf numFmtId="169" fontId="16" fillId="6" borderId="19" xfId="0" applyNumberFormat="1" applyFont="1" applyFill="1" applyBorder="1" applyAlignment="1" applyProtection="1">
      <alignment horizontal="center"/>
    </xf>
    <xf numFmtId="4" fontId="0" fillId="0" borderId="38" xfId="0" applyNumberFormat="1" applyFill="1" applyBorder="1" applyAlignment="1" applyProtection="1">
      <alignment horizontal="center"/>
    </xf>
    <xf numFmtId="0" fontId="0" fillId="0" borderId="1" xfId="0" applyFill="1" applyBorder="1" applyProtection="1"/>
    <xf numFmtId="4" fontId="0" fillId="0" borderId="39" xfId="0" applyNumberFormat="1" applyFill="1" applyBorder="1" applyAlignment="1" applyProtection="1">
      <alignment horizontal="center"/>
    </xf>
    <xf numFmtId="4" fontId="36" fillId="0" borderId="18" xfId="0" applyNumberFormat="1" applyFont="1" applyFill="1" applyBorder="1" applyAlignment="1" applyProtection="1">
      <alignment horizontal="center" vertical="center"/>
    </xf>
    <xf numFmtId="4" fontId="36" fillId="0" borderId="20" xfId="0" applyNumberFormat="1" applyFont="1" applyFill="1" applyBorder="1" applyAlignment="1" applyProtection="1">
      <alignment vertical="center"/>
    </xf>
    <xf numFmtId="0" fontId="4" fillId="0" borderId="0" xfId="0" applyFont="1" applyFill="1" applyProtection="1"/>
    <xf numFmtId="0" fontId="4" fillId="0" borderId="0" xfId="0" applyFont="1" applyProtection="1"/>
    <xf numFmtId="0" fontId="4" fillId="0" borderId="0" xfId="0" applyFont="1" applyFill="1" applyBorder="1" applyProtection="1"/>
    <xf numFmtId="0" fontId="4" fillId="0" borderId="0" xfId="0" applyFont="1" applyFill="1" applyBorder="1" applyAlignment="1" applyProtection="1">
      <alignment horizontal="right"/>
    </xf>
    <xf numFmtId="4" fontId="4" fillId="0" borderId="0" xfId="0" applyNumberFormat="1" applyFont="1" applyBorder="1" applyProtection="1"/>
    <xf numFmtId="4" fontId="10" fillId="0" borderId="29" xfId="0" applyNumberFormat="1" applyFont="1" applyBorder="1" applyAlignment="1" applyProtection="1">
      <alignment horizontal="center" vertical="center"/>
    </xf>
    <xf numFmtId="4" fontId="10" fillId="0" borderId="28" xfId="0" applyNumberFormat="1" applyFont="1" applyFill="1" applyBorder="1" applyAlignment="1" applyProtection="1">
      <alignment horizontal="center" vertical="center"/>
    </xf>
    <xf numFmtId="0" fontId="10" fillId="0" borderId="15" xfId="0" applyFont="1" applyFill="1" applyBorder="1" applyAlignment="1" applyProtection="1">
      <alignment horizontal="center" vertical="center"/>
    </xf>
    <xf numFmtId="0" fontId="10" fillId="0" borderId="28" xfId="0" applyFont="1" applyFill="1" applyBorder="1" applyAlignment="1" applyProtection="1">
      <alignment horizontal="center" vertical="center"/>
    </xf>
    <xf numFmtId="0" fontId="10" fillId="0" borderId="24" xfId="0" applyFont="1" applyFill="1" applyBorder="1" applyAlignment="1" applyProtection="1">
      <alignment horizontal="center" vertical="center"/>
    </xf>
    <xf numFmtId="0" fontId="20" fillId="0" borderId="0" xfId="0" applyFont="1" applyBorder="1" applyProtection="1"/>
    <xf numFmtId="0" fontId="16" fillId="0" borderId="0" xfId="0" applyFont="1" applyBorder="1" applyAlignment="1" applyProtection="1">
      <alignment horizontal="center" vertical="center" wrapText="1"/>
    </xf>
    <xf numFmtId="2" fontId="19" fillId="6" borderId="32" xfId="0" applyNumberFormat="1" applyFont="1" applyFill="1" applyBorder="1" applyAlignment="1" applyProtection="1">
      <alignment horizontal="center" vertical="center"/>
    </xf>
    <xf numFmtId="0" fontId="20" fillId="0" borderId="0" xfId="0" applyFont="1" applyFill="1" applyBorder="1" applyProtection="1"/>
    <xf numFmtId="0" fontId="16" fillId="0" borderId="5" xfId="0" applyFont="1" applyFill="1" applyBorder="1" applyAlignment="1" applyProtection="1">
      <alignment horizontal="center"/>
    </xf>
    <xf numFmtId="0" fontId="25" fillId="0" borderId="5" xfId="0" applyFont="1" applyFill="1" applyBorder="1" applyAlignment="1" applyProtection="1">
      <alignment horizontal="center"/>
    </xf>
    <xf numFmtId="0" fontId="16" fillId="0" borderId="4" xfId="0" applyFont="1" applyBorder="1" applyAlignment="1" applyProtection="1">
      <alignment horizontal="center"/>
    </xf>
    <xf numFmtId="0" fontId="15" fillId="3" borderId="0"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9" fontId="22" fillId="3" borderId="0" xfId="0" applyNumberFormat="1" applyFont="1" applyFill="1" applyBorder="1" applyAlignment="1" applyProtection="1">
      <alignment horizontal="left" vertical="center" wrapText="1"/>
    </xf>
    <xf numFmtId="0" fontId="13" fillId="0" borderId="0" xfId="0" applyFont="1" applyProtection="1"/>
    <xf numFmtId="0" fontId="16" fillId="0" borderId="0" xfId="0" applyFont="1" applyFill="1" applyBorder="1" applyAlignment="1" applyProtection="1">
      <alignment horizontal="left" vertical="center"/>
    </xf>
    <xf numFmtId="0" fontId="21" fillId="0" borderId="12" xfId="0" applyFont="1" applyBorder="1" applyProtection="1"/>
    <xf numFmtId="0" fontId="21" fillId="0" borderId="14" xfId="0" applyFont="1" applyBorder="1" applyProtection="1"/>
    <xf numFmtId="0" fontId="21" fillId="0" borderId="16" xfId="0" applyFont="1" applyBorder="1" applyProtection="1"/>
    <xf numFmtId="0" fontId="21" fillId="0" borderId="11" xfId="0" applyFont="1" applyBorder="1" applyProtection="1"/>
    <xf numFmtId="165" fontId="15" fillId="6" borderId="4" xfId="0" applyNumberFormat="1" applyFont="1" applyFill="1" applyBorder="1" applyAlignment="1" applyProtection="1">
      <alignment horizontal="center"/>
    </xf>
    <xf numFmtId="0" fontId="20" fillId="0" borderId="6" xfId="0" applyFont="1" applyBorder="1" applyProtection="1"/>
    <xf numFmtId="9" fontId="22" fillId="0" borderId="0" xfId="0" applyNumberFormat="1" applyFont="1" applyBorder="1" applyAlignment="1" applyProtection="1">
      <alignment horizontal="left"/>
    </xf>
    <xf numFmtId="0" fontId="30" fillId="0" borderId="0" xfId="0" applyFont="1" applyFill="1" applyBorder="1" applyAlignment="1" applyProtection="1">
      <alignment horizontal="left" vertical="center"/>
    </xf>
    <xf numFmtId="0" fontId="20" fillId="0" borderId="12" xfId="0" applyFont="1" applyBorder="1" applyProtection="1"/>
    <xf numFmtId="0" fontId="21" fillId="0" borderId="3" xfId="0" applyFont="1" applyBorder="1" applyProtection="1"/>
    <xf numFmtId="0" fontId="12" fillId="0" borderId="0" xfId="0" applyFont="1" applyBorder="1" applyAlignment="1" applyProtection="1">
      <alignment horizontal="right"/>
    </xf>
    <xf numFmtId="0" fontId="34" fillId="0" borderId="0" xfId="0" applyFont="1" applyBorder="1" applyAlignment="1" applyProtection="1"/>
    <xf numFmtId="2" fontId="21" fillId="3" borderId="0" xfId="0" applyNumberFormat="1" applyFont="1" applyFill="1" applyProtection="1"/>
    <xf numFmtId="2" fontId="21" fillId="6" borderId="0" xfId="0" applyNumberFormat="1" applyFont="1" applyFill="1" applyProtection="1"/>
    <xf numFmtId="2" fontId="21" fillId="0" borderId="0" xfId="0" applyNumberFormat="1" applyFont="1" applyProtection="1"/>
    <xf numFmtId="2" fontId="21" fillId="0" borderId="0" xfId="0" applyNumberFormat="1" applyFont="1" applyBorder="1" applyProtection="1"/>
    <xf numFmtId="0" fontId="16" fillId="0" borderId="0" xfId="0" applyFont="1" applyFill="1" applyBorder="1" applyAlignment="1" applyProtection="1">
      <alignment horizontal="left"/>
    </xf>
    <xf numFmtId="1" fontId="22" fillId="3" borderId="6" xfId="0" applyNumberFormat="1" applyFont="1" applyFill="1" applyBorder="1" applyAlignment="1" applyProtection="1">
      <alignment horizontal="center" vertical="center"/>
    </xf>
    <xf numFmtId="1" fontId="24" fillId="6" borderId="6" xfId="0" applyNumberFormat="1" applyFont="1" applyFill="1" applyBorder="1" applyAlignment="1" applyProtection="1">
      <alignment horizontal="center" vertical="center"/>
    </xf>
    <xf numFmtId="1" fontId="24" fillId="7" borderId="6" xfId="0" applyNumberFormat="1" applyFont="1" applyFill="1" applyBorder="1" applyAlignment="1" applyProtection="1">
      <alignment horizontal="center" vertical="center"/>
    </xf>
    <xf numFmtId="164" fontId="19" fillId="3" borderId="6" xfId="2" applyFont="1" applyFill="1" applyBorder="1" applyAlignment="1" applyProtection="1">
      <alignment horizontal="center" vertical="center"/>
    </xf>
    <xf numFmtId="2" fontId="21" fillId="0" borderId="6" xfId="0" applyNumberFormat="1" applyFont="1" applyBorder="1" applyAlignment="1" applyProtection="1">
      <alignment horizontal="center" vertical="center"/>
    </xf>
    <xf numFmtId="0" fontId="30" fillId="6" borderId="0" xfId="0" applyFont="1" applyFill="1" applyBorder="1" applyAlignment="1" applyProtection="1">
      <alignment horizontal="center" wrapText="1"/>
    </xf>
    <xf numFmtId="0" fontId="0" fillId="0" borderId="0" xfId="0" applyAlignment="1" applyProtection="1">
      <alignment wrapText="1"/>
    </xf>
    <xf numFmtId="0" fontId="21" fillId="0" borderId="13" xfId="0" applyFont="1" applyBorder="1" applyProtection="1"/>
    <xf numFmtId="0" fontId="20" fillId="0" borderId="1" xfId="0" applyFont="1" applyBorder="1" applyProtection="1"/>
    <xf numFmtId="0" fontId="21" fillId="0" borderId="1" xfId="0" applyFont="1" applyBorder="1" applyProtection="1"/>
    <xf numFmtId="0" fontId="21" fillId="0" borderId="2" xfId="0" applyFont="1" applyBorder="1" applyProtection="1"/>
    <xf numFmtId="0" fontId="23" fillId="0" borderId="0" xfId="0" applyFont="1" applyBorder="1" applyAlignment="1" applyProtection="1">
      <alignment horizontal="right"/>
    </xf>
    <xf numFmtId="0" fontId="21" fillId="0" borderId="0" xfId="0" applyFont="1" applyBorder="1" applyAlignment="1" applyProtection="1"/>
    <xf numFmtId="0" fontId="27" fillId="0" borderId="0" xfId="0" applyFont="1" applyBorder="1" applyAlignment="1" applyProtection="1"/>
    <xf numFmtId="0" fontId="20" fillId="0" borderId="0" xfId="0" applyFont="1" applyFill="1" applyProtection="1"/>
    <xf numFmtId="0" fontId="15" fillId="3" borderId="0" xfId="0" applyFont="1" applyFill="1" applyBorder="1" applyAlignment="1" applyProtection="1">
      <alignment horizontal="right"/>
    </xf>
    <xf numFmtId="4" fontId="22" fillId="6" borderId="6" xfId="0" applyNumberFormat="1" applyFont="1" applyFill="1" applyBorder="1" applyAlignment="1" applyProtection="1">
      <alignment horizontal="center" vertical="center"/>
    </xf>
    <xf numFmtId="0" fontId="18" fillId="0" borderId="0" xfId="0" applyFont="1" applyBorder="1" applyAlignment="1" applyProtection="1">
      <alignment vertical="center"/>
    </xf>
    <xf numFmtId="0" fontId="16" fillId="6" borderId="0" xfId="0" applyFont="1" applyFill="1" applyBorder="1" applyAlignment="1" applyProtection="1">
      <alignment horizontal="center" vertical="center" wrapText="1"/>
    </xf>
    <xf numFmtId="0" fontId="0" fillId="0" borderId="18" xfId="0" applyBorder="1" applyAlignment="1" applyProtection="1">
      <alignment horizontal="center" vertical="center"/>
    </xf>
    <xf numFmtId="0" fontId="27" fillId="0" borderId="0" xfId="0" applyFont="1" applyBorder="1" applyProtection="1"/>
    <xf numFmtId="0" fontId="18" fillId="0" borderId="0" xfId="0" applyFont="1" applyBorder="1" applyProtection="1"/>
    <xf numFmtId="0" fontId="23" fillId="0" borderId="0" xfId="0" applyFont="1" applyBorder="1" applyProtection="1"/>
    <xf numFmtId="4" fontId="36" fillId="0" borderId="47" xfId="0" applyNumberFormat="1" applyFont="1" applyFill="1" applyBorder="1" applyAlignment="1" applyProtection="1">
      <alignment horizontal="center" vertical="center"/>
      <protection locked="0"/>
    </xf>
    <xf numFmtId="0" fontId="8" fillId="0" borderId="44" xfId="0" applyFont="1" applyFill="1" applyBorder="1" applyAlignment="1" applyProtection="1">
      <alignment horizontal="center" vertical="center"/>
      <protection locked="0"/>
    </xf>
    <xf numFmtId="178" fontId="0" fillId="7" borderId="0" xfId="0" applyNumberFormat="1" applyFill="1" applyProtection="1"/>
    <xf numFmtId="0" fontId="1" fillId="7" borderId="0" xfId="0" applyFont="1" applyFill="1" applyProtection="1"/>
    <xf numFmtId="179" fontId="58" fillId="0" borderId="6" xfId="3" applyNumberFormat="1" applyFont="1" applyFill="1" applyBorder="1" applyAlignment="1" applyProtection="1">
      <alignment horizontal="center" vertical="center"/>
      <protection locked="0"/>
    </xf>
    <xf numFmtId="20" fontId="48" fillId="7" borderId="36" xfId="0" applyNumberFormat="1" applyFont="1" applyFill="1" applyBorder="1" applyAlignment="1" applyProtection="1">
      <alignment horizontal="center" vertical="center"/>
    </xf>
    <xf numFmtId="0" fontId="8" fillId="0" borderId="34" xfId="0" applyFont="1" applyFill="1" applyBorder="1" applyAlignment="1" applyProtection="1">
      <alignment horizontal="center" vertical="center" wrapText="1"/>
      <protection locked="0"/>
    </xf>
    <xf numFmtId="0" fontId="8" fillId="0" borderId="44" xfId="0" applyFont="1" applyFill="1" applyBorder="1" applyAlignment="1" applyProtection="1">
      <alignment horizontal="center" vertical="center" wrapText="1"/>
      <protection locked="0"/>
    </xf>
    <xf numFmtId="0" fontId="18" fillId="0" borderId="15" xfId="0" applyFont="1" applyBorder="1" applyAlignment="1" applyProtection="1"/>
    <xf numFmtId="0" fontId="20" fillId="0" borderId="15" xfId="0" applyFont="1" applyBorder="1" applyAlignment="1" applyProtection="1"/>
    <xf numFmtId="0" fontId="16" fillId="0" borderId="0" xfId="0" applyFont="1" applyBorder="1" applyAlignment="1" applyProtection="1"/>
    <xf numFmtId="0" fontId="12" fillId="0" borderId="0" xfId="0" applyFont="1" applyBorder="1" applyProtection="1"/>
    <xf numFmtId="0" fontId="16" fillId="0" borderId="0" xfId="0" applyFont="1" applyBorder="1" applyAlignment="1" applyProtection="1">
      <alignment horizontal="left"/>
    </xf>
    <xf numFmtId="0" fontId="16" fillId="0" borderId="0" xfId="0" applyFont="1" applyBorder="1" applyProtection="1"/>
    <xf numFmtId="0" fontId="18" fillId="0" borderId="0" xfId="0" applyFont="1" applyBorder="1" applyAlignment="1" applyProtection="1">
      <alignment horizontal="right"/>
    </xf>
    <xf numFmtId="2" fontId="16" fillId="0" borderId="4" xfId="0" applyNumberFormat="1" applyFont="1" applyBorder="1" applyAlignment="1" applyProtection="1">
      <alignment horizontal="center"/>
    </xf>
    <xf numFmtId="0" fontId="18" fillId="0" borderId="0" xfId="0" applyFont="1" applyBorder="1" applyAlignment="1" applyProtection="1"/>
    <xf numFmtId="0" fontId="12" fillId="0" borderId="15" xfId="0" applyFont="1" applyBorder="1" applyProtection="1"/>
    <xf numFmtId="2" fontId="16" fillId="0" borderId="20" xfId="0" applyNumberFormat="1" applyFont="1" applyBorder="1" applyAlignment="1" applyProtection="1">
      <alignment horizontal="center"/>
    </xf>
    <xf numFmtId="0" fontId="8" fillId="0" borderId="34" xfId="0" applyFont="1" applyFill="1" applyBorder="1" applyAlignment="1" applyProtection="1">
      <alignment horizontal="center" vertical="center"/>
      <protection locked="0"/>
    </xf>
    <xf numFmtId="0" fontId="0" fillId="11" borderId="0" xfId="0" applyFill="1" applyProtection="1"/>
    <xf numFmtId="49" fontId="2" fillId="0" borderId="37" xfId="0" applyNumberFormat="1" applyFont="1" applyFill="1" applyBorder="1" applyAlignment="1" applyProtection="1">
      <alignment horizontal="center" vertical="center" textRotation="90" wrapText="1"/>
    </xf>
    <xf numFmtId="49" fontId="34" fillId="0" borderId="37" xfId="0" applyNumberFormat="1" applyFont="1" applyFill="1" applyBorder="1" applyAlignment="1" applyProtection="1">
      <alignment horizontal="center" vertical="center" textRotation="90" wrapText="1"/>
    </xf>
    <xf numFmtId="49" fontId="2" fillId="6" borderId="43" xfId="0" applyNumberFormat="1" applyFont="1" applyFill="1" applyBorder="1" applyAlignment="1" applyProtection="1">
      <alignment horizontal="center" vertical="center" textRotation="90" wrapText="1"/>
    </xf>
    <xf numFmtId="4" fontId="4" fillId="3" borderId="46" xfId="0" applyNumberFormat="1" applyFont="1" applyFill="1" applyBorder="1" applyAlignment="1" applyProtection="1">
      <alignment horizontal="center" vertical="center"/>
    </xf>
    <xf numFmtId="49" fontId="34" fillId="0" borderId="35" xfId="0" applyNumberFormat="1" applyFont="1" applyFill="1" applyBorder="1" applyAlignment="1" applyProtection="1">
      <alignment horizontal="center" vertical="center" textRotation="90" wrapText="1"/>
    </xf>
    <xf numFmtId="4" fontId="4" fillId="3" borderId="45" xfId="0" applyNumberFormat="1" applyFont="1" applyFill="1" applyBorder="1" applyAlignment="1" applyProtection="1">
      <alignment horizontal="center" vertical="center"/>
    </xf>
    <xf numFmtId="0" fontId="0" fillId="0" borderId="0" xfId="0" quotePrefix="1" applyBorder="1" applyProtection="1"/>
    <xf numFmtId="0" fontId="0" fillId="0" borderId="0" xfId="0" quotePrefix="1" applyProtection="1"/>
    <xf numFmtId="0" fontId="0" fillId="0" borderId="0" xfId="0" applyAlignment="1" applyProtection="1"/>
    <xf numFmtId="0" fontId="42" fillId="0" borderId="23" xfId="0" applyFont="1" applyBorder="1" applyAlignment="1" applyProtection="1"/>
    <xf numFmtId="0" fontId="17" fillId="0" borderId="0" xfId="0" applyFont="1" applyBorder="1" applyAlignment="1" applyProtection="1"/>
    <xf numFmtId="0" fontId="29" fillId="0" borderId="0" xfId="0" applyFont="1" applyBorder="1" applyAlignment="1" applyProtection="1"/>
    <xf numFmtId="0" fontId="26" fillId="0" borderId="28" xfId="0" applyFont="1" applyBorder="1" applyAlignment="1" applyProtection="1">
      <alignment horizontal="centerContinuous"/>
    </xf>
    <xf numFmtId="0" fontId="8" fillId="0" borderId="34" xfId="0" applyFont="1" applyFill="1" applyBorder="1" applyAlignment="1" applyProtection="1">
      <alignment horizontal="center" vertical="center"/>
      <protection locked="0"/>
    </xf>
    <xf numFmtId="0" fontId="10" fillId="10" borderId="0" xfId="0" applyFont="1" applyFill="1" applyAlignment="1" applyProtection="1">
      <alignment horizontal="center" vertical="center"/>
    </xf>
    <xf numFmtId="0" fontId="11" fillId="0" borderId="0" xfId="0" applyFont="1" applyAlignment="1" applyProtection="1">
      <alignment horizontal="center" vertical="center"/>
    </xf>
    <xf numFmtId="0" fontId="0" fillId="7" borderId="0" xfId="0" applyFill="1" applyAlignment="1" applyProtection="1">
      <alignment horizontal="right" vertical="center"/>
    </xf>
    <xf numFmtId="2" fontId="57" fillId="7" borderId="0" xfId="0" applyNumberFormat="1" applyFont="1" applyFill="1" applyAlignment="1" applyProtection="1">
      <alignment horizontal="center" vertical="center"/>
    </xf>
    <xf numFmtId="14" fontId="0" fillId="0" borderId="34" xfId="0" applyNumberFormat="1" applyFill="1" applyBorder="1" applyAlignment="1" applyProtection="1">
      <alignment horizontal="center"/>
      <protection locked="0"/>
    </xf>
    <xf numFmtId="0" fontId="0" fillId="0" borderId="34" xfId="0" applyFill="1" applyBorder="1" applyAlignment="1" applyProtection="1">
      <alignment horizontal="center"/>
      <protection locked="0"/>
    </xf>
    <xf numFmtId="0" fontId="1" fillId="7" borderId="0" xfId="0" applyFont="1" applyFill="1" applyAlignment="1" applyProtection="1">
      <alignment horizontal="center" vertical="center" wrapText="1"/>
    </xf>
    <xf numFmtId="0" fontId="1" fillId="7" borderId="0" xfId="0" applyFont="1" applyFill="1" applyAlignment="1" applyProtection="1">
      <alignment horizontal="center" vertical="center"/>
    </xf>
    <xf numFmtId="0" fontId="0" fillId="7" borderId="0" xfId="0" applyFill="1" applyAlignment="1" applyProtection="1">
      <alignment horizontal="center" vertical="center"/>
    </xf>
    <xf numFmtId="0" fontId="0" fillId="7" borderId="0" xfId="0" applyFill="1" applyAlignment="1" applyProtection="1">
      <alignment horizontal="center"/>
    </xf>
    <xf numFmtId="0" fontId="54" fillId="7" borderId="29" xfId="0" applyFont="1" applyFill="1" applyBorder="1" applyAlignment="1" applyProtection="1">
      <alignment horizontal="center"/>
    </xf>
    <xf numFmtId="0" fontId="54" fillId="7" borderId="28" xfId="0" applyFont="1" applyFill="1" applyBorder="1" applyAlignment="1" applyProtection="1">
      <alignment horizontal="center"/>
    </xf>
    <xf numFmtId="0" fontId="54" fillId="7" borderId="24" xfId="0" applyFont="1" applyFill="1" applyBorder="1" applyAlignment="1" applyProtection="1">
      <alignment horizontal="center"/>
    </xf>
    <xf numFmtId="0" fontId="45" fillId="7" borderId="25" xfId="0" applyFont="1" applyFill="1" applyBorder="1" applyAlignment="1" applyProtection="1">
      <alignment horizontal="center" vertical="center"/>
    </xf>
    <xf numFmtId="0" fontId="45" fillId="7" borderId="15" xfId="0" applyFont="1" applyFill="1" applyBorder="1" applyAlignment="1" applyProtection="1">
      <alignment horizontal="center" vertical="center"/>
    </xf>
    <xf numFmtId="0" fontId="45" fillId="7" borderId="20" xfId="0" applyFont="1" applyFill="1" applyBorder="1" applyAlignment="1" applyProtection="1">
      <alignment horizontal="center" vertical="center"/>
    </xf>
    <xf numFmtId="0" fontId="45" fillId="7" borderId="29" xfId="0" applyFont="1" applyFill="1" applyBorder="1" applyAlignment="1" applyProtection="1">
      <alignment horizontal="center" vertical="center"/>
    </xf>
    <xf numFmtId="0" fontId="45" fillId="7" borderId="28" xfId="0" applyFont="1" applyFill="1" applyBorder="1" applyAlignment="1" applyProtection="1">
      <alignment horizontal="center" vertical="center"/>
    </xf>
    <xf numFmtId="0" fontId="45" fillId="7" borderId="24" xfId="0" applyFont="1" applyFill="1" applyBorder="1" applyAlignment="1" applyProtection="1">
      <alignment horizontal="center" vertical="center"/>
    </xf>
    <xf numFmtId="0" fontId="47" fillId="7" borderId="29" xfId="0" applyFont="1" applyFill="1" applyBorder="1" applyAlignment="1" applyProtection="1">
      <alignment horizontal="center"/>
    </xf>
    <xf numFmtId="0" fontId="47" fillId="7" borderId="24" xfId="0" applyFont="1" applyFill="1" applyBorder="1" applyAlignment="1" applyProtection="1">
      <alignment horizontal="center"/>
    </xf>
    <xf numFmtId="20" fontId="49" fillId="7" borderId="34" xfId="0" applyNumberFormat="1" applyFont="1" applyFill="1" applyBorder="1" applyAlignment="1" applyProtection="1">
      <alignment horizontal="center" vertical="center"/>
    </xf>
    <xf numFmtId="0" fontId="49" fillId="7" borderId="34" xfId="0" applyFont="1" applyFill="1" applyBorder="1" applyAlignment="1" applyProtection="1">
      <alignment horizontal="center" vertical="center"/>
    </xf>
    <xf numFmtId="2" fontId="49" fillId="7" borderId="34" xfId="0" applyNumberFormat="1" applyFont="1" applyFill="1" applyBorder="1" applyAlignment="1" applyProtection="1">
      <alignment horizontal="center" vertical="center"/>
    </xf>
    <xf numFmtId="171" fontId="14" fillId="0" borderId="40" xfId="0" applyNumberFormat="1" applyFont="1" applyFill="1" applyBorder="1" applyAlignment="1" applyProtection="1">
      <alignment horizontal="center" vertical="center"/>
    </xf>
    <xf numFmtId="0" fontId="0" fillId="0" borderId="0" xfId="0" applyAlignment="1" applyProtection="1">
      <alignment horizontal="center"/>
    </xf>
    <xf numFmtId="0" fontId="20" fillId="0" borderId="0" xfId="0" applyFont="1" applyBorder="1" applyAlignment="1" applyProtection="1">
      <alignment horizontal="center"/>
    </xf>
    <xf numFmtId="0" fontId="8" fillId="0" borderId="34" xfId="0" applyFont="1" applyFill="1" applyBorder="1" applyAlignment="1" applyProtection="1">
      <alignment horizontal="center" vertical="center"/>
      <protection locked="0"/>
    </xf>
    <xf numFmtId="4" fontId="36" fillId="0" borderId="21" xfId="0" applyNumberFormat="1" applyFont="1" applyBorder="1" applyAlignment="1" applyProtection="1">
      <alignment horizontal="center" vertical="center"/>
    </xf>
    <xf numFmtId="0" fontId="36" fillId="0" borderId="21" xfId="0" applyFont="1" applyBorder="1" applyAlignment="1" applyProtection="1">
      <alignment horizontal="center" vertical="center"/>
    </xf>
    <xf numFmtId="0" fontId="36" fillId="0" borderId="27" xfId="0" applyFont="1" applyBorder="1" applyAlignment="1" applyProtection="1">
      <alignment horizontal="center" vertical="center"/>
    </xf>
    <xf numFmtId="2" fontId="25" fillId="0" borderId="27" xfId="0" applyNumberFormat="1" applyFont="1" applyBorder="1" applyAlignment="1" applyProtection="1">
      <alignment horizontal="center" vertical="center"/>
    </xf>
    <xf numFmtId="2" fontId="25" fillId="0" borderId="4" xfId="0" applyNumberFormat="1" applyFont="1" applyBorder="1" applyAlignment="1" applyProtection="1">
      <alignment horizontal="center" vertical="center"/>
    </xf>
    <xf numFmtId="2" fontId="25" fillId="0" borderId="20" xfId="0" applyNumberFormat="1" applyFont="1" applyBorder="1" applyAlignment="1" applyProtection="1">
      <alignment horizontal="center" vertical="center"/>
    </xf>
    <xf numFmtId="0" fontId="8" fillId="0" borderId="44" xfId="0" applyFont="1" applyFill="1" applyBorder="1" applyAlignment="1" applyProtection="1">
      <alignment horizontal="center" vertical="center"/>
      <protection locked="0"/>
    </xf>
    <xf numFmtId="4" fontId="36" fillId="0" borderId="40" xfId="0" applyNumberFormat="1" applyFont="1" applyFill="1" applyBorder="1" applyAlignment="1" applyProtection="1">
      <alignment horizontal="center" vertical="center"/>
    </xf>
    <xf numFmtId="11" fontId="14" fillId="4" borderId="22" xfId="0" applyNumberFormat="1" applyFont="1" applyFill="1" applyBorder="1" applyAlignment="1" applyProtection="1">
      <alignment horizontal="center" vertical="center" wrapText="1"/>
    </xf>
    <xf numFmtId="11" fontId="14" fillId="4" borderId="27" xfId="0" applyNumberFormat="1" applyFont="1" applyFill="1" applyBorder="1" applyAlignment="1" applyProtection="1">
      <alignment horizontal="center" vertical="center" wrapText="1"/>
    </xf>
    <xf numFmtId="11" fontId="14" fillId="4" borderId="25" xfId="0" applyNumberFormat="1" applyFont="1" applyFill="1" applyBorder="1" applyAlignment="1" applyProtection="1">
      <alignment horizontal="center" vertical="center" wrapText="1"/>
    </xf>
    <xf numFmtId="11" fontId="14" fillId="4" borderId="20" xfId="0" applyNumberFormat="1" applyFont="1" applyFill="1" applyBorder="1" applyAlignment="1" applyProtection="1">
      <alignment horizontal="center" vertical="center" wrapText="1"/>
    </xf>
    <xf numFmtId="171" fontId="14" fillId="0" borderId="42" xfId="0" applyNumberFormat="1" applyFont="1" applyFill="1" applyBorder="1" applyAlignment="1" applyProtection="1">
      <alignment horizontal="center" vertical="center"/>
    </xf>
    <xf numFmtId="167" fontId="53" fillId="0" borderId="23" xfId="0" applyNumberFormat="1" applyFont="1" applyBorder="1" applyAlignment="1" applyProtection="1">
      <alignment horizontal="center" vertical="center"/>
    </xf>
    <xf numFmtId="167" fontId="53" fillId="0" borderId="0" xfId="0" applyNumberFormat="1" applyFont="1" applyBorder="1" applyAlignment="1" applyProtection="1">
      <alignment horizontal="center" vertical="center"/>
    </xf>
    <xf numFmtId="11" fontId="14" fillId="4" borderId="22" xfId="0" applyNumberFormat="1" applyFont="1" applyFill="1" applyBorder="1" applyAlignment="1" applyProtection="1">
      <alignment horizontal="center" vertical="center" textRotation="90" wrapText="1"/>
    </xf>
    <xf numFmtId="11" fontId="14" fillId="4" borderId="23" xfId="0" applyNumberFormat="1" applyFont="1" applyFill="1" applyBorder="1" applyAlignment="1" applyProtection="1">
      <alignment horizontal="center" vertical="center" textRotation="90" wrapText="1"/>
    </xf>
    <xf numFmtId="0" fontId="33" fillId="0" borderId="23" xfId="0" applyFont="1" applyBorder="1" applyAlignment="1" applyProtection="1">
      <alignment horizontal="center" vertical="center" wrapText="1"/>
    </xf>
    <xf numFmtId="0" fontId="33" fillId="0" borderId="4" xfId="0" applyFont="1" applyBorder="1" applyAlignment="1" applyProtection="1">
      <alignment horizontal="center" vertical="center" wrapText="1"/>
    </xf>
    <xf numFmtId="0" fontId="18" fillId="0" borderId="25" xfId="0" applyFont="1" applyBorder="1" applyAlignment="1" applyProtection="1">
      <alignment horizontal="center"/>
    </xf>
    <xf numFmtId="0" fontId="18" fillId="0" borderId="15" xfId="0" applyFont="1" applyBorder="1" applyAlignment="1" applyProtection="1">
      <alignment horizontal="center"/>
    </xf>
    <xf numFmtId="0" fontId="32" fillId="5" borderId="22" xfId="0" applyFont="1" applyFill="1" applyBorder="1" applyAlignment="1" applyProtection="1">
      <alignment horizontal="center" vertical="center" wrapText="1"/>
    </xf>
    <xf numFmtId="0" fontId="32" fillId="5" borderId="21" xfId="0" applyFont="1" applyFill="1" applyBorder="1" applyAlignment="1" applyProtection="1">
      <alignment horizontal="center" vertical="center" wrapText="1"/>
    </xf>
    <xf numFmtId="0" fontId="32" fillId="5" borderId="27" xfId="0" applyFont="1" applyFill="1" applyBorder="1" applyAlignment="1" applyProtection="1">
      <alignment horizontal="center" vertical="center" wrapText="1"/>
    </xf>
    <xf numFmtId="0" fontId="12" fillId="5" borderId="22" xfId="0" applyFont="1" applyFill="1" applyBorder="1" applyAlignment="1" applyProtection="1">
      <alignment horizontal="center" vertical="center" wrapText="1"/>
    </xf>
    <xf numFmtId="0" fontId="31" fillId="5" borderId="27" xfId="0" applyFont="1" applyFill="1" applyBorder="1" applyAlignment="1" applyProtection="1">
      <alignment horizontal="center" vertical="center" wrapText="1"/>
    </xf>
    <xf numFmtId="0" fontId="17" fillId="4" borderId="29" xfId="0" applyFont="1" applyFill="1" applyBorder="1" applyAlignment="1" applyProtection="1">
      <alignment horizontal="center" vertical="center" wrapText="1"/>
    </xf>
    <xf numFmtId="0" fontId="17" fillId="4" borderId="28" xfId="0" applyFont="1" applyFill="1" applyBorder="1" applyAlignment="1" applyProtection="1">
      <alignment horizontal="center" vertical="center" wrapText="1"/>
    </xf>
    <xf numFmtId="0" fontId="17" fillId="4" borderId="24" xfId="0" applyFont="1" applyFill="1" applyBorder="1" applyAlignment="1" applyProtection="1">
      <alignment horizontal="center" vertical="center" wrapText="1"/>
    </xf>
    <xf numFmtId="0" fontId="36" fillId="0" borderId="22" xfId="0" applyFont="1" applyBorder="1" applyAlignment="1" applyProtection="1">
      <alignment horizontal="center" vertical="center" wrapText="1"/>
    </xf>
    <xf numFmtId="0" fontId="36" fillId="0" borderId="27" xfId="0" applyFont="1" applyBorder="1" applyAlignment="1" applyProtection="1">
      <alignment horizontal="center" vertical="center" wrapText="1"/>
    </xf>
    <xf numFmtId="0" fontId="36" fillId="0" borderId="23" xfId="0" applyFont="1" applyBorder="1" applyAlignment="1" applyProtection="1">
      <alignment horizontal="center" vertical="center" wrapText="1"/>
    </xf>
    <xf numFmtId="0" fontId="36" fillId="0" borderId="4" xfId="0" applyFont="1" applyBorder="1" applyAlignment="1" applyProtection="1">
      <alignment horizontal="center" vertical="center" wrapText="1"/>
    </xf>
    <xf numFmtId="4" fontId="11" fillId="0" borderId="0" xfId="0" applyNumberFormat="1" applyFont="1" applyFill="1" applyBorder="1" applyAlignment="1" applyProtection="1">
      <alignment horizontal="center"/>
    </xf>
    <xf numFmtId="4" fontId="12" fillId="0" borderId="0" xfId="0" applyNumberFormat="1" applyFont="1" applyFill="1" applyBorder="1" applyAlignment="1" applyProtection="1">
      <alignment horizontal="center"/>
    </xf>
    <xf numFmtId="4" fontId="0" fillId="0" borderId="0" xfId="0" applyNumberFormat="1" applyFill="1" applyBorder="1" applyAlignment="1" applyProtection="1">
      <alignment horizontal="center"/>
    </xf>
    <xf numFmtId="0" fontId="0" fillId="0" borderId="17" xfId="0" applyBorder="1" applyAlignment="1" applyProtection="1">
      <alignment horizontal="center" vertical="center" wrapText="1"/>
    </xf>
    <xf numFmtId="0" fontId="0" fillId="0" borderId="8" xfId="0" applyBorder="1" applyAlignment="1" applyProtection="1">
      <alignment horizontal="center" vertical="center" wrapText="1"/>
    </xf>
    <xf numFmtId="0" fontId="21" fillId="0" borderId="17" xfId="0" applyFont="1" applyBorder="1" applyAlignment="1" applyProtection="1">
      <alignment horizontal="center" vertical="center" wrapText="1"/>
    </xf>
    <xf numFmtId="0" fontId="21" fillId="0" borderId="8" xfId="0" applyFont="1" applyBorder="1" applyAlignment="1" applyProtection="1">
      <alignment horizontal="center" vertical="center" wrapText="1"/>
    </xf>
    <xf numFmtId="0" fontId="16" fillId="6" borderId="12" xfId="0" applyFont="1" applyFill="1" applyBorder="1" applyAlignment="1" applyProtection="1">
      <alignment horizontal="center" vertical="center" wrapText="1"/>
    </xf>
    <xf numFmtId="0" fontId="16" fillId="6" borderId="0" xfId="0" applyFont="1" applyFill="1" applyBorder="1" applyAlignment="1" applyProtection="1">
      <alignment horizontal="center" vertical="center" wrapText="1"/>
    </xf>
    <xf numFmtId="0" fontId="15" fillId="2" borderId="14" xfId="0" applyFont="1" applyFill="1" applyBorder="1" applyAlignment="1" applyProtection="1">
      <alignment horizontal="center" vertical="center" wrapText="1"/>
    </xf>
    <xf numFmtId="0" fontId="15" fillId="2" borderId="16" xfId="0" applyFont="1" applyFill="1" applyBorder="1" applyAlignment="1" applyProtection="1">
      <alignment horizontal="center" vertical="center" wrapText="1"/>
    </xf>
    <xf numFmtId="0" fontId="15" fillId="2" borderId="11" xfId="0" applyFont="1" applyFill="1" applyBorder="1" applyAlignment="1" applyProtection="1">
      <alignment horizontal="center" vertical="center" wrapText="1"/>
    </xf>
    <xf numFmtId="0" fontId="15" fillId="2" borderId="13"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2" fontId="21" fillId="0" borderId="6" xfId="0" applyNumberFormat="1" applyFont="1" applyBorder="1" applyAlignment="1" applyProtection="1">
      <alignment horizontal="center"/>
    </xf>
    <xf numFmtId="0" fontId="27" fillId="0" borderId="0" xfId="0" applyFont="1" applyBorder="1" applyAlignment="1" applyProtection="1">
      <alignment horizontal="center"/>
    </xf>
    <xf numFmtId="0" fontId="16" fillId="0" borderId="0" xfId="0" applyFont="1" applyBorder="1" applyAlignment="1" applyProtection="1">
      <alignment horizontal="center" vertical="center"/>
    </xf>
    <xf numFmtId="0" fontId="16" fillId="0" borderId="3" xfId="0" applyFont="1" applyBorder="1" applyAlignment="1" applyProtection="1">
      <alignment horizontal="center" vertical="center"/>
    </xf>
    <xf numFmtId="166" fontId="24" fillId="6" borderId="6" xfId="0" applyNumberFormat="1" applyFont="1" applyFill="1" applyBorder="1" applyAlignment="1" applyProtection="1">
      <alignment horizontal="center" vertical="center"/>
    </xf>
    <xf numFmtId="1" fontId="24" fillId="6" borderId="6" xfId="0" applyNumberFormat="1" applyFont="1" applyFill="1" applyBorder="1" applyAlignment="1" applyProtection="1">
      <alignment horizontal="center" vertical="center"/>
    </xf>
    <xf numFmtId="0" fontId="30" fillId="6" borderId="12" xfId="0" applyFont="1" applyFill="1" applyBorder="1" applyAlignment="1" applyProtection="1">
      <alignment horizontal="center" wrapText="1"/>
    </xf>
    <xf numFmtId="0" fontId="30" fillId="6" borderId="0" xfId="0" applyFont="1" applyFill="1" applyBorder="1" applyAlignment="1" applyProtection="1">
      <alignment horizontal="center" wrapText="1"/>
    </xf>
    <xf numFmtId="0" fontId="0" fillId="0" borderId="12" xfId="0" applyBorder="1" applyAlignment="1" applyProtection="1">
      <alignment wrapText="1"/>
    </xf>
    <xf numFmtId="0" fontId="0" fillId="0" borderId="0" xfId="0" applyAlignment="1" applyProtection="1">
      <alignment wrapText="1"/>
    </xf>
    <xf numFmtId="0" fontId="12" fillId="0" borderId="0" xfId="0" applyFont="1" applyBorder="1" applyAlignment="1" applyProtection="1">
      <alignment horizontal="right"/>
    </xf>
    <xf numFmtId="0" fontId="16" fillId="0" borderId="0" xfId="0" applyFont="1" applyBorder="1" applyAlignment="1" applyProtection="1">
      <alignment horizontal="center" wrapText="1"/>
    </xf>
    <xf numFmtId="0" fontId="22" fillId="0" borderId="0" xfId="0" applyFont="1" applyBorder="1" applyAlignment="1" applyProtection="1">
      <alignment horizontal="center"/>
    </xf>
    <xf numFmtId="0" fontId="30" fillId="0" borderId="0" xfId="0" applyFont="1" applyAlignment="1" applyProtection="1">
      <alignment horizontal="right"/>
    </xf>
    <xf numFmtId="0" fontId="52" fillId="0" borderId="0" xfId="0" applyFont="1" applyBorder="1" applyAlignment="1" applyProtection="1">
      <alignment horizontal="center"/>
    </xf>
    <xf numFmtId="166" fontId="16" fillId="6" borderId="6" xfId="0" applyNumberFormat="1" applyFont="1" applyFill="1" applyBorder="1" applyAlignment="1" applyProtection="1">
      <alignment horizontal="center" vertical="center"/>
    </xf>
    <xf numFmtId="2" fontId="16" fillId="6" borderId="6" xfId="0" applyNumberFormat="1" applyFont="1" applyFill="1" applyBorder="1" applyAlignment="1" applyProtection="1">
      <alignment horizontal="center" vertical="center"/>
    </xf>
    <xf numFmtId="0" fontId="16" fillId="2" borderId="13" xfId="0" applyFont="1" applyFill="1" applyBorder="1" applyAlignment="1" applyProtection="1">
      <alignment horizontal="center" vertical="center"/>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5" fillId="0" borderId="30" xfId="0" applyFont="1" applyBorder="1" applyAlignment="1" applyProtection="1">
      <alignment horizontal="center"/>
    </xf>
    <xf numFmtId="0" fontId="15" fillId="0" borderId="32" xfId="0" applyFont="1" applyBorder="1" applyAlignment="1" applyProtection="1">
      <alignment horizontal="center"/>
    </xf>
    <xf numFmtId="2" fontId="18" fillId="6" borderId="6" xfId="0" applyNumberFormat="1" applyFont="1" applyFill="1" applyBorder="1" applyAlignment="1" applyProtection="1">
      <alignment horizontal="center" vertical="center"/>
    </xf>
    <xf numFmtId="0" fontId="16" fillId="2" borderId="14" xfId="0" applyFont="1" applyFill="1" applyBorder="1" applyAlignment="1" applyProtection="1">
      <alignment horizontal="center" vertical="center"/>
    </xf>
    <xf numFmtId="0" fontId="16" fillId="2" borderId="16" xfId="0" applyFont="1" applyFill="1" applyBorder="1" applyAlignment="1" applyProtection="1">
      <alignment horizontal="center" vertical="center"/>
    </xf>
    <xf numFmtId="0" fontId="16" fillId="2" borderId="11" xfId="0" applyFont="1" applyFill="1" applyBorder="1" applyAlignment="1" applyProtection="1">
      <alignment horizontal="center" vertical="center"/>
    </xf>
    <xf numFmtId="0" fontId="28" fillId="3" borderId="0" xfId="0" applyFont="1" applyFill="1" applyBorder="1" applyAlignment="1" applyProtection="1">
      <alignment horizontal="left" vertical="center" wrapText="1"/>
    </xf>
    <xf numFmtId="0" fontId="27" fillId="0" borderId="0" xfId="0" applyFont="1" applyAlignment="1" applyProtection="1">
      <alignment horizontal="center"/>
    </xf>
    <xf numFmtId="0" fontId="25" fillId="0" borderId="3" xfId="0" applyFont="1" applyBorder="1" applyAlignment="1" applyProtection="1">
      <alignment horizontal="center" vertical="center"/>
    </xf>
    <xf numFmtId="165" fontId="15" fillId="6" borderId="12" xfId="0" applyNumberFormat="1" applyFont="1" applyFill="1" applyBorder="1" applyAlignment="1" applyProtection="1">
      <alignment horizontal="center"/>
    </xf>
    <xf numFmtId="165" fontId="15" fillId="6" borderId="0" xfId="0" applyNumberFormat="1" applyFont="1" applyFill="1" applyBorder="1" applyAlignment="1" applyProtection="1">
      <alignment horizontal="center"/>
    </xf>
    <xf numFmtId="165" fontId="15" fillId="6" borderId="4" xfId="0" applyNumberFormat="1" applyFont="1" applyFill="1" applyBorder="1" applyAlignment="1" applyProtection="1">
      <alignment horizontal="center"/>
    </xf>
    <xf numFmtId="0" fontId="12" fillId="0" borderId="3" xfId="0" applyFont="1" applyBorder="1" applyAlignment="1" applyProtection="1">
      <alignment horizontal="center" vertical="center"/>
    </xf>
    <xf numFmtId="0" fontId="15" fillId="0" borderId="29" xfId="0" applyFont="1" applyBorder="1" applyAlignment="1" applyProtection="1">
      <alignment horizontal="center"/>
    </xf>
    <xf numFmtId="0" fontId="15" fillId="0" borderId="28" xfId="0" applyFont="1" applyBorder="1" applyAlignment="1" applyProtection="1">
      <alignment horizontal="center"/>
    </xf>
    <xf numFmtId="0" fontId="15" fillId="0" borderId="48" xfId="0" applyFont="1" applyBorder="1" applyAlignment="1" applyProtection="1">
      <alignment horizontal="center"/>
    </xf>
    <xf numFmtId="0" fontId="29" fillId="5" borderId="49" xfId="0" applyFont="1" applyFill="1" applyBorder="1" applyAlignment="1" applyProtection="1">
      <alignment horizontal="center" wrapText="1"/>
    </xf>
    <xf numFmtId="0" fontId="29" fillId="5" borderId="28" xfId="0" applyFont="1" applyFill="1" applyBorder="1" applyAlignment="1" applyProtection="1">
      <alignment horizontal="center" wrapText="1"/>
    </xf>
    <xf numFmtId="0" fontId="26" fillId="0" borderId="28" xfId="0" applyFont="1" applyBorder="1" applyAlignment="1" applyProtection="1">
      <alignment horizontal="center"/>
    </xf>
    <xf numFmtId="0" fontId="26" fillId="0" borderId="24" xfId="0" applyFont="1" applyBorder="1" applyAlignment="1" applyProtection="1">
      <alignment horizontal="center"/>
    </xf>
    <xf numFmtId="0" fontId="40" fillId="0" borderId="0" xfId="0" applyFont="1" applyBorder="1" applyAlignment="1" applyProtection="1">
      <alignment horizontal="center"/>
    </xf>
    <xf numFmtId="0" fontId="15" fillId="5" borderId="25" xfId="0" applyFont="1" applyFill="1" applyBorder="1" applyAlignment="1" applyProtection="1">
      <alignment horizontal="center" vertical="center"/>
    </xf>
    <xf numFmtId="0" fontId="15" fillId="5" borderId="15" xfId="0" applyFont="1" applyFill="1" applyBorder="1" applyAlignment="1" applyProtection="1">
      <alignment horizontal="center" vertical="center"/>
    </xf>
    <xf numFmtId="0" fontId="15" fillId="5" borderId="20" xfId="0" applyFont="1" applyFill="1" applyBorder="1" applyAlignment="1" applyProtection="1">
      <alignment horizontal="center" vertical="center"/>
    </xf>
    <xf numFmtId="4" fontId="4" fillId="2" borderId="31" xfId="0" applyNumberFormat="1" applyFont="1" applyFill="1" applyBorder="1" applyAlignment="1" applyProtection="1">
      <alignment horizontal="center"/>
    </xf>
    <xf numFmtId="4" fontId="4" fillId="2" borderId="4" xfId="0" applyNumberFormat="1" applyFont="1" applyFill="1" applyBorder="1" applyAlignment="1" applyProtection="1">
      <alignment horizontal="center"/>
    </xf>
    <xf numFmtId="4" fontId="4" fillId="2" borderId="32" xfId="0" applyNumberFormat="1" applyFont="1" applyFill="1" applyBorder="1" applyAlignment="1" applyProtection="1">
      <alignment horizontal="center"/>
    </xf>
    <xf numFmtId="0" fontId="15" fillId="5" borderId="29" xfId="0" applyFont="1" applyFill="1" applyBorder="1" applyAlignment="1" applyProtection="1">
      <alignment horizontal="center" vertical="center"/>
    </xf>
    <xf numFmtId="0" fontId="15" fillId="5" borderId="28" xfId="0" applyFont="1" applyFill="1" applyBorder="1" applyAlignment="1" applyProtection="1">
      <alignment horizontal="center" vertical="center"/>
    </xf>
    <xf numFmtId="0" fontId="15" fillId="5" borderId="24" xfId="0" applyFont="1" applyFill="1" applyBorder="1" applyAlignment="1" applyProtection="1">
      <alignment horizontal="center" vertical="center"/>
    </xf>
    <xf numFmtId="0" fontId="35" fillId="0" borderId="23" xfId="0" applyFont="1" applyBorder="1" applyAlignment="1" applyProtection="1">
      <alignment horizontal="center"/>
    </xf>
    <xf numFmtId="0" fontId="35" fillId="0" borderId="0" xfId="0" applyFont="1" applyBorder="1" applyAlignment="1" applyProtection="1">
      <alignment horizontal="center"/>
    </xf>
    <xf numFmtId="0" fontId="18" fillId="0" borderId="0" xfId="0" applyFont="1" applyBorder="1" applyAlignment="1" applyProtection="1">
      <alignment horizontal="right"/>
    </xf>
    <xf numFmtId="11" fontId="14" fillId="4" borderId="30" xfId="0" applyNumberFormat="1" applyFont="1" applyFill="1" applyBorder="1" applyAlignment="1" applyProtection="1">
      <alignment horizontal="center" vertical="center" wrapText="1"/>
    </xf>
    <xf numFmtId="11" fontId="14" fillId="4" borderId="32" xfId="0" applyNumberFormat="1" applyFont="1" applyFill="1" applyBorder="1" applyAlignment="1" applyProtection="1">
      <alignment horizontal="center" vertical="center" wrapText="1"/>
    </xf>
    <xf numFmtId="4" fontId="36" fillId="0" borderId="25" xfId="0" applyNumberFormat="1" applyFont="1" applyFill="1" applyBorder="1" applyAlignment="1" applyProtection="1">
      <alignment horizontal="center" vertical="center"/>
    </xf>
    <xf numFmtId="4" fontId="36" fillId="0" borderId="20" xfId="0" applyNumberFormat="1" applyFont="1" applyFill="1" applyBorder="1" applyAlignment="1" applyProtection="1">
      <alignment horizontal="center" vertical="center"/>
    </xf>
    <xf numFmtId="16" fontId="7" fillId="0" borderId="15" xfId="0" applyNumberFormat="1" applyFont="1" applyBorder="1" applyAlignment="1" applyProtection="1">
      <alignment horizontal="center" vertical="top"/>
    </xf>
    <xf numFmtId="4" fontId="41" fillId="9" borderId="0" xfId="0" applyNumberFormat="1" applyFont="1" applyFill="1" applyAlignment="1" applyProtection="1">
      <alignment horizontal="center" vertical="center" wrapText="1"/>
    </xf>
    <xf numFmtId="0" fontId="25" fillId="3" borderId="0" xfId="0" applyFont="1" applyFill="1" applyBorder="1" applyAlignment="1" applyProtection="1">
      <alignment horizontal="center" vertical="center" wrapText="1"/>
    </xf>
    <xf numFmtId="0" fontId="25" fillId="3" borderId="3" xfId="0" applyFont="1" applyFill="1" applyBorder="1" applyAlignment="1" applyProtection="1">
      <alignment horizontal="center" vertical="center" wrapText="1"/>
    </xf>
    <xf numFmtId="0" fontId="16" fillId="0" borderId="0" xfId="0" applyFont="1" applyBorder="1" applyAlignment="1" applyProtection="1">
      <alignment horizontal="center" vertical="center" wrapText="1"/>
    </xf>
    <xf numFmtId="2" fontId="21" fillId="0" borderId="6" xfId="0" applyNumberFormat="1" applyFont="1" applyBorder="1" applyAlignment="1" applyProtection="1">
      <alignment horizontal="center" vertical="center"/>
    </xf>
    <xf numFmtId="2" fontId="4" fillId="6" borderId="6" xfId="0" applyNumberFormat="1" applyFont="1" applyFill="1" applyBorder="1" applyAlignment="1" applyProtection="1">
      <alignment horizontal="center" vertical="center"/>
    </xf>
    <xf numFmtId="0" fontId="23" fillId="0" borderId="7" xfId="0" applyFont="1" applyFill="1" applyBorder="1" applyAlignment="1" applyProtection="1">
      <alignment horizontal="center" vertical="center" wrapText="1"/>
    </xf>
    <xf numFmtId="0" fontId="23" fillId="0" borderId="5" xfId="0" applyFont="1" applyFill="1" applyBorder="1" applyAlignment="1" applyProtection="1">
      <alignment horizontal="center" vertical="center" wrapText="1"/>
    </xf>
    <xf numFmtId="0" fontId="15" fillId="0" borderId="17" xfId="0" applyFont="1" applyBorder="1" applyAlignment="1" applyProtection="1">
      <alignment horizontal="center" vertical="center"/>
    </xf>
    <xf numFmtId="0" fontId="15" fillId="0" borderId="10" xfId="0" applyFont="1" applyBorder="1" applyAlignment="1" applyProtection="1">
      <alignment horizontal="center" vertical="center"/>
    </xf>
    <xf numFmtId="0" fontId="15" fillId="0" borderId="8" xfId="0" applyFont="1" applyBorder="1" applyAlignment="1" applyProtection="1">
      <alignment horizontal="center" vertical="center"/>
    </xf>
    <xf numFmtId="0" fontId="16" fillId="5" borderId="29" xfId="0" applyFont="1" applyFill="1" applyBorder="1" applyAlignment="1" applyProtection="1">
      <alignment horizontal="center" vertical="center"/>
    </xf>
    <xf numFmtId="0" fontId="16" fillId="5" borderId="24" xfId="0" applyFont="1" applyFill="1" applyBorder="1" applyAlignment="1" applyProtection="1">
      <alignment horizontal="center" vertical="center"/>
    </xf>
    <xf numFmtId="4" fontId="10" fillId="0" borderId="0" xfId="0" applyNumberFormat="1" applyFont="1" applyBorder="1" applyAlignment="1" applyProtection="1">
      <alignment horizontal="center" vertical="center"/>
    </xf>
    <xf numFmtId="0" fontId="16" fillId="0" borderId="12" xfId="0" applyFont="1" applyBorder="1" applyAlignment="1" applyProtection="1">
      <alignment horizontal="center"/>
    </xf>
    <xf numFmtId="0" fontId="16" fillId="0" borderId="0" xfId="0" applyFont="1" applyBorder="1" applyAlignment="1" applyProtection="1">
      <alignment horizontal="center"/>
    </xf>
    <xf numFmtId="0" fontId="16" fillId="0" borderId="4" xfId="0" applyFont="1" applyBorder="1" applyAlignment="1" applyProtection="1">
      <alignment horizontal="center"/>
    </xf>
    <xf numFmtId="0" fontId="9" fillId="9" borderId="0" xfId="0" applyFont="1" applyFill="1" applyAlignment="1" applyProtection="1">
      <alignment horizontal="center" vertical="center" wrapText="1"/>
    </xf>
    <xf numFmtId="4" fontId="10" fillId="9" borderId="0" xfId="0" applyNumberFormat="1" applyFont="1" applyFill="1" applyAlignment="1" applyProtection="1">
      <alignment horizontal="center" vertical="center"/>
    </xf>
  </cellXfs>
  <cellStyles count="6">
    <cellStyle name="Euro" xfId="1"/>
    <cellStyle name="Milliers" xfId="2" builtinId="3"/>
    <cellStyle name="Normal" xfId="0" builtinId="0"/>
    <cellStyle name="Normal 2" xfId="4"/>
    <cellStyle name="Normal_calendrier_auto_CalendrierMatriciel" xfId="5"/>
    <cellStyle name="Normal_URSSAF" xfId="3"/>
  </cellStyles>
  <dxfs count="33">
    <dxf>
      <fill>
        <patternFill>
          <bgColor rgb="FFFFC000"/>
        </patternFill>
      </fill>
    </dxf>
    <dxf>
      <fill>
        <patternFill>
          <bgColor theme="0" tint="-0.2499465926084170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b/>
        <i val="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C000"/>
        </patternFill>
      </fill>
    </dxf>
    <dxf>
      <fill>
        <patternFill>
          <bgColor theme="0" tint="-0.24994659260841701"/>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C000"/>
        </patternFill>
      </fill>
    </dxf>
    <dxf>
      <fill>
        <patternFill>
          <bgColor theme="0" tint="-0.24994659260841701"/>
        </patternFill>
      </fill>
    </dxf>
    <dxf>
      <fill>
        <patternFill>
          <bgColor rgb="FFFFC000"/>
        </patternFill>
      </fill>
    </dxf>
    <dxf>
      <fill>
        <patternFill>
          <bgColor theme="0" tint="-0.24994659260841701"/>
        </patternFill>
      </fill>
    </dxf>
    <dxf>
      <font>
        <color theme="0"/>
      </font>
      <fill>
        <patternFill>
          <bgColor theme="0"/>
        </patternFill>
      </fill>
    </dxf>
    <dxf>
      <fill>
        <patternFill>
          <bgColor theme="0" tint="-0.24994659260841701"/>
        </patternFill>
      </fill>
    </dxf>
    <dxf>
      <fill>
        <patternFill>
          <bgColor rgb="FFFFC000"/>
        </patternFill>
      </fill>
    </dxf>
    <dxf>
      <font>
        <color rgb="FF9C6500"/>
      </font>
      <fill>
        <patternFill>
          <bgColor rgb="FFFFEB9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66"/>
      <color rgb="FF66FF66"/>
      <color rgb="FFFFFF99"/>
      <color rgb="FFFFCC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0</xdr:col>
      <xdr:colOff>76200</xdr:colOff>
      <xdr:row>1</xdr:row>
      <xdr:rowOff>19050</xdr:rowOff>
    </xdr:from>
    <xdr:ext cx="2343150" cy="609600"/>
    <xdr:sp macro="" textlink="">
      <xdr:nvSpPr>
        <xdr:cNvPr id="2" name="Rectangle à coins arrondis 1"/>
        <xdr:cNvSpPr/>
      </xdr:nvSpPr>
      <xdr:spPr bwMode="auto">
        <a:xfrm>
          <a:off x="76200" y="19050"/>
          <a:ext cx="2343150" cy="609600"/>
        </a:xfrm>
        <a:prstGeom prst="wedgeRoundRectCallout">
          <a:avLst>
            <a:gd name="adj1" fmla="val -33572"/>
            <a:gd name="adj2" fmla="val 93378"/>
            <a:gd name="adj3" fmla="val 16667"/>
          </a:avLst>
        </a:prstGeom>
        <a:solidFill>
          <a:srgbClr val="FFFFFF"/>
        </a:solidFill>
        <a:ln w="9525" cap="flat" cmpd="sng" algn="ct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t" upright="1">
          <a:noAutofit/>
        </a:bodyPr>
        <a:lstStyle/>
        <a:p>
          <a:pPr algn="l"/>
          <a:r>
            <a:rPr lang="fr-FR" sz="1000"/>
            <a:t>Ici renseigné les quatre</a:t>
          </a:r>
          <a:r>
            <a:rPr lang="fr-FR" sz="1000" baseline="0"/>
            <a:t> premiers caractères de votre Mot de Passe. en respectant Majuscule et minuscule.</a:t>
          </a:r>
          <a:endParaRPr lang="fr-FR" sz="1000"/>
        </a:p>
      </xdr:txBody>
    </xdr:sp>
    <xdr:clientData/>
  </xdr:oneCellAnchor>
  <xdr:oneCellAnchor>
    <xdr:from>
      <xdr:col>0</xdr:col>
      <xdr:colOff>742950</xdr:colOff>
      <xdr:row>9</xdr:row>
      <xdr:rowOff>66675</xdr:rowOff>
    </xdr:from>
    <xdr:ext cx="1133476" cy="173169"/>
    <xdr:sp macro="" textlink="">
      <xdr:nvSpPr>
        <xdr:cNvPr id="3" name="Rectangle à coins arrondis 2"/>
        <xdr:cNvSpPr/>
      </xdr:nvSpPr>
      <xdr:spPr bwMode="auto">
        <a:xfrm>
          <a:off x="742950" y="1790700"/>
          <a:ext cx="1133476" cy="173169"/>
        </a:xfrm>
        <a:prstGeom prst="wedgeRoundRectCallout">
          <a:avLst>
            <a:gd name="adj1" fmla="val -47723"/>
            <a:gd name="adj2" fmla="val 131255"/>
            <a:gd name="adj3" fmla="val 16667"/>
          </a:avLst>
        </a:prstGeom>
        <a:solidFill>
          <a:srgbClr val="FFFFFF"/>
        </a:solidFill>
        <a:ln w="9525" cap="flat" cmpd="sng" algn="ct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t" upright="1">
          <a:spAutoFit/>
        </a:bodyPr>
        <a:lstStyle/>
        <a:p>
          <a:pPr algn="l"/>
          <a:r>
            <a:rPr lang="fr-FR" sz="1000"/>
            <a:t>Ici renseigné l'année</a:t>
          </a:r>
        </a:p>
      </xdr:txBody>
    </xdr:sp>
    <xdr:clientData/>
  </xdr:oneCellAnchor>
  <xdr:oneCellAnchor>
    <xdr:from>
      <xdr:col>2</xdr:col>
      <xdr:colOff>285750</xdr:colOff>
      <xdr:row>21</xdr:row>
      <xdr:rowOff>47625</xdr:rowOff>
    </xdr:from>
    <xdr:ext cx="1133476" cy="692672"/>
    <xdr:sp macro="" textlink="">
      <xdr:nvSpPr>
        <xdr:cNvPr id="4" name="Rectangle à coins arrondis 3"/>
        <xdr:cNvSpPr/>
      </xdr:nvSpPr>
      <xdr:spPr bwMode="auto">
        <a:xfrm>
          <a:off x="2076450" y="3905250"/>
          <a:ext cx="1133476" cy="692672"/>
        </a:xfrm>
        <a:prstGeom prst="wedgeRoundRectCallout">
          <a:avLst>
            <a:gd name="adj1" fmla="val 20344"/>
            <a:gd name="adj2" fmla="val -79137"/>
            <a:gd name="adj3" fmla="val 16667"/>
          </a:avLst>
        </a:prstGeom>
        <a:solidFill>
          <a:srgbClr val="FFFFFF"/>
        </a:solidFill>
        <a:ln w="9525" cap="flat" cmpd="sng" algn="ct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t" upright="1">
          <a:spAutoFit/>
        </a:bodyPr>
        <a:lstStyle/>
        <a:p>
          <a:pPr algn="l"/>
          <a:r>
            <a:rPr lang="fr-FR" sz="1000"/>
            <a:t>Ici renseigné les prénoms et dates de naissance de vos enfants.</a:t>
          </a:r>
        </a:p>
      </xdr:txBody>
    </xdr:sp>
    <xdr:clientData/>
  </xdr:oneCellAnchor>
  <xdr:twoCellAnchor>
    <xdr:from>
      <xdr:col>10</xdr:col>
      <xdr:colOff>219075</xdr:colOff>
      <xdr:row>12</xdr:row>
      <xdr:rowOff>0</xdr:rowOff>
    </xdr:from>
    <xdr:to>
      <xdr:col>25</xdr:col>
      <xdr:colOff>257175</xdr:colOff>
      <xdr:row>22</xdr:row>
      <xdr:rowOff>19050</xdr:rowOff>
    </xdr:to>
    <xdr:sp macro="" textlink="">
      <xdr:nvSpPr>
        <xdr:cNvPr id="5" name="Rectangle à coins arrondis 4"/>
        <xdr:cNvSpPr/>
      </xdr:nvSpPr>
      <xdr:spPr bwMode="auto">
        <a:xfrm>
          <a:off x="5143500" y="2286000"/>
          <a:ext cx="4752975" cy="1752600"/>
        </a:xfrm>
        <a:prstGeom prst="roundRect">
          <a:avLst/>
        </a:prstGeom>
        <a:solidFill>
          <a:schemeClr val="bg1">
            <a:lumMod val="75000"/>
          </a:schemeClr>
        </a:solidFill>
        <a:ln w="9525" cap="flat" cmpd="sng" algn="ctr">
          <a:solidFill>
            <a:srgbClr val="000000"/>
          </a:solidFill>
          <a:prstDash val="solid"/>
          <a:round/>
          <a:headEnd type="none" w="med" len="med"/>
          <a:tailEnd type="none" w="med" len="med"/>
        </a:ln>
        <a:effectLst>
          <a:outerShdw blurRad="76200" dist="50800" dir="4800000" sx="101000" sy="101000" algn="l" rotWithShape="0">
            <a:prstClr val="black">
              <a:alpha val="40000"/>
            </a:prstClr>
          </a:outerShdw>
        </a:effectLst>
      </xdr:spPr>
      <xdr:txBody>
        <a:bodyPr vertOverflow="clip" horzOverflow="clip" wrap="square" lIns="18288" tIns="0" rIns="0" bIns="0" rtlCol="0" anchor="t" upright="1"/>
        <a:lstStyle/>
        <a:p>
          <a:pPr algn="ctr"/>
          <a:r>
            <a:rPr lang="fr-FR" sz="1400" b="1">
              <a:solidFill>
                <a:schemeClr val="tx1">
                  <a:lumMod val="50000"/>
                  <a:lumOff val="50000"/>
                </a:schemeClr>
              </a:solidFill>
            </a:rPr>
            <a:t>Bienvenue</a:t>
          </a:r>
          <a:r>
            <a:rPr lang="fr-FR" sz="1400" b="1" baseline="0">
              <a:solidFill>
                <a:schemeClr val="tx1">
                  <a:lumMod val="50000"/>
                  <a:lumOff val="50000"/>
                </a:schemeClr>
              </a:solidFill>
            </a:rPr>
            <a:t>  sur la nouvelle version des outils A.Li.A</a:t>
          </a:r>
        </a:p>
        <a:p>
          <a:pPr algn="l"/>
          <a:endParaRPr lang="fr-FR" sz="1100" baseline="0"/>
        </a:p>
        <a:p>
          <a:pPr algn="l"/>
          <a:r>
            <a:rPr lang="fr-FR" sz="1100" baseline="0"/>
            <a:t>Vous allez pouvoir faire le suivi de vos documents; "feuilles horaires" et demande de congés" sur ce fichier.</a:t>
          </a:r>
        </a:p>
        <a:p>
          <a:pPr algn="l"/>
          <a:r>
            <a:rPr lang="fr-FR" sz="1100" baseline="0"/>
            <a:t>Sur ce feuillet "Données" vous devez renseigner les cellules blanches, avec vos : Mot de passe, nom, prénom, prénom et date de naissance de vos enfants.</a:t>
          </a:r>
        </a:p>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285751</xdr:colOff>
      <xdr:row>9</xdr:row>
      <xdr:rowOff>0</xdr:rowOff>
    </xdr:from>
    <xdr:to>
      <xdr:col>14</xdr:col>
      <xdr:colOff>1</xdr:colOff>
      <xdr:row>10</xdr:row>
      <xdr:rowOff>0</xdr:rowOff>
    </xdr:to>
    <xdr:sp macro="" textlink="">
      <xdr:nvSpPr>
        <xdr:cNvPr id="2" name="Rectangle à coins arrondis 1"/>
        <xdr:cNvSpPr/>
      </xdr:nvSpPr>
      <xdr:spPr bwMode="auto">
        <a:xfrm>
          <a:off x="1079501" y="3672417"/>
          <a:ext cx="5069417" cy="814916"/>
        </a:xfrm>
        <a:prstGeom prst="roundRect">
          <a:avLst/>
        </a:prstGeom>
        <a:no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fr-FR" sz="1100"/>
        </a:p>
      </xdr:txBody>
    </xdr:sp>
    <xdr:clientData/>
  </xdr:twoCellAnchor>
  <xdr:twoCellAnchor>
    <xdr:from>
      <xdr:col>0</xdr:col>
      <xdr:colOff>435429</xdr:colOff>
      <xdr:row>8</xdr:row>
      <xdr:rowOff>830036</xdr:rowOff>
    </xdr:from>
    <xdr:to>
      <xdr:col>1</xdr:col>
      <xdr:colOff>136071</xdr:colOff>
      <xdr:row>9</xdr:row>
      <xdr:rowOff>530683</xdr:rowOff>
    </xdr:to>
    <xdr:sp macro="" textlink="">
      <xdr:nvSpPr>
        <xdr:cNvPr id="3" name="Flèche à angle droit 2"/>
        <xdr:cNvSpPr/>
      </xdr:nvSpPr>
      <xdr:spPr bwMode="auto">
        <a:xfrm rot="5400000">
          <a:off x="380998" y="3660324"/>
          <a:ext cx="544290" cy="435428"/>
        </a:xfrm>
        <a:prstGeom prst="bentUpArrow">
          <a:avLst/>
        </a:prstGeom>
        <a:solidFill>
          <a:schemeClr val="bg1">
            <a:lumMod val="7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fr-FR" sz="1100"/>
        </a:p>
      </xdr:txBody>
    </xdr:sp>
    <xdr:clientData/>
  </xdr:twoCellAnchor>
  <xdr:twoCellAnchor>
    <xdr:from>
      <xdr:col>22</xdr:col>
      <xdr:colOff>133133</xdr:colOff>
      <xdr:row>2</xdr:row>
      <xdr:rowOff>83346</xdr:rowOff>
    </xdr:from>
    <xdr:to>
      <xdr:col>24</xdr:col>
      <xdr:colOff>59531</xdr:colOff>
      <xdr:row>4</xdr:row>
      <xdr:rowOff>95251</xdr:rowOff>
    </xdr:to>
    <xdr:sp macro="[0]!PRINT_feuille" textlink="">
      <xdr:nvSpPr>
        <xdr:cNvPr id="4" name="Ellipse 3"/>
        <xdr:cNvSpPr/>
      </xdr:nvSpPr>
      <xdr:spPr bwMode="auto">
        <a:xfrm>
          <a:off x="12491821" y="857252"/>
          <a:ext cx="926523" cy="726280"/>
        </a:xfrm>
        <a:prstGeom prst="ellipse">
          <a:avLst/>
        </a:prstGeom>
        <a:noFill/>
        <a:ln>
          <a:solidFill>
            <a:schemeClr val="bg1">
              <a:lumMod val="95000"/>
            </a:schemeClr>
          </a:solidFill>
          <a:headEnd type="none" w="med" len="med"/>
          <a:tailEnd type="none" w="med" len="med"/>
        </a:ln>
        <a:effectLst>
          <a:glow>
            <a:schemeClr val="accent1"/>
          </a:glow>
          <a:outerShdw blurRad="50800" dist="38100" dir="2700000" algn="tl" rotWithShape="0">
            <a:prstClr val="black">
              <a:alpha val="40000"/>
            </a:prstClr>
          </a:outerShdw>
        </a:effectLst>
        <a:scene3d>
          <a:camera prst="orthographicFront">
            <a:rot lat="0" lon="0" rev="0"/>
          </a:camera>
          <a:lightRig rig="brightRoom" dir="t">
            <a:rot lat="0" lon="0" rev="600000"/>
          </a:lightRig>
        </a:scene3d>
        <a:sp3d prstMaterial="metal">
          <a:bevelT/>
        </a:sp3d>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pPr algn="l"/>
          <a:endParaRPr lang="fr-FR" sz="1100">
            <a:solidFill>
              <a:sysClr val="windowText" lastClr="000000"/>
            </a:solidFill>
          </a:endParaRPr>
        </a:p>
        <a:p>
          <a:pPr algn="l"/>
          <a:r>
            <a:rPr lang="fr-FR" sz="1100">
              <a:solidFill>
                <a:sysClr val="windowText" lastClr="000000"/>
              </a:solidFill>
            </a:rPr>
            <a:t>IMPRIMER</a:t>
          </a:r>
        </a:p>
      </xdr:txBody>
    </xdr:sp>
    <xdr:clientData/>
  </xdr:twoCellAnchor>
  <xdr:twoCellAnchor>
    <xdr:from>
      <xdr:col>15</xdr:col>
      <xdr:colOff>2721</xdr:colOff>
      <xdr:row>8</xdr:row>
      <xdr:rowOff>813954</xdr:rowOff>
    </xdr:from>
    <xdr:to>
      <xdr:col>21</xdr:col>
      <xdr:colOff>0</xdr:colOff>
      <xdr:row>10</xdr:row>
      <xdr:rowOff>5443</xdr:rowOff>
    </xdr:to>
    <xdr:sp macro="" textlink="">
      <xdr:nvSpPr>
        <xdr:cNvPr id="5" name="Rectangle à coins arrondis 4"/>
        <xdr:cNvSpPr/>
      </xdr:nvSpPr>
      <xdr:spPr bwMode="auto">
        <a:xfrm>
          <a:off x="6255603" y="3615425"/>
          <a:ext cx="4894250" cy="86116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fr-FR" sz="1100"/>
        </a:p>
      </xdr:txBody>
    </xdr:sp>
    <xdr:clientData/>
  </xdr:twoCellAnchor>
  <xdr:twoCellAnchor>
    <xdr:from>
      <xdr:col>13</xdr:col>
      <xdr:colOff>324971</xdr:colOff>
      <xdr:row>11</xdr:row>
      <xdr:rowOff>179295</xdr:rowOff>
    </xdr:from>
    <xdr:to>
      <xdr:col>20</xdr:col>
      <xdr:colOff>605118</xdr:colOff>
      <xdr:row>14</xdr:row>
      <xdr:rowOff>11206</xdr:rowOff>
    </xdr:to>
    <xdr:sp macro="" textlink="">
      <xdr:nvSpPr>
        <xdr:cNvPr id="6" name="Rectangle à coins arrondis 5"/>
        <xdr:cNvSpPr/>
      </xdr:nvSpPr>
      <xdr:spPr bwMode="auto">
        <a:xfrm>
          <a:off x="5535706" y="4997824"/>
          <a:ext cx="5244353" cy="874058"/>
        </a:xfrm>
        <a:prstGeom prst="wedgeRoundRectCallout">
          <a:avLst>
            <a:gd name="adj1" fmla="val 66987"/>
            <a:gd name="adj2" fmla="val -16667"/>
            <a:gd name="adj3" fmla="val 16667"/>
          </a:avLst>
        </a:prstGeom>
        <a:solidFill>
          <a:srgbClr val="00B0F0"/>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lang="fr-FR" sz="1400"/>
            <a:t>Bonjour c'est dans cette zone que</a:t>
          </a:r>
          <a:r>
            <a:rPr lang="fr-FR" sz="1400" baseline="0"/>
            <a:t> la bas blesse....</a:t>
          </a:r>
        </a:p>
        <a:p>
          <a:pPr algn="l"/>
          <a:r>
            <a:rPr lang="fr-FR" sz="1400" baseline="0"/>
            <a:t>J'ai laissé comme c'était en AD: AE et AF</a:t>
          </a:r>
        </a:p>
        <a:p>
          <a:pPr algn="l"/>
          <a:r>
            <a:rPr lang="fr-FR" sz="1400" baseline="0"/>
            <a:t>J'aimerai n'avoir que laes colonnes  AD et AG</a:t>
          </a:r>
          <a:endParaRPr lang="fr-FR" sz="14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CalendrierBDFormu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EUILLES%20HEUR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lendrier"/>
    </sheetNames>
    <sheetDataSet>
      <sheetData sheetId="0">
        <row r="2">
          <cell r="C2" t="str">
            <v>Marquet</v>
          </cell>
          <cell r="D2" t="str">
            <v>Gilles</v>
          </cell>
          <cell r="F2" t="str">
            <v>Accepte</v>
          </cell>
          <cell r="G2">
            <v>39818</v>
          </cell>
          <cell r="H2">
            <v>39821</v>
          </cell>
        </row>
        <row r="3">
          <cell r="C3" t="str">
            <v>Marquet</v>
          </cell>
          <cell r="D3" t="str">
            <v>Paul</v>
          </cell>
          <cell r="F3" t="str">
            <v>Attente</v>
          </cell>
          <cell r="G3">
            <v>39854</v>
          </cell>
          <cell r="H3">
            <v>39857</v>
          </cell>
        </row>
        <row r="4">
          <cell r="C4" t="str">
            <v>Sncf</v>
          </cell>
          <cell r="D4" t="str">
            <v>Martin</v>
          </cell>
          <cell r="F4" t="str">
            <v>Accepte</v>
          </cell>
          <cell r="G4">
            <v>39944</v>
          </cell>
          <cell r="H4">
            <v>39947</v>
          </cell>
        </row>
        <row r="5">
          <cell r="C5" t="str">
            <v>Marquet</v>
          </cell>
          <cell r="D5" t="str">
            <v>Martin</v>
          </cell>
          <cell r="F5" t="str">
            <v>Accepte</v>
          </cell>
          <cell r="G5">
            <v>39874</v>
          </cell>
          <cell r="H5">
            <v>39878</v>
          </cell>
        </row>
        <row r="6">
          <cell r="C6" t="str">
            <v>Sncf</v>
          </cell>
          <cell r="D6" t="str">
            <v>Zoe</v>
          </cell>
          <cell r="F6" t="str">
            <v>Accepte</v>
          </cell>
          <cell r="G6">
            <v>39967</v>
          </cell>
          <cell r="H6">
            <v>39969</v>
          </cell>
        </row>
        <row r="7">
          <cell r="C7" t="str">
            <v>Marquet</v>
          </cell>
          <cell r="D7" t="str">
            <v>Paul</v>
          </cell>
          <cell r="F7" t="str">
            <v>Accepte</v>
          </cell>
          <cell r="G7">
            <v>39993</v>
          </cell>
          <cell r="H7">
            <v>39997</v>
          </cell>
        </row>
        <row r="8">
          <cell r="C8">
            <v>0</v>
          </cell>
          <cell r="D8">
            <v>0</v>
          </cell>
          <cell r="F8">
            <v>0</v>
          </cell>
          <cell r="G8">
            <v>0</v>
          </cell>
          <cell r="H8">
            <v>0</v>
          </cell>
        </row>
        <row r="9">
          <cell r="C9">
            <v>0</v>
          </cell>
          <cell r="D9">
            <v>0</v>
          </cell>
          <cell r="F9">
            <v>0</v>
          </cell>
          <cell r="G9">
            <v>0</v>
          </cell>
          <cell r="H9">
            <v>0</v>
          </cell>
        </row>
        <row r="10">
          <cell r="C10">
            <v>0</v>
          </cell>
          <cell r="D10">
            <v>0</v>
          </cell>
          <cell r="F10">
            <v>0</v>
          </cell>
          <cell r="G10">
            <v>0</v>
          </cell>
          <cell r="H10">
            <v>0</v>
          </cell>
        </row>
        <row r="11">
          <cell r="C11">
            <v>0</v>
          </cell>
          <cell r="D11">
            <v>0</v>
          </cell>
          <cell r="F11">
            <v>0</v>
          </cell>
          <cell r="G11">
            <v>0</v>
          </cell>
          <cell r="H11">
            <v>0</v>
          </cell>
        </row>
        <row r="12">
          <cell r="C12">
            <v>0</v>
          </cell>
          <cell r="D12">
            <v>0</v>
          </cell>
          <cell r="F12">
            <v>0</v>
          </cell>
          <cell r="G12">
            <v>0</v>
          </cell>
          <cell r="H12">
            <v>0</v>
          </cell>
        </row>
      </sheetData>
      <sheetData sheetId="1">
        <row r="2">
          <cell r="AT2" t="str">
            <v>Marquet</v>
          </cell>
        </row>
        <row r="3">
          <cell r="AT3" t="str">
            <v>Sncf</v>
          </cell>
        </row>
        <row r="4">
          <cell r="AT4">
            <v>0</v>
          </cell>
        </row>
        <row r="5">
          <cell r="AT5">
            <v>0</v>
          </cell>
        </row>
        <row r="6">
          <cell r="AT6">
            <v>0</v>
          </cell>
        </row>
        <row r="7">
          <cell r="AT7">
            <v>0</v>
          </cell>
        </row>
        <row r="8">
          <cell r="AT8">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égendes"/>
      <sheetName val="DOCS REMIS"/>
      <sheetName val="DONNEES variables"/>
      <sheetName val="DONNEES variables31-12-2012"/>
      <sheetName val="Feuille mensuelle"/>
      <sheetName val="Feuille mensuelle Roulement"/>
      <sheetName val="aide tps partiel rtt"/>
      <sheetName val="aide tps complet "/>
      <sheetName val="planning administratif octobre"/>
      <sheetName val="horaires"/>
      <sheetName val="AMENAGEMENT HORAIRES CTR NOV"/>
      <sheetName val="REDUC CP09-10"/>
      <sheetName val="DONNEES simonneau+delzen"/>
      <sheetName val="DONNEES fixes"/>
      <sheetName val="REDUC CP laurent"/>
      <sheetName val="NADIA K"/>
    </sheetNames>
    <sheetDataSet>
      <sheetData sheetId="0" refreshError="1"/>
      <sheetData sheetId="1" refreshError="1"/>
      <sheetData sheetId="2">
        <row r="7">
          <cell r="A7" t="str">
            <v>Be08</v>
          </cell>
          <cell r="B7" t="str">
            <v>ANTIER</v>
          </cell>
          <cell r="C7" t="str">
            <v>ISABELLE</v>
          </cell>
          <cell r="D7" t="str">
            <v>CHEF DE SERVICE EDUCATIF</v>
          </cell>
          <cell r="E7">
            <v>1</v>
          </cell>
          <cell r="F7" t="str">
            <v>C</v>
          </cell>
          <cell r="G7" t="str">
            <v>ctr</v>
          </cell>
          <cell r="H7" t="str">
            <v>CDI</v>
          </cell>
          <cell r="I7" t="str">
            <v>TC</v>
          </cell>
          <cell r="J7">
            <v>7</v>
          </cell>
          <cell r="K7">
            <v>5.833333333333333</v>
          </cell>
          <cell r="L7">
            <v>35</v>
          </cell>
          <cell r="M7">
            <v>151.66666666666666</v>
          </cell>
          <cell r="O7">
            <v>7.5</v>
          </cell>
          <cell r="P7">
            <v>37.5</v>
          </cell>
          <cell r="Q7" t="str">
            <v>CHC</v>
          </cell>
          <cell r="R7" t="str">
            <v>D</v>
          </cell>
          <cell r="S7" t="str">
            <v>C</v>
          </cell>
          <cell r="T7" t="str">
            <v>TR</v>
          </cell>
          <cell r="W7">
            <v>145.24</v>
          </cell>
          <cell r="X7">
            <v>9</v>
          </cell>
          <cell r="Y7">
            <v>0</v>
          </cell>
          <cell r="Z7">
            <v>6</v>
          </cell>
          <cell r="AA7">
            <v>4.2</v>
          </cell>
          <cell r="AB7">
            <v>4</v>
          </cell>
          <cell r="AC7">
            <v>5</v>
          </cell>
          <cell r="AF7">
            <v>63</v>
          </cell>
          <cell r="AG7">
            <v>0</v>
          </cell>
          <cell r="AH7">
            <v>35</v>
          </cell>
          <cell r="AI7">
            <v>29.400000000000002</v>
          </cell>
          <cell r="AJ7">
            <v>28</v>
          </cell>
          <cell r="AK7">
            <v>29.166666666666664</v>
          </cell>
        </row>
        <row r="8">
          <cell r="A8" t="str">
            <v>Be83</v>
          </cell>
          <cell r="B8" t="str">
            <v>BEULAY</v>
          </cell>
          <cell r="C8" t="str">
            <v>CORINNE</v>
          </cell>
          <cell r="D8" t="str">
            <v>PSYCHOLOGUE</v>
          </cell>
          <cell r="E8">
            <v>2</v>
          </cell>
          <cell r="F8" t="str">
            <v>E</v>
          </cell>
          <cell r="G8" t="str">
            <v>ctr</v>
          </cell>
          <cell r="H8" t="str">
            <v>CDI</v>
          </cell>
          <cell r="I8" t="str">
            <v>TPJ</v>
          </cell>
          <cell r="J8">
            <v>2</v>
          </cell>
          <cell r="K8">
            <v>1.6666666666666667</v>
          </cell>
          <cell r="L8">
            <v>10</v>
          </cell>
          <cell r="M8">
            <v>43.333333333333336</v>
          </cell>
          <cell r="O8">
            <v>2.1719999999999997</v>
          </cell>
          <cell r="P8">
            <v>10.86</v>
          </cell>
          <cell r="Q8" t="str">
            <v>CHB</v>
          </cell>
          <cell r="R8" t="str">
            <v>N</v>
          </cell>
          <cell r="S8" t="str">
            <v>C</v>
          </cell>
          <cell r="T8" t="str">
            <v>TR</v>
          </cell>
          <cell r="W8">
            <v>1.120000000000001</v>
          </cell>
          <cell r="X8">
            <v>8</v>
          </cell>
          <cell r="Y8">
            <v>5</v>
          </cell>
          <cell r="Z8">
            <v>6</v>
          </cell>
          <cell r="AB8">
            <v>3</v>
          </cell>
          <cell r="AC8">
            <v>0</v>
          </cell>
          <cell r="AF8">
            <v>16</v>
          </cell>
          <cell r="AG8">
            <v>10.86</v>
          </cell>
          <cell r="AH8">
            <v>10</v>
          </cell>
          <cell r="AI8">
            <v>0</v>
          </cell>
          <cell r="AJ8">
            <v>6</v>
          </cell>
          <cell r="AK8">
            <v>0</v>
          </cell>
        </row>
        <row r="9">
          <cell r="A9" t="str">
            <v>Be65</v>
          </cell>
          <cell r="B9" t="str">
            <v>DOUET</v>
          </cell>
          <cell r="C9" t="str">
            <v>CATHERINE</v>
          </cell>
          <cell r="D9" t="str">
            <v>EDUCATRICE TECHNIQUE</v>
          </cell>
          <cell r="E9">
            <v>3</v>
          </cell>
          <cell r="F9" t="str">
            <v>E</v>
          </cell>
          <cell r="G9" t="str">
            <v>ctr</v>
          </cell>
          <cell r="H9" t="str">
            <v>CDI</v>
          </cell>
          <cell r="I9" t="str">
            <v>TC</v>
          </cell>
          <cell r="J9">
            <v>7</v>
          </cell>
          <cell r="K9">
            <v>5.833333333333333</v>
          </cell>
          <cell r="L9">
            <v>35</v>
          </cell>
          <cell r="M9">
            <v>151.66666666666666</v>
          </cell>
          <cell r="O9">
            <v>7.5</v>
          </cell>
          <cell r="P9">
            <v>37.5</v>
          </cell>
          <cell r="Q9" t="str">
            <v>CHC</v>
          </cell>
          <cell r="R9" t="str">
            <v>D</v>
          </cell>
          <cell r="S9" t="str">
            <v>C</v>
          </cell>
          <cell r="T9" t="str">
            <v>TR</v>
          </cell>
          <cell r="V9">
            <v>0</v>
          </cell>
          <cell r="W9">
            <v>48.249999999999986</v>
          </cell>
          <cell r="X9">
            <v>0</v>
          </cell>
          <cell r="Y9">
            <v>3.5</v>
          </cell>
          <cell r="Z9">
            <v>6</v>
          </cell>
          <cell r="AA9">
            <v>4.2</v>
          </cell>
          <cell r="AB9">
            <v>2</v>
          </cell>
          <cell r="AC9">
            <v>0</v>
          </cell>
          <cell r="AF9">
            <v>0</v>
          </cell>
          <cell r="AG9">
            <v>26.25</v>
          </cell>
          <cell r="AH9">
            <v>35</v>
          </cell>
          <cell r="AI9">
            <v>29.400000000000002</v>
          </cell>
          <cell r="AJ9">
            <v>14</v>
          </cell>
          <cell r="AK9">
            <v>0</v>
          </cell>
        </row>
        <row r="10">
          <cell r="A10" t="str">
            <v>Be15</v>
          </cell>
          <cell r="B10" t="str">
            <v>GOGUET</v>
          </cell>
          <cell r="C10" t="str">
            <v>KARINE</v>
          </cell>
          <cell r="D10" t="str">
            <v>MEDECIN PSYCHIATRE</v>
          </cell>
          <cell r="E10">
            <v>4</v>
          </cell>
          <cell r="F10" t="str">
            <v>E</v>
          </cell>
          <cell r="G10" t="str">
            <v>ctr</v>
          </cell>
          <cell r="H10" t="str">
            <v>CDI</v>
          </cell>
          <cell r="I10" t="str">
            <v>TP</v>
          </cell>
          <cell r="J10">
            <v>0.37</v>
          </cell>
          <cell r="K10">
            <v>0.30833333333333335</v>
          </cell>
          <cell r="L10">
            <v>1.85</v>
          </cell>
          <cell r="M10">
            <v>7.9966666666666679</v>
          </cell>
          <cell r="Q10" t="str">
            <v>CH1</v>
          </cell>
          <cell r="R10" t="str">
            <v>N</v>
          </cell>
          <cell r="S10" t="str">
            <v>C</v>
          </cell>
          <cell r="T10" t="str">
            <v>TR</v>
          </cell>
          <cell r="W10">
            <v>15.3</v>
          </cell>
          <cell r="X10">
            <v>0</v>
          </cell>
          <cell r="Z10">
            <v>4</v>
          </cell>
          <cell r="AB10">
            <v>6</v>
          </cell>
          <cell r="AF10">
            <v>0</v>
          </cell>
          <cell r="AG10">
            <v>0</v>
          </cell>
          <cell r="AH10">
            <v>1.2333333333333334</v>
          </cell>
          <cell r="AI10">
            <v>0</v>
          </cell>
          <cell r="AJ10">
            <v>2.2199999999999998</v>
          </cell>
          <cell r="AK10">
            <v>0</v>
          </cell>
        </row>
        <row r="11">
          <cell r="A11" t="str">
            <v>Bepha</v>
          </cell>
          <cell r="B11" t="str">
            <v>HAVET</v>
          </cell>
          <cell r="C11" t="str">
            <v>PIERRE</v>
          </cell>
          <cell r="D11" t="str">
            <v>PHARMACIEN</v>
          </cell>
          <cell r="E11">
            <v>5</v>
          </cell>
          <cell r="F11" t="str">
            <v>E</v>
          </cell>
          <cell r="G11" t="str">
            <v>ctr</v>
          </cell>
          <cell r="H11" t="str">
            <v>CDI</v>
          </cell>
          <cell r="I11" t="str">
            <v>TP</v>
          </cell>
          <cell r="J11">
            <v>0.4</v>
          </cell>
          <cell r="K11">
            <v>0.33333333333333331</v>
          </cell>
          <cell r="L11">
            <v>2</v>
          </cell>
          <cell r="M11">
            <v>8.6666666666666661</v>
          </cell>
          <cell r="Q11" t="str">
            <v>CH1</v>
          </cell>
          <cell r="R11" t="str">
            <v>N</v>
          </cell>
          <cell r="S11" t="str">
            <v>C</v>
          </cell>
          <cell r="T11" t="str">
            <v>TR</v>
          </cell>
          <cell r="W11">
            <v>-17.489999999999998</v>
          </cell>
          <cell r="X11">
            <v>0</v>
          </cell>
          <cell r="Z11">
            <v>0</v>
          </cell>
          <cell r="AB11">
            <v>0</v>
          </cell>
          <cell r="AF11">
            <v>0</v>
          </cell>
          <cell r="AG11">
            <v>0</v>
          </cell>
          <cell r="AH11">
            <v>0</v>
          </cell>
          <cell r="AI11">
            <v>0</v>
          </cell>
          <cell r="AJ11">
            <v>0</v>
          </cell>
          <cell r="AK11">
            <v>0</v>
          </cell>
        </row>
        <row r="12">
          <cell r="A12" t="str">
            <v>Be19</v>
          </cell>
          <cell r="B12" t="str">
            <v>LAUNAY</v>
          </cell>
          <cell r="C12" t="str">
            <v>JACKY</v>
          </cell>
          <cell r="D12" t="str">
            <v>EDUCATEUR TECHNIQUE SPECIALISE</v>
          </cell>
          <cell r="E12">
            <v>6</v>
          </cell>
          <cell r="F12" t="str">
            <v>E</v>
          </cell>
          <cell r="G12" t="str">
            <v>ctr</v>
          </cell>
          <cell r="H12" t="str">
            <v>CDI</v>
          </cell>
          <cell r="I12" t="str">
            <v>TC</v>
          </cell>
          <cell r="J12">
            <v>7</v>
          </cell>
          <cell r="K12">
            <v>5.833333333333333</v>
          </cell>
          <cell r="L12">
            <v>35</v>
          </cell>
          <cell r="M12">
            <v>151.66666666666666</v>
          </cell>
          <cell r="O12">
            <v>7.5</v>
          </cell>
          <cell r="P12">
            <v>37.5</v>
          </cell>
          <cell r="Q12" t="str">
            <v>CHC</v>
          </cell>
          <cell r="R12" t="str">
            <v>D</v>
          </cell>
          <cell r="S12" t="str">
            <v>C</v>
          </cell>
          <cell r="T12" t="str">
            <v>TR</v>
          </cell>
          <cell r="W12">
            <v>2.4699999999999918</v>
          </cell>
          <cell r="X12">
            <v>3</v>
          </cell>
          <cell r="Y12">
            <v>2.5</v>
          </cell>
          <cell r="Z12">
            <v>6</v>
          </cell>
          <cell r="AA12">
            <v>4.2</v>
          </cell>
          <cell r="AB12">
            <v>4</v>
          </cell>
          <cell r="AC12">
            <v>0</v>
          </cell>
          <cell r="AE12">
            <v>0</v>
          </cell>
          <cell r="AF12">
            <v>21</v>
          </cell>
          <cell r="AG12">
            <v>18.75</v>
          </cell>
          <cell r="AH12">
            <v>35</v>
          </cell>
          <cell r="AI12">
            <v>29.400000000000002</v>
          </cell>
          <cell r="AJ12">
            <v>28</v>
          </cell>
          <cell r="AK12">
            <v>0</v>
          </cell>
        </row>
        <row r="13">
          <cell r="A13" t="str">
            <v>Be27</v>
          </cell>
          <cell r="B13" t="str">
            <v>ROBIN</v>
          </cell>
          <cell r="C13" t="str">
            <v>NICOLAS</v>
          </cell>
          <cell r="D13" t="str">
            <v>MONITEUR D'ATELIER</v>
          </cell>
          <cell r="E13">
            <v>7</v>
          </cell>
          <cell r="F13" t="str">
            <v>E</v>
          </cell>
          <cell r="G13" t="str">
            <v>ctr</v>
          </cell>
          <cell r="H13" t="str">
            <v>CDD</v>
          </cell>
          <cell r="I13" t="str">
            <v>TC</v>
          </cell>
          <cell r="J13">
            <v>7</v>
          </cell>
          <cell r="K13">
            <v>5.833333333333333</v>
          </cell>
          <cell r="L13">
            <v>35</v>
          </cell>
          <cell r="M13">
            <v>151.66666666666666</v>
          </cell>
          <cell r="Q13" t="str">
            <v>CH1</v>
          </cell>
          <cell r="T13" t="str">
            <v>TR</v>
          </cell>
          <cell r="AK13">
            <v>0</v>
          </cell>
        </row>
        <row r="14">
          <cell r="A14" t="str">
            <v>Be26</v>
          </cell>
          <cell r="B14" t="str">
            <v>SORIN</v>
          </cell>
          <cell r="C14" t="str">
            <v>PATRICK</v>
          </cell>
          <cell r="D14" t="str">
            <v>EDUCATEUR TECHNIQUE SPECIALISE</v>
          </cell>
          <cell r="E14">
            <v>8</v>
          </cell>
          <cell r="F14" t="str">
            <v>E</v>
          </cell>
          <cell r="G14" t="str">
            <v>ctr</v>
          </cell>
          <cell r="H14" t="str">
            <v>CDI</v>
          </cell>
          <cell r="I14" t="str">
            <v>TC</v>
          </cell>
          <cell r="J14">
            <v>7</v>
          </cell>
          <cell r="K14">
            <v>5.833333333333333</v>
          </cell>
          <cell r="L14">
            <v>35</v>
          </cell>
          <cell r="M14">
            <v>151.66666666666666</v>
          </cell>
          <cell r="O14">
            <v>7.5</v>
          </cell>
          <cell r="P14">
            <v>37.5</v>
          </cell>
          <cell r="Q14" t="str">
            <v>CHC</v>
          </cell>
          <cell r="R14" t="str">
            <v>D</v>
          </cell>
          <cell r="S14" t="str">
            <v>C</v>
          </cell>
          <cell r="T14" t="str">
            <v>TR</v>
          </cell>
          <cell r="W14">
            <v>61.519999999999996</v>
          </cell>
          <cell r="X14">
            <v>2</v>
          </cell>
          <cell r="Y14">
            <v>7</v>
          </cell>
          <cell r="Z14">
            <v>6</v>
          </cell>
          <cell r="AA14">
            <v>3.2</v>
          </cell>
          <cell r="AB14">
            <v>2</v>
          </cell>
          <cell r="AC14">
            <v>6</v>
          </cell>
          <cell r="AF14">
            <v>14</v>
          </cell>
          <cell r="AG14">
            <v>52.5</v>
          </cell>
          <cell r="AH14">
            <v>35</v>
          </cell>
          <cell r="AI14">
            <v>22.400000000000002</v>
          </cell>
          <cell r="AJ14">
            <v>14</v>
          </cell>
          <cell r="AK14">
            <v>35</v>
          </cell>
        </row>
        <row r="15">
          <cell r="A15" t="str">
            <v>Be04</v>
          </cell>
          <cell r="B15" t="str">
            <v>TRIKI</v>
          </cell>
          <cell r="C15" t="str">
            <v>VANESSA</v>
          </cell>
          <cell r="D15" t="str">
            <v>EDUCATRICE SPECIALISEE</v>
          </cell>
          <cell r="E15">
            <v>9</v>
          </cell>
          <cell r="F15" t="str">
            <v>E</v>
          </cell>
          <cell r="G15" t="str">
            <v>ctr</v>
          </cell>
          <cell r="H15" t="str">
            <v>CDI</v>
          </cell>
          <cell r="I15" t="str">
            <v>TC</v>
          </cell>
          <cell r="J15">
            <v>7</v>
          </cell>
          <cell r="K15">
            <v>5.833333333333333</v>
          </cell>
          <cell r="L15">
            <v>35</v>
          </cell>
          <cell r="M15">
            <v>151.66666666666666</v>
          </cell>
          <cell r="O15">
            <v>7.5</v>
          </cell>
          <cell r="P15">
            <v>37.5</v>
          </cell>
          <cell r="Q15" t="str">
            <v>CHC</v>
          </cell>
          <cell r="R15" t="str">
            <v>D</v>
          </cell>
          <cell r="S15" t="str">
            <v>C</v>
          </cell>
          <cell r="T15" t="str">
            <v>TR</v>
          </cell>
          <cell r="W15">
            <v>30.849999999999994</v>
          </cell>
          <cell r="X15">
            <v>4</v>
          </cell>
          <cell r="Y15">
            <v>2.5</v>
          </cell>
          <cell r="Z15">
            <v>6</v>
          </cell>
          <cell r="AA15">
            <v>4.2</v>
          </cell>
          <cell r="AB15">
            <v>2</v>
          </cell>
          <cell r="AC15">
            <v>0</v>
          </cell>
          <cell r="AF15">
            <v>28</v>
          </cell>
          <cell r="AG15">
            <v>18.75</v>
          </cell>
          <cell r="AH15">
            <v>35</v>
          </cell>
          <cell r="AI15">
            <v>29.400000000000002</v>
          </cell>
          <cell r="AJ15">
            <v>14</v>
          </cell>
          <cell r="AK15">
            <v>0</v>
          </cell>
        </row>
        <row r="17">
          <cell r="A17" t="str">
            <v>Be42</v>
          </cell>
          <cell r="B17" t="str">
            <v>CHUPIN</v>
          </cell>
          <cell r="C17" t="str">
            <v>CHRISTELLE</v>
          </cell>
          <cell r="D17" t="str">
            <v>EDUCATRICE SPECIALISEE</v>
          </cell>
          <cell r="E17">
            <v>10</v>
          </cell>
          <cell r="F17" t="str">
            <v>E</v>
          </cell>
          <cell r="G17" t="str">
            <v>ctr</v>
          </cell>
          <cell r="H17" t="str">
            <v>CDI</v>
          </cell>
          <cell r="I17" t="str">
            <v>TPR</v>
          </cell>
          <cell r="J17">
            <v>5.6</v>
          </cell>
          <cell r="K17">
            <v>4.666666666666667</v>
          </cell>
          <cell r="L17">
            <v>28</v>
          </cell>
          <cell r="M17">
            <v>121.33333333333333</v>
          </cell>
          <cell r="Q17" t="str">
            <v>CH1</v>
          </cell>
          <cell r="T17" t="str">
            <v>TR</v>
          </cell>
          <cell r="W17">
            <v>-55.09</v>
          </cell>
          <cell r="X17">
            <v>0</v>
          </cell>
          <cell r="Y17">
            <v>0</v>
          </cell>
          <cell r="Z17">
            <v>0</v>
          </cell>
          <cell r="AA17">
            <v>0</v>
          </cell>
          <cell r="AB17">
            <v>0</v>
          </cell>
          <cell r="AC17">
            <v>0</v>
          </cell>
          <cell r="AF17">
            <v>0</v>
          </cell>
          <cell r="AH17">
            <v>0</v>
          </cell>
          <cell r="AK17">
            <v>0</v>
          </cell>
        </row>
        <row r="18">
          <cell r="A18" t="str">
            <v>Be21</v>
          </cell>
          <cell r="B18" t="str">
            <v>DORE</v>
          </cell>
          <cell r="C18" t="str">
            <v>ELODIE</v>
          </cell>
          <cell r="D18" t="str">
            <v>EDUCATRICE SPECIALISEE</v>
          </cell>
          <cell r="E18">
            <v>11</v>
          </cell>
          <cell r="F18" t="str">
            <v>E</v>
          </cell>
          <cell r="G18" t="str">
            <v>ctr</v>
          </cell>
          <cell r="H18" t="str">
            <v>CDI</v>
          </cell>
          <cell r="I18" t="str">
            <v>TPR</v>
          </cell>
          <cell r="J18">
            <v>3.5</v>
          </cell>
          <cell r="K18">
            <v>2.9166666666666665</v>
          </cell>
          <cell r="L18">
            <v>17.5</v>
          </cell>
          <cell r="M18">
            <v>75.833333333333329</v>
          </cell>
          <cell r="Q18" t="str">
            <v>CH1</v>
          </cell>
          <cell r="R18" t="str">
            <v>N</v>
          </cell>
          <cell r="S18" t="str">
            <v>N</v>
          </cell>
          <cell r="T18" t="str">
            <v>TR</v>
          </cell>
          <cell r="U18" t="str">
            <v xml:space="preserve"> </v>
          </cell>
          <cell r="W18">
            <v>28.39</v>
          </cell>
          <cell r="X18">
            <v>3</v>
          </cell>
          <cell r="AC18">
            <v>0</v>
          </cell>
          <cell r="AF18">
            <v>16.61</v>
          </cell>
          <cell r="AH18">
            <v>0</v>
          </cell>
          <cell r="AK18">
            <v>0</v>
          </cell>
        </row>
        <row r="19">
          <cell r="A19" t="str">
            <v>Be18</v>
          </cell>
          <cell r="B19" t="str">
            <v>FRUCHAUD</v>
          </cell>
          <cell r="C19" t="str">
            <v>BENOIT</v>
          </cell>
          <cell r="D19" t="str">
            <v>MONITEUR-EDUCATEUR</v>
          </cell>
          <cell r="E19">
            <v>12</v>
          </cell>
          <cell r="F19" t="str">
            <v>E</v>
          </cell>
          <cell r="G19" t="str">
            <v>ctr</v>
          </cell>
          <cell r="H19" t="str">
            <v>CDI</v>
          </cell>
          <cell r="I19" t="str">
            <v>TCR</v>
          </cell>
          <cell r="J19">
            <v>7</v>
          </cell>
          <cell r="K19">
            <v>5.833333333333333</v>
          </cell>
          <cell r="L19">
            <v>35</v>
          </cell>
          <cell r="M19">
            <v>151.66666666666666</v>
          </cell>
          <cell r="O19">
            <v>7.5</v>
          </cell>
          <cell r="P19">
            <v>37.5</v>
          </cell>
          <cell r="Q19" t="str">
            <v>CHC</v>
          </cell>
          <cell r="R19" t="str">
            <v>D</v>
          </cell>
          <cell r="S19" t="str">
            <v>C</v>
          </cell>
          <cell r="T19" t="str">
            <v>TR</v>
          </cell>
          <cell r="W19">
            <v>0.33999999999999808</v>
          </cell>
          <cell r="X19">
            <v>0</v>
          </cell>
          <cell r="Y19">
            <v>9</v>
          </cell>
          <cell r="Z19">
            <v>6</v>
          </cell>
          <cell r="AA19">
            <v>4.2</v>
          </cell>
          <cell r="AB19">
            <v>0</v>
          </cell>
          <cell r="AC19">
            <v>0</v>
          </cell>
          <cell r="AF19">
            <v>0</v>
          </cell>
          <cell r="AG19">
            <v>67.5</v>
          </cell>
          <cell r="AH19">
            <v>35</v>
          </cell>
          <cell r="AI19">
            <v>29.400000000000002</v>
          </cell>
          <cell r="AJ19">
            <v>0</v>
          </cell>
          <cell r="AK19">
            <v>0</v>
          </cell>
        </row>
        <row r="20">
          <cell r="A20" t="str">
            <v>Be48</v>
          </cell>
          <cell r="B20" t="str">
            <v>GABILLARD</v>
          </cell>
          <cell r="C20" t="str">
            <v>THIERRY</v>
          </cell>
          <cell r="D20" t="str">
            <v>MONITEUR-EDUCATEUR</v>
          </cell>
          <cell r="E20">
            <v>13</v>
          </cell>
          <cell r="F20" t="str">
            <v>E</v>
          </cell>
          <cell r="G20" t="str">
            <v>ctr</v>
          </cell>
          <cell r="H20" t="str">
            <v>CDI</v>
          </cell>
          <cell r="I20" t="str">
            <v>TCR</v>
          </cell>
          <cell r="J20">
            <v>7</v>
          </cell>
          <cell r="K20">
            <v>5.833333333333333</v>
          </cell>
          <cell r="L20">
            <v>35</v>
          </cell>
          <cell r="M20">
            <v>151.66666666666666</v>
          </cell>
          <cell r="O20">
            <v>7.5</v>
          </cell>
          <cell r="P20">
            <v>37.5</v>
          </cell>
          <cell r="Q20" t="str">
            <v>CHC</v>
          </cell>
          <cell r="R20" t="str">
            <v>D</v>
          </cell>
          <cell r="S20" t="str">
            <v>C</v>
          </cell>
          <cell r="T20" t="str">
            <v>TR</v>
          </cell>
          <cell r="W20">
            <v>9.6300000000000061</v>
          </cell>
          <cell r="X20">
            <v>7</v>
          </cell>
          <cell r="Y20">
            <v>4</v>
          </cell>
          <cell r="Z20">
            <v>6</v>
          </cell>
          <cell r="AA20">
            <v>4.2</v>
          </cell>
          <cell r="AB20">
            <v>2</v>
          </cell>
          <cell r="AC20">
            <v>0</v>
          </cell>
          <cell r="AF20">
            <v>58.25</v>
          </cell>
          <cell r="AG20">
            <v>30</v>
          </cell>
          <cell r="AH20">
            <v>35</v>
          </cell>
          <cell r="AI20">
            <v>29.400000000000002</v>
          </cell>
          <cell r="AJ20">
            <v>14</v>
          </cell>
          <cell r="AK20">
            <v>0</v>
          </cell>
        </row>
        <row r="21">
          <cell r="A21" t="str">
            <v>Be41</v>
          </cell>
          <cell r="B21" t="str">
            <v>RAYNAUD</v>
          </cell>
          <cell r="C21" t="str">
            <v>MARIE-DOMINIQUE</v>
          </cell>
          <cell r="D21" t="str">
            <v>INFIRMIERE</v>
          </cell>
          <cell r="E21">
            <v>14</v>
          </cell>
          <cell r="F21" t="str">
            <v>E</v>
          </cell>
          <cell r="G21" t="str">
            <v>ctr</v>
          </cell>
          <cell r="H21" t="str">
            <v>CDI</v>
          </cell>
          <cell r="I21" t="str">
            <v>TPR</v>
          </cell>
          <cell r="J21">
            <v>3</v>
          </cell>
          <cell r="K21">
            <v>2.5</v>
          </cell>
          <cell r="L21">
            <v>15</v>
          </cell>
          <cell r="M21">
            <v>65</v>
          </cell>
          <cell r="Q21" t="str">
            <v>CH1</v>
          </cell>
          <cell r="R21" t="str">
            <v>N</v>
          </cell>
          <cell r="S21" t="str">
            <v>C</v>
          </cell>
          <cell r="T21" t="str">
            <v>TR</v>
          </cell>
          <cell r="W21">
            <v>54.33</v>
          </cell>
          <cell r="X21">
            <v>6</v>
          </cell>
          <cell r="Z21">
            <v>0</v>
          </cell>
          <cell r="AB21">
            <v>4</v>
          </cell>
          <cell r="AC21">
            <v>0</v>
          </cell>
          <cell r="AF21">
            <v>63.25</v>
          </cell>
          <cell r="AG21">
            <v>0</v>
          </cell>
          <cell r="AH21">
            <v>0</v>
          </cell>
          <cell r="AJ21">
            <v>12</v>
          </cell>
          <cell r="AK21">
            <v>0</v>
          </cell>
        </row>
        <row r="22">
          <cell r="A22" t="str">
            <v>Be43</v>
          </cell>
          <cell r="B22" t="str">
            <v>RICHARD</v>
          </cell>
          <cell r="C22" t="str">
            <v>JACKY</v>
          </cell>
          <cell r="D22" t="str">
            <v>EDUCATEUR SPECIALISE</v>
          </cell>
          <cell r="E22">
            <v>15</v>
          </cell>
          <cell r="F22" t="str">
            <v>E</v>
          </cell>
          <cell r="G22" t="str">
            <v>ctr</v>
          </cell>
          <cell r="H22" t="str">
            <v>CDI</v>
          </cell>
          <cell r="I22" t="str">
            <v>TCR</v>
          </cell>
          <cell r="J22">
            <v>7</v>
          </cell>
          <cell r="K22">
            <v>5.833333333333333</v>
          </cell>
          <cell r="L22">
            <v>35</v>
          </cell>
          <cell r="M22">
            <v>151.66666666666666</v>
          </cell>
          <cell r="Q22" t="str">
            <v>CH1</v>
          </cell>
          <cell r="T22" t="str">
            <v>TR</v>
          </cell>
          <cell r="W22">
            <v>22.069999999999993</v>
          </cell>
          <cell r="X22">
            <v>0</v>
          </cell>
          <cell r="AC22">
            <v>0</v>
          </cell>
          <cell r="AF22">
            <v>0</v>
          </cell>
          <cell r="AH22">
            <v>0</v>
          </cell>
          <cell r="AK22">
            <v>0</v>
          </cell>
        </row>
        <row r="24">
          <cell r="A24" t="str">
            <v>Be25</v>
          </cell>
          <cell r="B24" t="str">
            <v>BEAUMIER</v>
          </cell>
          <cell r="C24" t="str">
            <v>VERONIQUE</v>
          </cell>
          <cell r="D24" t="str">
            <v>RESPONSABLE ADM. - COMPTABLE</v>
          </cell>
          <cell r="E24">
            <v>16</v>
          </cell>
          <cell r="F24" t="str">
            <v>C</v>
          </cell>
          <cell r="G24" t="str">
            <v>ctr</v>
          </cell>
          <cell r="H24" t="str">
            <v>CDI</v>
          </cell>
          <cell r="I24" t="str">
            <v>TPA</v>
          </cell>
          <cell r="J24">
            <v>6.4</v>
          </cell>
          <cell r="K24">
            <v>5.333333333333333</v>
          </cell>
          <cell r="L24">
            <v>32</v>
          </cell>
          <cell r="M24">
            <v>138.66666666666666</v>
          </cell>
          <cell r="O24">
            <v>6.581999999999999</v>
          </cell>
          <cell r="P24">
            <v>32.909999999999997</v>
          </cell>
          <cell r="Q24" t="str">
            <v>CHE</v>
          </cell>
          <cell r="R24" t="str">
            <v>D</v>
          </cell>
          <cell r="S24" t="str">
            <v>C</v>
          </cell>
          <cell r="W24">
            <v>10.419999999999991</v>
          </cell>
          <cell r="X24">
            <v>0</v>
          </cell>
          <cell r="Y24">
            <v>3</v>
          </cell>
          <cell r="Z24">
            <v>6</v>
          </cell>
          <cell r="AA24">
            <v>5</v>
          </cell>
          <cell r="AB24">
            <v>0</v>
          </cell>
          <cell r="AF24">
            <v>0</v>
          </cell>
          <cell r="AG24">
            <v>19.745999999999995</v>
          </cell>
          <cell r="AH24">
            <v>32</v>
          </cell>
          <cell r="AI24">
            <v>32</v>
          </cell>
          <cell r="AJ24">
            <v>0</v>
          </cell>
        </row>
        <row r="25">
          <cell r="A25" t="str">
            <v>Be62</v>
          </cell>
          <cell r="B25" t="str">
            <v>CAILLEAU</v>
          </cell>
          <cell r="C25" t="str">
            <v>CORENTIN</v>
          </cell>
          <cell r="D25" t="str">
            <v>APPRENTI COMPTABLE-GESTION</v>
          </cell>
          <cell r="E25">
            <v>17</v>
          </cell>
          <cell r="F25" t="str">
            <v>A</v>
          </cell>
          <cell r="G25" t="str">
            <v>ctr</v>
          </cell>
          <cell r="H25" t="str">
            <v>CDD</v>
          </cell>
          <cell r="I25" t="str">
            <v>TCA</v>
          </cell>
          <cell r="J25">
            <v>7</v>
          </cell>
          <cell r="K25">
            <v>5.833333333333333</v>
          </cell>
          <cell r="L25">
            <v>35</v>
          </cell>
          <cell r="M25">
            <v>151.66666666666666</v>
          </cell>
          <cell r="Q25" t="str">
            <v>CH1</v>
          </cell>
          <cell r="R25" t="str">
            <v>N</v>
          </cell>
          <cell r="S25" t="str">
            <v>C</v>
          </cell>
          <cell r="W25">
            <v>-2.17</v>
          </cell>
          <cell r="X25">
            <v>0</v>
          </cell>
          <cell r="Z25">
            <v>-3</v>
          </cell>
          <cell r="AB25">
            <v>0</v>
          </cell>
          <cell r="AF25">
            <v>0</v>
          </cell>
          <cell r="AH25">
            <v>-17.5</v>
          </cell>
          <cell r="AJ25">
            <v>0</v>
          </cell>
        </row>
        <row r="26">
          <cell r="A26" t="str">
            <v>Be34</v>
          </cell>
          <cell r="B26" t="str">
            <v>CESBRON</v>
          </cell>
          <cell r="C26" t="str">
            <v>ANNE-MARIE</v>
          </cell>
          <cell r="D26" t="str">
            <v>AGENT D'ACCUEIL &amp; COMMUNICATION</v>
          </cell>
          <cell r="E26">
            <v>18</v>
          </cell>
          <cell r="F26" t="str">
            <v>A</v>
          </cell>
          <cell r="G26" t="str">
            <v>ctr</v>
          </cell>
          <cell r="H26" t="str">
            <v>CDI</v>
          </cell>
          <cell r="I26" t="str">
            <v>TP</v>
          </cell>
          <cell r="J26">
            <v>4</v>
          </cell>
          <cell r="K26">
            <v>3.3333333333333335</v>
          </cell>
          <cell r="L26">
            <v>20</v>
          </cell>
          <cell r="M26">
            <v>86.666666666666671</v>
          </cell>
          <cell r="Q26" t="str">
            <v>CH1</v>
          </cell>
          <cell r="R26" t="str">
            <v>N</v>
          </cell>
          <cell r="S26" t="str">
            <v>C</v>
          </cell>
          <cell r="W26">
            <v>124.18999999999997</v>
          </cell>
          <cell r="X26">
            <v>0</v>
          </cell>
          <cell r="Z26">
            <v>6</v>
          </cell>
          <cell r="AB26">
            <v>0</v>
          </cell>
          <cell r="AF26">
            <v>0</v>
          </cell>
          <cell r="AH26">
            <v>20</v>
          </cell>
          <cell r="AJ26">
            <v>0</v>
          </cell>
        </row>
        <row r="27">
          <cell r="A27" t="str">
            <v>Be99</v>
          </cell>
          <cell r="B27" t="str">
            <v>MARTIN</v>
          </cell>
          <cell r="C27" t="str">
            <v>CHANTAL</v>
          </cell>
          <cell r="D27" t="str">
            <v>AGENT DE SERVICE</v>
          </cell>
          <cell r="E27">
            <v>19</v>
          </cell>
          <cell r="F27" t="str">
            <v>A</v>
          </cell>
          <cell r="G27" t="str">
            <v>ctr</v>
          </cell>
          <cell r="H27" t="str">
            <v>CDI</v>
          </cell>
          <cell r="I27" t="str">
            <v>TP</v>
          </cell>
          <cell r="J27">
            <v>0.4</v>
          </cell>
          <cell r="K27">
            <v>0.33333333333333331</v>
          </cell>
          <cell r="L27">
            <v>2</v>
          </cell>
          <cell r="M27">
            <v>8.6666666666666661</v>
          </cell>
          <cell r="Q27" t="str">
            <v>CH1</v>
          </cell>
          <cell r="R27" t="str">
            <v>N</v>
          </cell>
          <cell r="S27" t="str">
            <v>C</v>
          </cell>
          <cell r="W27">
            <v>1.1800000000000002</v>
          </cell>
          <cell r="X27">
            <v>5</v>
          </cell>
          <cell r="Z27">
            <v>6</v>
          </cell>
          <cell r="AB27">
            <v>4</v>
          </cell>
          <cell r="AF27">
            <v>2</v>
          </cell>
          <cell r="AH27">
            <v>2</v>
          </cell>
          <cell r="AJ27">
            <v>1.6</v>
          </cell>
        </row>
        <row r="29">
          <cell r="A29" t="str">
            <v>Ch36</v>
          </cell>
          <cell r="B29" t="str">
            <v xml:space="preserve">BOUTTE </v>
          </cell>
          <cell r="C29" t="str">
            <v>NADEGE</v>
          </cell>
          <cell r="D29" t="str">
            <v xml:space="preserve">SECRETAIRE </v>
          </cell>
          <cell r="E29">
            <v>20</v>
          </cell>
          <cell r="F29" t="str">
            <v>C</v>
          </cell>
          <cell r="G29" t="str">
            <v>B</v>
          </cell>
          <cell r="H29" t="str">
            <v>CDD</v>
          </cell>
          <cell r="I29" t="str">
            <v>TP</v>
          </cell>
          <cell r="J29">
            <v>4.4000000000000004</v>
          </cell>
          <cell r="K29">
            <v>3.6666666666666665</v>
          </cell>
          <cell r="L29">
            <v>22</v>
          </cell>
          <cell r="M29">
            <v>95.333333333333329</v>
          </cell>
          <cell r="Q29" t="str">
            <v>CH1</v>
          </cell>
          <cell r="R29" t="str">
            <v>N</v>
          </cell>
          <cell r="S29" t="str">
            <v>C</v>
          </cell>
          <cell r="W29">
            <v>27.420000000000009</v>
          </cell>
          <cell r="X29">
            <v>0</v>
          </cell>
          <cell r="Z29">
            <v>4</v>
          </cell>
          <cell r="AB29">
            <v>1</v>
          </cell>
          <cell r="AF29">
            <v>0</v>
          </cell>
          <cell r="AG29">
            <v>0</v>
          </cell>
          <cell r="AH29">
            <v>14.666666666666666</v>
          </cell>
          <cell r="AJ29">
            <v>4.4000000000000004</v>
          </cell>
        </row>
        <row r="30">
          <cell r="A30" t="str">
            <v>Ch12</v>
          </cell>
          <cell r="B30" t="str">
            <v>BRAULT</v>
          </cell>
          <cell r="C30" t="str">
            <v>NADINE</v>
          </cell>
          <cell r="D30" t="str">
            <v>INFIRMIERE</v>
          </cell>
          <cell r="E30">
            <v>21</v>
          </cell>
          <cell r="F30" t="str">
            <v>C</v>
          </cell>
          <cell r="G30" t="str">
            <v>B</v>
          </cell>
          <cell r="H30" t="str">
            <v>CDI</v>
          </cell>
          <cell r="I30" t="str">
            <v>TC</v>
          </cell>
          <cell r="J30">
            <v>7</v>
          </cell>
          <cell r="K30">
            <v>5.833333333333333</v>
          </cell>
          <cell r="L30">
            <v>35</v>
          </cell>
          <cell r="M30">
            <v>151.66666666666666</v>
          </cell>
          <cell r="O30">
            <v>7.5</v>
          </cell>
          <cell r="P30">
            <v>37.5</v>
          </cell>
          <cell r="Q30" t="str">
            <v>CHC</v>
          </cell>
          <cell r="R30" t="str">
            <v>N?</v>
          </cell>
          <cell r="S30" t="str">
            <v>C</v>
          </cell>
          <cell r="W30">
            <v>-0.57999999999999996</v>
          </cell>
          <cell r="X30">
            <v>0</v>
          </cell>
          <cell r="Y30">
            <v>0.625</v>
          </cell>
          <cell r="AB30">
            <v>0.16666666666666666</v>
          </cell>
          <cell r="AF30">
            <v>0</v>
          </cell>
          <cell r="AG30">
            <v>4.6875</v>
          </cell>
          <cell r="AJ30">
            <v>1.1666666666666665</v>
          </cell>
        </row>
        <row r="31">
          <cell r="A31" t="str">
            <v>Ch47</v>
          </cell>
          <cell r="B31" t="str">
            <v>CHENU</v>
          </cell>
          <cell r="C31" t="str">
            <v>ELIANE</v>
          </cell>
          <cell r="D31" t="str">
            <v>MEDECIN GENERALISTE - ALCOOLOGUE</v>
          </cell>
          <cell r="E31">
            <v>22</v>
          </cell>
          <cell r="F31" t="str">
            <v>C</v>
          </cell>
          <cell r="G31" t="str">
            <v>B</v>
          </cell>
          <cell r="H31" t="str">
            <v>CDI</v>
          </cell>
          <cell r="I31" t="str">
            <v>TP</v>
          </cell>
          <cell r="J31">
            <v>0.6</v>
          </cell>
          <cell r="K31">
            <v>0.5</v>
          </cell>
          <cell r="L31">
            <v>3</v>
          </cell>
          <cell r="M31">
            <v>13</v>
          </cell>
          <cell r="Q31" t="str">
            <v>CH1</v>
          </cell>
          <cell r="R31" t="str">
            <v>N</v>
          </cell>
          <cell r="S31" t="str">
            <v>C</v>
          </cell>
          <cell r="W31">
            <v>1.4</v>
          </cell>
          <cell r="X31">
            <v>0</v>
          </cell>
          <cell r="Z31">
            <v>18</v>
          </cell>
          <cell r="AB31">
            <v>1</v>
          </cell>
          <cell r="AF31">
            <v>0</v>
          </cell>
          <cell r="AG31">
            <v>0</v>
          </cell>
          <cell r="AH31">
            <v>9</v>
          </cell>
          <cell r="AJ31">
            <v>0.6</v>
          </cell>
        </row>
        <row r="32">
          <cell r="A32" t="str">
            <v>Ch63</v>
          </cell>
          <cell r="B32" t="str">
            <v xml:space="preserve">COSSARD </v>
          </cell>
          <cell r="C32" t="str">
            <v>SYLVIE</v>
          </cell>
          <cell r="D32" t="str">
            <v>SECRETAIRE MEDICO-SOCIALE</v>
          </cell>
          <cell r="E32">
            <v>23</v>
          </cell>
          <cell r="F32" t="str">
            <v>C</v>
          </cell>
          <cell r="G32" t="str">
            <v>B</v>
          </cell>
          <cell r="H32" t="str">
            <v>CDI</v>
          </cell>
          <cell r="I32" t="str">
            <v>TC</v>
          </cell>
          <cell r="J32">
            <v>7</v>
          </cell>
          <cell r="K32">
            <v>5.833333333333333</v>
          </cell>
          <cell r="L32">
            <v>35</v>
          </cell>
          <cell r="M32">
            <v>151.66666666666666</v>
          </cell>
          <cell r="O32">
            <v>7.6</v>
          </cell>
          <cell r="P32">
            <v>38</v>
          </cell>
          <cell r="Q32" t="str">
            <v>CHS</v>
          </cell>
          <cell r="R32" t="str">
            <v>N</v>
          </cell>
          <cell r="S32" t="str">
            <v>C</v>
          </cell>
          <cell r="W32">
            <v>3.8299999999999983</v>
          </cell>
          <cell r="X32">
            <v>0</v>
          </cell>
          <cell r="Y32">
            <v>5.9200000000000008</v>
          </cell>
          <cell r="Z32">
            <v>12</v>
          </cell>
          <cell r="AB32">
            <v>1</v>
          </cell>
          <cell r="AF32">
            <v>0</v>
          </cell>
          <cell r="AG32">
            <v>44.992000000000004</v>
          </cell>
          <cell r="AH32">
            <v>70</v>
          </cell>
          <cell r="AJ32">
            <v>7</v>
          </cell>
        </row>
        <row r="33">
          <cell r="A33" t="str">
            <v>Chpha</v>
          </cell>
          <cell r="B33" t="str">
            <v>DENIAUD</v>
          </cell>
          <cell r="C33" t="str">
            <v>VIRGINIE</v>
          </cell>
          <cell r="D33" t="str">
            <v>PHARMACIENNE</v>
          </cell>
          <cell r="E33">
            <v>24</v>
          </cell>
          <cell r="F33" t="str">
            <v>C</v>
          </cell>
          <cell r="G33" t="str">
            <v>B</v>
          </cell>
          <cell r="H33" t="str">
            <v>CDI</v>
          </cell>
          <cell r="I33" t="str">
            <v>TP</v>
          </cell>
          <cell r="J33">
            <v>0.4</v>
          </cell>
          <cell r="K33">
            <v>0.33333333333333331</v>
          </cell>
          <cell r="L33">
            <v>2</v>
          </cell>
          <cell r="M33">
            <v>8.6666666666666661</v>
          </cell>
          <cell r="Q33" t="str">
            <v>CH1</v>
          </cell>
          <cell r="S33" t="str">
            <v>C</v>
          </cell>
        </row>
        <row r="34">
          <cell r="A34" t="str">
            <v>Ch23</v>
          </cell>
          <cell r="B34" t="str">
            <v>GAILLARD</v>
          </cell>
          <cell r="C34" t="str">
            <v>MELANIE</v>
          </cell>
          <cell r="D34" t="str">
            <v>PSYCHOLOGUE</v>
          </cell>
          <cell r="E34">
            <v>25</v>
          </cell>
          <cell r="F34" t="str">
            <v>C</v>
          </cell>
          <cell r="G34" t="str">
            <v>B</v>
          </cell>
          <cell r="H34" t="str">
            <v>CDI</v>
          </cell>
          <cell r="I34" t="str">
            <v>TP</v>
          </cell>
          <cell r="J34">
            <v>3.5</v>
          </cell>
          <cell r="K34">
            <v>2.9166666666666665</v>
          </cell>
          <cell r="L34">
            <v>17.5</v>
          </cell>
          <cell r="M34">
            <v>75.833333333333329</v>
          </cell>
          <cell r="Q34" t="str">
            <v>CH1</v>
          </cell>
          <cell r="R34" t="str">
            <v>N</v>
          </cell>
          <cell r="S34" t="str">
            <v>C</v>
          </cell>
          <cell r="W34">
            <v>14.34</v>
          </cell>
          <cell r="X34">
            <v>0</v>
          </cell>
          <cell r="Z34">
            <v>0</v>
          </cell>
          <cell r="AB34">
            <v>1.3333333333333333</v>
          </cell>
          <cell r="AF34">
            <v>0</v>
          </cell>
          <cell r="AH34">
            <v>0</v>
          </cell>
          <cell r="AJ34">
            <v>4.6666666666666661</v>
          </cell>
        </row>
        <row r="35">
          <cell r="A35" t="str">
            <v>Ch84</v>
          </cell>
          <cell r="B35" t="str">
            <v>GODET</v>
          </cell>
          <cell r="C35" t="str">
            <v>MARIE-BERNARD</v>
          </cell>
          <cell r="D35" t="str">
            <v>SOPHROLOGUE</v>
          </cell>
          <cell r="E35">
            <v>26</v>
          </cell>
          <cell r="F35" t="str">
            <v>C</v>
          </cell>
          <cell r="G35" t="str">
            <v>B</v>
          </cell>
          <cell r="H35" t="str">
            <v>CDI</v>
          </cell>
          <cell r="I35" t="str">
            <v>TP</v>
          </cell>
          <cell r="J35">
            <v>1.9</v>
          </cell>
          <cell r="K35">
            <v>1.5833333333333333</v>
          </cell>
          <cell r="L35">
            <v>9.5</v>
          </cell>
          <cell r="M35">
            <v>41.166666666666664</v>
          </cell>
          <cell r="Q35" t="str">
            <v>CH1</v>
          </cell>
          <cell r="R35" t="str">
            <v>N</v>
          </cell>
          <cell r="S35" t="str">
            <v>C</v>
          </cell>
          <cell r="W35">
            <v>13.240000000000002</v>
          </cell>
          <cell r="X35">
            <v>8</v>
          </cell>
          <cell r="Z35">
            <v>12</v>
          </cell>
          <cell r="AB35">
            <v>1</v>
          </cell>
          <cell r="AF35">
            <v>15.2</v>
          </cell>
          <cell r="AG35">
            <v>0</v>
          </cell>
          <cell r="AH35">
            <v>19</v>
          </cell>
          <cell r="AJ35">
            <v>1.9</v>
          </cell>
        </row>
        <row r="36">
          <cell r="A36" t="str">
            <v>Ch11</v>
          </cell>
          <cell r="B36" t="str">
            <v>HADDOU</v>
          </cell>
          <cell r="C36" t="str">
            <v>ALICE</v>
          </cell>
          <cell r="D36" t="str">
            <v>PSYCHOLOGUE</v>
          </cell>
          <cell r="E36">
            <v>27</v>
          </cell>
          <cell r="F36" t="str">
            <v>C</v>
          </cell>
          <cell r="G36" t="str">
            <v>B</v>
          </cell>
          <cell r="H36" t="str">
            <v>CDD</v>
          </cell>
          <cell r="I36" t="str">
            <v>TP</v>
          </cell>
          <cell r="J36">
            <v>5.25</v>
          </cell>
          <cell r="K36">
            <v>4.375</v>
          </cell>
          <cell r="L36">
            <v>26.25</v>
          </cell>
          <cell r="M36">
            <v>113.75</v>
          </cell>
          <cell r="Q36" t="str">
            <v>CH1</v>
          </cell>
          <cell r="R36" t="str">
            <v>N</v>
          </cell>
          <cell r="S36" t="str">
            <v>C</v>
          </cell>
          <cell r="W36">
            <v>-2</v>
          </cell>
          <cell r="X36">
            <v>0</v>
          </cell>
          <cell r="AB36">
            <v>0.5</v>
          </cell>
          <cell r="AF36">
            <v>0</v>
          </cell>
          <cell r="AG36">
            <v>0</v>
          </cell>
          <cell r="AH36">
            <v>0</v>
          </cell>
          <cell r="AJ36">
            <v>2.625</v>
          </cell>
        </row>
        <row r="37">
          <cell r="A37" t="str">
            <v>Ch06</v>
          </cell>
          <cell r="B37" t="str">
            <v>HERAULT</v>
          </cell>
          <cell r="C37" t="str">
            <v>MURIELLE</v>
          </cell>
          <cell r="D37" t="str">
            <v>INFIRMIERE</v>
          </cell>
          <cell r="E37">
            <v>28</v>
          </cell>
          <cell r="F37" t="str">
            <v>C</v>
          </cell>
          <cell r="G37" t="str">
            <v>B</v>
          </cell>
          <cell r="H37" t="str">
            <v>CDI</v>
          </cell>
          <cell r="I37" t="str">
            <v>TC</v>
          </cell>
          <cell r="J37">
            <v>7.5</v>
          </cell>
          <cell r="K37">
            <v>6.25</v>
          </cell>
          <cell r="L37">
            <v>37.5</v>
          </cell>
          <cell r="M37">
            <v>162.5</v>
          </cell>
          <cell r="O37">
            <v>7.5</v>
          </cell>
          <cell r="P37">
            <v>37.5</v>
          </cell>
          <cell r="Q37" t="str">
            <v>CHC</v>
          </cell>
          <cell r="R37" t="str">
            <v>N</v>
          </cell>
          <cell r="S37" t="str">
            <v>C</v>
          </cell>
          <cell r="W37">
            <v>37.58</v>
          </cell>
          <cell r="X37">
            <v>0</v>
          </cell>
          <cell r="Y37">
            <v>9</v>
          </cell>
          <cell r="Z37">
            <v>5</v>
          </cell>
          <cell r="AB37">
            <v>1.333333333333333</v>
          </cell>
          <cell r="AF37">
            <v>0</v>
          </cell>
          <cell r="AG37">
            <v>67.5</v>
          </cell>
          <cell r="AH37">
            <v>31.25</v>
          </cell>
          <cell r="AJ37">
            <v>9.9999999999999982</v>
          </cell>
        </row>
        <row r="38">
          <cell r="A38" t="str">
            <v>Ch07</v>
          </cell>
          <cell r="B38" t="str">
            <v>HUCHON</v>
          </cell>
          <cell r="C38" t="str">
            <v>JEAN-PIERRE</v>
          </cell>
          <cell r="D38" t="str">
            <v>EDUCATEUR SPECIALISE</v>
          </cell>
          <cell r="E38">
            <v>29</v>
          </cell>
          <cell r="F38" t="str">
            <v>C</v>
          </cell>
          <cell r="G38" t="str">
            <v>B</v>
          </cell>
          <cell r="H38" t="str">
            <v>CDI</v>
          </cell>
          <cell r="I38" t="str">
            <v>TCSR</v>
          </cell>
          <cell r="J38">
            <v>7</v>
          </cell>
          <cell r="K38">
            <v>5.833333333333333</v>
          </cell>
          <cell r="L38">
            <v>35</v>
          </cell>
          <cell r="M38">
            <v>151.66666666666666</v>
          </cell>
          <cell r="Q38" t="str">
            <v>CH1</v>
          </cell>
          <cell r="R38" t="str">
            <v>N</v>
          </cell>
          <cell r="S38" t="str">
            <v>C</v>
          </cell>
          <cell r="W38">
            <v>42.859999999999985</v>
          </cell>
          <cell r="X38">
            <v>6</v>
          </cell>
          <cell r="Y38">
            <v>0</v>
          </cell>
          <cell r="Z38">
            <v>6</v>
          </cell>
          <cell r="AA38">
            <v>4.2</v>
          </cell>
          <cell r="AB38">
            <v>5.33</v>
          </cell>
          <cell r="AF38">
            <v>47</v>
          </cell>
          <cell r="AG38">
            <v>0</v>
          </cell>
          <cell r="AH38">
            <v>35</v>
          </cell>
          <cell r="AI38">
            <v>29.400000000000002</v>
          </cell>
          <cell r="AJ38">
            <v>37.31</v>
          </cell>
          <cell r="AK38">
            <v>0</v>
          </cell>
        </row>
        <row r="39">
          <cell r="A39" t="str">
            <v>Ch37</v>
          </cell>
          <cell r="B39" t="str">
            <v>JAGUENEAU</v>
          </cell>
          <cell r="C39" t="str">
            <v>CENDRINE</v>
          </cell>
          <cell r="D39" t="str">
            <v>MEDECIN</v>
          </cell>
          <cell r="E39">
            <v>30</v>
          </cell>
          <cell r="F39" t="str">
            <v>C</v>
          </cell>
          <cell r="G39" t="str">
            <v>B</v>
          </cell>
          <cell r="H39" t="str">
            <v>CDI</v>
          </cell>
          <cell r="I39" t="str">
            <v>TP</v>
          </cell>
          <cell r="J39">
            <v>1.8</v>
          </cell>
          <cell r="K39">
            <v>1.5</v>
          </cell>
          <cell r="L39">
            <v>9</v>
          </cell>
          <cell r="M39">
            <v>39</v>
          </cell>
          <cell r="Q39" t="str">
            <v>CH1</v>
          </cell>
          <cell r="R39" t="str">
            <v>N</v>
          </cell>
          <cell r="S39" t="str">
            <v>C</v>
          </cell>
          <cell r="W39">
            <v>0.5</v>
          </cell>
          <cell r="X39">
            <v>1</v>
          </cell>
          <cell r="Z39">
            <v>1</v>
          </cell>
          <cell r="AB39">
            <v>4</v>
          </cell>
          <cell r="AF39">
            <v>1.8</v>
          </cell>
          <cell r="AG39">
            <v>0</v>
          </cell>
          <cell r="AH39">
            <v>1.5</v>
          </cell>
          <cell r="AJ39">
            <v>7.2</v>
          </cell>
        </row>
        <row r="40">
          <cell r="A40" t="str">
            <v>Ch72</v>
          </cell>
          <cell r="B40" t="str">
            <v>LE LUEC</v>
          </cell>
          <cell r="C40" t="str">
            <v>STEPHANE</v>
          </cell>
          <cell r="D40" t="str">
            <v>MEDECIN GENERALISTE - ALCOOLOGUE</v>
          </cell>
          <cell r="E40">
            <v>31</v>
          </cell>
          <cell r="F40" t="str">
            <v>C</v>
          </cell>
          <cell r="G40" t="str">
            <v>B</v>
          </cell>
          <cell r="H40" t="str">
            <v>CDI</v>
          </cell>
          <cell r="I40" t="str">
            <v>TP</v>
          </cell>
          <cell r="J40">
            <v>1.2</v>
          </cell>
          <cell r="K40">
            <v>1</v>
          </cell>
          <cell r="L40">
            <v>6</v>
          </cell>
          <cell r="M40">
            <v>26</v>
          </cell>
          <cell r="Q40" t="str">
            <v>CH1</v>
          </cell>
          <cell r="R40" t="str">
            <v>N</v>
          </cell>
          <cell r="S40" t="str">
            <v>C</v>
          </cell>
          <cell r="W40">
            <v>1.4000000000000004</v>
          </cell>
          <cell r="X40">
            <v>2</v>
          </cell>
          <cell r="Z40">
            <v>12</v>
          </cell>
          <cell r="AB40">
            <v>6</v>
          </cell>
          <cell r="AF40">
            <v>2.4</v>
          </cell>
          <cell r="AG40">
            <v>0</v>
          </cell>
          <cell r="AH40">
            <v>12</v>
          </cell>
          <cell r="AJ40">
            <v>7.1999999999999993</v>
          </cell>
        </row>
        <row r="41">
          <cell r="A41" t="str">
            <v>Chpha</v>
          </cell>
          <cell r="B41" t="str">
            <v>PARES</v>
          </cell>
          <cell r="C41" t="str">
            <v>CHRISTINE</v>
          </cell>
          <cell r="D41" t="str">
            <v>PHARMACIENNE</v>
          </cell>
          <cell r="E41">
            <v>32</v>
          </cell>
          <cell r="F41" t="str">
            <v>C</v>
          </cell>
          <cell r="G41" t="str">
            <v>B</v>
          </cell>
          <cell r="H41" t="str">
            <v>CDI</v>
          </cell>
          <cell r="I41" t="str">
            <v>TP</v>
          </cell>
          <cell r="J41">
            <v>0.4</v>
          </cell>
          <cell r="K41">
            <v>0.33333333333333331</v>
          </cell>
          <cell r="L41">
            <v>2</v>
          </cell>
          <cell r="M41">
            <v>8.6666666666666661</v>
          </cell>
          <cell r="Q41" t="str">
            <v>CH1</v>
          </cell>
          <cell r="R41" t="str">
            <v>N</v>
          </cell>
          <cell r="S41" t="str">
            <v>C</v>
          </cell>
          <cell r="W41">
            <v>1.3200000000000003</v>
          </cell>
          <cell r="X41">
            <v>0</v>
          </cell>
          <cell r="Z41">
            <v>2</v>
          </cell>
          <cell r="AB41">
            <v>2.66</v>
          </cell>
          <cell r="AF41">
            <v>0</v>
          </cell>
          <cell r="AG41">
            <v>0</v>
          </cell>
          <cell r="AH41">
            <v>0.66666666666666663</v>
          </cell>
          <cell r="AI41">
            <v>0</v>
          </cell>
          <cell r="AJ41">
            <v>1.0640000000000001</v>
          </cell>
        </row>
        <row r="42">
          <cell r="A42" t="str">
            <v>Ch14</v>
          </cell>
          <cell r="B42" t="str">
            <v>PAVAGEAU</v>
          </cell>
          <cell r="C42" t="str">
            <v>FLORENT</v>
          </cell>
          <cell r="D42" t="str">
            <v>EDUCATEUR SPECIALISE</v>
          </cell>
          <cell r="E42">
            <v>33</v>
          </cell>
          <cell r="F42" t="str">
            <v>C</v>
          </cell>
          <cell r="G42" t="str">
            <v>B</v>
          </cell>
          <cell r="H42" t="str">
            <v>CDI</v>
          </cell>
          <cell r="I42" t="str">
            <v>TCD</v>
          </cell>
          <cell r="J42">
            <v>7</v>
          </cell>
          <cell r="K42">
            <v>5.833333333333333</v>
          </cell>
          <cell r="L42">
            <v>35</v>
          </cell>
          <cell r="M42">
            <v>151.66666666666666</v>
          </cell>
          <cell r="O42">
            <v>7.5</v>
          </cell>
          <cell r="P42">
            <v>37.5</v>
          </cell>
          <cell r="Q42" t="str">
            <v>CHC</v>
          </cell>
          <cell r="R42" t="str">
            <v>D</v>
          </cell>
          <cell r="S42" t="str">
            <v>C</v>
          </cell>
          <cell r="W42">
            <v>-1.7599999999999998</v>
          </cell>
          <cell r="X42">
            <v>0</v>
          </cell>
          <cell r="Y42">
            <v>8.5</v>
          </cell>
          <cell r="Z42">
            <v>6</v>
          </cell>
          <cell r="AA42">
            <v>2.52</v>
          </cell>
          <cell r="AB42">
            <v>4</v>
          </cell>
          <cell r="AF42">
            <v>0</v>
          </cell>
          <cell r="AG42">
            <v>63.75</v>
          </cell>
          <cell r="AH42">
            <v>35</v>
          </cell>
          <cell r="AI42">
            <v>17.64</v>
          </cell>
          <cell r="AJ42">
            <v>28</v>
          </cell>
        </row>
        <row r="43">
          <cell r="A43" t="str">
            <v>Ch29</v>
          </cell>
          <cell r="B43" t="str">
            <v>QUEMENER</v>
          </cell>
          <cell r="C43" t="str">
            <v>JOCELYNE</v>
          </cell>
          <cell r="D43" t="str">
            <v>MEDECIN</v>
          </cell>
          <cell r="E43">
            <v>34</v>
          </cell>
          <cell r="F43" t="str">
            <v>C</v>
          </cell>
          <cell r="G43" t="str">
            <v>B</v>
          </cell>
          <cell r="H43" t="str">
            <v>CDD</v>
          </cell>
          <cell r="I43" t="str">
            <v>TP</v>
          </cell>
          <cell r="J43">
            <v>1</v>
          </cell>
          <cell r="K43">
            <v>0.83333333333333337</v>
          </cell>
          <cell r="L43">
            <v>5</v>
          </cell>
          <cell r="M43">
            <v>21.666666666666668</v>
          </cell>
          <cell r="Q43" t="str">
            <v>CH1</v>
          </cell>
          <cell r="R43" t="str">
            <v>N</v>
          </cell>
          <cell r="S43" t="str">
            <v>C</v>
          </cell>
          <cell r="W43">
            <v>-2.0099999999999998</v>
          </cell>
          <cell r="X43">
            <v>0</v>
          </cell>
          <cell r="Z43">
            <v>0</v>
          </cell>
          <cell r="AB43">
            <v>1.155</v>
          </cell>
          <cell r="AF43">
            <v>0</v>
          </cell>
          <cell r="AG43">
            <v>0</v>
          </cell>
          <cell r="AH43">
            <v>0</v>
          </cell>
          <cell r="AI43">
            <v>0</v>
          </cell>
          <cell r="AJ43">
            <v>1.155</v>
          </cell>
        </row>
        <row r="44">
          <cell r="A44" t="str">
            <v>Ch43</v>
          </cell>
          <cell r="B44" t="str">
            <v>VALANCHON</v>
          </cell>
          <cell r="C44" t="str">
            <v>AUDREY</v>
          </cell>
          <cell r="D44" t="str">
            <v>PSYCHOLOGUE</v>
          </cell>
          <cell r="E44">
            <v>35</v>
          </cell>
          <cell r="F44" t="str">
            <v>C</v>
          </cell>
          <cell r="G44" t="str">
            <v>B</v>
          </cell>
          <cell r="H44" t="str">
            <v>CDI</v>
          </cell>
          <cell r="I44" t="str">
            <v>TP</v>
          </cell>
          <cell r="J44">
            <v>3.5</v>
          </cell>
          <cell r="K44">
            <v>2.9166666666666665</v>
          </cell>
          <cell r="L44">
            <v>17.5</v>
          </cell>
          <cell r="M44">
            <v>75.833333333333329</v>
          </cell>
          <cell r="O44">
            <v>3.8</v>
          </cell>
          <cell r="P44">
            <v>19</v>
          </cell>
          <cell r="Q44" t="str">
            <v>CHB</v>
          </cell>
          <cell r="R44" t="str">
            <v>N</v>
          </cell>
          <cell r="S44" t="str">
            <v>C</v>
          </cell>
          <cell r="W44">
            <v>8.3300000000000018</v>
          </cell>
          <cell r="X44">
            <v>4</v>
          </cell>
          <cell r="Y44">
            <v>16.5</v>
          </cell>
          <cell r="Z44">
            <v>6</v>
          </cell>
          <cell r="AB44">
            <v>4</v>
          </cell>
          <cell r="AF44">
            <v>14</v>
          </cell>
          <cell r="AG44">
            <v>62.699999999999996</v>
          </cell>
          <cell r="AH44">
            <v>17.5</v>
          </cell>
          <cell r="AI44">
            <v>0</v>
          </cell>
          <cell r="AJ44">
            <v>14</v>
          </cell>
        </row>
        <row r="46">
          <cell r="A46" t="str">
            <v>Sa40</v>
          </cell>
          <cell r="B46" t="str">
            <v>BATTREAU</v>
          </cell>
          <cell r="C46" t="str">
            <v>PIERRE</v>
          </cell>
          <cell r="D46" t="str">
            <v>MEDECIN</v>
          </cell>
          <cell r="E46">
            <v>36</v>
          </cell>
          <cell r="F46" t="str">
            <v>E</v>
          </cell>
          <cell r="G46" t="str">
            <v>P</v>
          </cell>
          <cell r="H46" t="str">
            <v>CDI</v>
          </cell>
          <cell r="I46" t="str">
            <v>TP</v>
          </cell>
          <cell r="J46">
            <v>1.6</v>
          </cell>
          <cell r="K46">
            <v>1.3333333333333333</v>
          </cell>
          <cell r="L46">
            <v>8</v>
          </cell>
          <cell r="M46">
            <v>34.666666666666664</v>
          </cell>
          <cell r="Q46" t="str">
            <v>CH1</v>
          </cell>
          <cell r="R46" t="str">
            <v>N</v>
          </cell>
          <cell r="S46" t="str">
            <v>C</v>
          </cell>
          <cell r="W46">
            <v>6.2399999999999984</v>
          </cell>
          <cell r="X46">
            <v>1</v>
          </cell>
          <cell r="Z46">
            <v>8</v>
          </cell>
          <cell r="AB46">
            <v>1.33</v>
          </cell>
          <cell r="AF46">
            <v>1.6</v>
          </cell>
          <cell r="AH46">
            <v>10.666666666666666</v>
          </cell>
          <cell r="AJ46">
            <v>2.1379999999999999</v>
          </cell>
        </row>
        <row r="47">
          <cell r="A47" t="str">
            <v>Sa72</v>
          </cell>
          <cell r="B47" t="str">
            <v>BELLANGER</v>
          </cell>
          <cell r="C47" t="str">
            <v>ANNE</v>
          </cell>
          <cell r="D47" t="str">
            <v>SECRETAIRE MEDICO-SOCIALE</v>
          </cell>
          <cell r="E47">
            <v>37</v>
          </cell>
          <cell r="F47" t="str">
            <v>E</v>
          </cell>
          <cell r="G47" t="str">
            <v>P</v>
          </cell>
          <cell r="H47" t="str">
            <v>CDI</v>
          </cell>
          <cell r="I47" t="str">
            <v>TCD</v>
          </cell>
          <cell r="J47">
            <v>7</v>
          </cell>
          <cell r="K47">
            <v>5.833333333333333</v>
          </cell>
          <cell r="L47">
            <v>35</v>
          </cell>
          <cell r="M47">
            <v>151.66666666666666</v>
          </cell>
          <cell r="O47">
            <v>7.4</v>
          </cell>
          <cell r="P47">
            <v>37</v>
          </cell>
          <cell r="Q47" t="str">
            <v>CHD</v>
          </cell>
          <cell r="R47" t="str">
            <v>D</v>
          </cell>
          <cell r="S47" t="str">
            <v>C</v>
          </cell>
          <cell r="W47">
            <v>-5.0000000000000009</v>
          </cell>
          <cell r="X47">
            <v>0</v>
          </cell>
          <cell r="Y47">
            <v>0</v>
          </cell>
          <cell r="Z47">
            <v>4</v>
          </cell>
          <cell r="AA47">
            <v>1</v>
          </cell>
          <cell r="AB47">
            <v>2</v>
          </cell>
          <cell r="AF47">
            <v>0</v>
          </cell>
          <cell r="AG47">
            <v>0</v>
          </cell>
          <cell r="AH47">
            <v>23.333333333333332</v>
          </cell>
          <cell r="AI47">
            <v>7</v>
          </cell>
          <cell r="AJ47">
            <v>14</v>
          </cell>
        </row>
        <row r="48">
          <cell r="A48" t="str">
            <v>Sa83</v>
          </cell>
          <cell r="B48" t="str">
            <v>BEULAY</v>
          </cell>
          <cell r="C48" t="str">
            <v>CORINNE</v>
          </cell>
          <cell r="D48" t="str">
            <v>PSYCHOLOGUE</v>
          </cell>
          <cell r="E48">
            <v>38</v>
          </cell>
          <cell r="F48" t="str">
            <v>E</v>
          </cell>
          <cell r="G48" t="str">
            <v>P</v>
          </cell>
          <cell r="H48" t="str">
            <v>CDI</v>
          </cell>
          <cell r="I48" t="str">
            <v>TP</v>
          </cell>
          <cell r="J48">
            <v>4.8</v>
          </cell>
          <cell r="K48">
            <v>4</v>
          </cell>
          <cell r="L48">
            <v>24</v>
          </cell>
          <cell r="M48">
            <v>104</v>
          </cell>
          <cell r="Q48" t="str">
            <v>CHB</v>
          </cell>
          <cell r="R48" t="str">
            <v>N</v>
          </cell>
          <cell r="S48" t="str">
            <v>C</v>
          </cell>
          <cell r="T48" t="str">
            <v>TR</v>
          </cell>
          <cell r="W48">
            <v>-0.98000000000000043</v>
          </cell>
          <cell r="X48">
            <v>0</v>
          </cell>
          <cell r="Y48">
            <v>5</v>
          </cell>
          <cell r="Z48">
            <v>6</v>
          </cell>
          <cell r="AB48">
            <v>3</v>
          </cell>
          <cell r="AC48">
            <v>0</v>
          </cell>
          <cell r="AF48">
            <v>0</v>
          </cell>
          <cell r="AG48">
            <v>0</v>
          </cell>
          <cell r="AH48">
            <v>24</v>
          </cell>
          <cell r="AJ48">
            <v>14.399999999999999</v>
          </cell>
          <cell r="AK48">
            <v>0</v>
          </cell>
        </row>
        <row r="49">
          <cell r="A49" t="str">
            <v>Sa24</v>
          </cell>
          <cell r="B49" t="str">
            <v>BEVILLE</v>
          </cell>
          <cell r="C49" t="str">
            <v>KARINA</v>
          </cell>
          <cell r="D49" t="str">
            <v>COORDONNATRICE - EDUCATRICE SPECIALISEE</v>
          </cell>
          <cell r="E49">
            <v>39</v>
          </cell>
          <cell r="F49" t="str">
            <v>E</v>
          </cell>
          <cell r="G49" t="str">
            <v>P</v>
          </cell>
          <cell r="H49" t="str">
            <v>CDI</v>
          </cell>
          <cell r="I49" t="str">
            <v>TC</v>
          </cell>
          <cell r="J49">
            <v>7</v>
          </cell>
          <cell r="K49">
            <v>5.833333333333333</v>
          </cell>
          <cell r="L49">
            <v>35</v>
          </cell>
          <cell r="M49">
            <v>151.66666666666666</v>
          </cell>
          <cell r="O49">
            <v>7.8</v>
          </cell>
          <cell r="P49">
            <v>39</v>
          </cell>
          <cell r="Q49" t="str">
            <v>CHA</v>
          </cell>
          <cell r="R49" t="str">
            <v>N</v>
          </cell>
          <cell r="S49" t="str">
            <v>C</v>
          </cell>
          <cell r="W49">
            <v>28.230000000000004</v>
          </cell>
          <cell r="X49">
            <v>0</v>
          </cell>
          <cell r="Y49">
            <v>17.682000000000002</v>
          </cell>
          <cell r="Z49">
            <v>6</v>
          </cell>
          <cell r="AB49">
            <v>2</v>
          </cell>
          <cell r="AF49">
            <v>0</v>
          </cell>
          <cell r="AG49">
            <v>137.9196</v>
          </cell>
          <cell r="AH49">
            <v>35</v>
          </cell>
          <cell r="AJ49">
            <v>14</v>
          </cell>
        </row>
        <row r="50">
          <cell r="A50" t="str">
            <v>Sa42</v>
          </cell>
          <cell r="B50" t="str">
            <v>BOURNAZEL</v>
          </cell>
          <cell r="C50" t="str">
            <v>VALERIE</v>
          </cell>
          <cell r="D50" t="str">
            <v>MEDECIN ADDICTOLOGUE</v>
          </cell>
          <cell r="E50">
            <v>40</v>
          </cell>
          <cell r="F50" t="str">
            <v>E</v>
          </cell>
          <cell r="G50" t="str">
            <v>P</v>
          </cell>
          <cell r="H50" t="str">
            <v>CDI</v>
          </cell>
          <cell r="I50" t="str">
            <v>TP</v>
          </cell>
          <cell r="J50">
            <v>2</v>
          </cell>
          <cell r="K50">
            <v>1.6666666666666667</v>
          </cell>
          <cell r="L50">
            <v>10</v>
          </cell>
          <cell r="M50">
            <v>43.333333333333336</v>
          </cell>
          <cell r="Q50" t="str">
            <v>CH1</v>
          </cell>
          <cell r="R50" t="str">
            <v>N</v>
          </cell>
          <cell r="S50" t="str">
            <v>C</v>
          </cell>
          <cell r="W50">
            <v>27.159999999999997</v>
          </cell>
          <cell r="X50">
            <v>3</v>
          </cell>
          <cell r="Z50">
            <v>6</v>
          </cell>
          <cell r="AB50">
            <v>3.33</v>
          </cell>
          <cell r="AF50">
            <v>6</v>
          </cell>
          <cell r="AG50">
            <v>0</v>
          </cell>
          <cell r="AH50">
            <v>10</v>
          </cell>
          <cell r="AJ50">
            <v>6.66</v>
          </cell>
        </row>
        <row r="51">
          <cell r="A51" t="str">
            <v>Sa17</v>
          </cell>
          <cell r="B51" t="str">
            <v>BRUNET</v>
          </cell>
          <cell r="C51" t="str">
            <v>MARIE-THERESE</v>
          </cell>
          <cell r="D51" t="str">
            <v>INFIRMIERE IDE</v>
          </cell>
          <cell r="E51">
            <v>41</v>
          </cell>
          <cell r="F51" t="str">
            <v>E</v>
          </cell>
          <cell r="G51" t="str">
            <v>P</v>
          </cell>
          <cell r="H51" t="str">
            <v>CDI</v>
          </cell>
          <cell r="I51" t="str">
            <v>TC</v>
          </cell>
          <cell r="J51">
            <v>7</v>
          </cell>
          <cell r="K51">
            <v>5.833333333333333</v>
          </cell>
          <cell r="L51">
            <v>35</v>
          </cell>
          <cell r="M51">
            <v>151.66666666666666</v>
          </cell>
          <cell r="O51">
            <v>7.8</v>
          </cell>
          <cell r="P51">
            <v>39</v>
          </cell>
          <cell r="Q51" t="str">
            <v>CHA</v>
          </cell>
          <cell r="R51" t="str">
            <v>N</v>
          </cell>
          <cell r="S51" t="str">
            <v>C</v>
          </cell>
          <cell r="W51">
            <v>6.4500000000000011</v>
          </cell>
          <cell r="X51">
            <v>1</v>
          </cell>
          <cell r="Y51">
            <v>1.6820000000000006</v>
          </cell>
          <cell r="Z51">
            <v>12</v>
          </cell>
          <cell r="AB51">
            <v>1.5</v>
          </cell>
          <cell r="AF51">
            <v>7</v>
          </cell>
          <cell r="AG51">
            <v>13.119600000000004</v>
          </cell>
          <cell r="AH51">
            <v>70</v>
          </cell>
          <cell r="AJ51">
            <v>10.5</v>
          </cell>
        </row>
        <row r="52">
          <cell r="A52" t="str">
            <v>Sa58</v>
          </cell>
          <cell r="B52" t="str">
            <v>ROULET</v>
          </cell>
          <cell r="C52" t="str">
            <v>JEANNINE</v>
          </cell>
          <cell r="D52" t="str">
            <v>INFIRMIERE</v>
          </cell>
          <cell r="E52">
            <v>42</v>
          </cell>
          <cell r="F52" t="str">
            <v>E</v>
          </cell>
          <cell r="G52" t="str">
            <v>P</v>
          </cell>
          <cell r="H52" t="str">
            <v>CDI</v>
          </cell>
          <cell r="I52" t="str">
            <v>TPA</v>
          </cell>
          <cell r="J52">
            <v>4.2</v>
          </cell>
          <cell r="K52">
            <v>3.5</v>
          </cell>
          <cell r="L52">
            <v>21</v>
          </cell>
          <cell r="M52">
            <v>91</v>
          </cell>
          <cell r="O52">
            <v>4.5</v>
          </cell>
          <cell r="P52">
            <v>22.5</v>
          </cell>
          <cell r="Q52" t="str">
            <v>CHC</v>
          </cell>
          <cell r="R52" t="str">
            <v>N</v>
          </cell>
          <cell r="S52" t="str">
            <v>C</v>
          </cell>
          <cell r="W52">
            <v>1.4299999999999997</v>
          </cell>
          <cell r="X52">
            <v>0</v>
          </cell>
          <cell r="Y52">
            <v>10</v>
          </cell>
          <cell r="Z52">
            <v>0</v>
          </cell>
          <cell r="AB52">
            <v>4</v>
          </cell>
          <cell r="AF52">
            <v>0</v>
          </cell>
          <cell r="AG52">
            <v>45</v>
          </cell>
          <cell r="AH52">
            <v>0</v>
          </cell>
          <cell r="AJ52">
            <v>16.8</v>
          </cell>
        </row>
        <row r="54">
          <cell r="A54" t="str">
            <v>An28</v>
          </cell>
          <cell r="B54" t="str">
            <v>AVRIL</v>
          </cell>
          <cell r="C54" t="str">
            <v>PRISCILLA</v>
          </cell>
          <cell r="D54" t="str">
            <v>ASSISTANTE SOCIALE</v>
          </cell>
          <cell r="E54">
            <v>43</v>
          </cell>
          <cell r="F54" t="str">
            <v>C</v>
          </cell>
          <cell r="G54" t="str">
            <v>A</v>
          </cell>
          <cell r="H54" t="str">
            <v>CDD</v>
          </cell>
          <cell r="I54" t="str">
            <v>TCSR</v>
          </cell>
          <cell r="J54">
            <v>7</v>
          </cell>
          <cell r="K54">
            <v>5.833333333333333</v>
          </cell>
          <cell r="L54">
            <v>35</v>
          </cell>
          <cell r="M54">
            <v>151.66666666666666</v>
          </cell>
          <cell r="Q54" t="str">
            <v>CH1</v>
          </cell>
          <cell r="R54" t="str">
            <v>N</v>
          </cell>
          <cell r="S54" t="str">
            <v>C</v>
          </cell>
          <cell r="W54">
            <v>2.9700000000000006</v>
          </cell>
          <cell r="X54">
            <v>0</v>
          </cell>
          <cell r="Z54">
            <v>0</v>
          </cell>
          <cell r="AB54">
            <v>0.41666666666666663</v>
          </cell>
          <cell r="AF54">
            <v>0</v>
          </cell>
          <cell r="AH54">
            <v>0</v>
          </cell>
          <cell r="AJ54">
            <v>2.9166666666666665</v>
          </cell>
          <cell r="AN54" t="str">
            <v>ok au 31/12</v>
          </cell>
        </row>
        <row r="55">
          <cell r="A55" t="str">
            <v>An76</v>
          </cell>
          <cell r="B55" t="str">
            <v>BEAUDUSSEAU</v>
          </cell>
          <cell r="C55" t="str">
            <v>MICKAEL</v>
          </cell>
          <cell r="D55" t="str">
            <v>COORDONNATEUR - EDUCATEUR TECHNIQUE SPECIALISE</v>
          </cell>
          <cell r="E55">
            <v>44</v>
          </cell>
          <cell r="F55" t="str">
            <v>C</v>
          </cell>
          <cell r="G55" t="str">
            <v>A</v>
          </cell>
          <cell r="H55" t="str">
            <v>CDI</v>
          </cell>
          <cell r="I55" t="str">
            <v>TPA</v>
          </cell>
          <cell r="J55">
            <v>5.6</v>
          </cell>
          <cell r="K55">
            <v>4.666666666666667</v>
          </cell>
          <cell r="L55">
            <v>28</v>
          </cell>
          <cell r="M55">
            <v>121.33333333333333</v>
          </cell>
          <cell r="O55">
            <v>6</v>
          </cell>
          <cell r="P55">
            <v>30</v>
          </cell>
          <cell r="Q55" t="str">
            <v>CHA</v>
          </cell>
          <cell r="R55" t="str">
            <v>N</v>
          </cell>
          <cell r="S55" t="str">
            <v>C</v>
          </cell>
          <cell r="W55">
            <v>30.5</v>
          </cell>
          <cell r="X55">
            <v>1</v>
          </cell>
          <cell r="Y55">
            <v>6</v>
          </cell>
          <cell r="Z55">
            <v>13</v>
          </cell>
          <cell r="AF55">
            <v>5.6</v>
          </cell>
          <cell r="AG55">
            <v>36</v>
          </cell>
          <cell r="AH55">
            <v>60.666666666666671</v>
          </cell>
          <cell r="AJ55">
            <v>0</v>
          </cell>
          <cell r="AN55" t="str">
            <v>ok au 31/12</v>
          </cell>
        </row>
        <row r="56">
          <cell r="A56" t="str">
            <v>An22</v>
          </cell>
          <cell r="B56" t="str">
            <v xml:space="preserve">BIROT </v>
          </cell>
          <cell r="C56" t="str">
            <v>VINCENT</v>
          </cell>
          <cell r="D56" t="str">
            <v>PSYCHOLOGUE</v>
          </cell>
          <cell r="E56">
            <v>45</v>
          </cell>
          <cell r="F56" t="str">
            <v>C</v>
          </cell>
          <cell r="G56" t="str">
            <v>A</v>
          </cell>
          <cell r="H56" t="str">
            <v>CDI</v>
          </cell>
          <cell r="I56" t="str">
            <v>TP</v>
          </cell>
          <cell r="J56">
            <v>5.6</v>
          </cell>
          <cell r="K56">
            <v>4.666666666666667</v>
          </cell>
          <cell r="L56">
            <v>28</v>
          </cell>
          <cell r="M56">
            <v>121.33333333333333</v>
          </cell>
          <cell r="Q56" t="str">
            <v>CH1</v>
          </cell>
          <cell r="R56" t="str">
            <v>N</v>
          </cell>
          <cell r="S56" t="str">
            <v>C</v>
          </cell>
          <cell r="W56">
            <v>6.46</v>
          </cell>
          <cell r="X56">
            <v>0</v>
          </cell>
          <cell r="Z56">
            <v>8</v>
          </cell>
          <cell r="AB56">
            <v>1</v>
          </cell>
          <cell r="AF56">
            <v>0</v>
          </cell>
          <cell r="AH56">
            <v>37.333333333333336</v>
          </cell>
          <cell r="AJ56">
            <v>5.6</v>
          </cell>
          <cell r="AN56" t="str">
            <v>ok au 31/12</v>
          </cell>
        </row>
        <row r="57">
          <cell r="A57" t="str">
            <v>An19</v>
          </cell>
          <cell r="B57" t="str">
            <v>BLANCHARD</v>
          </cell>
          <cell r="C57" t="str">
            <v>JEAN-BAPTISTE</v>
          </cell>
          <cell r="D57" t="str">
            <v>EDUCATEUR SPECIALISE</v>
          </cell>
          <cell r="E57">
            <v>46</v>
          </cell>
          <cell r="F57" t="str">
            <v>C</v>
          </cell>
          <cell r="G57" t="str">
            <v>A</v>
          </cell>
          <cell r="H57" t="str">
            <v>CDI</v>
          </cell>
          <cell r="I57" t="str">
            <v>TC</v>
          </cell>
          <cell r="J57">
            <v>7</v>
          </cell>
          <cell r="K57">
            <v>5.833333333333333</v>
          </cell>
          <cell r="L57">
            <v>35</v>
          </cell>
          <cell r="M57">
            <v>151.66666666666666</v>
          </cell>
          <cell r="O57">
            <v>7.8</v>
          </cell>
          <cell r="P57">
            <v>39</v>
          </cell>
          <cell r="Q57" t="str">
            <v>CHA</v>
          </cell>
          <cell r="R57" t="str">
            <v>N</v>
          </cell>
          <cell r="S57" t="str">
            <v>C</v>
          </cell>
          <cell r="W57">
            <v>-4.3999999999999995</v>
          </cell>
          <cell r="X57">
            <v>1</v>
          </cell>
          <cell r="Y57">
            <v>0.66666666666666696</v>
          </cell>
          <cell r="Z57">
            <v>0</v>
          </cell>
          <cell r="AB57">
            <v>1.3333333333333333</v>
          </cell>
          <cell r="AF57">
            <v>7</v>
          </cell>
          <cell r="AG57">
            <v>5.200000000000002</v>
          </cell>
          <cell r="AH57">
            <v>0</v>
          </cell>
          <cell r="AJ57">
            <v>9.3333333333333321</v>
          </cell>
          <cell r="AN57" t="str">
            <v>ok au 31/12</v>
          </cell>
        </row>
        <row r="58">
          <cell r="A58" t="str">
            <v>An12</v>
          </cell>
          <cell r="B58" t="str">
            <v>CARRE</v>
          </cell>
          <cell r="C58" t="str">
            <v>FRANCOISE</v>
          </cell>
          <cell r="D58" t="str">
            <v>EDUCATRICE SPECIALISEE</v>
          </cell>
          <cell r="E58">
            <v>47</v>
          </cell>
          <cell r="F58" t="str">
            <v>C</v>
          </cell>
          <cell r="G58" t="str">
            <v>A</v>
          </cell>
          <cell r="H58" t="str">
            <v>CDI</v>
          </cell>
          <cell r="I58" t="str">
            <v>TP</v>
          </cell>
          <cell r="J58">
            <v>5.6</v>
          </cell>
          <cell r="K58">
            <v>4.666666666666667</v>
          </cell>
          <cell r="L58">
            <v>28</v>
          </cell>
          <cell r="M58">
            <v>121.33333333333333</v>
          </cell>
          <cell r="Q58" t="str">
            <v>CH166</v>
          </cell>
          <cell r="R58" t="str">
            <v>N</v>
          </cell>
          <cell r="S58" t="str">
            <v>O</v>
          </cell>
          <cell r="U58" t="str">
            <v>ANC</v>
          </cell>
          <cell r="W58">
            <v>494.34000000000003</v>
          </cell>
          <cell r="X58">
            <v>1</v>
          </cell>
          <cell r="Z58">
            <v>22</v>
          </cell>
          <cell r="AD58">
            <v>3</v>
          </cell>
          <cell r="AF58">
            <v>5.6</v>
          </cell>
          <cell r="AH58">
            <v>102.66666666666667</v>
          </cell>
          <cell r="AL58">
            <v>16.799999999999997</v>
          </cell>
          <cell r="AN58" t="str">
            <v>ok au 31/12</v>
          </cell>
        </row>
        <row r="59">
          <cell r="A59" t="str">
            <v>An38</v>
          </cell>
          <cell r="B59" t="str">
            <v>COAT-RIVRY</v>
          </cell>
          <cell r="C59" t="str">
            <v>MARYVONNE</v>
          </cell>
          <cell r="D59" t="str">
            <v>PSYCHOLOGUE</v>
          </cell>
          <cell r="E59">
            <v>48</v>
          </cell>
          <cell r="F59" t="str">
            <v>C</v>
          </cell>
          <cell r="G59" t="str">
            <v>A</v>
          </cell>
          <cell r="H59" t="str">
            <v>CDI</v>
          </cell>
          <cell r="I59" t="str">
            <v>TP</v>
          </cell>
          <cell r="J59">
            <v>5.6</v>
          </cell>
          <cell r="K59">
            <v>4.666666666666667</v>
          </cell>
          <cell r="L59">
            <v>28</v>
          </cell>
          <cell r="M59">
            <v>121.33333333333333</v>
          </cell>
          <cell r="Q59" t="str">
            <v>CH166</v>
          </cell>
          <cell r="R59" t="str">
            <v>N</v>
          </cell>
          <cell r="S59" t="str">
            <v>O</v>
          </cell>
          <cell r="U59" t="str">
            <v>ANC</v>
          </cell>
          <cell r="W59">
            <v>12.600000000000005</v>
          </cell>
          <cell r="X59">
            <v>3</v>
          </cell>
          <cell r="Z59">
            <v>18</v>
          </cell>
          <cell r="AD59">
            <v>2</v>
          </cell>
          <cell r="AF59">
            <v>16.799999999999997</v>
          </cell>
          <cell r="AH59">
            <v>84</v>
          </cell>
          <cell r="AL59">
            <v>11.2</v>
          </cell>
          <cell r="AN59" t="str">
            <v>ok au 31/12</v>
          </cell>
        </row>
        <row r="60">
          <cell r="A60" t="str">
            <v>An29</v>
          </cell>
          <cell r="B60" t="str">
            <v>CROIX</v>
          </cell>
          <cell r="C60" t="str">
            <v>CHARLOTTE</v>
          </cell>
          <cell r="D60" t="str">
            <v>ASSISTANTE SOCIALE</v>
          </cell>
          <cell r="E60">
            <v>49</v>
          </cell>
          <cell r="F60" t="str">
            <v>C</v>
          </cell>
          <cell r="G60" t="str">
            <v>A</v>
          </cell>
          <cell r="H60" t="str">
            <v>CDI</v>
          </cell>
          <cell r="I60" t="str">
            <v>TC</v>
          </cell>
          <cell r="J60">
            <v>7</v>
          </cell>
          <cell r="K60">
            <v>5.833333333333333</v>
          </cell>
          <cell r="L60">
            <v>35</v>
          </cell>
          <cell r="M60">
            <v>151.66666666666666</v>
          </cell>
          <cell r="O60">
            <v>7.8</v>
          </cell>
          <cell r="P60">
            <v>39</v>
          </cell>
          <cell r="Q60" t="str">
            <v>CHA</v>
          </cell>
          <cell r="R60" t="str">
            <v>N</v>
          </cell>
          <cell r="S60" t="str">
            <v>C</v>
          </cell>
          <cell r="W60">
            <v>36.959999999999994</v>
          </cell>
          <cell r="X60">
            <v>1</v>
          </cell>
          <cell r="Y60">
            <v>5.6199999999999974</v>
          </cell>
          <cell r="Z60">
            <v>13</v>
          </cell>
          <cell r="AB60">
            <v>2</v>
          </cell>
          <cell r="AF60">
            <v>7</v>
          </cell>
          <cell r="AG60">
            <v>43.835999999999977</v>
          </cell>
          <cell r="AH60">
            <v>75.833333333333329</v>
          </cell>
          <cell r="AJ60">
            <v>14</v>
          </cell>
          <cell r="AN60" t="str">
            <v>ok au 31/12</v>
          </cell>
        </row>
        <row r="61">
          <cell r="A61" t="str">
            <v>An16</v>
          </cell>
          <cell r="B61" t="str">
            <v>DUMEZ</v>
          </cell>
          <cell r="C61" t="str">
            <v>FANNY</v>
          </cell>
          <cell r="D61" t="str">
            <v>EDUCATRICE SPECIALISEE</v>
          </cell>
          <cell r="E61">
            <v>50</v>
          </cell>
          <cell r="F61" t="str">
            <v>C</v>
          </cell>
          <cell r="G61" t="str">
            <v>A</v>
          </cell>
          <cell r="H61" t="str">
            <v>CDI</v>
          </cell>
          <cell r="I61" t="str">
            <v>TC</v>
          </cell>
          <cell r="J61">
            <v>7</v>
          </cell>
          <cell r="K61">
            <v>5.833333333333333</v>
          </cell>
          <cell r="L61">
            <v>35</v>
          </cell>
          <cell r="M61">
            <v>151.66666666666666</v>
          </cell>
          <cell r="O61">
            <v>7.8</v>
          </cell>
          <cell r="P61">
            <v>39</v>
          </cell>
          <cell r="Q61" t="str">
            <v>CHA</v>
          </cell>
          <cell r="R61" t="str">
            <v>N</v>
          </cell>
          <cell r="S61" t="str">
            <v>C</v>
          </cell>
          <cell r="W61">
            <v>2.4000000000000004</v>
          </cell>
          <cell r="X61">
            <v>1</v>
          </cell>
          <cell r="Y61">
            <v>6.18</v>
          </cell>
          <cell r="Z61">
            <v>26</v>
          </cell>
          <cell r="AB61">
            <v>0</v>
          </cell>
          <cell r="AF61">
            <v>7</v>
          </cell>
          <cell r="AG61">
            <v>48.203999999999994</v>
          </cell>
          <cell r="AH61">
            <v>151.66666666666666</v>
          </cell>
          <cell r="AJ61">
            <v>0</v>
          </cell>
        </row>
        <row r="62">
          <cell r="A62" t="str">
            <v>An18</v>
          </cell>
          <cell r="B62" t="str">
            <v>FEDERKEIL</v>
          </cell>
          <cell r="C62" t="str">
            <v>FRANCOISE</v>
          </cell>
          <cell r="D62" t="str">
            <v>COORDINATRICE ACCUEIL PARENTS</v>
          </cell>
          <cell r="E62">
            <v>51</v>
          </cell>
          <cell r="F62" t="str">
            <v>C</v>
          </cell>
          <cell r="G62" t="str">
            <v>A</v>
          </cell>
          <cell r="H62" t="str">
            <v>CDI</v>
          </cell>
          <cell r="I62" t="str">
            <v>TPA</v>
          </cell>
          <cell r="J62">
            <v>6</v>
          </cell>
          <cell r="K62">
            <v>5</v>
          </cell>
          <cell r="L62">
            <v>30</v>
          </cell>
          <cell r="M62">
            <v>130</v>
          </cell>
          <cell r="O62">
            <v>6.6859999999999999</v>
          </cell>
          <cell r="P62">
            <v>33.43</v>
          </cell>
          <cell r="Q62" t="str">
            <v>CH166</v>
          </cell>
          <cell r="R62" t="str">
            <v>N</v>
          </cell>
          <cell r="S62" t="str">
            <v>C</v>
          </cell>
          <cell r="U62" t="str">
            <v>ANC</v>
          </cell>
          <cell r="W62">
            <v>12.309999999999999</v>
          </cell>
          <cell r="X62">
            <v>3</v>
          </cell>
          <cell r="Y62">
            <v>13.4956</v>
          </cell>
          <cell r="Z62">
            <v>9</v>
          </cell>
          <cell r="AB62">
            <v>2</v>
          </cell>
          <cell r="AD62">
            <v>3</v>
          </cell>
          <cell r="AF62">
            <v>19</v>
          </cell>
          <cell r="AG62">
            <v>92.649999999999991</v>
          </cell>
          <cell r="AH62">
            <v>45</v>
          </cell>
          <cell r="AJ62">
            <v>12</v>
          </cell>
          <cell r="AL62">
            <v>18</v>
          </cell>
          <cell r="AN62" t="str">
            <v>ok au 31/12</v>
          </cell>
        </row>
        <row r="63">
          <cell r="B63" t="str">
            <v>FEDERKEIL</v>
          </cell>
          <cell r="C63" t="str">
            <v>LAURENT</v>
          </cell>
          <cell r="D63" t="str">
            <v>CHEF DE SERVICE EDUCATIF</v>
          </cell>
          <cell r="E63">
            <v>52</v>
          </cell>
          <cell r="F63" t="str">
            <v>C</v>
          </cell>
          <cell r="G63" t="str">
            <v>A</v>
          </cell>
          <cell r="H63" t="str">
            <v>CDI</v>
          </cell>
          <cell r="I63" t="str">
            <v>TC</v>
          </cell>
          <cell r="J63">
            <v>7</v>
          </cell>
          <cell r="K63">
            <v>5.833333333333333</v>
          </cell>
          <cell r="L63">
            <v>35</v>
          </cell>
          <cell r="M63">
            <v>151.66666666666666</v>
          </cell>
          <cell r="O63">
            <v>7.8</v>
          </cell>
          <cell r="P63">
            <v>39</v>
          </cell>
          <cell r="Q63" t="str">
            <v>CHA66</v>
          </cell>
          <cell r="R63" t="str">
            <v>N</v>
          </cell>
          <cell r="S63" t="str">
            <v>O</v>
          </cell>
          <cell r="U63" t="str">
            <v>ANC</v>
          </cell>
          <cell r="W63">
            <v>0</v>
          </cell>
          <cell r="X63">
            <v>0</v>
          </cell>
          <cell r="Y63">
            <v>0</v>
          </cell>
          <cell r="Z63">
            <v>1</v>
          </cell>
          <cell r="AB63">
            <v>2</v>
          </cell>
          <cell r="AD63">
            <v>0.5</v>
          </cell>
          <cell r="AF63">
            <v>0</v>
          </cell>
          <cell r="AG63">
            <v>0</v>
          </cell>
          <cell r="AH63">
            <v>5.833333333333333</v>
          </cell>
          <cell r="AL63">
            <v>3.5</v>
          </cell>
        </row>
        <row r="64">
          <cell r="A64" t="str">
            <v>Anpha</v>
          </cell>
          <cell r="B64" t="str">
            <v>GOUT</v>
          </cell>
          <cell r="C64" t="str">
            <v>LUDWIG</v>
          </cell>
          <cell r="D64" t="str">
            <v>PHARMACIEN</v>
          </cell>
          <cell r="E64">
            <v>53</v>
          </cell>
          <cell r="F64" t="str">
            <v>C</v>
          </cell>
          <cell r="G64" t="str">
            <v>A</v>
          </cell>
          <cell r="H64" t="str">
            <v>CDI</v>
          </cell>
          <cell r="I64" t="str">
            <v>TP</v>
          </cell>
          <cell r="J64">
            <v>0.4</v>
          </cell>
          <cell r="K64">
            <v>0.33333333333333331</v>
          </cell>
          <cell r="L64">
            <v>2</v>
          </cell>
          <cell r="M64">
            <v>8.6666666666666661</v>
          </cell>
          <cell r="Q64" t="str">
            <v>CHC</v>
          </cell>
          <cell r="R64" t="str">
            <v>N</v>
          </cell>
          <cell r="S64" t="str">
            <v>C</v>
          </cell>
          <cell r="W64">
            <v>0</v>
          </cell>
          <cell r="X64">
            <v>0</v>
          </cell>
          <cell r="Z64">
            <v>20</v>
          </cell>
          <cell r="AB64">
            <v>4</v>
          </cell>
          <cell r="AF64">
            <v>0</v>
          </cell>
          <cell r="AG64">
            <v>0</v>
          </cell>
          <cell r="AH64">
            <v>6.6666666666666661</v>
          </cell>
          <cell r="AJ64">
            <v>1.6</v>
          </cell>
          <cell r="AN64" t="str">
            <v>pas d'infos</v>
          </cell>
        </row>
        <row r="65">
          <cell r="A65" t="str">
            <v>An49</v>
          </cell>
          <cell r="B65" t="str">
            <v>HEULIN</v>
          </cell>
          <cell r="C65" t="str">
            <v>NICOLAS</v>
          </cell>
          <cell r="D65" t="str">
            <v>EDUCATEUR SPECIALISE</v>
          </cell>
          <cell r="E65">
            <v>54</v>
          </cell>
          <cell r="F65" t="str">
            <v>C</v>
          </cell>
          <cell r="G65" t="str">
            <v>A</v>
          </cell>
          <cell r="H65" t="str">
            <v>CDI</v>
          </cell>
          <cell r="I65" t="str">
            <v>TC</v>
          </cell>
          <cell r="J65">
            <v>7</v>
          </cell>
          <cell r="K65">
            <v>5.833333333333333</v>
          </cell>
          <cell r="L65">
            <v>35</v>
          </cell>
          <cell r="M65">
            <v>151.66666666666666</v>
          </cell>
          <cell r="O65">
            <v>7.8</v>
          </cell>
          <cell r="P65">
            <v>39</v>
          </cell>
          <cell r="Q65" t="str">
            <v>CHA</v>
          </cell>
          <cell r="R65" t="str">
            <v>N</v>
          </cell>
          <cell r="S65" t="str">
            <v>C</v>
          </cell>
          <cell r="W65">
            <v>19.099999999999998</v>
          </cell>
          <cell r="X65">
            <v>0</v>
          </cell>
          <cell r="Y65">
            <v>20.5</v>
          </cell>
          <cell r="Z65">
            <v>11</v>
          </cell>
          <cell r="AB65">
            <v>4</v>
          </cell>
          <cell r="AF65">
            <v>0</v>
          </cell>
          <cell r="AG65">
            <v>159.9</v>
          </cell>
          <cell r="AH65">
            <v>64.166666666666657</v>
          </cell>
          <cell r="AJ65">
            <v>28</v>
          </cell>
          <cell r="AN65" t="str">
            <v>ok au 31/12</v>
          </cell>
        </row>
        <row r="66">
          <cell r="A66" t="str">
            <v>An20</v>
          </cell>
          <cell r="B66" t="str">
            <v>LEMATELOT</v>
          </cell>
          <cell r="C66" t="str">
            <v>DELPHINE</v>
          </cell>
          <cell r="D66" t="str">
            <v>PSYCHOLOGUE</v>
          </cell>
          <cell r="E66">
            <v>55</v>
          </cell>
          <cell r="F66" t="str">
            <v>C</v>
          </cell>
          <cell r="G66" t="str">
            <v>A</v>
          </cell>
          <cell r="H66" t="str">
            <v>CDI</v>
          </cell>
          <cell r="I66" t="str">
            <v>TP</v>
          </cell>
          <cell r="J66">
            <v>5.6</v>
          </cell>
          <cell r="K66">
            <v>4.666666666666667</v>
          </cell>
          <cell r="L66">
            <v>28</v>
          </cell>
          <cell r="M66">
            <v>121.33333333333333</v>
          </cell>
          <cell r="Q66" t="str">
            <v>CH1</v>
          </cell>
          <cell r="R66" t="str">
            <v>N</v>
          </cell>
          <cell r="S66" t="str">
            <v>C</v>
          </cell>
          <cell r="W66">
            <v>-1.5999999999999996</v>
          </cell>
          <cell r="X66">
            <v>2</v>
          </cell>
          <cell r="Z66">
            <v>17</v>
          </cell>
          <cell r="AB66">
            <v>2</v>
          </cell>
          <cell r="AF66">
            <v>9.7999999999999989</v>
          </cell>
          <cell r="AH66">
            <v>79.333333333333343</v>
          </cell>
          <cell r="AJ66">
            <v>11.2</v>
          </cell>
          <cell r="AN66" t="str">
            <v>ok au 31/12</v>
          </cell>
        </row>
        <row r="67">
          <cell r="A67" t="str">
            <v>An33</v>
          </cell>
          <cell r="B67" t="str">
            <v>MARIAS</v>
          </cell>
          <cell r="C67" t="str">
            <v>THIERRY</v>
          </cell>
          <cell r="D67" t="str">
            <v>EDUCATRICE SPECIALISEE</v>
          </cell>
          <cell r="E67">
            <v>56</v>
          </cell>
          <cell r="F67" t="str">
            <v>C</v>
          </cell>
          <cell r="G67" t="str">
            <v>A</v>
          </cell>
          <cell r="H67" t="str">
            <v>CDI</v>
          </cell>
          <cell r="I67" t="str">
            <v>TC</v>
          </cell>
          <cell r="J67">
            <v>7</v>
          </cell>
          <cell r="K67">
            <v>5.833333333333333</v>
          </cell>
          <cell r="L67">
            <v>35</v>
          </cell>
          <cell r="M67">
            <v>151.66666666666666</v>
          </cell>
          <cell r="O67">
            <v>7.8</v>
          </cell>
          <cell r="P67">
            <v>39</v>
          </cell>
          <cell r="Q67" t="str">
            <v>CHA</v>
          </cell>
          <cell r="R67" t="str">
            <v>N</v>
          </cell>
          <cell r="S67" t="str">
            <v>C</v>
          </cell>
          <cell r="W67">
            <v>2.4500000000000002</v>
          </cell>
          <cell r="X67">
            <v>0</v>
          </cell>
          <cell r="Y67">
            <v>3.9999999999999991</v>
          </cell>
          <cell r="Z67">
            <v>0</v>
          </cell>
          <cell r="AB67">
            <v>0</v>
          </cell>
          <cell r="AF67">
            <v>0</v>
          </cell>
          <cell r="AG67">
            <v>31.199999999999992</v>
          </cell>
          <cell r="AH67">
            <v>0</v>
          </cell>
          <cell r="AJ67">
            <v>0</v>
          </cell>
          <cell r="AN67" t="str">
            <v>ok au 31/12</v>
          </cell>
        </row>
        <row r="68">
          <cell r="A68" t="str">
            <v>An43</v>
          </cell>
          <cell r="B68" t="str">
            <v>MERCERON</v>
          </cell>
          <cell r="C68" t="str">
            <v>BLANDINE</v>
          </cell>
          <cell r="D68" t="str">
            <v>ASSISTANTE SOCIALE</v>
          </cell>
          <cell r="E68">
            <v>57</v>
          </cell>
          <cell r="F68" t="str">
            <v>C</v>
          </cell>
          <cell r="G68" t="str">
            <v>A</v>
          </cell>
          <cell r="H68" t="str">
            <v>CDI</v>
          </cell>
          <cell r="I68" t="str">
            <v>TC</v>
          </cell>
          <cell r="J68">
            <v>7</v>
          </cell>
          <cell r="K68">
            <v>5.833333333333333</v>
          </cell>
          <cell r="L68">
            <v>35</v>
          </cell>
          <cell r="M68">
            <v>151.66666666666666</v>
          </cell>
          <cell r="O68">
            <v>7.8</v>
          </cell>
          <cell r="P68">
            <v>39</v>
          </cell>
          <cell r="Q68" t="str">
            <v>CHA</v>
          </cell>
          <cell r="R68" t="str">
            <v>N</v>
          </cell>
          <cell r="S68" t="str">
            <v>C</v>
          </cell>
          <cell r="W68">
            <v>39.299999999999997</v>
          </cell>
          <cell r="X68">
            <v>2</v>
          </cell>
          <cell r="Y68">
            <v>0</v>
          </cell>
          <cell r="Z68">
            <v>15</v>
          </cell>
          <cell r="AB68">
            <v>3.5</v>
          </cell>
          <cell r="AF68">
            <v>14</v>
          </cell>
          <cell r="AG68">
            <v>0</v>
          </cell>
          <cell r="AH68">
            <v>87.5</v>
          </cell>
          <cell r="AJ68">
            <v>24.5</v>
          </cell>
          <cell r="AN68" t="str">
            <v>ok au 31/12</v>
          </cell>
        </row>
        <row r="69">
          <cell r="A69" t="str">
            <v>An30</v>
          </cell>
          <cell r="B69" t="str">
            <v xml:space="preserve">POUPIN </v>
          </cell>
          <cell r="C69" t="str">
            <v>GREGOIRE</v>
          </cell>
          <cell r="D69" t="str">
            <v>INFIRMIER</v>
          </cell>
          <cell r="E69">
            <v>58</v>
          </cell>
          <cell r="F69" t="str">
            <v>C</v>
          </cell>
          <cell r="G69" t="str">
            <v>A</v>
          </cell>
          <cell r="H69" t="str">
            <v>CDI</v>
          </cell>
          <cell r="I69" t="str">
            <v>TP</v>
          </cell>
          <cell r="J69">
            <v>5.6</v>
          </cell>
          <cell r="K69">
            <v>4.666666666666667</v>
          </cell>
          <cell r="L69">
            <v>28</v>
          </cell>
          <cell r="M69">
            <v>121.33333333333333</v>
          </cell>
          <cell r="O69">
            <v>5.6</v>
          </cell>
          <cell r="P69">
            <v>28</v>
          </cell>
          <cell r="Q69" t="str">
            <v>CH1</v>
          </cell>
          <cell r="R69" t="str">
            <v>N</v>
          </cell>
          <cell r="S69" t="str">
            <v>C</v>
          </cell>
          <cell r="W69">
            <v>6.1499999999999986</v>
          </cell>
          <cell r="X69">
            <v>2</v>
          </cell>
          <cell r="Z69">
            <v>12</v>
          </cell>
          <cell r="AB69">
            <v>4</v>
          </cell>
          <cell r="AF69">
            <v>11.2</v>
          </cell>
          <cell r="AH69">
            <v>56</v>
          </cell>
          <cell r="AJ69">
            <v>22.4</v>
          </cell>
          <cell r="AN69" t="str">
            <v>ok au 31/12</v>
          </cell>
        </row>
        <row r="70">
          <cell r="A70" t="str">
            <v>An23</v>
          </cell>
          <cell r="B70" t="str">
            <v>TROUILLET</v>
          </cell>
          <cell r="C70" t="str">
            <v>CELINE</v>
          </cell>
          <cell r="D70" t="str">
            <v>EDUCATRICE SPECIALISEE</v>
          </cell>
          <cell r="E70">
            <v>59</v>
          </cell>
          <cell r="F70" t="str">
            <v>C</v>
          </cell>
          <cell r="G70" t="str">
            <v>A</v>
          </cell>
          <cell r="H70" t="str">
            <v>CDI</v>
          </cell>
          <cell r="I70" t="str">
            <v>TC</v>
          </cell>
          <cell r="J70">
            <v>7</v>
          </cell>
          <cell r="K70">
            <v>5.833333333333333</v>
          </cell>
          <cell r="L70">
            <v>35</v>
          </cell>
          <cell r="M70">
            <v>151.66666666666666</v>
          </cell>
          <cell r="O70">
            <v>7.8</v>
          </cell>
          <cell r="P70">
            <v>39</v>
          </cell>
          <cell r="Q70" t="str">
            <v>CHA</v>
          </cell>
          <cell r="R70" t="str">
            <v>N</v>
          </cell>
          <cell r="S70" t="str">
            <v>C</v>
          </cell>
          <cell r="W70">
            <v>9.6300000000000008</v>
          </cell>
          <cell r="X70">
            <v>0</v>
          </cell>
          <cell r="Y70">
            <v>7.9999999999999982</v>
          </cell>
          <cell r="Z70">
            <v>17.5</v>
          </cell>
          <cell r="AB70">
            <v>2</v>
          </cell>
          <cell r="AF70">
            <v>0</v>
          </cell>
          <cell r="AG70">
            <v>62.399999999999984</v>
          </cell>
          <cell r="AH70">
            <v>102.08333333333333</v>
          </cell>
          <cell r="AJ70">
            <v>14</v>
          </cell>
        </row>
        <row r="71">
          <cell r="A71" t="str">
            <v>An95</v>
          </cell>
          <cell r="B71" t="str">
            <v>VEAU</v>
          </cell>
          <cell r="C71" t="str">
            <v>ROMUALD</v>
          </cell>
          <cell r="D71" t="str">
            <v>EDUCATEUR SPECIALISE</v>
          </cell>
          <cell r="E71">
            <v>60</v>
          </cell>
          <cell r="F71" t="str">
            <v>C</v>
          </cell>
          <cell r="G71" t="str">
            <v>A</v>
          </cell>
          <cell r="H71" t="str">
            <v>CDD</v>
          </cell>
          <cell r="I71" t="str">
            <v>TCD</v>
          </cell>
          <cell r="J71">
            <v>7</v>
          </cell>
          <cell r="K71">
            <v>5.833333333333333</v>
          </cell>
          <cell r="L71">
            <v>35</v>
          </cell>
          <cell r="M71">
            <v>151.66666666666666</v>
          </cell>
          <cell r="Q71" t="str">
            <v>CH1</v>
          </cell>
          <cell r="R71" t="str">
            <v>O</v>
          </cell>
          <cell r="S71" t="str">
            <v>C</v>
          </cell>
          <cell r="W71">
            <v>4.9999999999999822E-2</v>
          </cell>
          <cell r="Z71">
            <v>0</v>
          </cell>
          <cell r="AB71">
            <v>-3.3333333333334103E-3</v>
          </cell>
          <cell r="AF71">
            <v>0</v>
          </cell>
          <cell r="AH71">
            <v>0</v>
          </cell>
          <cell r="AI71">
            <v>0</v>
          </cell>
          <cell r="AJ71">
            <v>-3.3333333333338717E-3</v>
          </cell>
          <cell r="AN71" t="str">
            <v>ok au 31/12</v>
          </cell>
        </row>
        <row r="73">
          <cell r="A73" t="str">
            <v>An14</v>
          </cell>
          <cell r="B73" t="str">
            <v>CATRICE</v>
          </cell>
          <cell r="C73" t="str">
            <v>MARIE-CHRISTINE</v>
          </cell>
          <cell r="D73" t="str">
            <v>AGENT ADMINISTRATIF</v>
          </cell>
          <cell r="E73">
            <v>61</v>
          </cell>
          <cell r="F73" t="str">
            <v>C</v>
          </cell>
          <cell r="G73" t="str">
            <v>A</v>
          </cell>
          <cell r="H73" t="str">
            <v>CDI</v>
          </cell>
          <cell r="I73" t="str">
            <v>TP</v>
          </cell>
          <cell r="J73">
            <v>3.5</v>
          </cell>
          <cell r="K73">
            <v>2.9166666666666665</v>
          </cell>
          <cell r="L73">
            <v>17.5</v>
          </cell>
          <cell r="M73">
            <v>75.833333333333329</v>
          </cell>
          <cell r="O73">
            <v>3.9</v>
          </cell>
          <cell r="P73">
            <v>19.5</v>
          </cell>
          <cell r="Q73" t="str">
            <v>CHA</v>
          </cell>
          <cell r="R73" t="str">
            <v>N</v>
          </cell>
          <cell r="S73" t="str">
            <v>C</v>
          </cell>
          <cell r="W73">
            <v>0</v>
          </cell>
          <cell r="X73">
            <v>1</v>
          </cell>
          <cell r="Y73">
            <v>2.6799999999999997</v>
          </cell>
          <cell r="Z73">
            <v>0</v>
          </cell>
          <cell r="AB73">
            <v>1.3333333333333333</v>
          </cell>
          <cell r="AF73">
            <v>3.5</v>
          </cell>
          <cell r="AG73">
            <v>10.451999999999998</v>
          </cell>
          <cell r="AH73">
            <v>0</v>
          </cell>
          <cell r="AJ73">
            <v>4.6666666666666661</v>
          </cell>
          <cell r="AN73" t="str">
            <v>ok au 31/12</v>
          </cell>
        </row>
        <row r="74">
          <cell r="A74" t="str">
            <v>An45</v>
          </cell>
          <cell r="B74" t="str">
            <v>IMBERT</v>
          </cell>
          <cell r="C74" t="str">
            <v>ERIC</v>
          </cell>
          <cell r="D74" t="str">
            <v>COMPTABLE</v>
          </cell>
          <cell r="E74">
            <v>62</v>
          </cell>
          <cell r="F74" t="str">
            <v>C</v>
          </cell>
          <cell r="G74" t="str">
            <v>A</v>
          </cell>
          <cell r="H74" t="str">
            <v>CDI</v>
          </cell>
          <cell r="I74" t="str">
            <v>TC</v>
          </cell>
          <cell r="J74">
            <v>7</v>
          </cell>
          <cell r="K74">
            <v>5.833333333333333</v>
          </cell>
          <cell r="L74">
            <v>35</v>
          </cell>
          <cell r="M74">
            <v>151.66666666666666</v>
          </cell>
          <cell r="O74">
            <v>7.8</v>
          </cell>
          <cell r="P74">
            <v>39</v>
          </cell>
          <cell r="Q74" t="str">
            <v>CHA</v>
          </cell>
          <cell r="R74" t="str">
            <v>N</v>
          </cell>
          <cell r="S74" t="str">
            <v>C</v>
          </cell>
          <cell r="W74">
            <v>0</v>
          </cell>
          <cell r="X74">
            <v>1</v>
          </cell>
          <cell r="Y74">
            <v>13.13</v>
          </cell>
          <cell r="Z74">
            <v>11</v>
          </cell>
          <cell r="AB74">
            <v>0.5</v>
          </cell>
          <cell r="AF74">
            <v>7</v>
          </cell>
          <cell r="AG74">
            <v>102.414</v>
          </cell>
          <cell r="AH74">
            <v>64.166666666666657</v>
          </cell>
          <cell r="AJ74">
            <v>3.5</v>
          </cell>
          <cell r="AN74" t="str">
            <v>ok au 31/12</v>
          </cell>
        </row>
        <row r="75">
          <cell r="A75" t="str">
            <v>An05</v>
          </cell>
          <cell r="B75" t="str">
            <v>LACOUR-FOULONNEAU</v>
          </cell>
          <cell r="C75" t="str">
            <v>SYLVIE</v>
          </cell>
          <cell r="D75" t="str">
            <v>AGENT ADMINISTRATIF PRINCIPAL</v>
          </cell>
          <cell r="E75">
            <v>63</v>
          </cell>
          <cell r="F75" t="str">
            <v>C</v>
          </cell>
          <cell r="G75" t="str">
            <v>A</v>
          </cell>
          <cell r="H75" t="str">
            <v>CDI</v>
          </cell>
          <cell r="I75" t="str">
            <v>TP</v>
          </cell>
          <cell r="J75">
            <v>6.2</v>
          </cell>
          <cell r="K75">
            <v>5.166666666666667</v>
          </cell>
          <cell r="L75">
            <v>31</v>
          </cell>
          <cell r="M75">
            <v>134.33333333333334</v>
          </cell>
          <cell r="Q75" t="str">
            <v>CH1</v>
          </cell>
          <cell r="R75" t="str">
            <v>N</v>
          </cell>
          <cell r="S75" t="str">
            <v>C</v>
          </cell>
          <cell r="U75" t="str">
            <v>ANC</v>
          </cell>
          <cell r="W75">
            <v>2.1</v>
          </cell>
          <cell r="X75">
            <v>0</v>
          </cell>
          <cell r="Z75">
            <v>9.5</v>
          </cell>
          <cell r="AB75">
            <v>1</v>
          </cell>
          <cell r="AD75">
            <v>3</v>
          </cell>
          <cell r="AF75">
            <v>0</v>
          </cell>
          <cell r="AG75">
            <v>0</v>
          </cell>
          <cell r="AH75">
            <v>49.083333333333336</v>
          </cell>
          <cell r="AJ75">
            <v>6.2</v>
          </cell>
          <cell r="AL75">
            <v>18.600000000000001</v>
          </cell>
          <cell r="AN75" t="str">
            <v>ok au 31/12</v>
          </cell>
        </row>
        <row r="76">
          <cell r="A76" t="str">
            <v>An01</v>
          </cell>
          <cell r="B76" t="str">
            <v>LEGENDRE</v>
          </cell>
          <cell r="C76" t="str">
            <v>CATHERINE</v>
          </cell>
          <cell r="D76" t="str">
            <v>DIRECTRICE</v>
          </cell>
          <cell r="E76">
            <v>64</v>
          </cell>
          <cell r="F76" t="str">
            <v>C</v>
          </cell>
          <cell r="G76" t="str">
            <v>A</v>
          </cell>
          <cell r="H76" t="str">
            <v>CDI</v>
          </cell>
          <cell r="I76" t="str">
            <v>TC</v>
          </cell>
          <cell r="J76">
            <v>7</v>
          </cell>
          <cell r="K76">
            <v>5.833333333333333</v>
          </cell>
          <cell r="L76">
            <v>35</v>
          </cell>
          <cell r="M76">
            <v>151.66666666666666</v>
          </cell>
          <cell r="Q76" t="str">
            <v>CHB</v>
          </cell>
          <cell r="R76" t="str">
            <v>N</v>
          </cell>
          <cell r="S76" t="str">
            <v>C</v>
          </cell>
          <cell r="X76">
            <v>0</v>
          </cell>
          <cell r="Y76">
            <v>2.5</v>
          </cell>
          <cell r="Z76">
            <v>0</v>
          </cell>
          <cell r="AB76">
            <v>1</v>
          </cell>
          <cell r="AF76">
            <v>0</v>
          </cell>
          <cell r="AG76">
            <v>0</v>
          </cell>
          <cell r="AH76">
            <v>0</v>
          </cell>
          <cell r="AJ76">
            <v>7</v>
          </cell>
          <cell r="AN76" t="str">
            <v>ok au 31/12</v>
          </cell>
        </row>
        <row r="77">
          <cell r="A77" t="str">
            <v>An73</v>
          </cell>
          <cell r="B77" t="str">
            <v>PAY</v>
          </cell>
          <cell r="C77" t="str">
            <v>ROSELYNE</v>
          </cell>
          <cell r="D77" t="str">
            <v>COMPTABLE</v>
          </cell>
          <cell r="E77">
            <v>65</v>
          </cell>
          <cell r="F77" t="str">
            <v>C</v>
          </cell>
          <cell r="G77" t="str">
            <v>A</v>
          </cell>
          <cell r="H77" t="str">
            <v>CDI</v>
          </cell>
          <cell r="I77" t="str">
            <v>TP</v>
          </cell>
          <cell r="J77">
            <v>5.25</v>
          </cell>
          <cell r="K77">
            <v>4.375</v>
          </cell>
          <cell r="L77">
            <v>26.25</v>
          </cell>
          <cell r="M77">
            <v>113.75</v>
          </cell>
          <cell r="O77">
            <v>5.85</v>
          </cell>
          <cell r="P77">
            <v>29.25</v>
          </cell>
          <cell r="Q77" t="str">
            <v>CHA</v>
          </cell>
          <cell r="R77" t="str">
            <v>N</v>
          </cell>
          <cell r="S77" t="str">
            <v>C</v>
          </cell>
          <cell r="W77">
            <v>0</v>
          </cell>
          <cell r="X77">
            <v>1</v>
          </cell>
          <cell r="Y77">
            <v>8</v>
          </cell>
          <cell r="Z77">
            <v>33</v>
          </cell>
          <cell r="AB77">
            <v>4</v>
          </cell>
          <cell r="AF77">
            <v>1.04</v>
          </cell>
          <cell r="AG77">
            <v>47.019999999999996</v>
          </cell>
          <cell r="AH77">
            <v>144.375</v>
          </cell>
          <cell r="AJ77">
            <v>21</v>
          </cell>
          <cell r="AN77" t="str">
            <v>ok au 31/12</v>
          </cell>
        </row>
        <row r="78">
          <cell r="A78" t="str">
            <v>An74</v>
          </cell>
          <cell r="B78" t="str">
            <v>USUNGO</v>
          </cell>
          <cell r="C78" t="str">
            <v>ARLETTE</v>
          </cell>
          <cell r="D78" t="str">
            <v>EMPLOYEE D'ACCUEIL &amp; COM.</v>
          </cell>
          <cell r="E78">
            <v>66</v>
          </cell>
          <cell r="F78" t="str">
            <v>C</v>
          </cell>
          <cell r="G78" t="str">
            <v>A</v>
          </cell>
          <cell r="H78" t="str">
            <v>CDD</v>
          </cell>
          <cell r="I78" t="str">
            <v>TP</v>
          </cell>
          <cell r="J78">
            <v>4</v>
          </cell>
          <cell r="K78">
            <v>3.3333333333333335</v>
          </cell>
          <cell r="L78">
            <v>20</v>
          </cell>
          <cell r="M78">
            <v>86.666666666666671</v>
          </cell>
          <cell r="Q78" t="str">
            <v>CH1</v>
          </cell>
          <cell r="R78" t="str">
            <v>N</v>
          </cell>
          <cell r="S78" t="str">
            <v>C</v>
          </cell>
          <cell r="W78">
            <v>-7.88</v>
          </cell>
          <cell r="X78">
            <v>0</v>
          </cell>
          <cell r="Z78">
            <v>0</v>
          </cell>
          <cell r="AB78">
            <v>3.3333333333332993E-3</v>
          </cell>
          <cell r="AF78">
            <v>0</v>
          </cell>
          <cell r="AG78">
            <v>0</v>
          </cell>
          <cell r="AH78">
            <v>0</v>
          </cell>
          <cell r="AJ78">
            <v>1.3333333333333197E-2</v>
          </cell>
          <cell r="AN78" t="str">
            <v>ok au 31/12</v>
          </cell>
        </row>
        <row r="80">
          <cell r="A80" t="str">
            <v>An47</v>
          </cell>
          <cell r="B80" t="str">
            <v>BORGOMANO</v>
          </cell>
          <cell r="C80" t="str">
            <v>CATHERINE</v>
          </cell>
          <cell r="D80" t="str">
            <v>INFIRMIERE</v>
          </cell>
          <cell r="E80">
            <v>67</v>
          </cell>
          <cell r="F80" t="str">
            <v>C</v>
          </cell>
          <cell r="G80" t="str">
            <v>A</v>
          </cell>
          <cell r="H80" t="str">
            <v>CDI</v>
          </cell>
          <cell r="I80" t="str">
            <v>TC</v>
          </cell>
          <cell r="J80">
            <v>7</v>
          </cell>
          <cell r="K80">
            <v>5.833333333333333</v>
          </cell>
          <cell r="L80">
            <v>35</v>
          </cell>
          <cell r="M80">
            <v>151.66666666666666</v>
          </cell>
          <cell r="O80">
            <v>7.6</v>
          </cell>
          <cell r="P80">
            <v>38</v>
          </cell>
          <cell r="Q80" t="str">
            <v>CHS</v>
          </cell>
          <cell r="R80" t="str">
            <v>N</v>
          </cell>
          <cell r="S80" t="str">
            <v>C</v>
          </cell>
          <cell r="W80">
            <v>-5.5</v>
          </cell>
          <cell r="X80">
            <v>1</v>
          </cell>
          <cell r="Y80">
            <v>0</v>
          </cell>
          <cell r="Z80">
            <v>11</v>
          </cell>
          <cell r="AB80">
            <v>0</v>
          </cell>
          <cell r="AF80">
            <v>7</v>
          </cell>
          <cell r="AG80">
            <v>0</v>
          </cell>
          <cell r="AH80">
            <v>64.166666666666657</v>
          </cell>
          <cell r="AJ80">
            <v>0</v>
          </cell>
          <cell r="AN80" t="str">
            <v>ok au 31/12</v>
          </cell>
        </row>
        <row r="81">
          <cell r="A81" t="str">
            <v>An15</v>
          </cell>
          <cell r="B81" t="str">
            <v>BEUZEVAL</v>
          </cell>
          <cell r="C81" t="str">
            <v>DENIS</v>
          </cell>
          <cell r="D81" t="str">
            <v>INFIRMIER</v>
          </cell>
          <cell r="E81">
            <v>68</v>
          </cell>
          <cell r="F81" t="str">
            <v>C</v>
          </cell>
          <cell r="G81" t="str">
            <v>A</v>
          </cell>
          <cell r="H81" t="str">
            <v>CDI</v>
          </cell>
          <cell r="I81" t="str">
            <v>TC</v>
          </cell>
          <cell r="J81">
            <v>7</v>
          </cell>
          <cell r="K81">
            <v>5.833333333333333</v>
          </cell>
          <cell r="L81">
            <v>35</v>
          </cell>
          <cell r="M81">
            <v>151.66666666666666</v>
          </cell>
          <cell r="O81">
            <v>7.8</v>
          </cell>
          <cell r="P81">
            <v>39</v>
          </cell>
          <cell r="Q81" t="str">
            <v>CHA</v>
          </cell>
          <cell r="R81" t="str">
            <v>N</v>
          </cell>
          <cell r="S81" t="str">
            <v>C</v>
          </cell>
          <cell r="W81">
            <v>4.1999999999999993</v>
          </cell>
          <cell r="X81">
            <v>1</v>
          </cell>
          <cell r="Y81">
            <v>2.2500000000000013</v>
          </cell>
          <cell r="Z81">
            <v>0</v>
          </cell>
          <cell r="AB81">
            <v>0.83333333333333304</v>
          </cell>
          <cell r="AF81">
            <v>7</v>
          </cell>
          <cell r="AG81">
            <v>17.550000000000011</v>
          </cell>
          <cell r="AH81">
            <v>0</v>
          </cell>
          <cell r="AJ81">
            <v>5.8333333333333313</v>
          </cell>
          <cell r="AN81" t="str">
            <v>ok au 31/12</v>
          </cell>
        </row>
        <row r="82">
          <cell r="A82" t="str">
            <v>An37</v>
          </cell>
          <cell r="B82" t="str">
            <v>FERRENBACH</v>
          </cell>
          <cell r="C82" t="str">
            <v>CATHERINE</v>
          </cell>
          <cell r="D82" t="str">
            <v xml:space="preserve">MEDECIN </v>
          </cell>
          <cell r="E82">
            <v>69</v>
          </cell>
          <cell r="F82" t="str">
            <v>C</v>
          </cell>
          <cell r="G82" t="str">
            <v>A</v>
          </cell>
          <cell r="H82" t="str">
            <v>CDD</v>
          </cell>
          <cell r="I82" t="str">
            <v>TP</v>
          </cell>
          <cell r="J82">
            <v>1.6</v>
          </cell>
          <cell r="K82">
            <v>1.3333333333333333</v>
          </cell>
          <cell r="L82">
            <v>8</v>
          </cell>
          <cell r="M82">
            <v>34.666666666666664</v>
          </cell>
          <cell r="Q82" t="str">
            <v>CH1</v>
          </cell>
          <cell r="S82" t="str">
            <v>C</v>
          </cell>
        </row>
        <row r="83">
          <cell r="A83" t="str">
            <v>An02</v>
          </cell>
          <cell r="B83" t="str">
            <v>GAIGNARD</v>
          </cell>
          <cell r="C83" t="str">
            <v>JEAN-YVES</v>
          </cell>
          <cell r="D83" t="str">
            <v>DIRECTEUR MEDICAL &amp; CLINIQUE</v>
          </cell>
          <cell r="E83">
            <v>70</v>
          </cell>
          <cell r="F83" t="str">
            <v>C</v>
          </cell>
          <cell r="G83" t="str">
            <v>A</v>
          </cell>
          <cell r="H83" t="str">
            <v>CDI</v>
          </cell>
          <cell r="I83" t="str">
            <v>TP</v>
          </cell>
          <cell r="J83">
            <v>6.6</v>
          </cell>
          <cell r="K83">
            <v>5.5</v>
          </cell>
          <cell r="L83">
            <v>33</v>
          </cell>
          <cell r="M83">
            <v>143</v>
          </cell>
          <cell r="O83">
            <v>6.7879999999999994</v>
          </cell>
          <cell r="P83">
            <v>33.94</v>
          </cell>
          <cell r="Q83" t="str">
            <v>CHE</v>
          </cell>
          <cell r="R83" t="str">
            <v>N</v>
          </cell>
          <cell r="S83" t="str">
            <v>C</v>
          </cell>
          <cell r="X83">
            <v>0</v>
          </cell>
          <cell r="Y83">
            <v>4</v>
          </cell>
          <cell r="Z83">
            <v>18</v>
          </cell>
          <cell r="AB83">
            <v>2</v>
          </cell>
          <cell r="AF83">
            <v>0</v>
          </cell>
          <cell r="AG83">
            <v>27.151999999999997</v>
          </cell>
          <cell r="AH83">
            <v>99</v>
          </cell>
          <cell r="AJ83">
            <v>13.2</v>
          </cell>
          <cell r="AN83" t="str">
            <v>ok au 31/12</v>
          </cell>
        </row>
        <row r="84">
          <cell r="A84" t="str">
            <v>An27</v>
          </cell>
          <cell r="B84" t="str">
            <v>GUERIN</v>
          </cell>
          <cell r="C84" t="str">
            <v>MARTINE</v>
          </cell>
          <cell r="D84" t="str">
            <v xml:space="preserve">MEDECIN GENERALISTE </v>
          </cell>
          <cell r="E84">
            <v>71</v>
          </cell>
          <cell r="F84" t="str">
            <v>C</v>
          </cell>
          <cell r="G84" t="str">
            <v>A</v>
          </cell>
          <cell r="H84" t="str">
            <v>CDI</v>
          </cell>
          <cell r="I84" t="str">
            <v>TP</v>
          </cell>
          <cell r="J84">
            <v>2</v>
          </cell>
          <cell r="K84">
            <v>1.6666666666666667</v>
          </cell>
          <cell r="L84">
            <v>10</v>
          </cell>
          <cell r="M84">
            <v>43.333333333333336</v>
          </cell>
          <cell r="Q84" t="str">
            <v>CH1</v>
          </cell>
          <cell r="R84" t="str">
            <v>N</v>
          </cell>
          <cell r="S84" t="str">
            <v>C</v>
          </cell>
          <cell r="W84">
            <v>27.200000000000003</v>
          </cell>
          <cell r="X84">
            <v>1</v>
          </cell>
          <cell r="Z84">
            <v>18</v>
          </cell>
          <cell r="AB84">
            <v>4</v>
          </cell>
          <cell r="AF84">
            <v>2</v>
          </cell>
          <cell r="AG84">
            <v>0</v>
          </cell>
          <cell r="AH84">
            <v>30</v>
          </cell>
          <cell r="AJ84">
            <v>8</v>
          </cell>
          <cell r="AN84" t="str">
            <v>ok au 31/12</v>
          </cell>
        </row>
        <row r="85">
          <cell r="A85" t="str">
            <v>An78</v>
          </cell>
          <cell r="B85" t="str">
            <v>GUIMAS</v>
          </cell>
          <cell r="C85" t="str">
            <v>SONIA</v>
          </cell>
          <cell r="D85" t="str">
            <v>SECRETAIRE MEDICALE</v>
          </cell>
          <cell r="E85">
            <v>72</v>
          </cell>
          <cell r="F85" t="str">
            <v>C</v>
          </cell>
          <cell r="G85" t="str">
            <v>A</v>
          </cell>
          <cell r="H85" t="str">
            <v>CDI</v>
          </cell>
          <cell r="I85" t="str">
            <v>TC</v>
          </cell>
          <cell r="J85">
            <v>7</v>
          </cell>
          <cell r="K85">
            <v>5.833333333333333</v>
          </cell>
          <cell r="L85">
            <v>35</v>
          </cell>
          <cell r="M85">
            <v>151.66666666666666</v>
          </cell>
          <cell r="O85">
            <v>7.5</v>
          </cell>
          <cell r="P85">
            <v>37.5</v>
          </cell>
          <cell r="Q85" t="str">
            <v>CHC</v>
          </cell>
          <cell r="R85" t="str">
            <v>N</v>
          </cell>
          <cell r="S85" t="str">
            <v>C</v>
          </cell>
          <cell r="W85">
            <v>-0.75</v>
          </cell>
          <cell r="X85">
            <v>1</v>
          </cell>
          <cell r="Y85">
            <v>0</v>
          </cell>
          <cell r="Z85">
            <v>23</v>
          </cell>
          <cell r="AB85">
            <v>1</v>
          </cell>
          <cell r="AF85">
            <v>7</v>
          </cell>
          <cell r="AG85">
            <v>0</v>
          </cell>
          <cell r="AH85">
            <v>134.16666666666666</v>
          </cell>
          <cell r="AJ85">
            <v>7</v>
          </cell>
          <cell r="AN85" t="str">
            <v>ok au 31/12</v>
          </cell>
        </row>
        <row r="86">
          <cell r="A86" t="str">
            <v>An09</v>
          </cell>
          <cell r="B86" t="str">
            <v>KETTANI</v>
          </cell>
          <cell r="C86" t="str">
            <v>NADIA</v>
          </cell>
          <cell r="D86" t="str">
            <v>MEDECIN</v>
          </cell>
          <cell r="E86">
            <v>73</v>
          </cell>
          <cell r="F86" t="str">
            <v>C</v>
          </cell>
          <cell r="G86" t="str">
            <v>A</v>
          </cell>
          <cell r="H86" t="str">
            <v>CDI</v>
          </cell>
          <cell r="I86" t="str">
            <v>TP</v>
          </cell>
          <cell r="J86">
            <v>3</v>
          </cell>
          <cell r="K86">
            <v>2.5</v>
          </cell>
          <cell r="L86">
            <v>15</v>
          </cell>
          <cell r="M86">
            <v>65</v>
          </cell>
          <cell r="Q86" t="str">
            <v>CH1</v>
          </cell>
          <cell r="R86" t="str">
            <v>N</v>
          </cell>
          <cell r="S86" t="str">
            <v>C</v>
          </cell>
          <cell r="W86">
            <v>104</v>
          </cell>
          <cell r="X86">
            <v>0</v>
          </cell>
          <cell r="Z86">
            <v>14</v>
          </cell>
          <cell r="AB86">
            <v>3.333333333333333</v>
          </cell>
          <cell r="AF86">
            <v>0</v>
          </cell>
          <cell r="AH86">
            <v>35</v>
          </cell>
          <cell r="AJ86">
            <v>10</v>
          </cell>
          <cell r="AN86" t="str">
            <v>ok au 31/12</v>
          </cell>
        </row>
        <row r="87">
          <cell r="A87" t="str">
            <v>An32</v>
          </cell>
          <cell r="B87" t="str">
            <v>PERRIN</v>
          </cell>
          <cell r="C87" t="str">
            <v>JEAN-XAVIER</v>
          </cell>
          <cell r="D87" t="str">
            <v>MEDECIN</v>
          </cell>
          <cell r="E87">
            <v>74</v>
          </cell>
          <cell r="F87" t="str">
            <v>C</v>
          </cell>
          <cell r="G87" t="str">
            <v>A</v>
          </cell>
          <cell r="H87" t="str">
            <v>CDI</v>
          </cell>
          <cell r="I87" t="str">
            <v>TP</v>
          </cell>
          <cell r="J87">
            <v>1.6</v>
          </cell>
          <cell r="K87">
            <v>1.3333333333333333</v>
          </cell>
          <cell r="L87">
            <v>8</v>
          </cell>
          <cell r="M87">
            <v>34.666666666666664</v>
          </cell>
          <cell r="Q87" t="str">
            <v>CH1</v>
          </cell>
          <cell r="R87" t="str">
            <v>N</v>
          </cell>
          <cell r="S87" t="str">
            <v>C</v>
          </cell>
          <cell r="W87">
            <v>32</v>
          </cell>
          <cell r="X87">
            <v>2</v>
          </cell>
          <cell r="Z87">
            <v>41</v>
          </cell>
          <cell r="AB87">
            <v>4</v>
          </cell>
          <cell r="AF87">
            <v>3.2</v>
          </cell>
          <cell r="AH87">
            <v>54.666666666666664</v>
          </cell>
          <cell r="AJ87">
            <v>6.4</v>
          </cell>
          <cell r="AN87" t="str">
            <v>ok au 31/12</v>
          </cell>
        </row>
        <row r="88">
          <cell r="A88" t="str">
            <v>An52</v>
          </cell>
          <cell r="B88" t="str">
            <v>PICHON</v>
          </cell>
          <cell r="C88" t="str">
            <v>EMMANUEL</v>
          </cell>
          <cell r="D88" t="str">
            <v>MEDECIN</v>
          </cell>
          <cell r="E88">
            <v>75</v>
          </cell>
          <cell r="F88" t="str">
            <v>C</v>
          </cell>
          <cell r="G88" t="str">
            <v>A</v>
          </cell>
          <cell r="H88" t="str">
            <v>CDI</v>
          </cell>
          <cell r="I88" t="str">
            <v>TP</v>
          </cell>
          <cell r="J88">
            <v>3.2</v>
          </cell>
          <cell r="K88">
            <v>2.6666666666666665</v>
          </cell>
          <cell r="L88">
            <v>16</v>
          </cell>
          <cell r="M88">
            <v>69.333333333333329</v>
          </cell>
          <cell r="Q88" t="str">
            <v>CH1</v>
          </cell>
          <cell r="R88" t="str">
            <v>N</v>
          </cell>
          <cell r="S88" t="str">
            <v>C</v>
          </cell>
          <cell r="W88">
            <v>17.600000000000001</v>
          </cell>
          <cell r="X88">
            <v>1</v>
          </cell>
          <cell r="Z88">
            <v>6</v>
          </cell>
          <cell r="AB88">
            <v>4</v>
          </cell>
          <cell r="AF88">
            <v>3.2</v>
          </cell>
          <cell r="AH88">
            <v>16</v>
          </cell>
          <cell r="AJ88">
            <v>12.8</v>
          </cell>
          <cell r="AN88" t="str">
            <v>ok au 31/12</v>
          </cell>
        </row>
        <row r="89">
          <cell r="A89" t="str">
            <v>An34</v>
          </cell>
          <cell r="B89" t="str">
            <v>RAMBAUD</v>
          </cell>
          <cell r="C89" t="str">
            <v>FRANCOISE</v>
          </cell>
          <cell r="D89" t="str">
            <v>PRATICIENNE SHIATSU</v>
          </cell>
          <cell r="E89">
            <v>76</v>
          </cell>
          <cell r="F89" t="str">
            <v>C</v>
          </cell>
          <cell r="G89" t="str">
            <v>A</v>
          </cell>
          <cell r="H89" t="str">
            <v>CDI</v>
          </cell>
          <cell r="I89" t="str">
            <v>TP</v>
          </cell>
          <cell r="J89">
            <v>3</v>
          </cell>
          <cell r="K89">
            <v>2.5</v>
          </cell>
          <cell r="L89">
            <v>15</v>
          </cell>
          <cell r="M89">
            <v>65</v>
          </cell>
          <cell r="Q89" t="str">
            <v>CH1</v>
          </cell>
          <cell r="R89" t="str">
            <v>N</v>
          </cell>
          <cell r="S89" t="str">
            <v>C</v>
          </cell>
          <cell r="W89">
            <v>3.5</v>
          </cell>
          <cell r="X89">
            <v>2</v>
          </cell>
          <cell r="Z89">
            <v>14</v>
          </cell>
          <cell r="AB89">
            <v>1</v>
          </cell>
          <cell r="AF89">
            <v>6</v>
          </cell>
          <cell r="AG89">
            <v>0</v>
          </cell>
          <cell r="AH89">
            <v>35</v>
          </cell>
          <cell r="AJ89">
            <v>3</v>
          </cell>
          <cell r="AN89" t="str">
            <v>ok au 31/12</v>
          </cell>
        </row>
        <row r="90">
          <cell r="A90" t="str">
            <v>An83</v>
          </cell>
          <cell r="B90" t="str">
            <v>TOUZET</v>
          </cell>
          <cell r="C90" t="str">
            <v>EMMANUELLE</v>
          </cell>
          <cell r="D90" t="str">
            <v>INTERVENANTE D'ACTIONS SOCIALES</v>
          </cell>
          <cell r="E90">
            <v>77</v>
          </cell>
          <cell r="F90" t="str">
            <v>C</v>
          </cell>
          <cell r="G90" t="str">
            <v>A</v>
          </cell>
          <cell r="H90" t="str">
            <v>CDI</v>
          </cell>
          <cell r="I90" t="str">
            <v>TC</v>
          </cell>
          <cell r="J90">
            <v>7</v>
          </cell>
          <cell r="K90">
            <v>5.833333333333333</v>
          </cell>
          <cell r="L90">
            <v>35</v>
          </cell>
          <cell r="M90">
            <v>151.66666666666666</v>
          </cell>
          <cell r="O90">
            <v>7.2</v>
          </cell>
          <cell r="P90">
            <v>36</v>
          </cell>
          <cell r="Q90" t="str">
            <v>CHE</v>
          </cell>
          <cell r="R90" t="str">
            <v>N</v>
          </cell>
          <cell r="S90" t="str">
            <v>C</v>
          </cell>
          <cell r="W90">
            <v>25.6</v>
          </cell>
          <cell r="X90">
            <v>2</v>
          </cell>
          <cell r="Y90">
            <v>0</v>
          </cell>
          <cell r="Z90">
            <v>14</v>
          </cell>
          <cell r="AB90">
            <v>3</v>
          </cell>
          <cell r="AF90">
            <v>14</v>
          </cell>
          <cell r="AG90">
            <v>0</v>
          </cell>
          <cell r="AH90">
            <v>81.666666666666657</v>
          </cell>
          <cell r="AJ90">
            <v>21</v>
          </cell>
          <cell r="AN90" t="str">
            <v>ok au 31/12</v>
          </cell>
        </row>
      </sheetData>
      <sheetData sheetId="3" refreshError="1"/>
      <sheetData sheetId="4" refreshError="1"/>
      <sheetData sheetId="5" refreshError="1"/>
      <sheetData sheetId="6" refreshError="1"/>
      <sheetData sheetId="7" refreshError="1"/>
      <sheetData sheetId="8" refreshError="1"/>
      <sheetData sheetId="9">
        <row r="5">
          <cell r="A5" t="str">
            <v>Be08</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FF00"/>
  </sheetPr>
  <dimension ref="A1:BY28"/>
  <sheetViews>
    <sheetView topLeftCell="A3" workbookViewId="0">
      <selection activeCell="R6" sqref="R6:S6"/>
    </sheetView>
  </sheetViews>
  <sheetFormatPr baseColWidth="10" defaultRowHeight="12.75" x14ac:dyDescent="0.2"/>
  <cols>
    <col min="1" max="1" width="11.85546875" style="8" bestFit="1" customWidth="1"/>
    <col min="2" max="2" width="15.42578125" style="8" customWidth="1"/>
    <col min="3" max="3" width="13.5703125" style="8" customWidth="1"/>
    <col min="4" max="43" width="4.7109375" style="8" customWidth="1"/>
    <col min="44" max="16384" width="11.42578125" style="8"/>
  </cols>
  <sheetData>
    <row r="1" spans="1:77" ht="13.5" hidden="1" thickBot="1" x14ac:dyDescent="0.25">
      <c r="A1" s="6">
        <v>1</v>
      </c>
      <c r="B1" s="7">
        <v>2</v>
      </c>
      <c r="C1" s="7">
        <v>3</v>
      </c>
      <c r="D1" s="7">
        <v>4</v>
      </c>
      <c r="E1" s="7">
        <v>5</v>
      </c>
      <c r="F1" s="7">
        <v>6</v>
      </c>
      <c r="G1" s="7">
        <v>7</v>
      </c>
      <c r="H1" s="7">
        <v>8</v>
      </c>
      <c r="I1" s="7">
        <v>9</v>
      </c>
      <c r="J1" s="7">
        <v>10</v>
      </c>
      <c r="K1" s="7">
        <v>11</v>
      </c>
      <c r="L1" s="7">
        <v>12</v>
      </c>
      <c r="M1" s="7">
        <v>13</v>
      </c>
      <c r="N1" s="7">
        <v>14</v>
      </c>
      <c r="O1" s="7">
        <v>15</v>
      </c>
      <c r="P1" s="7">
        <v>16</v>
      </c>
      <c r="Q1" s="7">
        <v>17</v>
      </c>
      <c r="R1" s="7">
        <v>18</v>
      </c>
      <c r="S1" s="7">
        <v>19</v>
      </c>
      <c r="T1" s="7">
        <v>20</v>
      </c>
      <c r="U1" s="7">
        <v>21</v>
      </c>
      <c r="V1" s="7">
        <v>22</v>
      </c>
      <c r="W1" s="7">
        <v>23</v>
      </c>
      <c r="X1" s="7">
        <v>24</v>
      </c>
      <c r="Y1" s="7">
        <v>25</v>
      </c>
      <c r="Z1" s="7">
        <v>26</v>
      </c>
      <c r="AA1" s="7">
        <v>27</v>
      </c>
      <c r="AB1" s="7">
        <v>28</v>
      </c>
      <c r="AC1" s="7">
        <v>29</v>
      </c>
      <c r="AD1" s="7">
        <v>30</v>
      </c>
      <c r="AE1" s="7">
        <v>31</v>
      </c>
      <c r="AF1" s="7">
        <v>32</v>
      </c>
      <c r="AG1" s="7">
        <v>33</v>
      </c>
      <c r="AH1" s="7">
        <v>34</v>
      </c>
      <c r="AI1" s="7">
        <v>35</v>
      </c>
      <c r="AJ1" s="7">
        <v>36</v>
      </c>
      <c r="AK1" s="7">
        <v>37</v>
      </c>
      <c r="AL1" s="7">
        <v>38</v>
      </c>
      <c r="AM1" s="7">
        <v>39</v>
      </c>
      <c r="AN1" s="7">
        <v>40</v>
      </c>
      <c r="AO1" s="7">
        <v>41</v>
      </c>
      <c r="AP1" s="7">
        <v>42</v>
      </c>
      <c r="AQ1" s="7">
        <v>43</v>
      </c>
      <c r="AR1" s="7">
        <v>44</v>
      </c>
      <c r="AS1" s="7">
        <v>45</v>
      </c>
      <c r="AT1" s="7">
        <v>46</v>
      </c>
      <c r="AU1" s="7">
        <v>47</v>
      </c>
      <c r="AV1" s="7">
        <v>48</v>
      </c>
      <c r="AW1" s="7">
        <v>49</v>
      </c>
      <c r="AX1" s="7">
        <v>50</v>
      </c>
      <c r="AY1" s="7">
        <v>51</v>
      </c>
      <c r="AZ1" s="7">
        <v>52</v>
      </c>
      <c r="BA1" s="7">
        <v>53</v>
      </c>
      <c r="BB1" s="7">
        <v>54</v>
      </c>
      <c r="BC1" s="7">
        <v>55</v>
      </c>
      <c r="BD1" s="7">
        <v>56</v>
      </c>
      <c r="BE1" s="7">
        <v>57</v>
      </c>
      <c r="BF1" s="7">
        <v>58</v>
      </c>
      <c r="BG1" s="7">
        <v>59</v>
      </c>
      <c r="BH1" s="7">
        <v>60</v>
      </c>
      <c r="BI1" s="7">
        <v>61</v>
      </c>
      <c r="BJ1" s="7">
        <v>62</v>
      </c>
      <c r="BK1" s="7">
        <v>63</v>
      </c>
      <c r="BL1" s="7">
        <v>64</v>
      </c>
      <c r="BM1" s="7">
        <v>65</v>
      </c>
      <c r="BN1" s="7">
        <v>66</v>
      </c>
      <c r="BO1" s="7">
        <v>67</v>
      </c>
      <c r="BP1" s="7">
        <v>68</v>
      </c>
      <c r="BQ1" s="7">
        <v>69</v>
      </c>
      <c r="BR1" s="7">
        <v>70</v>
      </c>
      <c r="BS1" s="7">
        <v>71</v>
      </c>
      <c r="BT1" s="7">
        <v>72</v>
      </c>
      <c r="BU1" s="7">
        <v>73</v>
      </c>
      <c r="BV1" s="7">
        <v>74</v>
      </c>
      <c r="BW1" s="7">
        <v>75</v>
      </c>
      <c r="BX1" s="7">
        <v>76</v>
      </c>
      <c r="BY1" s="7">
        <v>77</v>
      </c>
    </row>
    <row r="2" spans="1:77" ht="19.5" thickBot="1" x14ac:dyDescent="0.35">
      <c r="A2" s="9"/>
      <c r="B2" s="9"/>
      <c r="C2" s="9"/>
      <c r="D2" s="199" t="s">
        <v>38</v>
      </c>
      <c r="E2" s="200"/>
      <c r="F2" s="200"/>
      <c r="G2" s="200"/>
      <c r="H2" s="200"/>
      <c r="I2" s="200"/>
      <c r="J2" s="200"/>
      <c r="K2" s="200"/>
      <c r="L2" s="200"/>
      <c r="M2" s="200"/>
      <c r="N2" s="200"/>
      <c r="O2" s="200"/>
      <c r="P2" s="200"/>
      <c r="Q2" s="200"/>
      <c r="R2" s="200"/>
      <c r="S2" s="200"/>
      <c r="T2" s="200"/>
      <c r="U2" s="200"/>
      <c r="V2" s="200"/>
      <c r="W2" s="201"/>
      <c r="X2" s="199" t="s">
        <v>39</v>
      </c>
      <c r="Y2" s="200"/>
      <c r="Z2" s="200"/>
      <c r="AA2" s="200"/>
      <c r="AB2" s="200"/>
      <c r="AC2" s="200"/>
      <c r="AD2" s="200"/>
      <c r="AE2" s="200"/>
      <c r="AF2" s="200"/>
      <c r="AG2" s="200"/>
      <c r="AH2" s="200"/>
      <c r="AI2" s="200"/>
      <c r="AJ2" s="200"/>
      <c r="AK2" s="200"/>
      <c r="AL2" s="200"/>
      <c r="AM2" s="200"/>
      <c r="AN2" s="200"/>
      <c r="AO2" s="200"/>
      <c r="AP2" s="200"/>
      <c r="AQ2" s="201"/>
      <c r="AS2" s="10"/>
      <c r="AT2" s="10"/>
      <c r="AU2" s="10"/>
      <c r="AV2" s="10"/>
      <c r="AW2" s="10"/>
      <c r="AX2" s="10"/>
      <c r="AY2" s="10"/>
      <c r="AZ2" s="10"/>
      <c r="BA2" s="10"/>
      <c r="BB2" s="10"/>
      <c r="BC2" s="10"/>
      <c r="BD2" s="10"/>
      <c r="BE2" s="10"/>
      <c r="BF2" s="10"/>
      <c r="BG2" s="10"/>
      <c r="BH2" s="10"/>
      <c r="BI2" s="10"/>
      <c r="BJ2" s="10"/>
      <c r="BK2" s="10"/>
      <c r="BL2" s="10"/>
      <c r="BM2" s="11"/>
      <c r="BN2" s="11"/>
      <c r="BO2" s="11"/>
      <c r="BP2" s="11"/>
      <c r="BQ2" s="11"/>
      <c r="BR2" s="11"/>
      <c r="BS2" s="10"/>
      <c r="BT2" s="12"/>
      <c r="BU2" s="13"/>
      <c r="BV2" s="13"/>
      <c r="BW2" s="13"/>
    </row>
    <row r="3" spans="1:77" ht="26.25" customHeight="1" thickBot="1" x14ac:dyDescent="0.25">
      <c r="A3" s="14"/>
      <c r="B3" s="14"/>
      <c r="C3" s="14"/>
      <c r="D3" s="202" t="s">
        <v>30</v>
      </c>
      <c r="E3" s="203"/>
      <c r="F3" s="203"/>
      <c r="G3" s="204"/>
      <c r="H3" s="202" t="s">
        <v>31</v>
      </c>
      <c r="I3" s="203"/>
      <c r="J3" s="203"/>
      <c r="K3" s="204"/>
      <c r="L3" s="202" t="s">
        <v>32</v>
      </c>
      <c r="M3" s="203"/>
      <c r="N3" s="203"/>
      <c r="O3" s="204"/>
      <c r="P3" s="202" t="s">
        <v>28</v>
      </c>
      <c r="Q3" s="203"/>
      <c r="R3" s="203"/>
      <c r="S3" s="204"/>
      <c r="T3" s="202" t="s">
        <v>29</v>
      </c>
      <c r="U3" s="203"/>
      <c r="V3" s="203"/>
      <c r="W3" s="204"/>
      <c r="X3" s="205" t="s">
        <v>30</v>
      </c>
      <c r="Y3" s="206"/>
      <c r="Z3" s="206"/>
      <c r="AA3" s="207"/>
      <c r="AB3" s="205" t="s">
        <v>31</v>
      </c>
      <c r="AC3" s="206"/>
      <c r="AD3" s="206"/>
      <c r="AE3" s="207"/>
      <c r="AF3" s="205" t="s">
        <v>32</v>
      </c>
      <c r="AG3" s="206"/>
      <c r="AH3" s="206"/>
      <c r="AI3" s="207"/>
      <c r="AJ3" s="205" t="s">
        <v>28</v>
      </c>
      <c r="AK3" s="206"/>
      <c r="AL3" s="206"/>
      <c r="AM3" s="207"/>
      <c r="AN3" s="205" t="s">
        <v>29</v>
      </c>
      <c r="AO3" s="206"/>
      <c r="AP3" s="206"/>
      <c r="AQ3" s="207"/>
      <c r="AR3" s="15"/>
    </row>
    <row r="4" spans="1:77" ht="26.25" customHeight="1" thickBot="1" x14ac:dyDescent="0.25">
      <c r="A4" s="14"/>
      <c r="B4" s="16" t="s">
        <v>45</v>
      </c>
      <c r="C4" s="16" t="s">
        <v>46</v>
      </c>
      <c r="D4" s="208" t="s">
        <v>33</v>
      </c>
      <c r="E4" s="209"/>
      <c r="F4" s="208" t="s">
        <v>34</v>
      </c>
      <c r="G4" s="209"/>
      <c r="H4" s="208" t="s">
        <v>33</v>
      </c>
      <c r="I4" s="209"/>
      <c r="J4" s="208" t="s">
        <v>34</v>
      </c>
      <c r="K4" s="209"/>
      <c r="L4" s="208" t="s">
        <v>33</v>
      </c>
      <c r="M4" s="209"/>
      <c r="N4" s="208" t="s">
        <v>34</v>
      </c>
      <c r="O4" s="209"/>
      <c r="P4" s="208" t="s">
        <v>33</v>
      </c>
      <c r="Q4" s="209"/>
      <c r="R4" s="208" t="s">
        <v>34</v>
      </c>
      <c r="S4" s="209"/>
      <c r="T4" s="208" t="s">
        <v>33</v>
      </c>
      <c r="U4" s="209"/>
      <c r="V4" s="208" t="s">
        <v>34</v>
      </c>
      <c r="W4" s="209"/>
      <c r="X4" s="208" t="s">
        <v>33</v>
      </c>
      <c r="Y4" s="209"/>
      <c r="Z4" s="208" t="s">
        <v>34</v>
      </c>
      <c r="AA4" s="209"/>
      <c r="AB4" s="208" t="s">
        <v>33</v>
      </c>
      <c r="AC4" s="209"/>
      <c r="AD4" s="208" t="s">
        <v>34</v>
      </c>
      <c r="AE4" s="209"/>
      <c r="AF4" s="208" t="s">
        <v>33</v>
      </c>
      <c r="AG4" s="209"/>
      <c r="AH4" s="208" t="s">
        <v>34</v>
      </c>
      <c r="AI4" s="209"/>
      <c r="AJ4" s="208" t="s">
        <v>33</v>
      </c>
      <c r="AK4" s="209"/>
      <c r="AL4" s="208" t="s">
        <v>34</v>
      </c>
      <c r="AM4" s="209"/>
      <c r="AN4" s="208" t="s">
        <v>33</v>
      </c>
      <c r="AO4" s="209"/>
      <c r="AP4" s="208" t="s">
        <v>34</v>
      </c>
      <c r="AQ4" s="209"/>
      <c r="AR4" s="17"/>
    </row>
    <row r="5" spans="1:77" x14ac:dyDescent="0.2">
      <c r="A5" s="158" t="s">
        <v>89</v>
      </c>
      <c r="B5" s="26" t="s">
        <v>45</v>
      </c>
      <c r="C5" s="26" t="s">
        <v>74</v>
      </c>
      <c r="D5" s="159">
        <v>0</v>
      </c>
      <c r="E5" s="159">
        <v>0</v>
      </c>
      <c r="F5" s="159">
        <v>0</v>
      </c>
      <c r="G5" s="159">
        <v>0</v>
      </c>
      <c r="H5" s="159">
        <v>0</v>
      </c>
      <c r="I5" s="159">
        <v>0</v>
      </c>
      <c r="J5" s="159">
        <v>0</v>
      </c>
      <c r="K5" s="159">
        <v>0</v>
      </c>
      <c r="L5" s="159">
        <v>0</v>
      </c>
      <c r="M5" s="159">
        <v>0</v>
      </c>
      <c r="N5" s="159">
        <v>0</v>
      </c>
      <c r="O5" s="159">
        <v>0</v>
      </c>
      <c r="P5" s="159">
        <v>0.375</v>
      </c>
      <c r="Q5" s="159">
        <v>0.5</v>
      </c>
      <c r="R5" s="159">
        <v>0.58333333333333337</v>
      </c>
      <c r="S5" s="159">
        <v>0.79166666666666663</v>
      </c>
      <c r="T5" s="159">
        <v>0</v>
      </c>
      <c r="U5" s="159">
        <v>0</v>
      </c>
      <c r="V5" s="159">
        <v>0.58333333333333337</v>
      </c>
      <c r="W5" s="159">
        <v>0.75</v>
      </c>
      <c r="X5" s="159">
        <v>0</v>
      </c>
      <c r="Y5" s="159">
        <v>0</v>
      </c>
      <c r="Z5" s="159">
        <v>0</v>
      </c>
      <c r="AA5" s="159">
        <v>0</v>
      </c>
      <c r="AB5" s="159">
        <v>0.35416666666666669</v>
      </c>
      <c r="AC5" s="159">
        <v>0.52083333333333337</v>
      </c>
      <c r="AD5" s="159">
        <v>0</v>
      </c>
      <c r="AE5" s="159">
        <v>0</v>
      </c>
      <c r="AF5" s="159">
        <v>0</v>
      </c>
      <c r="AG5" s="159">
        <v>0</v>
      </c>
      <c r="AH5" s="159">
        <v>0</v>
      </c>
      <c r="AI5" s="159">
        <v>0</v>
      </c>
      <c r="AJ5" s="159">
        <v>0</v>
      </c>
      <c r="AK5" s="159">
        <v>0</v>
      </c>
      <c r="AL5" s="159">
        <v>0</v>
      </c>
      <c r="AM5" s="159">
        <v>0</v>
      </c>
      <c r="AN5" s="159">
        <v>0</v>
      </c>
      <c r="AO5" s="159">
        <v>0</v>
      </c>
      <c r="AP5" s="159">
        <v>0</v>
      </c>
      <c r="AQ5" s="159">
        <v>0</v>
      </c>
      <c r="AR5" s="18"/>
    </row>
    <row r="6" spans="1:77" x14ac:dyDescent="0.2">
      <c r="D6" s="210">
        <f>E5-D5</f>
        <v>0</v>
      </c>
      <c r="E6" s="210"/>
      <c r="F6" s="210">
        <f>G5-F5</f>
        <v>0</v>
      </c>
      <c r="G6" s="210"/>
      <c r="H6" s="210">
        <f>I5-H5</f>
        <v>0</v>
      </c>
      <c r="I6" s="210"/>
      <c r="J6" s="210">
        <f>K5-J5</f>
        <v>0</v>
      </c>
      <c r="K6" s="210"/>
      <c r="L6" s="210">
        <f>M5-L5</f>
        <v>0</v>
      </c>
      <c r="M6" s="210"/>
      <c r="N6" s="210">
        <f>O5-N5</f>
        <v>0</v>
      </c>
      <c r="O6" s="210"/>
      <c r="P6" s="210">
        <f>Q5-P5</f>
        <v>0.125</v>
      </c>
      <c r="Q6" s="210"/>
      <c r="R6" s="210">
        <f>S5-R5</f>
        <v>0.20833333333333326</v>
      </c>
      <c r="S6" s="210"/>
      <c r="T6" s="210">
        <f>U5-T5</f>
        <v>0</v>
      </c>
      <c r="U6" s="210"/>
      <c r="V6" s="210">
        <f>W5-V5</f>
        <v>0.16666666666666663</v>
      </c>
      <c r="W6" s="210"/>
      <c r="X6" s="210">
        <f>Y5-X5</f>
        <v>0</v>
      </c>
      <c r="Y6" s="210"/>
      <c r="Z6" s="210">
        <f>AA5-Z5</f>
        <v>0</v>
      </c>
      <c r="AA6" s="210"/>
      <c r="AB6" s="210">
        <f>AC5-AB5</f>
        <v>0.16666666666666669</v>
      </c>
      <c r="AC6" s="210"/>
      <c r="AD6" s="210">
        <f>AE5-AD5</f>
        <v>0</v>
      </c>
      <c r="AE6" s="210"/>
      <c r="AF6" s="210">
        <f>AG5-AF5</f>
        <v>0</v>
      </c>
      <c r="AG6" s="210"/>
      <c r="AH6" s="210">
        <f>AI5-AH5</f>
        <v>0</v>
      </c>
      <c r="AI6" s="210"/>
      <c r="AJ6" s="210">
        <f>AK5-AJ5</f>
        <v>0</v>
      </c>
      <c r="AK6" s="210"/>
      <c r="AL6" s="210">
        <f>AM5-AL5</f>
        <v>0</v>
      </c>
      <c r="AM6" s="210"/>
      <c r="AN6" s="210">
        <f>AO5-AN5</f>
        <v>0</v>
      </c>
      <c r="AO6" s="210"/>
      <c r="AP6" s="210">
        <f>AQ5-AP5</f>
        <v>0</v>
      </c>
      <c r="AQ6" s="210"/>
    </row>
    <row r="7" spans="1:77" x14ac:dyDescent="0.2">
      <c r="C7" s="157" t="s">
        <v>72</v>
      </c>
      <c r="D7" s="211">
        <f>((D6+F6)-INT(D6+F6))*24</f>
        <v>0</v>
      </c>
      <c r="E7" s="211"/>
      <c r="F7" s="211"/>
      <c r="G7" s="211"/>
      <c r="H7" s="211">
        <f>((H6+J6)-INT(H6+J6))*24</f>
        <v>0</v>
      </c>
      <c r="I7" s="211"/>
      <c r="J7" s="211"/>
      <c r="K7" s="211"/>
      <c r="L7" s="211">
        <f>((L6+N6)-INT(L6+N6))*24</f>
        <v>0</v>
      </c>
      <c r="M7" s="211"/>
      <c r="N7" s="211"/>
      <c r="O7" s="211"/>
      <c r="P7" s="211">
        <f>((P6+R6)-INT(P6+R6))*24</f>
        <v>7.9999999999999982</v>
      </c>
      <c r="Q7" s="211"/>
      <c r="R7" s="211"/>
      <c r="S7" s="211"/>
      <c r="T7" s="211">
        <f>((T6+V6)-INT(T6+V6))*24</f>
        <v>3.9999999999999991</v>
      </c>
      <c r="U7" s="211"/>
      <c r="V7" s="211"/>
      <c r="W7" s="211"/>
      <c r="X7" s="211">
        <f>((X6+Z6)-INT(X6+Z6))*24</f>
        <v>0</v>
      </c>
      <c r="Y7" s="211"/>
      <c r="Z7" s="211"/>
      <c r="AA7" s="211"/>
      <c r="AB7" s="211">
        <f>((AB6+AD6)-INT(AB6+AD6))*24</f>
        <v>4</v>
      </c>
      <c r="AC7" s="211"/>
      <c r="AD7" s="211"/>
      <c r="AE7" s="211"/>
      <c r="AF7" s="211">
        <f>((AF6+AH6)-INT(AF6+AH6))*24</f>
        <v>0</v>
      </c>
      <c r="AG7" s="211"/>
      <c r="AH7" s="211"/>
      <c r="AI7" s="211"/>
      <c r="AJ7" s="211">
        <f>((AJ6+AL6)-INT(AJ6+AL6))*24</f>
        <v>0</v>
      </c>
      <c r="AK7" s="211"/>
      <c r="AL7" s="211"/>
      <c r="AM7" s="211"/>
      <c r="AN7" s="211">
        <f>((AN6+AP6)-INT(AN6+AP6))*24</f>
        <v>0</v>
      </c>
      <c r="AO7" s="211"/>
      <c r="AP7" s="211"/>
      <c r="AQ7" s="211"/>
    </row>
    <row r="8" spans="1:77" x14ac:dyDescent="0.2">
      <c r="C8" s="157" t="s">
        <v>73</v>
      </c>
      <c r="D8" s="212">
        <f>SUM(D7:W7)</f>
        <v>11.999999999999996</v>
      </c>
      <c r="E8" s="212"/>
      <c r="F8" s="212"/>
      <c r="G8" s="212"/>
      <c r="H8" s="212"/>
      <c r="I8" s="212"/>
      <c r="J8" s="212"/>
      <c r="K8" s="212"/>
      <c r="L8" s="212"/>
      <c r="M8" s="212"/>
      <c r="N8" s="212"/>
      <c r="O8" s="212"/>
      <c r="P8" s="212"/>
      <c r="Q8" s="212"/>
      <c r="R8" s="212"/>
      <c r="S8" s="212"/>
      <c r="T8" s="212"/>
      <c r="U8" s="212"/>
      <c r="V8" s="212"/>
      <c r="W8" s="212"/>
      <c r="X8" s="212">
        <f>SUM(X7:AQ7)</f>
        <v>4</v>
      </c>
      <c r="Y8" s="212"/>
      <c r="Z8" s="212"/>
      <c r="AA8" s="212"/>
      <c r="AB8" s="212"/>
      <c r="AC8" s="212"/>
      <c r="AD8" s="212"/>
      <c r="AE8" s="212"/>
      <c r="AF8" s="212"/>
      <c r="AG8" s="212"/>
      <c r="AH8" s="212"/>
      <c r="AI8" s="212"/>
      <c r="AJ8" s="212"/>
      <c r="AK8" s="212"/>
      <c r="AL8" s="212"/>
      <c r="AM8" s="212"/>
      <c r="AN8" s="212"/>
      <c r="AO8" s="212"/>
      <c r="AP8" s="212"/>
      <c r="AQ8" s="212"/>
    </row>
    <row r="9" spans="1:77" x14ac:dyDescent="0.2">
      <c r="D9" s="156"/>
    </row>
    <row r="10" spans="1:77" x14ac:dyDescent="0.2">
      <c r="D10" s="191" t="s">
        <v>47</v>
      </c>
      <c r="E10" s="191"/>
      <c r="F10" s="191"/>
      <c r="G10" s="191"/>
      <c r="H10" s="191"/>
      <c r="I10" s="191"/>
      <c r="J10" s="191"/>
      <c r="K10" s="191"/>
      <c r="L10" s="191"/>
      <c r="M10" s="192" t="str">
        <f>(D8+X8)/2&amp;"heures"</f>
        <v>8heures</v>
      </c>
      <c r="N10" s="192"/>
    </row>
    <row r="11" spans="1:77" x14ac:dyDescent="0.2">
      <c r="N11" s="19"/>
    </row>
    <row r="12" spans="1:77" ht="18.75" x14ac:dyDescent="0.3">
      <c r="A12" s="28">
        <v>2013</v>
      </c>
    </row>
    <row r="14" spans="1:77" ht="19.5" x14ac:dyDescent="0.2">
      <c r="A14" s="20" t="s">
        <v>36</v>
      </c>
      <c r="C14" s="195" t="s">
        <v>49</v>
      </c>
      <c r="D14" s="195" t="s">
        <v>48</v>
      </c>
      <c r="E14" s="195"/>
      <c r="F14" s="195"/>
      <c r="G14" s="195" t="s">
        <v>50</v>
      </c>
      <c r="H14" s="195"/>
      <c r="I14" s="196" t="s">
        <v>51</v>
      </c>
      <c r="J14" s="197"/>
    </row>
    <row r="15" spans="1:77" ht="15" x14ac:dyDescent="0.2">
      <c r="A15" s="21">
        <f>ROUND(DATE(an,4,MOD(234-11*MOD(an,19),30))/7,0)*7-6</f>
        <v>41364</v>
      </c>
      <c r="C15" s="195"/>
      <c r="D15" s="195"/>
      <c r="E15" s="195"/>
      <c r="F15" s="195"/>
      <c r="G15" s="195"/>
      <c r="H15" s="195"/>
      <c r="I15" s="197"/>
      <c r="J15" s="197"/>
    </row>
    <row r="16" spans="1:77" x14ac:dyDescent="0.2">
      <c r="A16" s="22"/>
      <c r="C16" s="27" t="s">
        <v>75</v>
      </c>
      <c r="D16" s="193">
        <v>36892</v>
      </c>
      <c r="E16" s="194"/>
      <c r="F16" s="194"/>
      <c r="G16" s="198">
        <f>DATEDIF(D16,$A$18,"y")</f>
        <v>12</v>
      </c>
      <c r="H16" s="198"/>
      <c r="I16" s="198">
        <f ca="1">DATEDIF(D16,TODAY(),"y")</f>
        <v>12</v>
      </c>
      <c r="J16" s="198"/>
      <c r="L16" s="8" t="str">
        <f>IF(OR(G16&gt;13,O16&gt;4),"",C16)</f>
        <v>enfant1</v>
      </c>
      <c r="O16" s="174"/>
    </row>
    <row r="17" spans="1:15" x14ac:dyDescent="0.2">
      <c r="A17" s="23" t="s">
        <v>35</v>
      </c>
      <c r="C17" s="27" t="s">
        <v>76</v>
      </c>
      <c r="D17" s="193">
        <v>37257</v>
      </c>
      <c r="E17" s="194"/>
      <c r="F17" s="194"/>
      <c r="G17" s="198">
        <f t="shared" ref="G17:G18" si="0">DATEDIF(D17,$A$18,"y")</f>
        <v>11</v>
      </c>
      <c r="H17" s="198"/>
      <c r="I17" s="198">
        <f t="shared" ref="I17:I18" ca="1" si="1">DATEDIF(D17,TODAY(),"y")</f>
        <v>11</v>
      </c>
      <c r="J17" s="198"/>
      <c r="L17" s="8" t="str">
        <f t="shared" ref="L17:L20" si="2">IF(OR(G17&gt;13,O17&gt;4),"",C17)</f>
        <v>enfant2</v>
      </c>
      <c r="O17" s="174"/>
    </row>
    <row r="18" spans="1:15" x14ac:dyDescent="0.2">
      <c r="A18" s="24">
        <f>DATE(an,1,1)</f>
        <v>41275</v>
      </c>
      <c r="C18" s="27" t="s">
        <v>77</v>
      </c>
      <c r="D18" s="193">
        <v>37622</v>
      </c>
      <c r="E18" s="194"/>
      <c r="F18" s="194"/>
      <c r="G18" s="198">
        <f t="shared" si="0"/>
        <v>10</v>
      </c>
      <c r="H18" s="198"/>
      <c r="I18" s="198">
        <f t="shared" ca="1" si="1"/>
        <v>10</v>
      </c>
      <c r="J18" s="198"/>
      <c r="L18" s="8" t="str">
        <f t="shared" si="2"/>
        <v>enfant3</v>
      </c>
      <c r="O18" s="174"/>
    </row>
    <row r="19" spans="1:15" x14ac:dyDescent="0.2">
      <c r="A19" s="25">
        <f>DATE(an,5,1)</f>
        <v>41395</v>
      </c>
      <c r="C19" s="27" t="s">
        <v>78</v>
      </c>
      <c r="D19" s="193">
        <v>37987</v>
      </c>
      <c r="E19" s="194"/>
      <c r="F19" s="194"/>
      <c r="G19" s="198"/>
      <c r="H19" s="198"/>
      <c r="I19" s="198"/>
      <c r="J19" s="198"/>
      <c r="L19" s="8" t="str">
        <f t="shared" si="2"/>
        <v>enfant4</v>
      </c>
      <c r="O19" s="174"/>
    </row>
    <row r="20" spans="1:15" x14ac:dyDescent="0.2">
      <c r="A20" s="24">
        <f>DATE(an,5,8)</f>
        <v>41402</v>
      </c>
      <c r="C20" s="27" t="s">
        <v>79</v>
      </c>
      <c r="D20" s="193">
        <v>38353</v>
      </c>
      <c r="E20" s="194"/>
      <c r="F20" s="194"/>
      <c r="G20" s="198"/>
      <c r="H20" s="198"/>
      <c r="I20" s="198"/>
      <c r="J20" s="198"/>
      <c r="L20" s="8" t="str">
        <f t="shared" si="2"/>
        <v>enfant5</v>
      </c>
      <c r="O20" s="174"/>
    </row>
    <row r="21" spans="1:15" x14ac:dyDescent="0.2">
      <c r="A21" s="24">
        <f>DATE(an,7,14)</f>
        <v>41469</v>
      </c>
    </row>
    <row r="22" spans="1:15" x14ac:dyDescent="0.2">
      <c r="A22" s="24">
        <f>DATE(an,8,15)</f>
        <v>41501</v>
      </c>
    </row>
    <row r="23" spans="1:15" x14ac:dyDescent="0.2">
      <c r="A23" s="24">
        <f>DATE(an,11,1)</f>
        <v>41579</v>
      </c>
    </row>
    <row r="24" spans="1:15" x14ac:dyDescent="0.2">
      <c r="A24" s="24">
        <f>DATE(an,11,11)</f>
        <v>41589</v>
      </c>
    </row>
    <row r="25" spans="1:15" x14ac:dyDescent="0.2">
      <c r="A25" s="24">
        <f>DATE(an,12,25)</f>
        <v>41633</v>
      </c>
    </row>
    <row r="26" spans="1:15" x14ac:dyDescent="0.2">
      <c r="A26" s="24">
        <f>A15+1</f>
        <v>41365</v>
      </c>
    </row>
    <row r="27" spans="1:15" x14ac:dyDescent="0.2">
      <c r="A27" s="24">
        <f>A15+39</f>
        <v>41403</v>
      </c>
    </row>
    <row r="28" spans="1:15" x14ac:dyDescent="0.2">
      <c r="A28" s="24">
        <f>A15+50</f>
        <v>41414</v>
      </c>
    </row>
  </sheetData>
  <mergeCells count="85">
    <mergeCell ref="AJ7:AM7"/>
    <mergeCell ref="AN7:AQ7"/>
    <mergeCell ref="D8:W8"/>
    <mergeCell ref="X8:AQ8"/>
    <mergeCell ref="AN6:AO6"/>
    <mergeCell ref="AP6:AQ6"/>
    <mergeCell ref="D7:G7"/>
    <mergeCell ref="H7:K7"/>
    <mergeCell ref="L7:O7"/>
    <mergeCell ref="P7:S7"/>
    <mergeCell ref="T7:W7"/>
    <mergeCell ref="X7:AA7"/>
    <mergeCell ref="AB7:AE7"/>
    <mergeCell ref="AF7:AI7"/>
    <mergeCell ref="AB6:AC6"/>
    <mergeCell ref="AD6:AE6"/>
    <mergeCell ref="AF6:AG6"/>
    <mergeCell ref="AH6:AI6"/>
    <mergeCell ref="AJ6:AK6"/>
    <mergeCell ref="AL6:AM6"/>
    <mergeCell ref="Z6:AA6"/>
    <mergeCell ref="D6:E6"/>
    <mergeCell ref="F6:G6"/>
    <mergeCell ref="H6:I6"/>
    <mergeCell ref="J6:K6"/>
    <mergeCell ref="L6:M6"/>
    <mergeCell ref="N6:O6"/>
    <mergeCell ref="P6:Q6"/>
    <mergeCell ref="R6:S6"/>
    <mergeCell ref="T6:U6"/>
    <mergeCell ref="V6:W6"/>
    <mergeCell ref="X6:Y6"/>
    <mergeCell ref="N4:O4"/>
    <mergeCell ref="P4:Q4"/>
    <mergeCell ref="R4:S4"/>
    <mergeCell ref="AP4:AQ4"/>
    <mergeCell ref="T4:U4"/>
    <mergeCell ref="V4:W4"/>
    <mergeCell ref="X4:Y4"/>
    <mergeCell ref="Z4:AA4"/>
    <mergeCell ref="AB4:AC4"/>
    <mergeCell ref="AD4:AE4"/>
    <mergeCell ref="AF4:AG4"/>
    <mergeCell ref="AH4:AI4"/>
    <mergeCell ref="AJ4:AK4"/>
    <mergeCell ref="AL4:AM4"/>
    <mergeCell ref="AN4:AO4"/>
    <mergeCell ref="D4:E4"/>
    <mergeCell ref="F4:G4"/>
    <mergeCell ref="H4:I4"/>
    <mergeCell ref="J4:K4"/>
    <mergeCell ref="L4:M4"/>
    <mergeCell ref="D2:W2"/>
    <mergeCell ref="X2:AQ2"/>
    <mergeCell ref="D3:G3"/>
    <mergeCell ref="H3:K3"/>
    <mergeCell ref="L3:O3"/>
    <mergeCell ref="P3:S3"/>
    <mergeCell ref="T3:W3"/>
    <mergeCell ref="X3:AA3"/>
    <mergeCell ref="AB3:AE3"/>
    <mergeCell ref="AF3:AI3"/>
    <mergeCell ref="AJ3:AM3"/>
    <mergeCell ref="AN3:AQ3"/>
    <mergeCell ref="I20:J20"/>
    <mergeCell ref="D16:F16"/>
    <mergeCell ref="D17:F17"/>
    <mergeCell ref="D18:F18"/>
    <mergeCell ref="D19:F19"/>
    <mergeCell ref="D10:L10"/>
    <mergeCell ref="M10:N10"/>
    <mergeCell ref="D20:F20"/>
    <mergeCell ref="C14:C15"/>
    <mergeCell ref="D14:F15"/>
    <mergeCell ref="G14:H15"/>
    <mergeCell ref="I14:J15"/>
    <mergeCell ref="G16:H16"/>
    <mergeCell ref="I16:J16"/>
    <mergeCell ref="G17:H17"/>
    <mergeCell ref="G18:H18"/>
    <mergeCell ref="G19:H19"/>
    <mergeCell ref="G20:H20"/>
    <mergeCell ref="I17:J17"/>
    <mergeCell ref="I18:J18"/>
    <mergeCell ref="I19:J19"/>
  </mergeCells>
  <dataValidations count="1">
    <dataValidation type="list" allowBlank="1" showInputMessage="1" showErrorMessage="1" sqref="A12">
      <formula1>"2013,2014,2015,2016,2017"</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C000"/>
    <pageSetUpPr fitToPage="1"/>
  </sheetPr>
  <dimension ref="A1:CL82"/>
  <sheetViews>
    <sheetView showGridLines="0" showZeros="0" tabSelected="1" zoomScale="85" zoomScaleNormal="85" workbookViewId="0">
      <pane ySplit="6" topLeftCell="A10" activePane="bottomLeft" state="frozen"/>
      <selection activeCell="F17" sqref="F16:F17"/>
      <selection pane="bottomLeft" activeCell="AD3" sqref="AD3"/>
    </sheetView>
  </sheetViews>
  <sheetFormatPr baseColWidth="10" defaultRowHeight="12.75" x14ac:dyDescent="0.2"/>
  <cols>
    <col min="1" max="1" width="11.85546875" style="1" customWidth="1"/>
    <col min="2" max="2" width="4.85546875" style="1" customWidth="1"/>
    <col min="3" max="12" width="5.28515625" style="1" customWidth="1"/>
    <col min="13" max="13" width="9.28515625" style="1" customWidth="1"/>
    <col min="14" max="14" width="13.28515625" style="1" customWidth="1"/>
    <col min="15" max="15" width="2.28515625" style="1" customWidth="1"/>
    <col min="16" max="16" width="11.7109375" style="1" customWidth="1"/>
    <col min="17" max="17" width="9.7109375" style="1" customWidth="1"/>
    <col min="18" max="18" width="8" style="1" customWidth="1"/>
    <col min="19" max="21" width="14.5703125" style="1" customWidth="1"/>
    <col min="22" max="22" width="7.42578125" style="1" customWidth="1"/>
    <col min="23" max="29" width="7.42578125" style="1" hidden="1" customWidth="1"/>
    <col min="30" max="33" width="9.140625" style="1" customWidth="1"/>
    <col min="34" max="41" width="11.42578125" style="1" customWidth="1"/>
    <col min="42" max="16384" width="11.42578125" style="1"/>
  </cols>
  <sheetData>
    <row r="1" spans="1:40" s="30" customFormat="1" ht="33" customHeight="1" thickBot="1" x14ac:dyDescent="0.65">
      <c r="A1" s="298"/>
      <c r="B1" s="299"/>
      <c r="C1" s="299"/>
      <c r="D1" s="299"/>
      <c r="E1" s="299"/>
      <c r="F1" s="300"/>
      <c r="G1" s="301"/>
      <c r="H1" s="302"/>
      <c r="I1" s="302"/>
      <c r="J1" s="302"/>
      <c r="K1" s="302"/>
      <c r="L1" s="302"/>
      <c r="M1" s="302"/>
      <c r="N1" s="302"/>
      <c r="O1" s="187"/>
      <c r="P1" s="303" t="s">
        <v>0</v>
      </c>
      <c r="Q1" s="303"/>
      <c r="R1" s="303"/>
      <c r="S1" s="303"/>
      <c r="T1" s="303"/>
      <c r="U1" s="304"/>
      <c r="Y1" s="31"/>
      <c r="Z1" s="32"/>
      <c r="AA1" s="32"/>
    </row>
    <row r="2" spans="1:40" ht="27.75" customHeight="1" x14ac:dyDescent="0.6">
      <c r="A2" s="184">
        <f>MONTH("1"&amp;D2)</f>
        <v>1</v>
      </c>
      <c r="B2" s="317" t="s">
        <v>1</v>
      </c>
      <c r="C2" s="317"/>
      <c r="D2" s="305" t="s">
        <v>88</v>
      </c>
      <c r="E2" s="305"/>
      <c r="F2" s="305"/>
      <c r="G2" s="305"/>
      <c r="H2" s="305">
        <f>an</f>
        <v>2013</v>
      </c>
      <c r="I2" s="305"/>
      <c r="J2" s="215" t="s">
        <v>2</v>
      </c>
      <c r="K2" s="215"/>
      <c r="L2" s="185" t="str">
        <f>Données!B5</f>
        <v>Nom</v>
      </c>
      <c r="M2" s="186"/>
      <c r="N2" s="186"/>
      <c r="O2" s="186"/>
      <c r="P2" s="170" t="s">
        <v>9</v>
      </c>
      <c r="Q2" s="170"/>
      <c r="R2" s="170"/>
      <c r="S2" s="170"/>
      <c r="T2" s="170"/>
      <c r="U2" s="169">
        <v>1.6</v>
      </c>
      <c r="W2" s="34"/>
      <c r="X2" s="34"/>
      <c r="Y2" s="3"/>
    </row>
    <row r="3" spans="1:40" ht="27.75" customHeight="1" x14ac:dyDescent="0.45">
      <c r="A3" s="315"/>
      <c r="B3" s="316"/>
      <c r="C3" s="316"/>
      <c r="D3" s="35"/>
      <c r="E3" s="36"/>
      <c r="F3" s="37"/>
      <c r="G3" s="38"/>
      <c r="H3" s="39"/>
      <c r="I3" s="39"/>
      <c r="J3" s="39"/>
      <c r="K3" s="40" t="s">
        <v>3</v>
      </c>
      <c r="L3" s="164" t="str">
        <f>Données!C5</f>
        <v>Prenom</v>
      </c>
      <c r="M3" s="41"/>
      <c r="N3" s="41"/>
      <c r="O3" s="41"/>
      <c r="P3" s="164"/>
      <c r="Q3" s="165"/>
      <c r="R3" s="166"/>
      <c r="S3" s="167"/>
      <c r="T3" s="168" t="s">
        <v>8</v>
      </c>
      <c r="U3" s="169">
        <v>1.33</v>
      </c>
      <c r="W3" s="3"/>
      <c r="X3" s="3"/>
      <c r="Y3" s="3"/>
      <c r="AA3" s="42"/>
      <c r="AJ3" s="43"/>
      <c r="AN3" s="44"/>
    </row>
    <row r="4" spans="1:40" ht="27.75" customHeight="1" x14ac:dyDescent="0.45">
      <c r="A4" s="230">
        <f>WORKDAY(EOMONTH(A11,0),-3,[0]!fériés)</f>
        <v>41302</v>
      </c>
      <c r="B4" s="231"/>
      <c r="C4" s="231"/>
      <c r="D4" s="231"/>
      <c r="E4" s="231"/>
      <c r="F4" s="231"/>
      <c r="G4" s="231"/>
      <c r="H4" s="231"/>
      <c r="I4" s="231"/>
      <c r="J4" s="39"/>
      <c r="K4" s="37"/>
      <c r="L4" s="45"/>
      <c r="M4" s="45"/>
      <c r="N4" s="47" t="str">
        <f>Données!A5</f>
        <v>An37</v>
      </c>
      <c r="O4" s="46" t="str">
        <f>VLOOKUP($N$4,'[2]DONNEES variables'!$A$7:$AN$90,7,FALSE)</f>
        <v>A</v>
      </c>
      <c r="P4" s="170" t="s">
        <v>10</v>
      </c>
      <c r="Q4" s="170"/>
      <c r="R4" s="170"/>
      <c r="S4" s="170"/>
      <c r="T4" s="170"/>
      <c r="U4" s="169">
        <v>34.369999999999997</v>
      </c>
      <c r="W4" s="34"/>
      <c r="X4" s="34"/>
      <c r="Y4" s="3"/>
      <c r="AA4" s="48"/>
      <c r="AB4" s="42"/>
      <c r="AE4" s="182"/>
      <c r="AG4" s="182"/>
    </row>
    <row r="5" spans="1:40" ht="24.75" customHeight="1" x14ac:dyDescent="0.45">
      <c r="A5" s="49"/>
      <c r="B5" s="50" t="s">
        <v>12</v>
      </c>
      <c r="C5" s="51" t="str">
        <f>VLOOKUP($N$4,'[2]DONNEES variables'!$A$7:$AN$90,9,FALSE)</f>
        <v>TP</v>
      </c>
      <c r="D5" s="52"/>
      <c r="E5" s="52"/>
      <c r="F5" s="52"/>
      <c r="G5" s="52"/>
      <c r="H5" s="52"/>
      <c r="I5" s="39"/>
      <c r="J5" s="39"/>
      <c r="K5" s="53"/>
      <c r="L5" s="45"/>
      <c r="M5" s="45"/>
      <c r="N5" s="45"/>
      <c r="O5" s="46" t="str">
        <f>VLOOKUP($N$4,'[2]DONNEES variables'!$A$7:$AN$90,6,FALSE)</f>
        <v>C</v>
      </c>
      <c r="P5" s="164" t="s">
        <v>19</v>
      </c>
      <c r="Q5" s="164"/>
      <c r="R5" s="164"/>
      <c r="S5" s="164"/>
      <c r="T5" s="164"/>
      <c r="U5" s="169">
        <v>8</v>
      </c>
      <c r="AE5" s="43"/>
      <c r="AG5" s="43"/>
    </row>
    <row r="6" spans="1:40" s="3" customFormat="1" ht="21" customHeight="1" thickBot="1" x14ac:dyDescent="0.45">
      <c r="A6" s="236" t="s">
        <v>4</v>
      </c>
      <c r="B6" s="237"/>
      <c r="C6" s="163"/>
      <c r="D6" s="162"/>
      <c r="E6" s="162"/>
      <c r="F6" s="162"/>
      <c r="G6" s="162"/>
      <c r="H6" s="162"/>
      <c r="I6" s="162"/>
      <c r="J6" s="162"/>
      <c r="K6" s="162"/>
      <c r="L6" s="162"/>
      <c r="M6" s="162"/>
      <c r="N6" s="162"/>
      <c r="O6" s="162"/>
      <c r="P6" s="55" t="s">
        <v>20</v>
      </c>
      <c r="Q6" s="55"/>
      <c r="R6" s="55"/>
      <c r="S6" s="55"/>
      <c r="T6" s="171"/>
      <c r="U6" s="172">
        <f>VLOOKUP($N$4,'[2]DONNEES variables'!$A$7:$AN$90,16,FALSE)</f>
        <v>0</v>
      </c>
      <c r="AE6" s="181"/>
      <c r="AG6" s="181"/>
    </row>
    <row r="7" spans="1:40" s="58" customFormat="1" ht="24.75" customHeight="1" thickBot="1" x14ac:dyDescent="0.25">
      <c r="A7" s="56"/>
      <c r="B7" s="57"/>
      <c r="C7" s="306" t="s">
        <v>44</v>
      </c>
      <c r="D7" s="307"/>
      <c r="E7" s="307"/>
      <c r="F7" s="307"/>
      <c r="G7" s="307"/>
      <c r="H7" s="307"/>
      <c r="I7" s="307"/>
      <c r="J7" s="307"/>
      <c r="K7" s="307"/>
      <c r="L7" s="307"/>
      <c r="M7" s="307"/>
      <c r="N7" s="308"/>
      <c r="O7" s="309">
        <f>SUM(O10:O40)</f>
        <v>0</v>
      </c>
      <c r="P7" s="312" t="s">
        <v>7</v>
      </c>
      <c r="Q7" s="313"/>
      <c r="R7" s="313"/>
      <c r="S7" s="313"/>
      <c r="T7" s="313"/>
      <c r="U7" s="314"/>
      <c r="W7" s="59"/>
    </row>
    <row r="8" spans="1:40" s="62" customFormat="1" ht="35.25" customHeight="1" thickBot="1" x14ac:dyDescent="0.25">
      <c r="A8" s="60"/>
      <c r="B8" s="61"/>
      <c r="C8" s="243" t="s">
        <v>13</v>
      </c>
      <c r="D8" s="244"/>
      <c r="E8" s="244"/>
      <c r="F8" s="244"/>
      <c r="G8" s="244"/>
      <c r="H8" s="244"/>
      <c r="I8" s="244"/>
      <c r="J8" s="244"/>
      <c r="K8" s="244"/>
      <c r="L8" s="245"/>
      <c r="M8" s="246" t="s">
        <v>41</v>
      </c>
      <c r="N8" s="247"/>
      <c r="O8" s="310"/>
      <c r="P8" s="232" t="s">
        <v>16</v>
      </c>
      <c r="Q8" s="225" t="s">
        <v>61</v>
      </c>
      <c r="R8" s="226"/>
      <c r="S8" s="225" t="s">
        <v>70</v>
      </c>
      <c r="T8" s="226"/>
      <c r="U8" s="318" t="s">
        <v>71</v>
      </c>
      <c r="Y8" s="1"/>
      <c r="Z8" s="1"/>
      <c r="AA8" s="1"/>
      <c r="AB8" s="1"/>
      <c r="AC8" s="1"/>
      <c r="AD8" s="1"/>
      <c r="AE8" s="1"/>
      <c r="AF8" s="1"/>
      <c r="AG8" s="1"/>
      <c r="AH8" s="1"/>
      <c r="AI8" s="1"/>
    </row>
    <row r="9" spans="1:40" s="62" customFormat="1" ht="66" customHeight="1" thickBot="1" x14ac:dyDescent="0.25">
      <c r="A9" s="234" t="s">
        <v>17</v>
      </c>
      <c r="B9" s="235"/>
      <c r="C9" s="238" t="s">
        <v>33</v>
      </c>
      <c r="D9" s="239"/>
      <c r="E9" s="239"/>
      <c r="F9" s="240"/>
      <c r="G9" s="238" t="s">
        <v>34</v>
      </c>
      <c r="H9" s="239"/>
      <c r="I9" s="239"/>
      <c r="J9" s="240"/>
      <c r="K9" s="241" t="s">
        <v>40</v>
      </c>
      <c r="L9" s="242"/>
      <c r="M9" s="248"/>
      <c r="N9" s="249"/>
      <c r="O9" s="310"/>
      <c r="P9" s="233"/>
      <c r="Q9" s="227"/>
      <c r="R9" s="228"/>
      <c r="S9" s="227"/>
      <c r="T9" s="228"/>
      <c r="U9" s="319"/>
      <c r="Y9" s="54" t="e">
        <f>VLOOKUP(N4,#REF!,77)</f>
        <v>#REF!</v>
      </c>
      <c r="Z9" s="63"/>
      <c r="AD9" s="64"/>
      <c r="AE9" s="64"/>
      <c r="AG9" s="64"/>
    </row>
    <row r="10" spans="1:40" s="71" customFormat="1" ht="65.25" customHeight="1" thickBot="1" x14ac:dyDescent="0.4">
      <c r="A10" s="65"/>
      <c r="B10" s="66"/>
      <c r="C10" s="322">
        <f>WORKDAY(EOMONTH(EDATE($A$11,-1),0),-3,fériés)</f>
        <v>41269</v>
      </c>
      <c r="D10" s="322"/>
      <c r="E10" s="322">
        <f>WORKDAY(EOMONTH(EDATE($A$11,-1),0),-2,fériés)</f>
        <v>41270</v>
      </c>
      <c r="F10" s="322"/>
      <c r="G10" s="322">
        <f>WORKDAY(EOMONTH(EDATE($A$11,-1),0),-1,fériés)</f>
        <v>41271</v>
      </c>
      <c r="H10" s="322"/>
      <c r="I10" s="322">
        <f>WORKDAY(EOMONTH(EDATE($A$11,-1),0),0,fériés)</f>
        <v>41274</v>
      </c>
      <c r="J10" s="322"/>
      <c r="K10" s="66"/>
      <c r="L10" s="66"/>
      <c r="M10" s="66"/>
      <c r="N10" s="67"/>
      <c r="O10" s="310"/>
      <c r="P10" s="68"/>
      <c r="Q10" s="69"/>
      <c r="R10" s="69"/>
      <c r="S10" s="69"/>
      <c r="T10" s="69"/>
      <c r="U10" s="69"/>
      <c r="V10" s="70"/>
      <c r="Y10" s="33" t="str">
        <f>VLOOKUP($N$4,'[2]DONNEES variables'!$A$7:$AN$90,17,FALSE)</f>
        <v>CH1</v>
      </c>
      <c r="AD10" s="72" t="s">
        <v>86</v>
      </c>
      <c r="AE10" s="72" t="s">
        <v>87</v>
      </c>
      <c r="AF10" s="72" t="s">
        <v>85</v>
      </c>
      <c r="AG10" s="340" t="s">
        <v>90</v>
      </c>
    </row>
    <row r="11" spans="1:40" s="81" customFormat="1" ht="27.75" customHeight="1" x14ac:dyDescent="0.4">
      <c r="A11" s="73">
        <f>DATE(H2,A2,1)</f>
        <v>41275</v>
      </c>
      <c r="B11" s="74">
        <f>DATE(H2,A2,1)</f>
        <v>41275</v>
      </c>
      <c r="C11" s="229">
        <f ca="1">IF($A11="",0,IF(WEEKDAY($A11,2)&gt;5,0,OFFSET(Données!$C$3,MATCH($N$4,Données!$A$4:$A$5,0),20-(MOD($V11,2)*20)+INT(COLUMN()/2)+((WEEKDAY($A11,2)-1)*4))))</f>
        <v>0</v>
      </c>
      <c r="D11" s="213"/>
      <c r="E11" s="213">
        <f ca="1">IF($A11="",0,IF(WEEKDAY($A11,2)&gt;5,0,OFFSET(Données!$C$3,MATCH($N$4,Données!$A$4:$A$5,0),20-(MOD($V11,2)*20)+INT(COLUMN()/2)+((WEEKDAY($A11,2)-1)*4))))</f>
        <v>0</v>
      </c>
      <c r="F11" s="213"/>
      <c r="G11" s="213">
        <f ca="1">IF($A11="",0,IF(WEEKDAY($A11,2)&gt;5,0,OFFSET(Données!$C$3,MATCH($N$4,Données!$A$4:$A$5,0),20-(MOD($V11,2)*20)+INT(COLUMN()/2)+((WEEKDAY($A11,2)-1)*4))))</f>
        <v>0</v>
      </c>
      <c r="H11" s="213"/>
      <c r="I11" s="213">
        <f ca="1">IF($A11="",0,IF(WEEKDAY($A11,2)&gt;5,0,OFFSET(Données!$C$3,MATCH($N$4,Données!$A$4:$A$5,0),20-(MOD($V11,2)*20)+INT(COLUMN()/2)+((WEEKDAY($A11,2)-1)*4))))</f>
        <v>0</v>
      </c>
      <c r="J11" s="213"/>
      <c r="K11" s="224">
        <f ca="1">IF(Q11="REC",AC11-R11,IF(Q11="RTT",AC11-$U$2,IF(Q11="½RTT",AC11-($U$2/2),AC11)))</f>
        <v>0</v>
      </c>
      <c r="L11" s="224"/>
      <c r="M11" s="154"/>
      <c r="N11" s="75"/>
      <c r="O11" s="309"/>
      <c r="P11" s="179"/>
      <c r="Q11" s="173"/>
      <c r="R11" s="173"/>
      <c r="S11" s="216"/>
      <c r="T11" s="216"/>
      <c r="U11" s="160"/>
      <c r="V11" s="29">
        <f t="shared" ref="V11:V37" si="0">WEEKNUM(B11,2)</f>
        <v>1</v>
      </c>
      <c r="W11" s="76">
        <f t="shared" ref="W11:W41" ca="1" si="1">C11</f>
        <v>0</v>
      </c>
      <c r="X11" s="76">
        <f t="shared" ref="X11:X41" ca="1" si="2">E11</f>
        <v>0</v>
      </c>
      <c r="Y11" s="77">
        <f ca="1">(X11-W11)</f>
        <v>0</v>
      </c>
      <c r="Z11" s="78">
        <f t="shared" ref="Z11:Z41" ca="1" si="3">G11</f>
        <v>0</v>
      </c>
      <c r="AA11" s="78">
        <f t="shared" ref="AA11:AA41" ca="1" si="4">I11</f>
        <v>0</v>
      </c>
      <c r="AB11" s="77">
        <f ca="1">AA11-Z11</f>
        <v>0</v>
      </c>
      <c r="AC11" s="79">
        <f ca="1">((Y11+AB11)-INT(Y11+AB11))*24</f>
        <v>0</v>
      </c>
      <c r="AD11" s="80">
        <f t="shared" ref="AD11:AD41" ca="1" si="5">IF(OR(Q11="JF",AND(K11&lt;&gt;0,COUNTIF(fériés,A11))),$U$2,0)</f>
        <v>0</v>
      </c>
      <c r="AE11" s="80">
        <f ca="1">IF(AND(K11=0,COUNTIF(fériés,A11)),$U$2,0)</f>
        <v>1.6</v>
      </c>
      <c r="AF11" s="80">
        <f ca="1">IF(COUNTIF(fériés,A11),SUM(K11-(IF(K11&lt;&gt;0,AD11,0))),0)</f>
        <v>0</v>
      </c>
      <c r="AG11" s="341" t="b">
        <f ca="1">OR(IF(AND(K11=0,COUNTIF(fériés,A11)),$U$2,0),IF(COUNTIF(fériés,A11),SUM(K11-(IF(K11&lt;&gt;0,AD11,0))),0))</f>
        <v>1</v>
      </c>
      <c r="AI11" s="82" t="s">
        <v>62</v>
      </c>
      <c r="AJ11" s="2"/>
      <c r="AM11" s="83" t="s">
        <v>52</v>
      </c>
      <c r="AN11" s="84">
        <f t="shared" ref="AN11:AN17" si="6">COUNTIF($Q$11:$Q$41,AM11)</f>
        <v>0</v>
      </c>
    </row>
    <row r="12" spans="1:40" s="2" customFormat="1" ht="27.75" customHeight="1" x14ac:dyDescent="0.4">
      <c r="A12" s="85">
        <f t="shared" ref="A12:A41" si="7">IF(MONTH(A11+1)=$A$2,A11+1,"")</f>
        <v>41276</v>
      </c>
      <c r="B12" s="86">
        <f t="shared" ref="B12:B38" si="8">IF(MONTH(B11+1)=$A$2,B11+1,"")</f>
        <v>41276</v>
      </c>
      <c r="C12" s="229">
        <f ca="1">IF($A12="",0,IF(WEEKDAY($A12,2)&gt;5,0,OFFSET(Données!$C$3,MATCH($N$4,Données!$A$4:$A$5,0),20-(MOD($V12,2)*20)+INT(COLUMN()/2)+((WEEKDAY($A12,2)-1)*4))))</f>
        <v>0</v>
      </c>
      <c r="D12" s="213"/>
      <c r="E12" s="213">
        <f ca="1">IF($A12="",0,IF(WEEKDAY($A12,2)&gt;5,0,OFFSET(Données!$C$3,MATCH($N$4,Données!$A$4:$A$5,0),20-(MOD($V12,2)*20)+INT(COLUMN()/2)+((WEEKDAY($A12,2)-1)*4))))</f>
        <v>0</v>
      </c>
      <c r="F12" s="213"/>
      <c r="G12" s="213">
        <f ca="1">IF($A12="",0,IF(WEEKDAY($A12,2)&gt;5,0,OFFSET(Données!$C$3,MATCH($N$4,Données!$A$4:$A$5,0),20-(MOD($V12,2)*20)+INT(COLUMN()/2)+((WEEKDAY($A12,2)-1)*4))))</f>
        <v>0</v>
      </c>
      <c r="H12" s="213"/>
      <c r="I12" s="213">
        <f ca="1">IF($A12="",0,IF(WEEKDAY($A12,2)&gt;5,0,OFFSET(Données!$C$3,MATCH($N$4,Données!$A$4:$A$5,0),20-(MOD($V12,2)*20)+INT(COLUMN()/2)+((WEEKDAY($A12,2)-1)*4))))</f>
        <v>0</v>
      </c>
      <c r="J12" s="213"/>
      <c r="K12" s="224">
        <f t="shared" ref="K12:K41" ca="1" si="9">IF(Q12="REC",AC12-R12,IF(Q12="RTT",AC12-$U$2,IF(Q12="½RTT",AC12-($U$2/2),AC12)))</f>
        <v>0</v>
      </c>
      <c r="L12" s="224"/>
      <c r="M12" s="154"/>
      <c r="N12" s="87"/>
      <c r="O12" s="309"/>
      <c r="P12" s="176"/>
      <c r="Q12" s="188"/>
      <c r="R12" s="173"/>
      <c r="S12" s="216"/>
      <c r="T12" s="216"/>
      <c r="U12" s="160"/>
      <c r="V12" s="29">
        <f t="shared" si="0"/>
        <v>1</v>
      </c>
      <c r="W12" s="76">
        <f t="shared" ca="1" si="1"/>
        <v>0</v>
      </c>
      <c r="X12" s="76">
        <f t="shared" ca="1" si="2"/>
        <v>0</v>
      </c>
      <c r="Y12" s="77">
        <f t="shared" ref="Y12:Y41" ca="1" si="10">(X12-W12)</f>
        <v>0</v>
      </c>
      <c r="Z12" s="78">
        <f t="shared" ca="1" si="3"/>
        <v>0</v>
      </c>
      <c r="AA12" s="78">
        <f t="shared" ca="1" si="4"/>
        <v>0</v>
      </c>
      <c r="AB12" s="77">
        <f t="shared" ref="AB12:AB41" ca="1" si="11">AA12-Z12</f>
        <v>0</v>
      </c>
      <c r="AC12" s="79">
        <f t="shared" ref="AC12:AC41" ca="1" si="12">((Y12+AB12)-INT(Y12+AB12))*24</f>
        <v>0</v>
      </c>
      <c r="AD12" s="80">
        <f t="shared" ca="1" si="5"/>
        <v>0</v>
      </c>
      <c r="AE12" s="80">
        <f t="shared" ref="AE11:AG41" ca="1" si="13">IF(AND(K12=0,COUNTIF(fériés,A12)),$U$2,0)</f>
        <v>0</v>
      </c>
      <c r="AF12" s="80">
        <f>IF(COUNTIF(fériés,A12),SUM(K12-(IF(K12&lt;&gt;0,AD12,0))),0)</f>
        <v>0</v>
      </c>
      <c r="AG12" s="341" t="b">
        <f ca="1">OR(IF(AND(K12=0,COUNTIF(fériés,A12)),$U$2,0),IF(COUNTIF(fériés,A12),SUM(K12-(IF(K12&lt;&gt;0,AD12,0))),0))</f>
        <v>0</v>
      </c>
      <c r="AI12" s="82" t="s">
        <v>69</v>
      </c>
      <c r="AL12" s="2">
        <v>0.25</v>
      </c>
      <c r="AM12" s="4" t="s">
        <v>53</v>
      </c>
      <c r="AN12" s="84">
        <f t="shared" si="6"/>
        <v>0</v>
      </c>
    </row>
    <row r="13" spans="1:40" s="2" customFormat="1" ht="27.75" customHeight="1" x14ac:dyDescent="0.4">
      <c r="A13" s="85">
        <f t="shared" si="7"/>
        <v>41277</v>
      </c>
      <c r="B13" s="86">
        <f t="shared" si="8"/>
        <v>41277</v>
      </c>
      <c r="C13" s="229">
        <f ca="1">IF($A13="",0,IF(WEEKDAY($A13,2)&gt;5,0,OFFSET(Données!$C$3,MATCH($N$4,Données!$A$4:$A$5,0),20-(MOD($V13,2)*20)+INT(COLUMN()/2)+((WEEKDAY($A13,2)-1)*4))))</f>
        <v>0.375</v>
      </c>
      <c r="D13" s="213"/>
      <c r="E13" s="213">
        <f ca="1">IF($A13="",0,IF(WEEKDAY($A13,2)&gt;5,0,OFFSET(Données!$C$3,MATCH($N$4,Données!$A$4:$A$5,0),20-(MOD($V13,2)*20)+INT(COLUMN()/2)+((WEEKDAY($A13,2)-1)*4))))</f>
        <v>0.5</v>
      </c>
      <c r="F13" s="213"/>
      <c r="G13" s="213">
        <f ca="1">IF($A13="",0,IF(WEEKDAY($A13,2)&gt;5,0,OFFSET(Données!$C$3,MATCH($N$4,Données!$A$4:$A$5,0),20-(MOD($V13,2)*20)+INT(COLUMN()/2)+((WEEKDAY($A13,2)-1)*4))))</f>
        <v>0.58333333333333337</v>
      </c>
      <c r="H13" s="213"/>
      <c r="I13" s="213">
        <f ca="1">IF($A13="",0,IF(WEEKDAY($A13,2)&gt;5,0,OFFSET(Données!$C$3,MATCH($N$4,Données!$A$4:$A$5,0),20-(MOD($V13,2)*20)+INT(COLUMN()/2)+((WEEKDAY($A13,2)-1)*4))))</f>
        <v>0.79166666666666663</v>
      </c>
      <c r="J13" s="213"/>
      <c r="K13" s="224">
        <f t="shared" ca="1" si="9"/>
        <v>7.9999999999999982</v>
      </c>
      <c r="L13" s="224"/>
      <c r="M13" s="154"/>
      <c r="N13" s="87"/>
      <c r="O13" s="309"/>
      <c r="P13" s="175"/>
      <c r="Q13" s="188"/>
      <c r="R13" s="173"/>
      <c r="S13" s="216"/>
      <c r="T13" s="216"/>
      <c r="U13" s="160"/>
      <c r="V13" s="29">
        <f t="shared" si="0"/>
        <v>1</v>
      </c>
      <c r="W13" s="76">
        <f t="shared" ca="1" si="1"/>
        <v>0.375</v>
      </c>
      <c r="X13" s="76">
        <f t="shared" ca="1" si="2"/>
        <v>0.5</v>
      </c>
      <c r="Y13" s="77">
        <f t="shared" ca="1" si="10"/>
        <v>0.125</v>
      </c>
      <c r="Z13" s="78">
        <f t="shared" ca="1" si="3"/>
        <v>0.58333333333333337</v>
      </c>
      <c r="AA13" s="78">
        <f t="shared" ca="1" si="4"/>
        <v>0.79166666666666663</v>
      </c>
      <c r="AB13" s="77">
        <f t="shared" ca="1" si="11"/>
        <v>0.20833333333333326</v>
      </c>
      <c r="AC13" s="79">
        <f t="shared" ca="1" si="12"/>
        <v>7.9999999999999982</v>
      </c>
      <c r="AD13" s="80">
        <f t="shared" ca="1" si="5"/>
        <v>0</v>
      </c>
      <c r="AE13" s="80">
        <f t="shared" ca="1" si="13"/>
        <v>0</v>
      </c>
      <c r="AF13" s="80">
        <f>IF(COUNTIF(fériés,A13),SUM(K13-(IF(K13&lt;&gt;0,AD13,0))),0)</f>
        <v>0</v>
      </c>
      <c r="AG13" s="341" t="b">
        <f ca="1">OR(IF(AND(K13=0,COUNTIF(fériés,A13)),$U$2,0),IF(COUNTIF(fériés,A13),SUM(K13-(IF(K13&lt;&gt;0,AD13,0))),0))</f>
        <v>0</v>
      </c>
      <c r="AI13" s="82" t="s">
        <v>63</v>
      </c>
      <c r="AL13" s="2">
        <v>0.5</v>
      </c>
      <c r="AM13" s="4" t="s">
        <v>54</v>
      </c>
      <c r="AN13" s="84">
        <f t="shared" si="6"/>
        <v>0</v>
      </c>
    </row>
    <row r="14" spans="1:40" s="2" customFormat="1" ht="27.75" customHeight="1" x14ac:dyDescent="0.4">
      <c r="A14" s="85">
        <f t="shared" si="7"/>
        <v>41278</v>
      </c>
      <c r="B14" s="86">
        <f t="shared" si="8"/>
        <v>41278</v>
      </c>
      <c r="C14" s="229">
        <f ca="1">IF($A14="",0,IF(WEEKDAY($A14,2)&gt;5,0,OFFSET(Données!$C$3,MATCH($N$4,Données!$A$4:$A$5,0),20-(MOD($V14,2)*20)+INT(COLUMN()/2)+((WEEKDAY($A14,2)-1)*4))))</f>
        <v>0</v>
      </c>
      <c r="D14" s="213"/>
      <c r="E14" s="213">
        <f ca="1">IF($A14="",0,IF(WEEKDAY($A14,2)&gt;5,0,OFFSET(Données!$C$3,MATCH($N$4,Données!$A$4:$A$5,0),20-(MOD($V14,2)*20)+INT(COLUMN()/2)+((WEEKDAY($A14,2)-1)*4))))</f>
        <v>0</v>
      </c>
      <c r="F14" s="213"/>
      <c r="G14" s="213">
        <f ca="1">IF($A14="",0,IF(WEEKDAY($A14,2)&gt;5,0,OFFSET(Données!$C$3,MATCH($N$4,Données!$A$4:$A$5,0),20-(MOD($V14,2)*20)+INT(COLUMN()/2)+((WEEKDAY($A14,2)-1)*4))))</f>
        <v>0.58333333333333337</v>
      </c>
      <c r="H14" s="213"/>
      <c r="I14" s="213">
        <f ca="1">IF($A14="",0,IF(WEEKDAY($A14,2)&gt;5,0,OFFSET(Données!$C$3,MATCH($N$4,Données!$A$4:$A$5,0),20-(MOD($V14,2)*20)+INT(COLUMN()/2)+((WEEKDAY($A14,2)-1)*4))))</f>
        <v>0.75</v>
      </c>
      <c r="J14" s="213"/>
      <c r="K14" s="224">
        <f t="shared" ca="1" si="9"/>
        <v>3.9999999999999991</v>
      </c>
      <c r="L14" s="224"/>
      <c r="M14" s="154"/>
      <c r="N14" s="87"/>
      <c r="O14" s="309"/>
      <c r="P14" s="175"/>
      <c r="Q14" s="188"/>
      <c r="R14" s="173"/>
      <c r="S14" s="216"/>
      <c r="T14" s="216"/>
      <c r="U14" s="160"/>
      <c r="V14" s="29">
        <f t="shared" si="0"/>
        <v>1</v>
      </c>
      <c r="W14" s="76">
        <f t="shared" ca="1" si="1"/>
        <v>0</v>
      </c>
      <c r="X14" s="76">
        <f t="shared" ca="1" si="2"/>
        <v>0</v>
      </c>
      <c r="Y14" s="77">
        <f t="shared" ca="1" si="10"/>
        <v>0</v>
      </c>
      <c r="Z14" s="78">
        <f t="shared" ca="1" si="3"/>
        <v>0.58333333333333337</v>
      </c>
      <c r="AA14" s="78">
        <f t="shared" ca="1" si="4"/>
        <v>0.75</v>
      </c>
      <c r="AB14" s="77">
        <f t="shared" ca="1" si="11"/>
        <v>0.16666666666666663</v>
      </c>
      <c r="AC14" s="79">
        <f t="shared" ca="1" si="12"/>
        <v>3.9999999999999991</v>
      </c>
      <c r="AD14" s="80">
        <f t="shared" ca="1" si="5"/>
        <v>0</v>
      </c>
      <c r="AE14" s="80">
        <f t="shared" ca="1" si="13"/>
        <v>0</v>
      </c>
      <c r="AF14" s="80">
        <f>IF(COUNTIF(fériés,A14),SUM(K14-(IF(K14&lt;&gt;0,AD14,0))),0)</f>
        <v>0</v>
      </c>
      <c r="AG14" s="341" t="b">
        <f ca="1">OR(IF(AND(K14=0,COUNTIF(fériés,A14)),$U$2,0),IF(COUNTIF(fériés,A14),SUM(K14-(IF(K14&lt;&gt;0,AD14,0))),0))</f>
        <v>0</v>
      </c>
      <c r="AI14" s="82" t="s">
        <v>64</v>
      </c>
      <c r="AL14" s="2">
        <v>0.75</v>
      </c>
      <c r="AM14" s="4" t="s">
        <v>55</v>
      </c>
      <c r="AN14" s="84">
        <f t="shared" si="6"/>
        <v>0</v>
      </c>
    </row>
    <row r="15" spans="1:40" s="2" customFormat="1" ht="27.75" customHeight="1" x14ac:dyDescent="0.4">
      <c r="A15" s="85">
        <f t="shared" si="7"/>
        <v>41279</v>
      </c>
      <c r="B15" s="86">
        <f t="shared" si="8"/>
        <v>41279</v>
      </c>
      <c r="C15" s="229">
        <f ca="1">IF($A15="",0,IF(WEEKDAY($A15,2)&gt;5,0,OFFSET(Données!$C$3,MATCH($N$4,Données!$A$4:$A$5,0),20-(MOD($V15,2)*20)+INT(COLUMN()/2)+((WEEKDAY($A15,2)-1)*4))))</f>
        <v>0</v>
      </c>
      <c r="D15" s="213"/>
      <c r="E15" s="213">
        <f ca="1">IF($A15="",0,IF(WEEKDAY($A15,2)&gt;5,0,OFFSET(Données!$C$3,MATCH($N$4,Données!$A$4:$A$5,0),20-(MOD($V15,2)*20)+INT(COLUMN()/2)+((WEEKDAY($A15,2)-1)*4))))</f>
        <v>0</v>
      </c>
      <c r="F15" s="213"/>
      <c r="G15" s="213">
        <f ca="1">IF($A15="",0,IF(WEEKDAY($A15,2)&gt;5,0,OFFSET(Données!$C$3,MATCH($N$4,Données!$A$4:$A$5,0),20-(MOD($V15,2)*20)+INT(COLUMN()/2)+((WEEKDAY($A15,2)-1)*4))))</f>
        <v>0</v>
      </c>
      <c r="H15" s="213"/>
      <c r="I15" s="213">
        <f ca="1">IF($A15="",0,IF(WEEKDAY($A15,2)&gt;5,0,OFFSET(Données!$C$3,MATCH($N$4,Données!$A$4:$A$5,0),20-(MOD($V15,2)*20)+INT(COLUMN()/2)+((WEEKDAY($A15,2)-1)*4))))</f>
        <v>0</v>
      </c>
      <c r="J15" s="213"/>
      <c r="K15" s="224">
        <f t="shared" ca="1" si="9"/>
        <v>0</v>
      </c>
      <c r="L15" s="224"/>
      <c r="M15" s="154"/>
      <c r="N15" s="87"/>
      <c r="O15" s="309"/>
      <c r="P15" s="175"/>
      <c r="Q15" s="188"/>
      <c r="R15" s="173"/>
      <c r="S15" s="216"/>
      <c r="T15" s="216"/>
      <c r="U15" s="160"/>
      <c r="V15" s="29">
        <f t="shared" si="0"/>
        <v>1</v>
      </c>
      <c r="W15" s="76">
        <f t="shared" ca="1" si="1"/>
        <v>0</v>
      </c>
      <c r="X15" s="76">
        <f t="shared" ca="1" si="2"/>
        <v>0</v>
      </c>
      <c r="Y15" s="77">
        <f t="shared" ca="1" si="10"/>
        <v>0</v>
      </c>
      <c r="Z15" s="78">
        <f t="shared" ca="1" si="3"/>
        <v>0</v>
      </c>
      <c r="AA15" s="78">
        <f t="shared" ca="1" si="4"/>
        <v>0</v>
      </c>
      <c r="AB15" s="77">
        <f t="shared" ca="1" si="11"/>
        <v>0</v>
      </c>
      <c r="AC15" s="79">
        <f t="shared" ca="1" si="12"/>
        <v>0</v>
      </c>
      <c r="AD15" s="80">
        <f t="shared" ca="1" si="5"/>
        <v>0</v>
      </c>
      <c r="AE15" s="80">
        <f t="shared" ca="1" si="13"/>
        <v>0</v>
      </c>
      <c r="AF15" s="80">
        <f>IF(COUNTIF(fériés,A15),SUM(K15-(IF(K15&lt;&gt;0,AD15,0))),0)</f>
        <v>0</v>
      </c>
      <c r="AG15" s="341" t="b">
        <f ca="1">OR(IF(AND(K15=0,COUNTIF(fériés,A15)),$U$2,0),IF(COUNTIF(fériés,A15),SUM(K15-(IF(K15&lt;&gt;0,AD15,0))),0))</f>
        <v>0</v>
      </c>
      <c r="AI15" s="82" t="s">
        <v>66</v>
      </c>
      <c r="AL15" s="2">
        <v>1</v>
      </c>
      <c r="AM15" s="4" t="s">
        <v>56</v>
      </c>
      <c r="AN15" s="84">
        <f t="shared" si="6"/>
        <v>0</v>
      </c>
    </row>
    <row r="16" spans="1:40" s="2" customFormat="1" ht="27.75" customHeight="1" x14ac:dyDescent="0.4">
      <c r="A16" s="85">
        <f t="shared" si="7"/>
        <v>41280</v>
      </c>
      <c r="B16" s="86">
        <f t="shared" si="8"/>
        <v>41280</v>
      </c>
      <c r="C16" s="229">
        <f ca="1">IF($A16="",0,IF(WEEKDAY($A16,2)&gt;5,0,OFFSET(Données!$C$3,MATCH($N$4,Données!$A$4:$A$5,0),20-(MOD($V16,2)*20)+INT(COLUMN()/2)+((WEEKDAY($A16,2)-1)*4))))</f>
        <v>0</v>
      </c>
      <c r="D16" s="213"/>
      <c r="E16" s="213">
        <f ca="1">IF($A16="",0,IF(WEEKDAY($A16,2)&gt;5,0,OFFSET(Données!$C$3,MATCH($N$4,Données!$A$4:$A$5,0),20-(MOD($V16,2)*20)+INT(COLUMN()/2)+((WEEKDAY($A16,2)-1)*4))))</f>
        <v>0</v>
      </c>
      <c r="F16" s="213"/>
      <c r="G16" s="213">
        <f ca="1">IF($A16="",0,IF(WEEKDAY($A16,2)&gt;5,0,OFFSET(Données!$C$3,MATCH($N$4,Données!$A$4:$A$5,0),20-(MOD($V16,2)*20)+INT(COLUMN()/2)+((WEEKDAY($A16,2)-1)*4))))</f>
        <v>0</v>
      </c>
      <c r="H16" s="213"/>
      <c r="I16" s="213">
        <f ca="1">IF($A16="",0,IF(WEEKDAY($A16,2)&gt;5,0,OFFSET(Données!$C$3,MATCH($N$4,Données!$A$4:$A$5,0),20-(MOD($V16,2)*20)+INT(COLUMN()/2)+((WEEKDAY($A16,2)-1)*4))))</f>
        <v>0</v>
      </c>
      <c r="J16" s="213"/>
      <c r="K16" s="224">
        <f t="shared" ca="1" si="9"/>
        <v>0</v>
      </c>
      <c r="L16" s="224"/>
      <c r="M16" s="154"/>
      <c r="N16" s="87"/>
      <c r="O16" s="309"/>
      <c r="P16" s="175"/>
      <c r="Q16" s="188"/>
      <c r="R16" s="173"/>
      <c r="S16" s="216"/>
      <c r="T16" s="216"/>
      <c r="U16" s="160"/>
      <c r="V16" s="29">
        <f t="shared" si="0"/>
        <v>1</v>
      </c>
      <c r="W16" s="76">
        <f t="shared" ca="1" si="1"/>
        <v>0</v>
      </c>
      <c r="X16" s="76">
        <f t="shared" ca="1" si="2"/>
        <v>0</v>
      </c>
      <c r="Y16" s="77">
        <f t="shared" ca="1" si="10"/>
        <v>0</v>
      </c>
      <c r="Z16" s="78">
        <f t="shared" ca="1" si="3"/>
        <v>0</v>
      </c>
      <c r="AA16" s="78">
        <f t="shared" ca="1" si="4"/>
        <v>0</v>
      </c>
      <c r="AB16" s="77">
        <f t="shared" ca="1" si="11"/>
        <v>0</v>
      </c>
      <c r="AC16" s="79">
        <f t="shared" ca="1" si="12"/>
        <v>0</v>
      </c>
      <c r="AD16" s="80">
        <f t="shared" ca="1" si="5"/>
        <v>0</v>
      </c>
      <c r="AE16" s="80">
        <f t="shared" ca="1" si="13"/>
        <v>0</v>
      </c>
      <c r="AF16" s="80">
        <f>IF(COUNTIF(fériés,A16),SUM(K16-(IF(K16&lt;&gt;0,AD16,0))),0)</f>
        <v>0</v>
      </c>
      <c r="AG16" s="341" t="b">
        <f ca="1">OR(IF(AND(K16=0,COUNTIF(fériés,A16)),$U$2,0),IF(COUNTIF(fériés,A16),SUM(K16-(IF(K16&lt;&gt;0,AD16,0))),0))</f>
        <v>0</v>
      </c>
      <c r="AI16" s="82" t="s">
        <v>67</v>
      </c>
      <c r="AL16" s="2">
        <v>1.25</v>
      </c>
      <c r="AM16" s="4" t="s">
        <v>57</v>
      </c>
      <c r="AN16" s="84">
        <f t="shared" si="6"/>
        <v>0</v>
      </c>
    </row>
    <row r="17" spans="1:90" s="2" customFormat="1" ht="27.75" customHeight="1" x14ac:dyDescent="0.4">
      <c r="A17" s="85">
        <f t="shared" si="7"/>
        <v>41281</v>
      </c>
      <c r="B17" s="86">
        <f t="shared" si="8"/>
        <v>41281</v>
      </c>
      <c r="C17" s="229">
        <f ca="1">IF($A17="",0,IF(WEEKDAY($A17,2)&gt;5,0,OFFSET(Données!$C$3,MATCH($N$4,Données!$A$4:$A$5,0),20-(MOD($V17,2)*20)+INT(COLUMN()/2)+((WEEKDAY($A17,2)-1)*4))))</f>
        <v>0</v>
      </c>
      <c r="D17" s="213"/>
      <c r="E17" s="213">
        <f ca="1">IF($A17="",0,IF(WEEKDAY($A17,2)&gt;5,0,OFFSET(Données!$C$3,MATCH($N$4,Données!$A$4:$A$5,0),20-(MOD($V17,2)*20)+INT(COLUMN()/2)+((WEEKDAY($A17,2)-1)*4))))</f>
        <v>0</v>
      </c>
      <c r="F17" s="213"/>
      <c r="G17" s="213">
        <f ca="1">IF($A17="",0,IF(WEEKDAY($A17,2)&gt;5,0,OFFSET(Données!$C$3,MATCH($N$4,Données!$A$4:$A$5,0),20-(MOD($V17,2)*20)+INT(COLUMN()/2)+((WEEKDAY($A17,2)-1)*4))))</f>
        <v>0</v>
      </c>
      <c r="H17" s="213"/>
      <c r="I17" s="213">
        <f ca="1">IF($A17="",0,IF(WEEKDAY($A17,2)&gt;5,0,OFFSET(Données!$C$3,MATCH($N$4,Données!$A$4:$A$5,0),20-(MOD($V17,2)*20)+INT(COLUMN()/2)+((WEEKDAY($A17,2)-1)*4))))</f>
        <v>0</v>
      </c>
      <c r="J17" s="213"/>
      <c r="K17" s="224">
        <f t="shared" ca="1" si="9"/>
        <v>0</v>
      </c>
      <c r="L17" s="224"/>
      <c r="M17" s="154"/>
      <c r="N17" s="87"/>
      <c r="O17" s="309"/>
      <c r="P17" s="176"/>
      <c r="Q17" s="188"/>
      <c r="R17" s="173"/>
      <c r="S17" s="216"/>
      <c r="T17" s="216"/>
      <c r="U17" s="160"/>
      <c r="V17" s="29">
        <f t="shared" si="0"/>
        <v>2</v>
      </c>
      <c r="W17" s="76">
        <f t="shared" ca="1" si="1"/>
        <v>0</v>
      </c>
      <c r="X17" s="76">
        <f t="shared" ca="1" si="2"/>
        <v>0</v>
      </c>
      <c r="Y17" s="77">
        <f t="shared" ca="1" si="10"/>
        <v>0</v>
      </c>
      <c r="Z17" s="78">
        <f t="shared" ca="1" si="3"/>
        <v>0</v>
      </c>
      <c r="AA17" s="78">
        <f t="shared" ca="1" si="4"/>
        <v>0</v>
      </c>
      <c r="AB17" s="77">
        <f t="shared" ca="1" si="11"/>
        <v>0</v>
      </c>
      <c r="AC17" s="79">
        <f t="shared" ca="1" si="12"/>
        <v>0</v>
      </c>
      <c r="AD17" s="80">
        <f t="shared" ca="1" si="5"/>
        <v>0</v>
      </c>
      <c r="AE17" s="80">
        <f t="shared" ca="1" si="13"/>
        <v>0</v>
      </c>
      <c r="AF17" s="80">
        <f>IF(COUNTIF(fériés,A17),SUM(K17-(IF(K17&lt;&gt;0,AD17,0))),0)</f>
        <v>0</v>
      </c>
      <c r="AG17" s="341" t="b">
        <f ca="1">OR(IF(AND(K17=0,COUNTIF(fériés,A17)),$U$2,0),IF(COUNTIF(fériés,A17),SUM(K17-(IF(K17&lt;&gt;0,AD17,0))),0))</f>
        <v>0</v>
      </c>
      <c r="AI17" s="82" t="s">
        <v>65</v>
      </c>
      <c r="AL17" s="2">
        <v>1.5</v>
      </c>
      <c r="AM17" s="4" t="s">
        <v>58</v>
      </c>
      <c r="AN17" s="84">
        <f t="shared" si="6"/>
        <v>0</v>
      </c>
    </row>
    <row r="18" spans="1:90" s="2" customFormat="1" ht="27.75" customHeight="1" x14ac:dyDescent="0.4">
      <c r="A18" s="85">
        <f t="shared" si="7"/>
        <v>41282</v>
      </c>
      <c r="B18" s="86">
        <f t="shared" si="8"/>
        <v>41282</v>
      </c>
      <c r="C18" s="229">
        <f ca="1">IF($A18="",0,IF(WEEKDAY($A18,2)&gt;5,0,OFFSET(Données!$C$3,MATCH($N$4,Données!$A$4:$A$5,0),20-(MOD($V18,2)*20)+INT(COLUMN()/2)+((WEEKDAY($A18,2)-1)*4))))</f>
        <v>0.35416666666666669</v>
      </c>
      <c r="D18" s="213"/>
      <c r="E18" s="213">
        <f ca="1">IF($A18="",0,IF(WEEKDAY($A18,2)&gt;5,0,OFFSET(Données!$C$3,MATCH($N$4,Données!$A$4:$A$5,0),20-(MOD($V18,2)*20)+INT(COLUMN()/2)+((WEEKDAY($A18,2)-1)*4))))</f>
        <v>0.52083333333333337</v>
      </c>
      <c r="F18" s="213"/>
      <c r="G18" s="213">
        <f ca="1">IF($A18="",0,IF(WEEKDAY($A18,2)&gt;5,0,OFFSET(Données!$C$3,MATCH($N$4,Données!$A$4:$A$5,0),20-(MOD($V18,2)*20)+INT(COLUMN()/2)+((WEEKDAY($A18,2)-1)*4))))</f>
        <v>0</v>
      </c>
      <c r="H18" s="213"/>
      <c r="I18" s="213">
        <f ca="1">IF($A18="",0,IF(WEEKDAY($A18,2)&gt;5,0,OFFSET(Données!$C$3,MATCH($N$4,Données!$A$4:$A$5,0),20-(MOD($V18,2)*20)+INT(COLUMN()/2)+((WEEKDAY($A18,2)-1)*4))))</f>
        <v>0</v>
      </c>
      <c r="J18" s="213"/>
      <c r="K18" s="224">
        <f t="shared" ca="1" si="9"/>
        <v>4</v>
      </c>
      <c r="L18" s="224"/>
      <c r="M18" s="154"/>
      <c r="N18" s="87"/>
      <c r="O18" s="309"/>
      <c r="P18" s="175"/>
      <c r="Q18" s="188"/>
      <c r="R18" s="173"/>
      <c r="S18" s="216"/>
      <c r="T18" s="216"/>
      <c r="U18" s="160"/>
      <c r="V18" s="29">
        <f t="shared" si="0"/>
        <v>2</v>
      </c>
      <c r="W18" s="76">
        <f t="shared" ca="1" si="1"/>
        <v>0.35416666666666669</v>
      </c>
      <c r="X18" s="76">
        <f t="shared" ca="1" si="2"/>
        <v>0.52083333333333337</v>
      </c>
      <c r="Y18" s="77">
        <f t="shared" ca="1" si="10"/>
        <v>0.16666666666666669</v>
      </c>
      <c r="Z18" s="78">
        <f t="shared" ca="1" si="3"/>
        <v>0</v>
      </c>
      <c r="AA18" s="78">
        <f t="shared" ca="1" si="4"/>
        <v>0</v>
      </c>
      <c r="AB18" s="77">
        <f t="shared" ca="1" si="11"/>
        <v>0</v>
      </c>
      <c r="AC18" s="79">
        <f t="shared" ca="1" si="12"/>
        <v>4</v>
      </c>
      <c r="AD18" s="80">
        <f t="shared" ca="1" si="5"/>
        <v>0</v>
      </c>
      <c r="AE18" s="80">
        <f t="shared" ca="1" si="13"/>
        <v>0</v>
      </c>
      <c r="AF18" s="80">
        <f>IF(COUNTIF(fériés,A18),SUM(K18-(IF(K18&lt;&gt;0,AD18,0))),0)</f>
        <v>0</v>
      </c>
      <c r="AG18" s="341" t="b">
        <f ca="1">OR(IF(AND(K18=0,COUNTIF(fériés,A18)),$U$2,0),IF(COUNTIF(fériés,A18),SUM(K18-(IF(K18&lt;&gt;0,AD18,0))),0))</f>
        <v>0</v>
      </c>
      <c r="AI18" s="82" t="s">
        <v>68</v>
      </c>
      <c r="AL18" s="2">
        <v>1.75</v>
      </c>
      <c r="AM18" s="4" t="s">
        <v>60</v>
      </c>
      <c r="AN18" s="84">
        <f>COUNTIF($Q$11:$Q$41,AM18)/2</f>
        <v>0</v>
      </c>
    </row>
    <row r="19" spans="1:90" s="2" customFormat="1" ht="27.75" customHeight="1" x14ac:dyDescent="0.4">
      <c r="A19" s="85">
        <f t="shared" si="7"/>
        <v>41283</v>
      </c>
      <c r="B19" s="86">
        <f t="shared" si="8"/>
        <v>41283</v>
      </c>
      <c r="C19" s="229">
        <f ca="1">IF($A19="",0,IF(WEEKDAY($A19,2)&gt;5,0,OFFSET(Données!$C$3,MATCH($N$4,Données!$A$4:$A$5,0),20-(MOD($V19,2)*20)+INT(COLUMN()/2)+((WEEKDAY($A19,2)-1)*4))))</f>
        <v>0</v>
      </c>
      <c r="D19" s="213"/>
      <c r="E19" s="213">
        <f ca="1">IF($A19="",0,IF(WEEKDAY($A19,2)&gt;5,0,OFFSET(Données!$C$3,MATCH($N$4,Données!$A$4:$A$5,0),20-(MOD($V19,2)*20)+INT(COLUMN()/2)+((WEEKDAY($A19,2)-1)*4))))</f>
        <v>0</v>
      </c>
      <c r="F19" s="213"/>
      <c r="G19" s="213">
        <f ca="1">IF($A19="",0,IF(WEEKDAY($A19,2)&gt;5,0,OFFSET(Données!$C$3,MATCH($N$4,Données!$A$4:$A$5,0),20-(MOD($V19,2)*20)+INT(COLUMN()/2)+((WEEKDAY($A19,2)-1)*4))))</f>
        <v>0</v>
      </c>
      <c r="H19" s="213"/>
      <c r="I19" s="213">
        <f ca="1">IF($A19="",0,IF(WEEKDAY($A19,2)&gt;5,0,OFFSET(Données!$C$3,MATCH($N$4,Données!$A$4:$A$5,0),20-(MOD($V19,2)*20)+INT(COLUMN()/2)+((WEEKDAY($A19,2)-1)*4))))</f>
        <v>0</v>
      </c>
      <c r="J19" s="213"/>
      <c r="K19" s="224">
        <f t="shared" ca="1" si="9"/>
        <v>0</v>
      </c>
      <c r="L19" s="224"/>
      <c r="M19" s="154"/>
      <c r="N19" s="87"/>
      <c r="O19" s="309"/>
      <c r="P19" s="175"/>
      <c r="Q19" s="188"/>
      <c r="R19" s="173"/>
      <c r="S19" s="216"/>
      <c r="T19" s="216"/>
      <c r="U19" s="160"/>
      <c r="V19" s="29">
        <f t="shared" si="0"/>
        <v>2</v>
      </c>
      <c r="W19" s="76">
        <f t="shared" ca="1" si="1"/>
        <v>0</v>
      </c>
      <c r="X19" s="76">
        <f t="shared" ca="1" si="2"/>
        <v>0</v>
      </c>
      <c r="Y19" s="77">
        <f t="shared" ca="1" si="10"/>
        <v>0</v>
      </c>
      <c r="Z19" s="78">
        <f t="shared" ca="1" si="3"/>
        <v>0</v>
      </c>
      <c r="AA19" s="78">
        <f t="shared" ca="1" si="4"/>
        <v>0</v>
      </c>
      <c r="AB19" s="77">
        <f t="shared" ca="1" si="11"/>
        <v>0</v>
      </c>
      <c r="AC19" s="79">
        <f t="shared" ca="1" si="12"/>
        <v>0</v>
      </c>
      <c r="AD19" s="80">
        <f t="shared" ca="1" si="5"/>
        <v>0</v>
      </c>
      <c r="AE19" s="80">
        <f t="shared" ca="1" si="13"/>
        <v>0</v>
      </c>
      <c r="AF19" s="80">
        <f>IF(COUNTIF(fériés,A19),SUM(K19-(IF(K19&lt;&gt;0,AD19,0))),0)</f>
        <v>0</v>
      </c>
      <c r="AG19" s="341" t="b">
        <f ca="1">OR(IF(AND(K19=0,COUNTIF(fériés,A19)),$U$2,0),IF(COUNTIF(fériés,A19),SUM(K19-(IF(K19&lt;&gt;0,AD19,0))),0))</f>
        <v>0</v>
      </c>
      <c r="AL19" s="2">
        <v>2</v>
      </c>
      <c r="AM19" s="4" t="s">
        <v>59</v>
      </c>
      <c r="AN19" s="84">
        <f>COUNTIF($Q$11:$Q$41,AM19)</f>
        <v>0</v>
      </c>
    </row>
    <row r="20" spans="1:90" s="2" customFormat="1" ht="27.75" customHeight="1" x14ac:dyDescent="0.4">
      <c r="A20" s="85">
        <f t="shared" si="7"/>
        <v>41284</v>
      </c>
      <c r="B20" s="86">
        <f t="shared" si="8"/>
        <v>41284</v>
      </c>
      <c r="C20" s="229">
        <f ca="1">IF($A20="",0,IF(WEEKDAY($A20,2)&gt;5,0,OFFSET(Données!$C$3,MATCH($N$4,Données!$A$4:$A$5,0),20-(MOD($V20,2)*20)+INT(COLUMN()/2)+((WEEKDAY($A20,2)-1)*4))))</f>
        <v>0</v>
      </c>
      <c r="D20" s="213"/>
      <c r="E20" s="213">
        <f ca="1">IF($A20="",0,IF(WEEKDAY($A20,2)&gt;5,0,OFFSET(Données!$C$3,MATCH($N$4,Données!$A$4:$A$5,0),20-(MOD($V20,2)*20)+INT(COLUMN()/2)+((WEEKDAY($A20,2)-1)*4))))</f>
        <v>0</v>
      </c>
      <c r="F20" s="213"/>
      <c r="G20" s="213">
        <f ca="1">IF($A20="",0,IF(WEEKDAY($A20,2)&gt;5,0,OFFSET(Données!$C$3,MATCH($N$4,Données!$A$4:$A$5,0),20-(MOD($V20,2)*20)+INT(COLUMN()/2)+((WEEKDAY($A20,2)-1)*4))))</f>
        <v>0</v>
      </c>
      <c r="H20" s="213"/>
      <c r="I20" s="213">
        <f ca="1">IF($A20="",0,IF(WEEKDAY($A20,2)&gt;5,0,OFFSET(Données!$C$3,MATCH($N$4,Données!$A$4:$A$5,0),20-(MOD($V20,2)*20)+INT(COLUMN()/2)+((WEEKDAY($A20,2)-1)*4))))</f>
        <v>0</v>
      </c>
      <c r="J20" s="213"/>
      <c r="K20" s="224">
        <f t="shared" ca="1" si="9"/>
        <v>0</v>
      </c>
      <c r="L20" s="224"/>
      <c r="M20" s="154"/>
      <c r="N20" s="87"/>
      <c r="O20" s="309"/>
      <c r="P20" s="175"/>
      <c r="Q20" s="188"/>
      <c r="R20" s="173"/>
      <c r="S20" s="216"/>
      <c r="T20" s="216"/>
      <c r="U20" s="160"/>
      <c r="V20" s="29">
        <f t="shared" si="0"/>
        <v>2</v>
      </c>
      <c r="W20" s="76">
        <f t="shared" ca="1" si="1"/>
        <v>0</v>
      </c>
      <c r="X20" s="76">
        <f t="shared" ca="1" si="2"/>
        <v>0</v>
      </c>
      <c r="Y20" s="77">
        <f t="shared" ca="1" si="10"/>
        <v>0</v>
      </c>
      <c r="Z20" s="78">
        <f t="shared" ca="1" si="3"/>
        <v>0</v>
      </c>
      <c r="AA20" s="78">
        <f t="shared" ca="1" si="4"/>
        <v>0</v>
      </c>
      <c r="AB20" s="77">
        <f t="shared" ca="1" si="11"/>
        <v>0</v>
      </c>
      <c r="AC20" s="79">
        <f t="shared" ca="1" si="12"/>
        <v>0</v>
      </c>
      <c r="AD20" s="80">
        <f t="shared" ca="1" si="5"/>
        <v>0</v>
      </c>
      <c r="AE20" s="80">
        <f t="shared" ca="1" si="13"/>
        <v>0</v>
      </c>
      <c r="AF20" s="80">
        <f>IF(COUNTIF(fériés,A20),SUM(K20-(IF(K20&lt;&gt;0,AD20,0))),0)</f>
        <v>0</v>
      </c>
      <c r="AG20" s="341" t="b">
        <f ca="1">OR(IF(AND(K20=0,COUNTIF(fériés,A20)),$U$2,0),IF(COUNTIF(fériés,A20),SUM(K20-(IF(K20&lt;&gt;0,AD20,0))),0))</f>
        <v>0</v>
      </c>
      <c r="AL20" s="2">
        <v>2.25</v>
      </c>
    </row>
    <row r="21" spans="1:90" s="2" customFormat="1" ht="27.75" customHeight="1" x14ac:dyDescent="0.4">
      <c r="A21" s="85">
        <f t="shared" si="7"/>
        <v>41285</v>
      </c>
      <c r="B21" s="86">
        <f t="shared" si="8"/>
        <v>41285</v>
      </c>
      <c r="C21" s="229">
        <f ca="1">IF($A21="",0,IF(WEEKDAY($A21,2)&gt;5,0,OFFSET(Données!$C$3,MATCH($N$4,Données!$A$4:$A$5,0),20-(MOD($V21,2)*20)+INT(COLUMN()/2)+((WEEKDAY($A21,2)-1)*4))))</f>
        <v>0</v>
      </c>
      <c r="D21" s="213"/>
      <c r="E21" s="213">
        <f ca="1">IF($A21="",0,IF(WEEKDAY($A21,2)&gt;5,0,OFFSET(Données!$C$3,MATCH($N$4,Données!$A$4:$A$5,0),20-(MOD($V21,2)*20)+INT(COLUMN()/2)+((WEEKDAY($A21,2)-1)*4))))</f>
        <v>0</v>
      </c>
      <c r="F21" s="213"/>
      <c r="G21" s="213">
        <f ca="1">IF($A21="",0,IF(WEEKDAY($A21,2)&gt;5,0,OFFSET(Données!$C$3,MATCH($N$4,Données!$A$4:$A$5,0),20-(MOD($V21,2)*20)+INT(COLUMN()/2)+((WEEKDAY($A21,2)-1)*4))))</f>
        <v>0</v>
      </c>
      <c r="H21" s="213"/>
      <c r="I21" s="213">
        <f ca="1">IF($A21="",0,IF(WEEKDAY($A21,2)&gt;5,0,OFFSET(Données!$C$3,MATCH($N$4,Données!$A$4:$A$5,0),20-(MOD($V21,2)*20)+INT(COLUMN()/2)+((WEEKDAY($A21,2)-1)*4))))</f>
        <v>0</v>
      </c>
      <c r="J21" s="213"/>
      <c r="K21" s="224">
        <f t="shared" ca="1" si="9"/>
        <v>0</v>
      </c>
      <c r="L21" s="224"/>
      <c r="M21" s="154"/>
      <c r="N21" s="87"/>
      <c r="O21" s="309"/>
      <c r="P21" s="175"/>
      <c r="Q21" s="188"/>
      <c r="R21" s="173"/>
      <c r="S21" s="216"/>
      <c r="T21" s="216"/>
      <c r="U21" s="160"/>
      <c r="V21" s="29">
        <f t="shared" si="0"/>
        <v>2</v>
      </c>
      <c r="W21" s="76">
        <f t="shared" ca="1" si="1"/>
        <v>0</v>
      </c>
      <c r="X21" s="76">
        <f t="shared" ca="1" si="2"/>
        <v>0</v>
      </c>
      <c r="Y21" s="77">
        <f t="shared" ca="1" si="10"/>
        <v>0</v>
      </c>
      <c r="Z21" s="78">
        <f t="shared" ca="1" si="3"/>
        <v>0</v>
      </c>
      <c r="AA21" s="78">
        <f t="shared" ca="1" si="4"/>
        <v>0</v>
      </c>
      <c r="AB21" s="77">
        <f t="shared" ca="1" si="11"/>
        <v>0</v>
      </c>
      <c r="AC21" s="79">
        <f t="shared" ca="1" si="12"/>
        <v>0</v>
      </c>
      <c r="AD21" s="80">
        <f t="shared" ca="1" si="5"/>
        <v>0</v>
      </c>
      <c r="AE21" s="80">
        <f t="shared" ca="1" si="13"/>
        <v>0</v>
      </c>
      <c r="AF21" s="80">
        <f>IF(COUNTIF(fériés,A21),SUM(K21-(IF(K21&lt;&gt;0,AD21,0))),0)</f>
        <v>0</v>
      </c>
      <c r="AG21" s="341" t="b">
        <f ca="1">OR(IF(AND(K21=0,COUNTIF(fériés,A21)),$U$2,0),IF(COUNTIF(fériés,A21),SUM(K21-(IF(K21&lt;&gt;0,AD21,0))),0))</f>
        <v>0</v>
      </c>
      <c r="AL21" s="2">
        <v>2.5</v>
      </c>
    </row>
    <row r="22" spans="1:90" s="2" customFormat="1" ht="27.75" customHeight="1" x14ac:dyDescent="0.4">
      <c r="A22" s="85">
        <f t="shared" si="7"/>
        <v>41286</v>
      </c>
      <c r="B22" s="86">
        <f t="shared" si="8"/>
        <v>41286</v>
      </c>
      <c r="C22" s="229">
        <f ca="1">IF($A22="",0,IF(WEEKDAY($A22,2)&gt;5,0,OFFSET(Données!$C$3,MATCH($N$4,Données!$A$4:$A$5,0),20-(MOD($V22,2)*20)+INT(COLUMN()/2)+((WEEKDAY($A22,2)-1)*4))))</f>
        <v>0</v>
      </c>
      <c r="D22" s="213"/>
      <c r="E22" s="213">
        <f ca="1">IF($A22="",0,IF(WEEKDAY($A22,2)&gt;5,0,OFFSET(Données!$C$3,MATCH($N$4,Données!$A$4:$A$5,0),20-(MOD($V22,2)*20)+INT(COLUMN()/2)+((WEEKDAY($A22,2)-1)*4))))</f>
        <v>0</v>
      </c>
      <c r="F22" s="213"/>
      <c r="G22" s="213">
        <f ca="1">IF($A22="",0,IF(WEEKDAY($A22,2)&gt;5,0,OFFSET(Données!$C$3,MATCH($N$4,Données!$A$4:$A$5,0),20-(MOD($V22,2)*20)+INT(COLUMN()/2)+((WEEKDAY($A22,2)-1)*4))))</f>
        <v>0</v>
      </c>
      <c r="H22" s="213"/>
      <c r="I22" s="213">
        <f ca="1">IF($A22="",0,IF(WEEKDAY($A22,2)&gt;5,0,OFFSET(Données!$C$3,MATCH($N$4,Données!$A$4:$A$5,0),20-(MOD($V22,2)*20)+INT(COLUMN()/2)+((WEEKDAY($A22,2)-1)*4))))</f>
        <v>0</v>
      </c>
      <c r="J22" s="213"/>
      <c r="K22" s="224">
        <f t="shared" ca="1" si="9"/>
        <v>0</v>
      </c>
      <c r="L22" s="224"/>
      <c r="M22" s="154"/>
      <c r="N22" s="87"/>
      <c r="O22" s="309"/>
      <c r="P22" s="175"/>
      <c r="Q22" s="188"/>
      <c r="R22" s="173"/>
      <c r="S22" s="216"/>
      <c r="T22" s="216"/>
      <c r="U22" s="160"/>
      <c r="V22" s="29">
        <f t="shared" si="0"/>
        <v>2</v>
      </c>
      <c r="W22" s="76">
        <f t="shared" ca="1" si="1"/>
        <v>0</v>
      </c>
      <c r="X22" s="76">
        <f t="shared" ca="1" si="2"/>
        <v>0</v>
      </c>
      <c r="Y22" s="77">
        <f t="shared" ca="1" si="10"/>
        <v>0</v>
      </c>
      <c r="Z22" s="78">
        <f t="shared" ca="1" si="3"/>
        <v>0</v>
      </c>
      <c r="AA22" s="78">
        <f t="shared" ca="1" si="4"/>
        <v>0</v>
      </c>
      <c r="AB22" s="77">
        <f t="shared" ca="1" si="11"/>
        <v>0</v>
      </c>
      <c r="AC22" s="79">
        <f t="shared" ca="1" si="12"/>
        <v>0</v>
      </c>
      <c r="AD22" s="80">
        <f t="shared" ca="1" si="5"/>
        <v>0</v>
      </c>
      <c r="AE22" s="80">
        <f t="shared" ca="1" si="13"/>
        <v>0</v>
      </c>
      <c r="AF22" s="80">
        <f>IF(COUNTIF(fériés,A22),SUM(K22-(IF(K22&lt;&gt;0,AD22,0))),0)</f>
        <v>0</v>
      </c>
      <c r="AG22" s="341" t="b">
        <f ca="1">OR(IF(AND(K22=0,COUNTIF(fériés,A22)),$U$2,0),IF(COUNTIF(fériés,A22),SUM(K22-(IF(K22&lt;&gt;0,AD22,0))),0))</f>
        <v>0</v>
      </c>
      <c r="AL22" s="2">
        <v>2.75</v>
      </c>
    </row>
    <row r="23" spans="1:90" s="2" customFormat="1" ht="27.75" customHeight="1" x14ac:dyDescent="0.4">
      <c r="A23" s="85">
        <f t="shared" si="7"/>
        <v>41287</v>
      </c>
      <c r="B23" s="86">
        <f t="shared" si="8"/>
        <v>41287</v>
      </c>
      <c r="C23" s="229">
        <f ca="1">IF($A23="",0,IF(WEEKDAY($A23,2)&gt;5,0,OFFSET(Données!$C$3,MATCH($N$4,Données!$A$4:$A$5,0),20-(MOD($V23,2)*20)+INT(COLUMN()/2)+((WEEKDAY($A23,2)-1)*4))))</f>
        <v>0</v>
      </c>
      <c r="D23" s="213"/>
      <c r="E23" s="213">
        <f ca="1">IF($A23="",0,IF(WEEKDAY($A23,2)&gt;5,0,OFFSET(Données!$C$3,MATCH($N$4,Données!$A$4:$A$5,0),20-(MOD($V23,2)*20)+INT(COLUMN()/2)+((WEEKDAY($A23,2)-1)*4))))</f>
        <v>0</v>
      </c>
      <c r="F23" s="213"/>
      <c r="G23" s="213">
        <f ca="1">IF($A23="",0,IF(WEEKDAY($A23,2)&gt;5,0,OFFSET(Données!$C$3,MATCH($N$4,Données!$A$4:$A$5,0),20-(MOD($V23,2)*20)+INT(COLUMN()/2)+((WEEKDAY($A23,2)-1)*4))))</f>
        <v>0</v>
      </c>
      <c r="H23" s="213"/>
      <c r="I23" s="213">
        <f ca="1">IF($A23="",0,IF(WEEKDAY($A23,2)&gt;5,0,OFFSET(Données!$C$3,MATCH($N$4,Données!$A$4:$A$5,0),20-(MOD($V23,2)*20)+INT(COLUMN()/2)+((WEEKDAY($A23,2)-1)*4))))</f>
        <v>0</v>
      </c>
      <c r="J23" s="213"/>
      <c r="K23" s="224">
        <f t="shared" ca="1" si="9"/>
        <v>0</v>
      </c>
      <c r="L23" s="224"/>
      <c r="M23" s="154"/>
      <c r="N23" s="87"/>
      <c r="O23" s="309"/>
      <c r="P23" s="175"/>
      <c r="Q23" s="188"/>
      <c r="R23" s="173"/>
      <c r="S23" s="216"/>
      <c r="T23" s="216"/>
      <c r="U23" s="160"/>
      <c r="V23" s="29">
        <f t="shared" si="0"/>
        <v>2</v>
      </c>
      <c r="W23" s="76">
        <f t="shared" ca="1" si="1"/>
        <v>0</v>
      </c>
      <c r="X23" s="76">
        <f t="shared" ca="1" si="2"/>
        <v>0</v>
      </c>
      <c r="Y23" s="77">
        <f t="shared" ca="1" si="10"/>
        <v>0</v>
      </c>
      <c r="Z23" s="78">
        <f t="shared" ca="1" si="3"/>
        <v>0</v>
      </c>
      <c r="AA23" s="78">
        <f t="shared" ca="1" si="4"/>
        <v>0</v>
      </c>
      <c r="AB23" s="77">
        <f t="shared" ca="1" si="11"/>
        <v>0</v>
      </c>
      <c r="AC23" s="79">
        <f t="shared" ca="1" si="12"/>
        <v>0</v>
      </c>
      <c r="AD23" s="80">
        <f t="shared" ca="1" si="5"/>
        <v>0</v>
      </c>
      <c r="AE23" s="80">
        <f t="shared" ca="1" si="13"/>
        <v>0</v>
      </c>
      <c r="AF23" s="80">
        <f>IF(COUNTIF(fériés,A23),SUM(K23-(IF(K23&lt;&gt;0,AD23,0))),0)</f>
        <v>0</v>
      </c>
      <c r="AG23" s="341" t="b">
        <f ca="1">OR(IF(AND(K23=0,COUNTIF(fériés,A23)),$U$2,0),IF(COUNTIF(fériés,A23),SUM(K23-(IF(K23&lt;&gt;0,AD23,0))),0))</f>
        <v>0</v>
      </c>
      <c r="AL23" s="2">
        <v>3</v>
      </c>
    </row>
    <row r="24" spans="1:90" s="2" customFormat="1" ht="27.75" customHeight="1" x14ac:dyDescent="0.4">
      <c r="A24" s="85">
        <f t="shared" si="7"/>
        <v>41288</v>
      </c>
      <c r="B24" s="86">
        <f t="shared" si="8"/>
        <v>41288</v>
      </c>
      <c r="C24" s="229">
        <f ca="1">IF($A24="",0,IF(WEEKDAY($A24,2)&gt;5,0,OFFSET(Données!$C$3,MATCH($N$4,Données!$A$4:$A$5,0),20-(MOD($V24,2)*20)+INT(COLUMN()/2)+((WEEKDAY($A24,2)-1)*4))))</f>
        <v>0</v>
      </c>
      <c r="D24" s="213"/>
      <c r="E24" s="213">
        <f ca="1">IF($A24="",0,IF(WEEKDAY($A24,2)&gt;5,0,OFFSET(Données!$C$3,MATCH($N$4,Données!$A$4:$A$5,0),20-(MOD($V24,2)*20)+INT(COLUMN()/2)+((WEEKDAY($A24,2)-1)*4))))</f>
        <v>0</v>
      </c>
      <c r="F24" s="213"/>
      <c r="G24" s="213">
        <f ca="1">IF($A24="",0,IF(WEEKDAY($A24,2)&gt;5,0,OFFSET(Données!$C$3,MATCH($N$4,Données!$A$4:$A$5,0),20-(MOD($V24,2)*20)+INT(COLUMN()/2)+((WEEKDAY($A24,2)-1)*4))))</f>
        <v>0</v>
      </c>
      <c r="H24" s="213"/>
      <c r="I24" s="213">
        <f ca="1">IF($A24="",0,IF(WEEKDAY($A24,2)&gt;5,0,OFFSET(Données!$C$3,MATCH($N$4,Données!$A$4:$A$5,0),20-(MOD($V24,2)*20)+INT(COLUMN()/2)+((WEEKDAY($A24,2)-1)*4))))</f>
        <v>0</v>
      </c>
      <c r="J24" s="213"/>
      <c r="K24" s="224">
        <f t="shared" ca="1" si="9"/>
        <v>0</v>
      </c>
      <c r="L24" s="224"/>
      <c r="M24" s="154"/>
      <c r="N24" s="87"/>
      <c r="O24" s="309"/>
      <c r="P24" s="175"/>
      <c r="Q24" s="188"/>
      <c r="R24" s="173"/>
      <c r="S24" s="216"/>
      <c r="T24" s="216"/>
      <c r="U24" s="160"/>
      <c r="V24" s="29">
        <f t="shared" si="0"/>
        <v>3</v>
      </c>
      <c r="W24" s="76">
        <f t="shared" ca="1" si="1"/>
        <v>0</v>
      </c>
      <c r="X24" s="76">
        <f t="shared" ca="1" si="2"/>
        <v>0</v>
      </c>
      <c r="Y24" s="77">
        <f t="shared" ca="1" si="10"/>
        <v>0</v>
      </c>
      <c r="Z24" s="78">
        <f t="shared" ca="1" si="3"/>
        <v>0</v>
      </c>
      <c r="AA24" s="78">
        <f t="shared" ca="1" si="4"/>
        <v>0</v>
      </c>
      <c r="AB24" s="77">
        <f t="shared" ca="1" si="11"/>
        <v>0</v>
      </c>
      <c r="AC24" s="79">
        <f t="shared" ca="1" si="12"/>
        <v>0</v>
      </c>
      <c r="AD24" s="80">
        <f t="shared" ca="1" si="5"/>
        <v>0</v>
      </c>
      <c r="AE24" s="80">
        <f t="shared" ca="1" si="13"/>
        <v>0</v>
      </c>
      <c r="AF24" s="80">
        <f>IF(COUNTIF(fériés,A24),SUM(K24-(IF(K24&lt;&gt;0,AD24,0))),0)</f>
        <v>0</v>
      </c>
      <c r="AG24" s="341" t="b">
        <f ca="1">OR(IF(AND(K24=0,COUNTIF(fériés,A24)),$U$2,0),IF(COUNTIF(fériés,A24),SUM(K24-(IF(K24&lt;&gt;0,AD24,0))),0))</f>
        <v>0</v>
      </c>
      <c r="AL24" s="2">
        <v>3.25</v>
      </c>
    </row>
    <row r="25" spans="1:90" s="2" customFormat="1" ht="27.75" customHeight="1" x14ac:dyDescent="0.4">
      <c r="A25" s="85">
        <f t="shared" si="7"/>
        <v>41289</v>
      </c>
      <c r="B25" s="86">
        <f t="shared" si="8"/>
        <v>41289</v>
      </c>
      <c r="C25" s="229">
        <f ca="1">IF($A25="",0,IF(WEEKDAY($A25,2)&gt;5,0,OFFSET(Données!$C$3,MATCH($N$4,Données!$A$4:$A$5,0),20-(MOD($V25,2)*20)+INT(COLUMN()/2)+((WEEKDAY($A25,2)-1)*4))))</f>
        <v>0</v>
      </c>
      <c r="D25" s="213"/>
      <c r="E25" s="213">
        <f ca="1">IF($A25="",0,IF(WEEKDAY($A25,2)&gt;5,0,OFFSET(Données!$C$3,MATCH($N$4,Données!$A$4:$A$5,0),20-(MOD($V25,2)*20)+INT(COLUMN()/2)+((WEEKDAY($A25,2)-1)*4))))</f>
        <v>0</v>
      </c>
      <c r="F25" s="213"/>
      <c r="G25" s="213">
        <f ca="1">IF($A25="",0,IF(WEEKDAY($A25,2)&gt;5,0,OFFSET(Données!$C$3,MATCH($N$4,Données!$A$4:$A$5,0),20-(MOD($V25,2)*20)+INT(COLUMN()/2)+((WEEKDAY($A25,2)-1)*4))))</f>
        <v>0</v>
      </c>
      <c r="H25" s="213"/>
      <c r="I25" s="213">
        <f ca="1">IF($A25="",0,IF(WEEKDAY($A25,2)&gt;5,0,OFFSET(Données!$C$3,MATCH($N$4,Données!$A$4:$A$5,0),20-(MOD($V25,2)*20)+INT(COLUMN()/2)+((WEEKDAY($A25,2)-1)*4))))</f>
        <v>0</v>
      </c>
      <c r="J25" s="213"/>
      <c r="K25" s="224">
        <f t="shared" ca="1" si="9"/>
        <v>0</v>
      </c>
      <c r="L25" s="224"/>
      <c r="M25" s="154"/>
      <c r="N25" s="87"/>
      <c r="O25" s="309"/>
      <c r="P25" s="175"/>
      <c r="Q25" s="188"/>
      <c r="R25" s="173"/>
      <c r="S25" s="216"/>
      <c r="T25" s="216"/>
      <c r="U25" s="160"/>
      <c r="V25" s="29">
        <f t="shared" si="0"/>
        <v>3</v>
      </c>
      <c r="W25" s="76">
        <f t="shared" ca="1" si="1"/>
        <v>0</v>
      </c>
      <c r="X25" s="76">
        <f t="shared" ca="1" si="2"/>
        <v>0</v>
      </c>
      <c r="Y25" s="77">
        <f t="shared" ca="1" si="10"/>
        <v>0</v>
      </c>
      <c r="Z25" s="78">
        <f t="shared" ca="1" si="3"/>
        <v>0</v>
      </c>
      <c r="AA25" s="78">
        <f t="shared" ca="1" si="4"/>
        <v>0</v>
      </c>
      <c r="AB25" s="77">
        <f t="shared" ca="1" si="11"/>
        <v>0</v>
      </c>
      <c r="AC25" s="79">
        <f t="shared" ca="1" si="12"/>
        <v>0</v>
      </c>
      <c r="AD25" s="80">
        <f t="shared" ca="1" si="5"/>
        <v>0</v>
      </c>
      <c r="AE25" s="80">
        <f t="shared" ca="1" si="13"/>
        <v>0</v>
      </c>
      <c r="AF25" s="80">
        <f>IF(COUNTIF(fériés,A25),SUM(K25-(IF(K25&lt;&gt;0,AD25,0))),0)</f>
        <v>0</v>
      </c>
      <c r="AG25" s="341" t="b">
        <f ca="1">OR(IF(AND(K25=0,COUNTIF(fériés,A25)),$U$2,0),IF(COUNTIF(fériés,A25),SUM(K25-(IF(K25&lt;&gt;0,AD25,0))),0))</f>
        <v>0</v>
      </c>
      <c r="AL25" s="2">
        <v>3.5</v>
      </c>
    </row>
    <row r="26" spans="1:90" s="2" customFormat="1" ht="27.75" customHeight="1" x14ac:dyDescent="0.4">
      <c r="A26" s="85">
        <f t="shared" si="7"/>
        <v>41290</v>
      </c>
      <c r="B26" s="86">
        <f t="shared" si="8"/>
        <v>41290</v>
      </c>
      <c r="C26" s="229">
        <f ca="1">IF($A26="",0,IF(WEEKDAY($A26,2)&gt;5,0,OFFSET(Données!$C$3,MATCH($N$4,Données!$A$4:$A$5,0),20-(MOD($V26,2)*20)+INT(COLUMN()/2)+((WEEKDAY($A26,2)-1)*4))))</f>
        <v>0</v>
      </c>
      <c r="D26" s="213"/>
      <c r="E26" s="213">
        <f ca="1">IF($A26="",0,IF(WEEKDAY($A26,2)&gt;5,0,OFFSET(Données!$C$3,MATCH($N$4,Données!$A$4:$A$5,0),20-(MOD($V26,2)*20)+INT(COLUMN()/2)+((WEEKDAY($A26,2)-1)*4))))</f>
        <v>0</v>
      </c>
      <c r="F26" s="213"/>
      <c r="G26" s="213">
        <f ca="1">IF($A26="",0,IF(WEEKDAY($A26,2)&gt;5,0,OFFSET(Données!$C$3,MATCH($N$4,Données!$A$4:$A$5,0),20-(MOD($V26,2)*20)+INT(COLUMN()/2)+((WEEKDAY($A26,2)-1)*4))))</f>
        <v>0</v>
      </c>
      <c r="H26" s="213"/>
      <c r="I26" s="213">
        <f ca="1">IF($A26="",0,IF(WEEKDAY($A26,2)&gt;5,0,OFFSET(Données!$C$3,MATCH($N$4,Données!$A$4:$A$5,0),20-(MOD($V26,2)*20)+INT(COLUMN()/2)+((WEEKDAY($A26,2)-1)*4))))</f>
        <v>0</v>
      </c>
      <c r="J26" s="213"/>
      <c r="K26" s="224">
        <f t="shared" ca="1" si="9"/>
        <v>0</v>
      </c>
      <c r="L26" s="224"/>
      <c r="M26" s="154"/>
      <c r="N26" s="87"/>
      <c r="O26" s="309"/>
      <c r="P26" s="175"/>
      <c r="Q26" s="188"/>
      <c r="R26" s="173"/>
      <c r="S26" s="216"/>
      <c r="T26" s="216"/>
      <c r="U26" s="160"/>
      <c r="V26" s="29">
        <f t="shared" si="0"/>
        <v>3</v>
      </c>
      <c r="W26" s="76">
        <f t="shared" ca="1" si="1"/>
        <v>0</v>
      </c>
      <c r="X26" s="76">
        <f t="shared" ca="1" si="2"/>
        <v>0</v>
      </c>
      <c r="Y26" s="77">
        <f t="shared" ca="1" si="10"/>
        <v>0</v>
      </c>
      <c r="Z26" s="78">
        <f t="shared" ca="1" si="3"/>
        <v>0</v>
      </c>
      <c r="AA26" s="78">
        <f t="shared" ca="1" si="4"/>
        <v>0</v>
      </c>
      <c r="AB26" s="77">
        <f t="shared" ca="1" si="11"/>
        <v>0</v>
      </c>
      <c r="AC26" s="79">
        <f t="shared" ca="1" si="12"/>
        <v>0</v>
      </c>
      <c r="AD26" s="80">
        <f t="shared" ca="1" si="5"/>
        <v>0</v>
      </c>
      <c r="AE26" s="80">
        <f t="shared" ca="1" si="13"/>
        <v>0</v>
      </c>
      <c r="AF26" s="80">
        <f>IF(COUNTIF(fériés,A26),SUM(K26-(IF(K26&lt;&gt;0,AD26,0))),0)</f>
        <v>0</v>
      </c>
      <c r="AG26" s="341" t="b">
        <f ca="1">OR(IF(AND(K26=0,COUNTIF(fériés,A26)),$U$2,0),IF(COUNTIF(fériés,A26),SUM(K26-(IF(K26&lt;&gt;0,AD26,0))),0))</f>
        <v>0</v>
      </c>
      <c r="AL26" s="2">
        <v>3.75</v>
      </c>
    </row>
    <row r="27" spans="1:90" s="2" customFormat="1" ht="27.75" customHeight="1" x14ac:dyDescent="0.4">
      <c r="A27" s="85">
        <f t="shared" si="7"/>
        <v>41291</v>
      </c>
      <c r="B27" s="86">
        <f t="shared" si="8"/>
        <v>41291</v>
      </c>
      <c r="C27" s="229">
        <f ca="1">IF($A27="",0,IF(WEEKDAY($A27,2)&gt;5,0,OFFSET(Données!$C$3,MATCH($N$4,Données!$A$4:$A$5,0),20-(MOD($V27,2)*20)+INT(COLUMN()/2)+((WEEKDAY($A27,2)-1)*4))))</f>
        <v>0.375</v>
      </c>
      <c r="D27" s="213"/>
      <c r="E27" s="213">
        <f ca="1">IF($A27="",0,IF(WEEKDAY($A27,2)&gt;5,0,OFFSET(Données!$C$3,MATCH($N$4,Données!$A$4:$A$5,0),20-(MOD($V27,2)*20)+INT(COLUMN()/2)+((WEEKDAY($A27,2)-1)*4))))</f>
        <v>0.5</v>
      </c>
      <c r="F27" s="213"/>
      <c r="G27" s="213">
        <f ca="1">IF($A27="",0,IF(WEEKDAY($A27,2)&gt;5,0,OFFSET(Données!$C$3,MATCH($N$4,Données!$A$4:$A$5,0),20-(MOD($V27,2)*20)+INT(COLUMN()/2)+((WEEKDAY($A27,2)-1)*4))))</f>
        <v>0.58333333333333337</v>
      </c>
      <c r="H27" s="213"/>
      <c r="I27" s="213">
        <f ca="1">IF($A27="",0,IF(WEEKDAY($A27,2)&gt;5,0,OFFSET(Données!$C$3,MATCH($N$4,Données!$A$4:$A$5,0),20-(MOD($V27,2)*20)+INT(COLUMN()/2)+((WEEKDAY($A27,2)-1)*4))))</f>
        <v>0.79166666666666663</v>
      </c>
      <c r="J27" s="213"/>
      <c r="K27" s="224">
        <f t="shared" ca="1" si="9"/>
        <v>7.9999999999999982</v>
      </c>
      <c r="L27" s="224"/>
      <c r="M27" s="154"/>
      <c r="N27" s="87"/>
      <c r="O27" s="309"/>
      <c r="P27" s="175"/>
      <c r="Q27" s="188"/>
      <c r="R27" s="173"/>
      <c r="S27" s="216"/>
      <c r="T27" s="216"/>
      <c r="U27" s="160"/>
      <c r="V27" s="29">
        <f t="shared" si="0"/>
        <v>3</v>
      </c>
      <c r="W27" s="76">
        <f t="shared" ca="1" si="1"/>
        <v>0.375</v>
      </c>
      <c r="X27" s="76">
        <f t="shared" ca="1" si="2"/>
        <v>0.5</v>
      </c>
      <c r="Y27" s="77">
        <f t="shared" ca="1" si="10"/>
        <v>0.125</v>
      </c>
      <c r="Z27" s="78">
        <f t="shared" ca="1" si="3"/>
        <v>0.58333333333333337</v>
      </c>
      <c r="AA27" s="78">
        <f t="shared" ca="1" si="4"/>
        <v>0.79166666666666663</v>
      </c>
      <c r="AB27" s="77">
        <f t="shared" ca="1" si="11"/>
        <v>0.20833333333333326</v>
      </c>
      <c r="AC27" s="79">
        <f t="shared" ca="1" si="12"/>
        <v>7.9999999999999982</v>
      </c>
      <c r="AD27" s="80">
        <f t="shared" ca="1" si="5"/>
        <v>0</v>
      </c>
      <c r="AE27" s="80">
        <f t="shared" ca="1" si="13"/>
        <v>0</v>
      </c>
      <c r="AF27" s="80">
        <f>IF(COUNTIF(fériés,A27),SUM(K27-(IF(K27&lt;&gt;0,AD27,0))),0)</f>
        <v>0</v>
      </c>
      <c r="AG27" s="341" t="b">
        <f ca="1">OR(IF(AND(K27=0,COUNTIF(fériés,A27)),$U$2,0),IF(COUNTIF(fériés,A27),SUM(K27-(IF(K27&lt;&gt;0,AD27,0))),0))</f>
        <v>0</v>
      </c>
      <c r="AL27" s="2">
        <v>4</v>
      </c>
    </row>
    <row r="28" spans="1:90" s="88" customFormat="1" ht="27.75" customHeight="1" x14ac:dyDescent="0.4">
      <c r="A28" s="85">
        <f t="shared" si="7"/>
        <v>41292</v>
      </c>
      <c r="B28" s="86">
        <f t="shared" si="8"/>
        <v>41292</v>
      </c>
      <c r="C28" s="229">
        <f ca="1">IF($A28="",0,IF(WEEKDAY($A28,2)&gt;5,0,OFFSET(Données!$C$3,MATCH($N$4,Données!$A$4:$A$5,0),20-(MOD($V28,2)*20)+INT(COLUMN()/2)+((WEEKDAY($A28,2)-1)*4))))</f>
        <v>0</v>
      </c>
      <c r="D28" s="213"/>
      <c r="E28" s="213">
        <f ca="1">IF($A28="",0,IF(WEEKDAY($A28,2)&gt;5,0,OFFSET(Données!$C$3,MATCH($N$4,Données!$A$4:$A$5,0),20-(MOD($V28,2)*20)+INT(COLUMN()/2)+((WEEKDAY($A28,2)-1)*4))))</f>
        <v>0</v>
      </c>
      <c r="F28" s="213"/>
      <c r="G28" s="213">
        <f ca="1">IF($A28="",0,IF(WEEKDAY($A28,2)&gt;5,0,OFFSET(Données!$C$3,MATCH($N$4,Données!$A$4:$A$5,0),20-(MOD($V28,2)*20)+INT(COLUMN()/2)+((WEEKDAY($A28,2)-1)*4))))</f>
        <v>0.58333333333333337</v>
      </c>
      <c r="H28" s="213"/>
      <c r="I28" s="213">
        <f ca="1">IF($A28="",0,IF(WEEKDAY($A28,2)&gt;5,0,OFFSET(Données!$C$3,MATCH($N$4,Données!$A$4:$A$5,0),20-(MOD($V28,2)*20)+INT(COLUMN()/2)+((WEEKDAY($A28,2)-1)*4))))</f>
        <v>0.75</v>
      </c>
      <c r="J28" s="213"/>
      <c r="K28" s="224">
        <f t="shared" ca="1" si="9"/>
        <v>3.9999999999999991</v>
      </c>
      <c r="L28" s="224"/>
      <c r="M28" s="154"/>
      <c r="N28" s="87"/>
      <c r="O28" s="309"/>
      <c r="P28" s="175"/>
      <c r="Q28" s="188"/>
      <c r="R28" s="173"/>
      <c r="S28" s="216"/>
      <c r="T28" s="216"/>
      <c r="U28" s="160"/>
      <c r="V28" s="29">
        <f t="shared" si="0"/>
        <v>3</v>
      </c>
      <c r="W28" s="76">
        <f t="shared" ca="1" si="1"/>
        <v>0</v>
      </c>
      <c r="X28" s="76">
        <f t="shared" ca="1" si="2"/>
        <v>0</v>
      </c>
      <c r="Y28" s="77">
        <f t="shared" ca="1" si="10"/>
        <v>0</v>
      </c>
      <c r="Z28" s="78">
        <f t="shared" ca="1" si="3"/>
        <v>0.58333333333333337</v>
      </c>
      <c r="AA28" s="78">
        <f t="shared" ca="1" si="4"/>
        <v>0.75</v>
      </c>
      <c r="AB28" s="77">
        <f t="shared" ca="1" si="11"/>
        <v>0.16666666666666663</v>
      </c>
      <c r="AC28" s="79">
        <f t="shared" ca="1" si="12"/>
        <v>3.9999999999999991</v>
      </c>
      <c r="AD28" s="80">
        <f t="shared" ca="1" si="5"/>
        <v>0</v>
      </c>
      <c r="AE28" s="80">
        <f t="shared" ca="1" si="13"/>
        <v>0</v>
      </c>
      <c r="AF28" s="80">
        <f>IF(COUNTIF(fériés,A28),SUM(K28-(IF(K28&lt;&gt;0,AD28,0))),0)</f>
        <v>0</v>
      </c>
      <c r="AG28" s="341" t="b">
        <f ca="1">OR(IF(AND(K28=0,COUNTIF(fériés,A28)),$U$2,0),IF(COUNTIF(fériés,A28),SUM(K28-(IF(K28&lt;&gt;0,AD28,0))),0))</f>
        <v>0</v>
      </c>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row>
    <row r="29" spans="1:90" s="2" customFormat="1" ht="27.75" customHeight="1" x14ac:dyDescent="0.4">
      <c r="A29" s="85">
        <f t="shared" si="7"/>
        <v>41293</v>
      </c>
      <c r="B29" s="86">
        <f t="shared" si="8"/>
        <v>41293</v>
      </c>
      <c r="C29" s="229">
        <f ca="1">IF($A29="",0,IF(WEEKDAY($A29,2)&gt;5,0,OFFSET(Données!$C$3,MATCH($N$4,Données!$A$4:$A$5,0),20-(MOD($V29,2)*20)+INT(COLUMN()/2)+((WEEKDAY($A29,2)-1)*4))))</f>
        <v>0</v>
      </c>
      <c r="D29" s="213"/>
      <c r="E29" s="213">
        <f ca="1">IF($A29="",0,IF(WEEKDAY($A29,2)&gt;5,0,OFFSET(Données!$C$3,MATCH($N$4,Données!$A$4:$A$5,0),20-(MOD($V29,2)*20)+INT(COLUMN()/2)+((WEEKDAY($A29,2)-1)*4))))</f>
        <v>0</v>
      </c>
      <c r="F29" s="213"/>
      <c r="G29" s="213">
        <f ca="1">IF($A29="",0,IF(WEEKDAY($A29,2)&gt;5,0,OFFSET(Données!$C$3,MATCH($N$4,Données!$A$4:$A$5,0),20-(MOD($V29,2)*20)+INT(COLUMN()/2)+((WEEKDAY($A29,2)-1)*4))))</f>
        <v>0</v>
      </c>
      <c r="H29" s="213"/>
      <c r="I29" s="213">
        <f ca="1">IF($A29="",0,IF(WEEKDAY($A29,2)&gt;5,0,OFFSET(Données!$C$3,MATCH($N$4,Données!$A$4:$A$5,0),20-(MOD($V29,2)*20)+INT(COLUMN()/2)+((WEEKDAY($A29,2)-1)*4))))</f>
        <v>0</v>
      </c>
      <c r="J29" s="213"/>
      <c r="K29" s="224">
        <f t="shared" ca="1" si="9"/>
        <v>0</v>
      </c>
      <c r="L29" s="224"/>
      <c r="M29" s="154"/>
      <c r="N29" s="87"/>
      <c r="O29" s="309"/>
      <c r="P29" s="175"/>
      <c r="Q29" s="188"/>
      <c r="R29" s="173"/>
      <c r="S29" s="216"/>
      <c r="T29" s="216"/>
      <c r="U29" s="160"/>
      <c r="V29" s="29">
        <f t="shared" si="0"/>
        <v>3</v>
      </c>
      <c r="W29" s="76">
        <f t="shared" ca="1" si="1"/>
        <v>0</v>
      </c>
      <c r="X29" s="76">
        <f t="shared" ca="1" si="2"/>
        <v>0</v>
      </c>
      <c r="Y29" s="77">
        <f t="shared" ca="1" si="10"/>
        <v>0</v>
      </c>
      <c r="Z29" s="78">
        <f t="shared" ca="1" si="3"/>
        <v>0</v>
      </c>
      <c r="AA29" s="78">
        <f t="shared" ca="1" si="4"/>
        <v>0</v>
      </c>
      <c r="AB29" s="77">
        <f t="shared" ca="1" si="11"/>
        <v>0</v>
      </c>
      <c r="AC29" s="79">
        <f t="shared" ca="1" si="12"/>
        <v>0</v>
      </c>
      <c r="AD29" s="80">
        <f t="shared" ca="1" si="5"/>
        <v>0</v>
      </c>
      <c r="AE29" s="80">
        <f t="shared" ca="1" si="13"/>
        <v>0</v>
      </c>
      <c r="AF29" s="80">
        <f>IF(COUNTIF(fériés,A29),SUM(K29-(IF(K29&lt;&gt;0,AD29,0))),0)</f>
        <v>0</v>
      </c>
      <c r="AG29" s="341" t="b">
        <f ca="1">OR(IF(AND(K29=0,COUNTIF(fériés,A29)),$U$2,0),IF(COUNTIF(fériés,A29),SUM(K29-(IF(K29&lt;&gt;0,AD29,0))),0))</f>
        <v>0</v>
      </c>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row>
    <row r="30" spans="1:90" s="2" customFormat="1" ht="27.75" customHeight="1" x14ac:dyDescent="0.4">
      <c r="A30" s="85">
        <f t="shared" si="7"/>
        <v>41294</v>
      </c>
      <c r="B30" s="86">
        <f t="shared" si="8"/>
        <v>41294</v>
      </c>
      <c r="C30" s="229">
        <f ca="1">IF($A30="",0,IF(WEEKDAY($A30,2)&gt;5,0,OFFSET(Données!$C$3,MATCH($N$4,Données!$A$4:$A$5,0),20-(MOD($V30,2)*20)+INT(COLUMN()/2)+((WEEKDAY($A30,2)-1)*4))))</f>
        <v>0</v>
      </c>
      <c r="D30" s="213"/>
      <c r="E30" s="213">
        <f ca="1">IF($A30="",0,IF(WEEKDAY($A30,2)&gt;5,0,OFFSET(Données!$C$3,MATCH($N$4,Données!$A$4:$A$5,0),20-(MOD($V30,2)*20)+INT(COLUMN()/2)+((WEEKDAY($A30,2)-1)*4))))</f>
        <v>0</v>
      </c>
      <c r="F30" s="213"/>
      <c r="G30" s="213">
        <f ca="1">IF($A30="",0,IF(WEEKDAY($A30,2)&gt;5,0,OFFSET(Données!$C$3,MATCH($N$4,Données!$A$4:$A$5,0),20-(MOD($V30,2)*20)+INT(COLUMN()/2)+((WEEKDAY($A30,2)-1)*4))))</f>
        <v>0</v>
      </c>
      <c r="H30" s="213"/>
      <c r="I30" s="213">
        <f ca="1">IF($A30="",0,IF(WEEKDAY($A30,2)&gt;5,0,OFFSET(Données!$C$3,MATCH($N$4,Données!$A$4:$A$5,0),20-(MOD($V30,2)*20)+INT(COLUMN()/2)+((WEEKDAY($A30,2)-1)*4))))</f>
        <v>0</v>
      </c>
      <c r="J30" s="213"/>
      <c r="K30" s="224">
        <f t="shared" ca="1" si="9"/>
        <v>0</v>
      </c>
      <c r="L30" s="224"/>
      <c r="M30" s="154"/>
      <c r="N30" s="87"/>
      <c r="O30" s="309"/>
      <c r="P30" s="175"/>
      <c r="Q30" s="188"/>
      <c r="R30" s="173"/>
      <c r="S30" s="216"/>
      <c r="T30" s="216"/>
      <c r="U30" s="160"/>
      <c r="V30" s="29">
        <f t="shared" si="0"/>
        <v>3</v>
      </c>
      <c r="W30" s="76">
        <f t="shared" ca="1" si="1"/>
        <v>0</v>
      </c>
      <c r="X30" s="76">
        <f t="shared" ca="1" si="2"/>
        <v>0</v>
      </c>
      <c r="Y30" s="77">
        <f t="shared" ca="1" si="10"/>
        <v>0</v>
      </c>
      <c r="Z30" s="78">
        <f t="shared" ca="1" si="3"/>
        <v>0</v>
      </c>
      <c r="AA30" s="78">
        <f t="shared" ca="1" si="4"/>
        <v>0</v>
      </c>
      <c r="AB30" s="77">
        <f t="shared" ca="1" si="11"/>
        <v>0</v>
      </c>
      <c r="AC30" s="79">
        <f t="shared" ca="1" si="12"/>
        <v>0</v>
      </c>
      <c r="AD30" s="80">
        <f t="shared" ca="1" si="5"/>
        <v>0</v>
      </c>
      <c r="AE30" s="80">
        <f t="shared" ca="1" si="13"/>
        <v>0</v>
      </c>
      <c r="AF30" s="80">
        <f>IF(COUNTIF(fériés,A30),SUM(K30-(IF(K30&lt;&gt;0,AD30,0))),0)</f>
        <v>0</v>
      </c>
      <c r="AG30" s="341" t="b">
        <f ca="1">OR(IF(AND(K30=0,COUNTIF(fériés,A30)),$U$2,0),IF(COUNTIF(fériés,A30),SUM(K30-(IF(K30&lt;&gt;0,AD30,0))),0))</f>
        <v>0</v>
      </c>
    </row>
    <row r="31" spans="1:90" s="2" customFormat="1" ht="27.75" customHeight="1" x14ac:dyDescent="0.4">
      <c r="A31" s="85">
        <f t="shared" si="7"/>
        <v>41295</v>
      </c>
      <c r="B31" s="86">
        <f t="shared" si="8"/>
        <v>41295</v>
      </c>
      <c r="C31" s="229">
        <f ca="1">IF($A31="",0,IF(WEEKDAY($A31,2)&gt;5,0,OFFSET(Données!$C$3,MATCH($N$4,Données!$A$4:$A$5,0),20-(MOD($V31,2)*20)+INT(COLUMN()/2)+((WEEKDAY($A31,2)-1)*4))))</f>
        <v>0</v>
      </c>
      <c r="D31" s="213"/>
      <c r="E31" s="213">
        <f ca="1">IF($A31="",0,IF(WEEKDAY($A31,2)&gt;5,0,OFFSET(Données!$C$3,MATCH($N$4,Données!$A$4:$A$5,0),20-(MOD($V31,2)*20)+INT(COLUMN()/2)+((WEEKDAY($A31,2)-1)*4))))</f>
        <v>0</v>
      </c>
      <c r="F31" s="213"/>
      <c r="G31" s="213">
        <f ca="1">IF($A31="",0,IF(WEEKDAY($A31,2)&gt;5,0,OFFSET(Données!$C$3,MATCH($N$4,Données!$A$4:$A$5,0),20-(MOD($V31,2)*20)+INT(COLUMN()/2)+((WEEKDAY($A31,2)-1)*4))))</f>
        <v>0</v>
      </c>
      <c r="H31" s="213"/>
      <c r="I31" s="213">
        <f ca="1">IF($A31="",0,IF(WEEKDAY($A31,2)&gt;5,0,OFFSET(Données!$C$3,MATCH($N$4,Données!$A$4:$A$5,0),20-(MOD($V31,2)*20)+INT(COLUMN()/2)+((WEEKDAY($A31,2)-1)*4))))</f>
        <v>0</v>
      </c>
      <c r="J31" s="213"/>
      <c r="K31" s="224">
        <f t="shared" ca="1" si="9"/>
        <v>0</v>
      </c>
      <c r="L31" s="224"/>
      <c r="M31" s="154"/>
      <c r="N31" s="87"/>
      <c r="O31" s="309"/>
      <c r="P31" s="175"/>
      <c r="Q31" s="188"/>
      <c r="R31" s="173"/>
      <c r="S31" s="216"/>
      <c r="T31" s="216"/>
      <c r="U31" s="160"/>
      <c r="V31" s="29">
        <f t="shared" si="0"/>
        <v>4</v>
      </c>
      <c r="W31" s="76">
        <f t="shared" ca="1" si="1"/>
        <v>0</v>
      </c>
      <c r="X31" s="76">
        <f t="shared" ca="1" si="2"/>
        <v>0</v>
      </c>
      <c r="Y31" s="77">
        <f t="shared" ca="1" si="10"/>
        <v>0</v>
      </c>
      <c r="Z31" s="78">
        <f t="shared" ca="1" si="3"/>
        <v>0</v>
      </c>
      <c r="AA31" s="78">
        <f t="shared" ca="1" si="4"/>
        <v>0</v>
      </c>
      <c r="AB31" s="77">
        <f t="shared" ca="1" si="11"/>
        <v>0</v>
      </c>
      <c r="AC31" s="79">
        <f t="shared" ca="1" si="12"/>
        <v>0</v>
      </c>
      <c r="AD31" s="80">
        <f t="shared" ca="1" si="5"/>
        <v>0</v>
      </c>
      <c r="AE31" s="80">
        <f t="shared" ca="1" si="13"/>
        <v>0</v>
      </c>
      <c r="AF31" s="80">
        <f>IF(COUNTIF(fériés,A31),SUM(K31-(IF(K31&lt;&gt;0,AD31,0))),0)</f>
        <v>0</v>
      </c>
      <c r="AG31" s="341" t="b">
        <f ca="1">OR(IF(AND(K31=0,COUNTIF(fériés,A31)),$U$2,0),IF(COUNTIF(fériés,A31),SUM(K31-(IF(K31&lt;&gt;0,AD31,0))),0))</f>
        <v>0</v>
      </c>
    </row>
    <row r="32" spans="1:90" s="2" customFormat="1" ht="27.75" customHeight="1" x14ac:dyDescent="0.4">
      <c r="A32" s="85">
        <f t="shared" si="7"/>
        <v>41296</v>
      </c>
      <c r="B32" s="86">
        <f t="shared" si="8"/>
        <v>41296</v>
      </c>
      <c r="C32" s="229">
        <f ca="1">IF($A32="",0,IF(WEEKDAY($A32,2)&gt;5,0,OFFSET(Données!$C$3,MATCH($N$4,Données!$A$4:$A$5,0),20-(MOD($V32,2)*20)+INT(COLUMN()/2)+((WEEKDAY($A32,2)-1)*4))))</f>
        <v>0.35416666666666669</v>
      </c>
      <c r="D32" s="213"/>
      <c r="E32" s="213">
        <f ca="1">IF($A32="",0,IF(WEEKDAY($A32,2)&gt;5,0,OFFSET(Données!$C$3,MATCH($N$4,Données!$A$4:$A$5,0),20-(MOD($V32,2)*20)+INT(COLUMN()/2)+((WEEKDAY($A32,2)-1)*4))))</f>
        <v>0.52083333333333337</v>
      </c>
      <c r="F32" s="213"/>
      <c r="G32" s="213">
        <f ca="1">IF($A32="",0,IF(WEEKDAY($A32,2)&gt;5,0,OFFSET(Données!$C$3,MATCH($N$4,Données!$A$4:$A$5,0),20-(MOD($V32,2)*20)+INT(COLUMN()/2)+((WEEKDAY($A32,2)-1)*4))))</f>
        <v>0</v>
      </c>
      <c r="H32" s="213"/>
      <c r="I32" s="213">
        <f ca="1">IF($A32="",0,IF(WEEKDAY($A32,2)&gt;5,0,OFFSET(Données!$C$3,MATCH($N$4,Données!$A$4:$A$5,0),20-(MOD($V32,2)*20)+INT(COLUMN()/2)+((WEEKDAY($A32,2)-1)*4))))</f>
        <v>0</v>
      </c>
      <c r="J32" s="213"/>
      <c r="K32" s="224">
        <f t="shared" ca="1" si="9"/>
        <v>4</v>
      </c>
      <c r="L32" s="224"/>
      <c r="M32" s="154"/>
      <c r="N32" s="87"/>
      <c r="O32" s="309"/>
      <c r="P32" s="175"/>
      <c r="Q32" s="188"/>
      <c r="R32" s="173"/>
      <c r="S32" s="216"/>
      <c r="T32" s="216"/>
      <c r="U32" s="160"/>
      <c r="V32" s="29">
        <f t="shared" si="0"/>
        <v>4</v>
      </c>
      <c r="W32" s="76">
        <f t="shared" ca="1" si="1"/>
        <v>0.35416666666666669</v>
      </c>
      <c r="X32" s="76">
        <f t="shared" ca="1" si="2"/>
        <v>0.52083333333333337</v>
      </c>
      <c r="Y32" s="77">
        <f t="shared" ca="1" si="10"/>
        <v>0.16666666666666669</v>
      </c>
      <c r="Z32" s="78">
        <f t="shared" ca="1" si="3"/>
        <v>0</v>
      </c>
      <c r="AA32" s="78">
        <f t="shared" ca="1" si="4"/>
        <v>0</v>
      </c>
      <c r="AB32" s="77">
        <f t="shared" ca="1" si="11"/>
        <v>0</v>
      </c>
      <c r="AC32" s="79">
        <f t="shared" ca="1" si="12"/>
        <v>4</v>
      </c>
      <c r="AD32" s="80">
        <f t="shared" ca="1" si="5"/>
        <v>0</v>
      </c>
      <c r="AE32" s="80">
        <f t="shared" ca="1" si="13"/>
        <v>0</v>
      </c>
      <c r="AF32" s="80">
        <f>IF(COUNTIF(fériés,A32),SUM(K32-(IF(K32&lt;&gt;0,AD32,0))),0)</f>
        <v>0</v>
      </c>
      <c r="AG32" s="341" t="b">
        <f ca="1">OR(IF(AND(K32=0,COUNTIF(fériés,A32)),$U$2,0),IF(COUNTIF(fériés,A32),SUM(K32-(IF(K32&lt;&gt;0,AD32,0))),0))</f>
        <v>0</v>
      </c>
    </row>
    <row r="33" spans="1:38" s="82" customFormat="1" ht="27.75" customHeight="1" x14ac:dyDescent="0.4">
      <c r="A33" s="85">
        <f t="shared" si="7"/>
        <v>41297</v>
      </c>
      <c r="B33" s="86">
        <f t="shared" si="8"/>
        <v>41297</v>
      </c>
      <c r="C33" s="229">
        <f ca="1">IF($A33="",0,IF(WEEKDAY($A33,2)&gt;5,0,OFFSET(Données!$C$3,MATCH($N$4,Données!$A$4:$A$5,0),20-(MOD($V33,2)*20)+INT(COLUMN()/2)+((WEEKDAY($A33,2)-1)*4))))</f>
        <v>0</v>
      </c>
      <c r="D33" s="213"/>
      <c r="E33" s="213">
        <f ca="1">IF($A33="",0,IF(WEEKDAY($A33,2)&gt;5,0,OFFSET(Données!$C$3,MATCH($N$4,Données!$A$4:$A$5,0),20-(MOD($V33,2)*20)+INT(COLUMN()/2)+((WEEKDAY($A33,2)-1)*4))))</f>
        <v>0</v>
      </c>
      <c r="F33" s="213"/>
      <c r="G33" s="213">
        <f ca="1">IF($A33="",0,IF(WEEKDAY($A33,2)&gt;5,0,OFFSET(Données!$C$3,MATCH($N$4,Données!$A$4:$A$5,0),20-(MOD($V33,2)*20)+INT(COLUMN()/2)+((WEEKDAY($A33,2)-1)*4))))</f>
        <v>0</v>
      </c>
      <c r="H33" s="213"/>
      <c r="I33" s="213">
        <f ca="1">IF($A33="",0,IF(WEEKDAY($A33,2)&gt;5,0,OFFSET(Données!$C$3,MATCH($N$4,Données!$A$4:$A$5,0),20-(MOD($V33,2)*20)+INT(COLUMN()/2)+((WEEKDAY($A33,2)-1)*4))))</f>
        <v>0</v>
      </c>
      <c r="J33" s="213"/>
      <c r="K33" s="224">
        <f t="shared" ca="1" si="9"/>
        <v>0</v>
      </c>
      <c r="L33" s="224"/>
      <c r="M33" s="154"/>
      <c r="N33" s="87"/>
      <c r="O33" s="309"/>
      <c r="P33" s="175"/>
      <c r="Q33" s="188"/>
      <c r="R33" s="173"/>
      <c r="S33" s="216"/>
      <c r="T33" s="216"/>
      <c r="U33" s="160"/>
      <c r="V33" s="29">
        <f t="shared" si="0"/>
        <v>4</v>
      </c>
      <c r="W33" s="76">
        <f t="shared" ca="1" si="1"/>
        <v>0</v>
      </c>
      <c r="X33" s="76">
        <f t="shared" ca="1" si="2"/>
        <v>0</v>
      </c>
      <c r="Y33" s="77">
        <f t="shared" ca="1" si="10"/>
        <v>0</v>
      </c>
      <c r="Z33" s="78">
        <f t="shared" ca="1" si="3"/>
        <v>0</v>
      </c>
      <c r="AA33" s="78">
        <f t="shared" ca="1" si="4"/>
        <v>0</v>
      </c>
      <c r="AB33" s="77">
        <f t="shared" ca="1" si="11"/>
        <v>0</v>
      </c>
      <c r="AC33" s="79">
        <f t="shared" ca="1" si="12"/>
        <v>0</v>
      </c>
      <c r="AD33" s="80">
        <f t="shared" ca="1" si="5"/>
        <v>0</v>
      </c>
      <c r="AE33" s="80">
        <f t="shared" ca="1" si="13"/>
        <v>0</v>
      </c>
      <c r="AF33" s="80">
        <f>IF(COUNTIF(fériés,A33),SUM(K33-(IF(K33&lt;&gt;0,AD33,0))),0)</f>
        <v>0</v>
      </c>
      <c r="AG33" s="341" t="b">
        <f ca="1">OR(IF(AND(K33=0,COUNTIF(fériés,A33)),$U$2,0),IF(COUNTIF(fériés,A33),SUM(K33-(IF(K33&lt;&gt;0,AD33,0))),0))</f>
        <v>0</v>
      </c>
    </row>
    <row r="34" spans="1:38" s="2" customFormat="1" ht="27.75" customHeight="1" x14ac:dyDescent="0.4">
      <c r="A34" s="85">
        <f t="shared" si="7"/>
        <v>41298</v>
      </c>
      <c r="B34" s="86">
        <f t="shared" si="8"/>
        <v>41298</v>
      </c>
      <c r="C34" s="229">
        <f ca="1">IF($A34="",0,IF(WEEKDAY($A34,2)&gt;5,0,OFFSET(Données!$C$3,MATCH($N$4,Données!$A$4:$A$5,0),20-(MOD($V34,2)*20)+INT(COLUMN()/2)+((WEEKDAY($A34,2)-1)*4))))</f>
        <v>0</v>
      </c>
      <c r="D34" s="213"/>
      <c r="E34" s="213">
        <f ca="1">IF($A34="",0,IF(WEEKDAY($A34,2)&gt;5,0,OFFSET(Données!$C$3,MATCH($N$4,Données!$A$4:$A$5,0),20-(MOD($V34,2)*20)+INT(COLUMN()/2)+((WEEKDAY($A34,2)-1)*4))))</f>
        <v>0</v>
      </c>
      <c r="F34" s="213"/>
      <c r="G34" s="213">
        <f ca="1">IF($A34="",0,IF(WEEKDAY($A34,2)&gt;5,0,OFFSET(Données!$C$3,MATCH($N$4,Données!$A$4:$A$5,0),20-(MOD($V34,2)*20)+INT(COLUMN()/2)+((WEEKDAY($A34,2)-1)*4))))</f>
        <v>0</v>
      </c>
      <c r="H34" s="213"/>
      <c r="I34" s="213">
        <f ca="1">IF($A34="",0,IF(WEEKDAY($A34,2)&gt;5,0,OFFSET(Données!$C$3,MATCH($N$4,Données!$A$4:$A$5,0),20-(MOD($V34,2)*20)+INT(COLUMN()/2)+((WEEKDAY($A34,2)-1)*4))))</f>
        <v>0</v>
      </c>
      <c r="J34" s="213"/>
      <c r="K34" s="224">
        <f t="shared" ca="1" si="9"/>
        <v>0</v>
      </c>
      <c r="L34" s="224"/>
      <c r="M34" s="154"/>
      <c r="N34" s="87"/>
      <c r="O34" s="309"/>
      <c r="P34" s="175"/>
      <c r="Q34" s="188"/>
      <c r="R34" s="173"/>
      <c r="S34" s="216"/>
      <c r="T34" s="216"/>
      <c r="U34" s="160"/>
      <c r="V34" s="29">
        <f t="shared" si="0"/>
        <v>4</v>
      </c>
      <c r="W34" s="76">
        <f t="shared" ca="1" si="1"/>
        <v>0</v>
      </c>
      <c r="X34" s="76">
        <f t="shared" ca="1" si="2"/>
        <v>0</v>
      </c>
      <c r="Y34" s="77">
        <f t="shared" ca="1" si="10"/>
        <v>0</v>
      </c>
      <c r="Z34" s="78">
        <f t="shared" ca="1" si="3"/>
        <v>0</v>
      </c>
      <c r="AA34" s="78">
        <f t="shared" ca="1" si="4"/>
        <v>0</v>
      </c>
      <c r="AB34" s="77">
        <f t="shared" ca="1" si="11"/>
        <v>0</v>
      </c>
      <c r="AC34" s="79">
        <f t="shared" ca="1" si="12"/>
        <v>0</v>
      </c>
      <c r="AD34" s="80">
        <f t="shared" ca="1" si="5"/>
        <v>0</v>
      </c>
      <c r="AE34" s="80">
        <f t="shared" ca="1" si="13"/>
        <v>0</v>
      </c>
      <c r="AF34" s="80">
        <f>IF(COUNTIF(fériés,A34),SUM(K34-(IF(K34&lt;&gt;0,AD34,0))),0)</f>
        <v>0</v>
      </c>
      <c r="AG34" s="341" t="b">
        <f ca="1">OR(IF(AND(K34=0,COUNTIF(fériés,A34)),$U$2,0),IF(COUNTIF(fériés,A34),SUM(K34-(IF(K34&lt;&gt;0,AD34,0))),0))</f>
        <v>0</v>
      </c>
    </row>
    <row r="35" spans="1:38" s="88" customFormat="1" ht="27.75" customHeight="1" x14ac:dyDescent="0.4">
      <c r="A35" s="85">
        <f t="shared" si="7"/>
        <v>41299</v>
      </c>
      <c r="B35" s="86">
        <f t="shared" si="8"/>
        <v>41299</v>
      </c>
      <c r="C35" s="229">
        <f ca="1">IF($A35="",0,IF(WEEKDAY($A35,2)&gt;5,0,OFFSET(Données!$C$3,MATCH($N$4,Données!$A$4:$A$5,0),20-(MOD($V35,2)*20)+INT(COLUMN()/2)+((WEEKDAY($A35,2)-1)*4))))</f>
        <v>0</v>
      </c>
      <c r="D35" s="213"/>
      <c r="E35" s="213">
        <f ca="1">IF($A35="",0,IF(WEEKDAY($A35,2)&gt;5,0,OFFSET(Données!$C$3,MATCH($N$4,Données!$A$4:$A$5,0),20-(MOD($V35,2)*20)+INT(COLUMN()/2)+((WEEKDAY($A35,2)-1)*4))))</f>
        <v>0</v>
      </c>
      <c r="F35" s="213"/>
      <c r="G35" s="213">
        <f ca="1">IF($A35="",0,IF(WEEKDAY($A35,2)&gt;5,0,OFFSET(Données!$C$3,MATCH($N$4,Données!$A$4:$A$5,0),20-(MOD($V35,2)*20)+INT(COLUMN()/2)+((WEEKDAY($A35,2)-1)*4))))</f>
        <v>0</v>
      </c>
      <c r="H35" s="213"/>
      <c r="I35" s="213">
        <f ca="1">IF($A35="",0,IF(WEEKDAY($A35,2)&gt;5,0,OFFSET(Données!$C$3,MATCH($N$4,Données!$A$4:$A$5,0),20-(MOD($V35,2)*20)+INT(COLUMN()/2)+((WEEKDAY($A35,2)-1)*4))))</f>
        <v>0</v>
      </c>
      <c r="J35" s="213"/>
      <c r="K35" s="224">
        <f t="shared" ca="1" si="9"/>
        <v>0</v>
      </c>
      <c r="L35" s="224"/>
      <c r="M35" s="154"/>
      <c r="N35" s="87"/>
      <c r="O35" s="309"/>
      <c r="P35" s="175"/>
      <c r="Q35" s="188"/>
      <c r="R35" s="173"/>
      <c r="S35" s="216"/>
      <c r="T35" s="216"/>
      <c r="U35" s="160"/>
      <c r="V35" s="29">
        <f t="shared" si="0"/>
        <v>4</v>
      </c>
      <c r="W35" s="76">
        <f t="shared" ca="1" si="1"/>
        <v>0</v>
      </c>
      <c r="X35" s="76">
        <f t="shared" ca="1" si="2"/>
        <v>0</v>
      </c>
      <c r="Y35" s="77">
        <f t="shared" ca="1" si="10"/>
        <v>0</v>
      </c>
      <c r="Z35" s="78">
        <f t="shared" ca="1" si="3"/>
        <v>0</v>
      </c>
      <c r="AA35" s="78">
        <f t="shared" ca="1" si="4"/>
        <v>0</v>
      </c>
      <c r="AB35" s="77">
        <f t="shared" ca="1" si="11"/>
        <v>0</v>
      </c>
      <c r="AC35" s="79">
        <f t="shared" ca="1" si="12"/>
        <v>0</v>
      </c>
      <c r="AD35" s="80">
        <f t="shared" ca="1" si="5"/>
        <v>0</v>
      </c>
      <c r="AE35" s="80">
        <f t="shared" ca="1" si="13"/>
        <v>0</v>
      </c>
      <c r="AF35" s="80">
        <f>IF(COUNTIF(fériés,A35),SUM(K35-(IF(K35&lt;&gt;0,AD35,0))),0)</f>
        <v>0</v>
      </c>
      <c r="AG35" s="341" t="b">
        <f ca="1">OR(IF(AND(K35=0,COUNTIF(fériés,A35)),$U$2,0),IF(COUNTIF(fériés,A35),SUM(K35-(IF(K35&lt;&gt;0,AD35,0))),0))</f>
        <v>0</v>
      </c>
      <c r="AH35" s="5"/>
      <c r="AI35" s="5"/>
      <c r="AJ35" s="5"/>
      <c r="AK35" s="5"/>
      <c r="AL35" s="5"/>
    </row>
    <row r="36" spans="1:38" s="2" customFormat="1" ht="27.75" customHeight="1" x14ac:dyDescent="0.4">
      <c r="A36" s="85">
        <f t="shared" si="7"/>
        <v>41300</v>
      </c>
      <c r="B36" s="86">
        <f t="shared" si="8"/>
        <v>41300</v>
      </c>
      <c r="C36" s="229">
        <f ca="1">IF($A36="",0,IF(WEEKDAY($A36,2)&gt;5,0,OFFSET(Données!$C$3,MATCH($N$4,Données!$A$4:$A$5,0),20-(MOD($V36,2)*20)+INT(COLUMN()/2)+((WEEKDAY($A36,2)-1)*4))))</f>
        <v>0</v>
      </c>
      <c r="D36" s="213"/>
      <c r="E36" s="213">
        <f ca="1">IF($A36="",0,IF(WEEKDAY($A36,2)&gt;5,0,OFFSET(Données!$C$3,MATCH($N$4,Données!$A$4:$A$5,0),20-(MOD($V36,2)*20)+INT(COLUMN()/2)+((WEEKDAY($A36,2)-1)*4))))</f>
        <v>0</v>
      </c>
      <c r="F36" s="213"/>
      <c r="G36" s="213">
        <f ca="1">IF($A36="",0,IF(WEEKDAY($A36,2)&gt;5,0,OFFSET(Données!$C$3,MATCH($N$4,Données!$A$4:$A$5,0),20-(MOD($V36,2)*20)+INT(COLUMN()/2)+((WEEKDAY($A36,2)-1)*4))))</f>
        <v>0</v>
      </c>
      <c r="H36" s="213"/>
      <c r="I36" s="213">
        <f ca="1">IF($A36="",0,IF(WEEKDAY($A36,2)&gt;5,0,OFFSET(Données!$C$3,MATCH($N$4,Données!$A$4:$A$5,0),20-(MOD($V36,2)*20)+INT(COLUMN()/2)+((WEEKDAY($A36,2)-1)*4))))</f>
        <v>0</v>
      </c>
      <c r="J36" s="213"/>
      <c r="K36" s="224">
        <f t="shared" ca="1" si="9"/>
        <v>0</v>
      </c>
      <c r="L36" s="224"/>
      <c r="M36" s="154"/>
      <c r="N36" s="87"/>
      <c r="O36" s="309"/>
      <c r="P36" s="175"/>
      <c r="Q36" s="188"/>
      <c r="R36" s="173"/>
      <c r="S36" s="216"/>
      <c r="T36" s="216"/>
      <c r="U36" s="160"/>
      <c r="V36" s="29">
        <f t="shared" si="0"/>
        <v>4</v>
      </c>
      <c r="W36" s="76">
        <f t="shared" ca="1" si="1"/>
        <v>0</v>
      </c>
      <c r="X36" s="76">
        <f t="shared" ca="1" si="2"/>
        <v>0</v>
      </c>
      <c r="Y36" s="77">
        <f t="shared" ca="1" si="10"/>
        <v>0</v>
      </c>
      <c r="Z36" s="78">
        <f t="shared" ca="1" si="3"/>
        <v>0</v>
      </c>
      <c r="AA36" s="78">
        <f t="shared" ca="1" si="4"/>
        <v>0</v>
      </c>
      <c r="AB36" s="77">
        <f t="shared" ca="1" si="11"/>
        <v>0</v>
      </c>
      <c r="AC36" s="79">
        <f t="shared" ca="1" si="12"/>
        <v>0</v>
      </c>
      <c r="AD36" s="80">
        <f t="shared" ca="1" si="5"/>
        <v>0</v>
      </c>
      <c r="AE36" s="80">
        <f t="shared" ca="1" si="13"/>
        <v>0</v>
      </c>
      <c r="AF36" s="80">
        <f>IF(COUNTIF(fériés,A36),SUM(K36-(IF(K36&lt;&gt;0,AD36,0))),0)</f>
        <v>0</v>
      </c>
      <c r="AG36" s="341" t="b">
        <f ca="1">OR(IF(AND(K36=0,COUNTIF(fériés,A36)),$U$2,0),IF(COUNTIF(fériés,A36),SUM(K36-(IF(K36&lt;&gt;0,AD36,0))),0))</f>
        <v>0</v>
      </c>
    </row>
    <row r="37" spans="1:38" s="2" customFormat="1" ht="27.75" customHeight="1" x14ac:dyDescent="0.4">
      <c r="A37" s="85">
        <f t="shared" si="7"/>
        <v>41301</v>
      </c>
      <c r="B37" s="86">
        <f t="shared" si="8"/>
        <v>41301</v>
      </c>
      <c r="C37" s="229">
        <f ca="1">IF($A37="",0,IF(WEEKDAY($A37,2)&gt;5,0,OFFSET(Données!$C$3,MATCH($N$4,Données!$A$4:$A$5,0),20-(MOD($V37,2)*20)+INT(COLUMN()/2)+((WEEKDAY($A37,2)-1)*4))))</f>
        <v>0</v>
      </c>
      <c r="D37" s="213"/>
      <c r="E37" s="213">
        <f ca="1">IF($A37="",0,IF(WEEKDAY($A37,2)&gt;5,0,OFFSET(Données!$C$3,MATCH($N$4,Données!$A$4:$A$5,0),20-(MOD($V37,2)*20)+INT(COLUMN()/2)+((WEEKDAY($A37,2)-1)*4))))</f>
        <v>0</v>
      </c>
      <c r="F37" s="213"/>
      <c r="G37" s="213">
        <f ca="1">IF($A37="",0,IF(WEEKDAY($A37,2)&gt;5,0,OFFSET(Données!$C$3,MATCH($N$4,Données!$A$4:$A$5,0),20-(MOD($V37,2)*20)+INT(COLUMN()/2)+((WEEKDAY($A37,2)-1)*4))))</f>
        <v>0</v>
      </c>
      <c r="H37" s="213"/>
      <c r="I37" s="213">
        <f ca="1">IF($A37="",0,IF(WEEKDAY($A37,2)&gt;5,0,OFFSET(Données!$C$3,MATCH($N$4,Données!$A$4:$A$5,0),20-(MOD($V37,2)*20)+INT(COLUMN()/2)+((WEEKDAY($A37,2)-1)*4))))</f>
        <v>0</v>
      </c>
      <c r="J37" s="213"/>
      <c r="K37" s="224">
        <f t="shared" ca="1" si="9"/>
        <v>0</v>
      </c>
      <c r="L37" s="224"/>
      <c r="M37" s="154"/>
      <c r="N37" s="87"/>
      <c r="O37" s="309"/>
      <c r="P37" s="175"/>
      <c r="Q37" s="188"/>
      <c r="R37" s="173"/>
      <c r="S37" s="216"/>
      <c r="T37" s="216"/>
      <c r="U37" s="160"/>
      <c r="V37" s="29">
        <f t="shared" si="0"/>
        <v>4</v>
      </c>
      <c r="W37" s="76">
        <f t="shared" ca="1" si="1"/>
        <v>0</v>
      </c>
      <c r="X37" s="76">
        <f t="shared" ca="1" si="2"/>
        <v>0</v>
      </c>
      <c r="Y37" s="77">
        <f t="shared" ca="1" si="10"/>
        <v>0</v>
      </c>
      <c r="Z37" s="78">
        <f t="shared" ca="1" si="3"/>
        <v>0</v>
      </c>
      <c r="AA37" s="78">
        <f t="shared" ca="1" si="4"/>
        <v>0</v>
      </c>
      <c r="AB37" s="77">
        <f t="shared" ca="1" si="11"/>
        <v>0</v>
      </c>
      <c r="AC37" s="79">
        <f t="shared" ca="1" si="12"/>
        <v>0</v>
      </c>
      <c r="AD37" s="80">
        <f t="shared" ca="1" si="5"/>
        <v>0</v>
      </c>
      <c r="AE37" s="80">
        <f t="shared" ca="1" si="13"/>
        <v>0</v>
      </c>
      <c r="AF37" s="80">
        <f>IF(COUNTIF(fériés,A37),SUM(K37-(IF(K37&lt;&gt;0,AD37,0))),0)</f>
        <v>0</v>
      </c>
      <c r="AG37" s="341" t="b">
        <f ca="1">OR(IF(AND(K37=0,COUNTIF(fériés,A37)),$U$2,0),IF(COUNTIF(fériés,A37),SUM(K37-(IF(K37&lt;&gt;0,AD37,0))),0))</f>
        <v>0</v>
      </c>
    </row>
    <row r="38" spans="1:38" s="2" customFormat="1" ht="27.75" customHeight="1" x14ac:dyDescent="0.4">
      <c r="A38" s="85">
        <f t="shared" si="7"/>
        <v>41302</v>
      </c>
      <c r="B38" s="86">
        <f t="shared" si="8"/>
        <v>41302</v>
      </c>
      <c r="C38" s="229">
        <f ca="1">IF($A38="",0,IF(WEEKDAY($A38,2)&gt;5,0,OFFSET(Données!$C$3,MATCH($N$4,Données!$A$4:$A$5,0),20-(MOD($V38,2)*20)+INT(COLUMN()/2)+((WEEKDAY($A38,2)-1)*4))))</f>
        <v>0</v>
      </c>
      <c r="D38" s="213"/>
      <c r="E38" s="213">
        <f ca="1">IF($A38="",0,IF(WEEKDAY($A38,2)&gt;5,0,OFFSET(Données!$C$3,MATCH($N$4,Données!$A$4:$A$5,0),20-(MOD($V38,2)*20)+INT(COLUMN()/2)+((WEEKDAY($A38,2)-1)*4))))</f>
        <v>0</v>
      </c>
      <c r="F38" s="213"/>
      <c r="G38" s="213">
        <f ca="1">IF($A38="",0,IF(WEEKDAY($A38,2)&gt;5,0,OFFSET(Données!$C$3,MATCH($N$4,Données!$A$4:$A$5,0),20-(MOD($V38,2)*20)+INT(COLUMN()/2)+((WEEKDAY($A38,2)-1)*4))))</f>
        <v>0</v>
      </c>
      <c r="H38" s="213"/>
      <c r="I38" s="213">
        <f ca="1">IF($A38="",0,IF(WEEKDAY($A38,2)&gt;5,0,OFFSET(Données!$C$3,MATCH($N$4,Données!$A$4:$A$5,0),20-(MOD($V38,2)*20)+INT(COLUMN()/2)+((WEEKDAY($A38,2)-1)*4))))</f>
        <v>0</v>
      </c>
      <c r="J38" s="213"/>
      <c r="K38" s="224">
        <f t="shared" ca="1" si="9"/>
        <v>0</v>
      </c>
      <c r="L38" s="224"/>
      <c r="M38" s="154"/>
      <c r="N38" s="87"/>
      <c r="O38" s="309"/>
      <c r="P38" s="175"/>
      <c r="Q38" s="188"/>
      <c r="R38" s="173"/>
      <c r="S38" s="216"/>
      <c r="T38" s="216"/>
      <c r="U38" s="160"/>
      <c r="V38" s="29">
        <f t="shared" ref="V38:V40" si="14">IF(A38="",0,WEEKNUM(B38,2))</f>
        <v>5</v>
      </c>
      <c r="W38" s="76">
        <f t="shared" ca="1" si="1"/>
        <v>0</v>
      </c>
      <c r="X38" s="76">
        <f t="shared" ca="1" si="2"/>
        <v>0</v>
      </c>
      <c r="Y38" s="77">
        <f t="shared" ca="1" si="10"/>
        <v>0</v>
      </c>
      <c r="Z38" s="78">
        <f t="shared" ca="1" si="3"/>
        <v>0</v>
      </c>
      <c r="AA38" s="78">
        <f t="shared" ca="1" si="4"/>
        <v>0</v>
      </c>
      <c r="AB38" s="77">
        <f t="shared" ca="1" si="11"/>
        <v>0</v>
      </c>
      <c r="AC38" s="79">
        <f t="shared" ca="1" si="12"/>
        <v>0</v>
      </c>
      <c r="AD38" s="80">
        <f t="shared" ca="1" si="5"/>
        <v>0</v>
      </c>
      <c r="AE38" s="80">
        <f t="shared" ca="1" si="13"/>
        <v>0</v>
      </c>
      <c r="AF38" s="80">
        <f>IF(COUNTIF(fériés,A38),SUM(K38-(IF(K38&lt;&gt;0,AD38,0))),0)</f>
        <v>0</v>
      </c>
      <c r="AG38" s="341" t="b">
        <f ca="1">OR(IF(AND(K38=0,COUNTIF(fériés,A38)),$U$2,0),IF(COUNTIF(fériés,A38),SUM(K38-(IF(K38&lt;&gt;0,AD38,0))),0))</f>
        <v>0</v>
      </c>
    </row>
    <row r="39" spans="1:38" s="2" customFormat="1" ht="27.75" customHeight="1" x14ac:dyDescent="0.4">
      <c r="A39" s="85">
        <f>IF(A38="",0,IF(MONTH(A38+1)=$A$2,A38+1,""))</f>
        <v>41303</v>
      </c>
      <c r="B39" s="86">
        <f>IF(B38="",0,IF(MONTH(B38+1)=$A$2,B38+1,""))</f>
        <v>41303</v>
      </c>
      <c r="C39" s="229">
        <f ca="1">IF($A39="",0,IF(WEEKDAY($A39,2)&gt;5,0,OFFSET(Données!$C$3,MATCH($N$4,Données!$A$4:$A$5,0),20-(MOD($V39,2)*20)+INT(COLUMN()/2)+((WEEKDAY($A39,2)-1)*4))))</f>
        <v>0</v>
      </c>
      <c r="D39" s="213"/>
      <c r="E39" s="213">
        <f ca="1">IF($A39="",0,IF(WEEKDAY($A39,2)&gt;5,0,OFFSET(Données!$C$3,MATCH($N$4,Données!$A$4:$A$5,0),20-(MOD($V39,2)*20)+INT(COLUMN()/2)+((WEEKDAY($A39,2)-1)*4))))</f>
        <v>0</v>
      </c>
      <c r="F39" s="213"/>
      <c r="G39" s="213">
        <f ca="1">IF($A39="",0,IF(WEEKDAY($A39,2)&gt;5,0,OFFSET(Données!$C$3,MATCH($N$4,Données!$A$4:$A$5,0),20-(MOD($V39,2)*20)+INT(COLUMN()/2)+((WEEKDAY($A39,2)-1)*4))))</f>
        <v>0</v>
      </c>
      <c r="H39" s="213"/>
      <c r="I39" s="213">
        <f ca="1">IF($A39="",0,IF(WEEKDAY($A39,2)&gt;5,0,OFFSET(Données!$C$3,MATCH($N$4,Données!$A$4:$A$5,0),20-(MOD($V39,2)*20)+INT(COLUMN()/2)+((WEEKDAY($A39,2)-1)*4))))</f>
        <v>0</v>
      </c>
      <c r="J39" s="213"/>
      <c r="K39" s="224">
        <f t="shared" ca="1" si="9"/>
        <v>0</v>
      </c>
      <c r="L39" s="224"/>
      <c r="M39" s="154"/>
      <c r="N39" s="87"/>
      <c r="O39" s="309"/>
      <c r="P39" s="175"/>
      <c r="Q39" s="188"/>
      <c r="R39" s="173"/>
      <c r="S39" s="216"/>
      <c r="T39" s="216"/>
      <c r="U39" s="160"/>
      <c r="V39" s="29">
        <f t="shared" si="14"/>
        <v>5</v>
      </c>
      <c r="W39" s="76">
        <f t="shared" ca="1" si="1"/>
        <v>0</v>
      </c>
      <c r="X39" s="76">
        <f t="shared" ca="1" si="2"/>
        <v>0</v>
      </c>
      <c r="Y39" s="77">
        <f t="shared" ca="1" si="10"/>
        <v>0</v>
      </c>
      <c r="Z39" s="76">
        <f t="shared" ca="1" si="3"/>
        <v>0</v>
      </c>
      <c r="AA39" s="76">
        <f t="shared" ca="1" si="4"/>
        <v>0</v>
      </c>
      <c r="AB39" s="77">
        <f t="shared" ca="1" si="11"/>
        <v>0</v>
      </c>
      <c r="AC39" s="79">
        <f t="shared" ca="1" si="12"/>
        <v>0</v>
      </c>
      <c r="AD39" s="80">
        <f t="shared" ca="1" si="5"/>
        <v>0</v>
      </c>
      <c r="AE39" s="80">
        <f t="shared" ca="1" si="13"/>
        <v>0</v>
      </c>
      <c r="AF39" s="80">
        <f>IF(COUNTIF(fériés,A39),SUM(K39-(IF(K39&lt;&gt;0,AD39,0))),0)</f>
        <v>0</v>
      </c>
      <c r="AG39" s="341" t="b">
        <f ca="1">OR(IF(AND(K39=0,COUNTIF(fériés,A39)),$U$2,0),IF(COUNTIF(fériés,A39),SUM(K39-(IF(K39&lt;&gt;0,AD39,0))),0))</f>
        <v>0</v>
      </c>
    </row>
    <row r="40" spans="1:38" s="2" customFormat="1" ht="27.75" customHeight="1" x14ac:dyDescent="0.4">
      <c r="A40" s="85">
        <f>IF(A39="",0,IF(MONTH(A39+1)=$A$2,A39+1,""))</f>
        <v>41304</v>
      </c>
      <c r="B40" s="86">
        <f t="shared" ref="B40:B41" si="15">IF(B39="",0,IF(MONTH(B39+1)=$A$2,B39+1,""))</f>
        <v>41304</v>
      </c>
      <c r="C40" s="229">
        <f ca="1">IF($A40="",0,IF(WEEKDAY($A40,2)&gt;5,0,OFFSET(Données!$C$3,MATCH($N$4,Données!$A$4:$A$5,0),20-(MOD($V40,2)*20)+INT(COLUMN()/2)+((WEEKDAY($A40,2)-1)*4))))</f>
        <v>0</v>
      </c>
      <c r="D40" s="213"/>
      <c r="E40" s="213">
        <f ca="1">IF($A40="",0,IF(WEEKDAY($A40,2)&gt;5,0,OFFSET(Données!$C$3,MATCH($N$4,Données!$A$4:$A$5,0),20-(MOD($V40,2)*20)+INT(COLUMN()/2)+((WEEKDAY($A40,2)-1)*4))))</f>
        <v>0</v>
      </c>
      <c r="F40" s="213"/>
      <c r="G40" s="213">
        <f ca="1">IF($A40="",0,IF(WEEKDAY($A40,2)&gt;5,0,OFFSET(Données!$C$3,MATCH($N$4,Données!$A$4:$A$5,0),20-(MOD($V40,2)*20)+INT(COLUMN()/2)+((WEEKDAY($A40,2)-1)*4))))</f>
        <v>0</v>
      </c>
      <c r="H40" s="213"/>
      <c r="I40" s="213">
        <f ca="1">IF($A40="",0,IF(WEEKDAY($A40,2)&gt;5,0,OFFSET(Données!$C$3,MATCH($N$4,Données!$A$4:$A$5,0),20-(MOD($V40,2)*20)+INT(COLUMN()/2)+((WEEKDAY($A40,2)-1)*4))))</f>
        <v>0</v>
      </c>
      <c r="J40" s="213"/>
      <c r="K40" s="224">
        <f t="shared" ca="1" si="9"/>
        <v>0</v>
      </c>
      <c r="L40" s="224"/>
      <c r="M40" s="154">
        <v>0</v>
      </c>
      <c r="N40" s="87"/>
      <c r="O40" s="309"/>
      <c r="P40" s="175"/>
      <c r="Q40" s="188"/>
      <c r="R40" s="173"/>
      <c r="S40" s="216"/>
      <c r="T40" s="216"/>
      <c r="U40" s="160"/>
      <c r="V40" s="29">
        <f t="shared" si="14"/>
        <v>5</v>
      </c>
      <c r="W40" s="76">
        <f t="shared" ca="1" si="1"/>
        <v>0</v>
      </c>
      <c r="X40" s="76">
        <f t="shared" ca="1" si="2"/>
        <v>0</v>
      </c>
      <c r="Y40" s="77">
        <f t="shared" ca="1" si="10"/>
        <v>0</v>
      </c>
      <c r="Z40" s="76">
        <f t="shared" ca="1" si="3"/>
        <v>0</v>
      </c>
      <c r="AA40" s="76">
        <f t="shared" ca="1" si="4"/>
        <v>0</v>
      </c>
      <c r="AB40" s="77">
        <f t="shared" ca="1" si="11"/>
        <v>0</v>
      </c>
      <c r="AC40" s="79">
        <f t="shared" ca="1" si="12"/>
        <v>0</v>
      </c>
      <c r="AD40" s="80">
        <f t="shared" ca="1" si="5"/>
        <v>0</v>
      </c>
      <c r="AE40" s="80">
        <f t="shared" ca="1" si="13"/>
        <v>0</v>
      </c>
      <c r="AF40" s="80">
        <f>IF(COUNTIF(fériés,A40),SUM(K40-(IF(K40&lt;&gt;0,AD40,0))),0)</f>
        <v>0</v>
      </c>
      <c r="AG40" s="341" t="b">
        <f ca="1">OR(IF(AND(K40=0,COUNTIF(fériés,A40)),$U$2,0),IF(COUNTIF(fériés,A40),SUM(K40-(IF(K40&lt;&gt;0,AD40,0))),0))</f>
        <v>0</v>
      </c>
    </row>
    <row r="41" spans="1:38" s="2" customFormat="1" ht="27.75" customHeight="1" thickBot="1" x14ac:dyDescent="0.45">
      <c r="A41" s="85">
        <f t="shared" si="7"/>
        <v>41305</v>
      </c>
      <c r="B41" s="86">
        <f t="shared" si="15"/>
        <v>41305</v>
      </c>
      <c r="C41" s="229">
        <f ca="1">IF($A41="",0,IF(WEEKDAY($A41,2)&gt;5,0,OFFSET(Données!$C$3,MATCH($N$4,Données!$A$4:$A$5,0),20-(MOD($V41,2)*20)+INT(COLUMN()/2)+((WEEKDAY($A41,2)-1)*4))))</f>
        <v>0.375</v>
      </c>
      <c r="D41" s="213"/>
      <c r="E41" s="213">
        <f ca="1">IF($A41="",0,IF(WEEKDAY($A41,2)&gt;5,0,OFFSET(Données!$C$3,MATCH($N$4,Données!$A$4:$A$5,0),20-(MOD($V41,2)*20)+INT(COLUMN()/2)+((WEEKDAY($A41,2)-1)*4))))</f>
        <v>0.5</v>
      </c>
      <c r="F41" s="213"/>
      <c r="G41" s="213">
        <f ca="1">IF($A41="",0,IF(WEEKDAY($A41,2)&gt;5,0,OFFSET(Données!$C$3,MATCH($N$4,Données!$A$4:$A$5,0),20-(MOD($V41,2)*20)+INT(COLUMN()/2)+((WEEKDAY($A41,2)-1)*4))))</f>
        <v>0.58333333333333337</v>
      </c>
      <c r="H41" s="213"/>
      <c r="I41" s="213">
        <f ca="1">IF($A41="",0,IF(WEEKDAY($A41,2)&gt;5,0,OFFSET(Données!$C$3,MATCH($N$4,Données!$A$4:$A$5,0),20-(MOD($V41,2)*20)+INT(COLUMN()/2)+((WEEKDAY($A41,2)-1)*4))))</f>
        <v>0.79166666666666663</v>
      </c>
      <c r="J41" s="213"/>
      <c r="K41" s="224">
        <f t="shared" ca="1" si="9"/>
        <v>7.9999999999999982</v>
      </c>
      <c r="L41" s="224"/>
      <c r="M41" s="154"/>
      <c r="N41" s="89"/>
      <c r="O41" s="309"/>
      <c r="P41" s="177"/>
      <c r="Q41" s="188"/>
      <c r="R41" s="155"/>
      <c r="S41" s="223"/>
      <c r="T41" s="223"/>
      <c r="U41" s="161"/>
      <c r="V41" s="29">
        <f>IF(A41="",0,WEEKNUM(B41,2))</f>
        <v>5</v>
      </c>
      <c r="W41" s="76">
        <f t="shared" ca="1" si="1"/>
        <v>0.375</v>
      </c>
      <c r="X41" s="76">
        <f t="shared" ca="1" si="2"/>
        <v>0.5</v>
      </c>
      <c r="Y41" s="77">
        <f t="shared" ca="1" si="10"/>
        <v>0.125</v>
      </c>
      <c r="Z41" s="76">
        <f t="shared" ca="1" si="3"/>
        <v>0.58333333333333337</v>
      </c>
      <c r="AA41" s="76">
        <f t="shared" ca="1" si="4"/>
        <v>0.79166666666666663</v>
      </c>
      <c r="AB41" s="77">
        <f t="shared" ca="1" si="11"/>
        <v>0.20833333333333326</v>
      </c>
      <c r="AC41" s="79">
        <f t="shared" ca="1" si="12"/>
        <v>7.9999999999999982</v>
      </c>
      <c r="AD41" s="80">
        <f t="shared" ca="1" si="5"/>
        <v>0</v>
      </c>
      <c r="AE41" s="80">
        <f t="shared" ca="1" si="13"/>
        <v>0</v>
      </c>
      <c r="AF41" s="80">
        <f>IF(COUNTIF(fériés,A41),SUM(K41-(IF(K41&lt;&gt;0,AD41,0))),0)</f>
        <v>0</v>
      </c>
      <c r="AG41" s="341" t="b">
        <f ca="1">OR(IF(AND(K41=0,COUNTIF(fériés,A41)),$U$2,0),IF(COUNTIF(fériés,A41),SUM(K41-(IF(K41&lt;&gt;0,AD41,0))),0))</f>
        <v>0</v>
      </c>
    </row>
    <row r="42" spans="1:38" s="93" customFormat="1" ht="27.75" customHeight="1" thickBot="1" x14ac:dyDescent="0.3">
      <c r="A42" s="334" t="s">
        <v>5</v>
      </c>
      <c r="B42" s="335"/>
      <c r="C42" s="250"/>
      <c r="D42" s="250"/>
      <c r="E42" s="250"/>
      <c r="F42" s="250"/>
      <c r="G42" s="251"/>
      <c r="H42" s="251"/>
      <c r="I42" s="252"/>
      <c r="J42" s="252"/>
      <c r="K42" s="320">
        <f ca="1">SUM(K11:L41)</f>
        <v>39.999999999999993</v>
      </c>
      <c r="L42" s="321"/>
      <c r="M42" s="90">
        <f>SUM(M11:M41)</f>
        <v>0</v>
      </c>
      <c r="N42" s="91"/>
      <c r="O42" s="311"/>
      <c r="P42" s="180"/>
      <c r="Q42" s="178"/>
      <c r="R42" s="178"/>
      <c r="S42" s="178"/>
      <c r="T42" s="178">
        <f>SUM(T8:T40)</f>
        <v>0</v>
      </c>
      <c r="U42" s="178"/>
      <c r="V42" s="92"/>
      <c r="AD42" s="323">
        <f ca="1">SUM(AD11:AD41)</f>
        <v>0</v>
      </c>
      <c r="AE42" s="323">
        <f ca="1">SUM(AE11:AE41)</f>
        <v>1.6</v>
      </c>
      <c r="AF42" s="323">
        <f ca="1">SUM(AF11:AF41)</f>
        <v>0</v>
      </c>
      <c r="AG42" s="323">
        <f ca="1">SUM(AG11:AG41)</f>
        <v>0</v>
      </c>
    </row>
    <row r="43" spans="1:38" s="93" customFormat="1" ht="27.75" customHeight="1" thickBot="1" x14ac:dyDescent="0.3">
      <c r="A43" s="94"/>
      <c r="B43" s="95"/>
      <c r="C43" s="96"/>
      <c r="D43" s="96"/>
      <c r="E43" s="336" t="str">
        <f>IF(C5="TP","Total Heures",IF(C5="TC","",IF(C5="TCD","",IF(C5="TPA","",IF(C5="TPJ","",IF(C5="TCSR","Total Heures",""))))))</f>
        <v>Total Heures</v>
      </c>
      <c r="F43" s="336"/>
      <c r="G43" s="336"/>
      <c r="H43" s="96"/>
      <c r="I43" s="96"/>
      <c r="K43" s="217">
        <f ca="1">SUM(K42,M42)</f>
        <v>39.999999999999993</v>
      </c>
      <c r="L43" s="218"/>
      <c r="M43" s="219"/>
      <c r="N43" s="97" t="str">
        <f>IF($E$43="TOTAL HEURES","",IF($E$43="","Sem 1:"))</f>
        <v/>
      </c>
      <c r="O43" s="98"/>
      <c r="P43" s="99" t="str">
        <f>IF($E$43="TOTAL HEURES","",IF($E$43="","Sem 2:"))</f>
        <v/>
      </c>
      <c r="Q43" s="99"/>
      <c r="R43" s="99"/>
      <c r="V43" s="92"/>
      <c r="X43" s="100" t="str">
        <f>IF($E$43="TOTAL HEURES","",IF($E$43="","Sem 3:"))</f>
        <v/>
      </c>
      <c r="Y43" s="100"/>
      <c r="Z43" s="100" t="str">
        <f>IF($E$43="TOTAL HEURES","",IF($E$43="","Sem 4:"))</f>
        <v/>
      </c>
      <c r="AA43" s="100"/>
      <c r="AB43" s="100" t="str">
        <f>IF($E$43="TOTAL HEURES","",IF($E$43="","Sem 5:"))</f>
        <v/>
      </c>
      <c r="AC43" s="101"/>
      <c r="AD43" s="323"/>
      <c r="AE43" s="323"/>
      <c r="AF43" s="323"/>
      <c r="AG43" s="323"/>
    </row>
    <row r="44" spans="1:38" ht="37.5" customHeight="1" thickBot="1" x14ac:dyDescent="0.45">
      <c r="A44" s="331" t="s">
        <v>15</v>
      </c>
      <c r="B44" s="332"/>
      <c r="C44" s="332"/>
      <c r="D44" s="332"/>
      <c r="E44" s="332"/>
      <c r="F44" s="332"/>
      <c r="G44" s="332"/>
      <c r="H44" s="332"/>
      <c r="I44" s="333"/>
      <c r="J44" s="102"/>
      <c r="K44" s="326" t="str">
        <f>IF(Y10="ch1","base horaire",IF(Y10="CHB","base horaire","écarts du mois de"))</f>
        <v>base horaire</v>
      </c>
      <c r="L44" s="326"/>
      <c r="M44" s="103"/>
      <c r="N44" s="104">
        <f>(IF(Y10="CH1",U3,IF(Y10="CHB",U3,"")))</f>
        <v>1.33</v>
      </c>
      <c r="O44" s="105"/>
      <c r="P44" s="105"/>
      <c r="Q44" s="324" t="str">
        <f>J51</f>
        <v>Report du Solde du 31/12/2012</v>
      </c>
      <c r="R44" s="325"/>
      <c r="V44" s="2"/>
      <c r="X44" s="106" t="s">
        <v>6</v>
      </c>
      <c r="Y44" s="107" t="str">
        <f>IF(Y50="1,25","RTT 15",IF(Y50="","",IF(Y50="1,5","RTT  18",IF(Y50="0,5","RTT 6",IF(Y50="1,92","RTT 23",IF(Y50="1","RTT 12",IF(Y50="1,46","RTT 17,5",IF(Y10="CTR","RTT 18"))))))))</f>
        <v/>
      </c>
      <c r="Z44" s="106" t="s">
        <v>21</v>
      </c>
      <c r="AA44" s="106" t="str">
        <f>IF(AA50="","",IF(AA50="0,42","J.D. (5)"))</f>
        <v/>
      </c>
      <c r="AB44" s="106" t="str">
        <f>IF(AB50="","",IF(AB50="0,33","J.C. (4)"))</f>
        <v>J.C. (4)</v>
      </c>
      <c r="AC44" s="106" t="str">
        <f>IF(L3="corinne","C.T.","J.ANC.")</f>
        <v>J.ANC.</v>
      </c>
      <c r="AE44" s="323">
        <f ca="1">AE42-AF42</f>
        <v>1.6</v>
      </c>
      <c r="AF44" s="323"/>
    </row>
    <row r="45" spans="1:38" ht="22.5" customHeight="1" thickBot="1" x14ac:dyDescent="0.35">
      <c r="A45" s="259" t="str">
        <f>IF(O5="c","La directrice",IF(O5="E","Le chef de service: "))</f>
        <v>La directrice</v>
      </c>
      <c r="B45" s="260"/>
      <c r="C45" s="260"/>
      <c r="D45" s="261"/>
      <c r="E45" s="288" t="str">
        <f>L3</f>
        <v>Prenom</v>
      </c>
      <c r="F45" s="289"/>
      <c r="G45" s="289"/>
      <c r="H45" s="289"/>
      <c r="I45" s="290"/>
      <c r="J45" s="102"/>
      <c r="K45" s="102"/>
      <c r="L45" s="102"/>
      <c r="M45" s="102"/>
      <c r="N45" s="102"/>
      <c r="P45" s="291" t="s">
        <v>22</v>
      </c>
      <c r="Q45" s="291"/>
      <c r="R45" s="297" t="s">
        <v>26</v>
      </c>
      <c r="V45" s="2"/>
      <c r="X45" s="280" t="e">
        <f>VLOOKUP($N$4,#REF!,24,FALSE)</f>
        <v>#REF!</v>
      </c>
      <c r="Y45" s="281" t="e">
        <f>VLOOKUP($N$4,#REF!,25,FALSE)</f>
        <v>#REF!</v>
      </c>
      <c r="Z45" s="280" t="e">
        <f>VLOOKUP($N$4,#REF!,26,FALSE)</f>
        <v>#REF!</v>
      </c>
      <c r="AA45" s="281" t="e">
        <f>VLOOKUP($N$4,#REF!,27,FALSE)</f>
        <v>#REF!</v>
      </c>
      <c r="AB45" s="328" t="e">
        <f>VLOOKUP($N$4,#REF!,28,FALSE)</f>
        <v>#REF!</v>
      </c>
      <c r="AC45" s="329" t="e">
        <f>VLOOKUP($N$4,#REF!,30,FALSE)</f>
        <v>#REF!</v>
      </c>
    </row>
    <row r="46" spans="1:38" s="112" customFormat="1" ht="23.25" customHeight="1" x14ac:dyDescent="0.4">
      <c r="A46" s="262"/>
      <c r="B46" s="263"/>
      <c r="C46" s="263"/>
      <c r="D46" s="264"/>
      <c r="E46" s="282" t="str">
        <f>L2</f>
        <v>Nom</v>
      </c>
      <c r="F46" s="283"/>
      <c r="G46" s="283"/>
      <c r="H46" s="283"/>
      <c r="I46" s="284"/>
      <c r="J46" s="337" t="s">
        <v>24</v>
      </c>
      <c r="K46" s="338"/>
      <c r="L46" s="339"/>
      <c r="M46" s="108"/>
      <c r="N46" s="285">
        <v>0</v>
      </c>
      <c r="O46" s="109"/>
      <c r="P46" s="110">
        <f>N46*1.25</f>
        <v>0</v>
      </c>
      <c r="Q46" s="111">
        <v>0.25</v>
      </c>
      <c r="R46" s="297"/>
      <c r="V46" s="113"/>
      <c r="X46" s="280"/>
      <c r="Y46" s="281" t="e">
        <f>VLOOKUP(#REF!,#REF!,15)</f>
        <v>#REF!</v>
      </c>
      <c r="Z46" s="280" t="e">
        <f>VLOOKUP(#REF!,#REF!,16)</f>
        <v>#REF!</v>
      </c>
      <c r="AA46" s="281" t="e">
        <f>VLOOKUP(#REF!,#REF!,17)</f>
        <v>#REF!</v>
      </c>
      <c r="AB46" s="328" t="e">
        <f>VLOOKUP(#REF!,#REF!,18)</f>
        <v>#REF!</v>
      </c>
      <c r="AC46" s="330" t="e">
        <f>VLOOKUP(#REF!,#REF!,18)</f>
        <v>#REF!</v>
      </c>
    </row>
    <row r="47" spans="1:38" ht="22.5" customHeight="1" thickBot="1" x14ac:dyDescent="0.5">
      <c r="A47" s="114"/>
      <c r="B47" s="102"/>
      <c r="C47" s="39"/>
      <c r="D47" s="39"/>
      <c r="E47" s="115"/>
      <c r="F47" s="116"/>
      <c r="G47" s="116"/>
      <c r="H47" s="116"/>
      <c r="I47" s="117"/>
      <c r="J47" s="294" t="str">
        <f>D2</f>
        <v>JANVIER</v>
      </c>
      <c r="K47" s="295"/>
      <c r="L47" s="296"/>
      <c r="M47" s="118"/>
      <c r="N47" s="286"/>
      <c r="O47" s="30"/>
      <c r="P47" s="119"/>
      <c r="Q47" s="120">
        <v>0.5</v>
      </c>
      <c r="R47" s="293" t="s">
        <v>27</v>
      </c>
      <c r="V47" s="121"/>
      <c r="X47" s="287" t="e">
        <f>VLOOKUP($N$4,#REF!,32,FALSE)</f>
        <v>#REF!</v>
      </c>
      <c r="Y47" s="287" t="e">
        <f>VLOOKUP($N$4,#REF!,33,FALSE)</f>
        <v>#REF!</v>
      </c>
      <c r="Z47" s="287" t="e">
        <f>VLOOKUP($N$4,#REF!,34,FALSE)</f>
        <v>#REF!</v>
      </c>
      <c r="AA47" s="287" t="e">
        <f>VLOOKUP($N$4,#REF!,35,FALSE)</f>
        <v>#REF!</v>
      </c>
      <c r="AB47" s="287" t="e">
        <f>VLOOKUP($N$4,#REF!,36,FALSE)</f>
        <v>#REF!</v>
      </c>
      <c r="AC47" s="327"/>
      <c r="AF47" s="183"/>
    </row>
    <row r="48" spans="1:38" ht="17.25" customHeight="1" x14ac:dyDescent="0.3">
      <c r="A48" s="114"/>
      <c r="B48" s="39"/>
      <c r="C48" s="39"/>
      <c r="D48" s="39"/>
      <c r="E48" s="122"/>
      <c r="F48" s="39"/>
      <c r="G48" s="39"/>
      <c r="H48" s="39"/>
      <c r="I48" s="123"/>
      <c r="O48" s="292" t="s">
        <v>23</v>
      </c>
      <c r="P48" s="292"/>
      <c r="Q48" s="292"/>
      <c r="R48" s="293"/>
      <c r="V48" s="121"/>
      <c r="X48" s="287"/>
      <c r="Y48" s="287"/>
      <c r="Z48" s="287"/>
      <c r="AA48" s="287"/>
      <c r="AB48" s="287"/>
      <c r="AC48" s="327"/>
    </row>
    <row r="49" spans="1:29" ht="20.100000000000001" customHeight="1" x14ac:dyDescent="0.3">
      <c r="A49" s="114"/>
      <c r="B49" s="102"/>
      <c r="C49" s="39"/>
      <c r="D49" s="39"/>
      <c r="E49" s="122"/>
      <c r="F49" s="39"/>
      <c r="G49" s="39"/>
      <c r="H49" s="39"/>
      <c r="I49" s="123"/>
      <c r="J49" s="275"/>
      <c r="K49" s="275"/>
      <c r="L49" s="275"/>
      <c r="M49" s="124"/>
      <c r="N49" s="125"/>
      <c r="O49" s="276" t="s">
        <v>14</v>
      </c>
      <c r="P49" s="276"/>
      <c r="Q49" s="276"/>
      <c r="R49" s="276"/>
      <c r="V49" s="2"/>
      <c r="X49" s="126"/>
      <c r="Y49" s="127"/>
      <c r="Z49" s="127"/>
      <c r="AA49" s="127"/>
      <c r="AB49" s="128"/>
      <c r="AC49" s="129"/>
    </row>
    <row r="50" spans="1:29" ht="20.100000000000001" customHeight="1" thickBot="1" x14ac:dyDescent="0.45">
      <c r="A50" s="114"/>
      <c r="B50" s="39"/>
      <c r="C50" s="39"/>
      <c r="D50" s="39"/>
      <c r="E50" s="122"/>
      <c r="F50" s="39"/>
      <c r="G50" s="39"/>
      <c r="H50" s="39"/>
      <c r="I50" s="123"/>
      <c r="J50" s="275"/>
      <c r="K50" s="275"/>
      <c r="L50" s="275"/>
      <c r="M50" s="124"/>
      <c r="N50" s="125"/>
      <c r="O50" s="276"/>
      <c r="P50" s="276"/>
      <c r="Q50" s="276"/>
      <c r="R50" s="276"/>
      <c r="V50" s="130"/>
      <c r="X50" s="131">
        <f ca="1">SUM(AD11:AD41)</f>
        <v>0</v>
      </c>
      <c r="Y50" s="132" t="str">
        <f>IF(Y10="chc","1,25",IF(Y10="CHB","1,5",IF(Y10="ch1","",IF(Y10="chl","",IF(Y10="CHE","0,5",IF(Y10="CHA","1,92",IF(Y10="CHD","1",IF(Y10="CHS","1,46",""))))))))</f>
        <v/>
      </c>
      <c r="Z50" s="133"/>
      <c r="AA50" s="132" t="str">
        <f>IF(C5="TCD","0,42","")</f>
        <v/>
      </c>
      <c r="AB50" s="134" t="str">
        <f>IF(Y10="CHB","0,33",IF(Y10="CHD","0,33",IF(Y10="CHA","0,33",IF(Y10="CH1","0,33",IF(Y10="CHC","0,33",IF(Y10="CHS","0,33",IF(Y10="CHA66","",IF(Y10="CH166",""))))))))</f>
        <v>0,33</v>
      </c>
      <c r="AC50" s="135"/>
    </row>
    <row r="51" spans="1:29" ht="20.100000000000001" customHeight="1" x14ac:dyDescent="0.35">
      <c r="A51" s="114"/>
      <c r="B51" s="102"/>
      <c r="C51" s="39"/>
      <c r="D51" s="39"/>
      <c r="E51" s="114"/>
      <c r="F51" s="39"/>
      <c r="G51" s="39"/>
      <c r="H51" s="39"/>
      <c r="I51" s="123"/>
      <c r="J51" s="271" t="s">
        <v>42</v>
      </c>
      <c r="K51" s="272"/>
      <c r="L51" s="272"/>
      <c r="M51" s="136"/>
      <c r="N51" s="220">
        <f>VLOOKUP($N$4,'[2]DONNEES variables'!$A$7:$AN$90,23,FALSE)</f>
        <v>0</v>
      </c>
      <c r="O51" s="267" t="s">
        <v>11</v>
      </c>
      <c r="P51" s="267"/>
      <c r="Q51" s="267"/>
      <c r="R51" s="268"/>
      <c r="V51" s="113"/>
      <c r="X51" s="269"/>
      <c r="Y51" s="270"/>
      <c r="Z51" s="270"/>
      <c r="AA51" s="270"/>
      <c r="AB51" s="270"/>
      <c r="AC51" s="265"/>
    </row>
    <row r="52" spans="1:29" ht="20.100000000000001" customHeight="1" x14ac:dyDescent="0.3">
      <c r="A52" s="114"/>
      <c r="B52" s="39"/>
      <c r="C52" s="39"/>
      <c r="D52" s="39"/>
      <c r="E52" s="122"/>
      <c r="F52" s="39"/>
      <c r="G52" s="39"/>
      <c r="H52" s="39"/>
      <c r="I52" s="123"/>
      <c r="J52" s="273"/>
      <c r="K52" s="274"/>
      <c r="L52" s="274"/>
      <c r="M52" s="137"/>
      <c r="N52" s="221"/>
      <c r="O52" s="267"/>
      <c r="P52" s="267"/>
      <c r="Q52" s="267"/>
      <c r="R52" s="268"/>
      <c r="V52" s="113"/>
      <c r="X52" s="269"/>
      <c r="Y52" s="270"/>
      <c r="Z52" s="270"/>
      <c r="AA52" s="270"/>
      <c r="AB52" s="270"/>
      <c r="AC52" s="265"/>
    </row>
    <row r="53" spans="1:29" ht="20.100000000000001" customHeight="1" thickBot="1" x14ac:dyDescent="0.35">
      <c r="A53" s="138"/>
      <c r="B53" s="139"/>
      <c r="C53" s="140"/>
      <c r="D53" s="140"/>
      <c r="E53" s="138"/>
      <c r="F53" s="140"/>
      <c r="G53" s="140"/>
      <c r="H53" s="140"/>
      <c r="I53" s="141"/>
      <c r="J53" s="273"/>
      <c r="K53" s="274"/>
      <c r="L53" s="274"/>
      <c r="M53" s="137"/>
      <c r="N53" s="222"/>
      <c r="O53" s="30"/>
      <c r="P53" s="30"/>
      <c r="Q53" s="30"/>
      <c r="R53" s="142"/>
      <c r="V53" s="2"/>
      <c r="X53" s="126"/>
      <c r="Y53" s="127"/>
      <c r="Z53" s="127"/>
      <c r="AA53" s="127"/>
      <c r="AB53" s="128"/>
      <c r="AC53" s="129"/>
    </row>
    <row r="54" spans="1:29" ht="40.5" customHeight="1" thickBot="1" x14ac:dyDescent="0.5">
      <c r="A54" s="39"/>
      <c r="B54" s="30"/>
      <c r="C54" s="39"/>
      <c r="D54" s="143"/>
      <c r="E54" s="144"/>
      <c r="F54" s="144"/>
      <c r="G54" s="144"/>
      <c r="H54" s="266" t="s">
        <v>37</v>
      </c>
      <c r="I54" s="266"/>
      <c r="O54" s="30"/>
      <c r="P54" s="145"/>
      <c r="Q54" s="30"/>
      <c r="R54" s="146" t="str">
        <f>J55</f>
        <v>Solde au 31/01/2013</v>
      </c>
      <c r="V54" s="113"/>
      <c r="X54" s="131" t="e">
        <f ca="1">IF(X44="","",X45+X50-X51)</f>
        <v>#REF!</v>
      </c>
      <c r="Y54" s="147" t="str">
        <f>IF(Y44="","",Y45+Y50-Y51)</f>
        <v/>
      </c>
      <c r="Z54" s="147" t="e">
        <f>Z45-Z51</f>
        <v>#REF!</v>
      </c>
      <c r="AA54" s="147" t="str">
        <f>IF(AA44="","",AA45+AA50-AA51)</f>
        <v/>
      </c>
      <c r="AB54" s="147" t="e">
        <f>IF(AB50="","",AB45+AB50-AB51)</f>
        <v>#REF!</v>
      </c>
      <c r="AC54" s="135"/>
    </row>
    <row r="55" spans="1:29" ht="39.75" customHeight="1" thickBot="1" x14ac:dyDescent="0.45">
      <c r="A55" s="148" t="s">
        <v>18</v>
      </c>
      <c r="B55" s="102"/>
      <c r="C55" s="39"/>
      <c r="D55" s="39"/>
      <c r="E55" s="102"/>
      <c r="H55" s="255"/>
      <c r="I55" s="256"/>
      <c r="J55" s="257" t="s">
        <v>43</v>
      </c>
      <c r="K55" s="258"/>
      <c r="L55" s="258"/>
      <c r="M55" s="149"/>
      <c r="N55" s="150"/>
      <c r="O55" s="102"/>
      <c r="P55" s="30"/>
      <c r="Q55" s="102"/>
      <c r="R55" s="102"/>
      <c r="S55" s="151"/>
      <c r="T55" s="30"/>
      <c r="U55" s="30"/>
      <c r="Z55" s="277" t="e">
        <f>VLOOKUP($N$4,#REF!,39)</f>
        <v>#REF!</v>
      </c>
      <c r="AA55" s="277"/>
    </row>
    <row r="56" spans="1:29" ht="5.0999999999999996" customHeight="1" x14ac:dyDescent="0.4">
      <c r="A56" s="152"/>
      <c r="B56" s="102"/>
      <c r="C56" s="39"/>
      <c r="D56" s="39"/>
      <c r="E56" s="39"/>
      <c r="F56" s="39"/>
      <c r="G56" s="39"/>
      <c r="H56" s="39"/>
      <c r="I56" s="39"/>
      <c r="J56" s="39"/>
      <c r="K56" s="39"/>
      <c r="L56" s="39"/>
      <c r="M56" s="39"/>
      <c r="N56" s="153"/>
      <c r="O56" s="142"/>
      <c r="P56" s="102"/>
      <c r="Q56" s="102"/>
      <c r="R56" s="102"/>
      <c r="S56" s="102"/>
      <c r="T56" s="102"/>
      <c r="U56" s="102"/>
    </row>
    <row r="57" spans="1:29" ht="19.5" customHeight="1" x14ac:dyDescent="0.35">
      <c r="A57" s="278"/>
      <c r="B57" s="278"/>
      <c r="C57" s="278"/>
      <c r="D57" s="278"/>
      <c r="E57" s="278"/>
      <c r="F57" s="278"/>
      <c r="G57" s="278"/>
      <c r="H57" s="278"/>
      <c r="I57" s="278"/>
      <c r="J57" s="278"/>
      <c r="K57" s="278"/>
      <c r="L57" s="278"/>
      <c r="M57" s="278"/>
      <c r="N57" s="278"/>
      <c r="O57" s="278"/>
      <c r="P57" s="278"/>
      <c r="Q57" s="278"/>
      <c r="R57" s="278"/>
      <c r="S57" s="278"/>
      <c r="T57" s="278"/>
      <c r="U57" s="278"/>
    </row>
    <row r="58" spans="1:29" ht="21" customHeight="1" x14ac:dyDescent="0.35">
      <c r="A58" s="279" t="s">
        <v>25</v>
      </c>
      <c r="B58" s="279"/>
      <c r="C58" s="279"/>
      <c r="D58" s="279"/>
      <c r="E58" s="279"/>
      <c r="F58" s="279"/>
      <c r="G58" s="279"/>
      <c r="H58" s="279"/>
      <c r="I58" s="279"/>
      <c r="J58" s="279"/>
      <c r="K58" s="279"/>
      <c r="L58" s="279"/>
      <c r="M58" s="279"/>
      <c r="N58" s="279"/>
      <c r="O58" s="279"/>
      <c r="P58" s="279"/>
      <c r="Q58" s="279"/>
      <c r="R58" s="279"/>
      <c r="S58" s="279"/>
      <c r="T58" s="279"/>
      <c r="U58" s="279"/>
    </row>
    <row r="59" spans="1:29" ht="19.5" customHeight="1" x14ac:dyDescent="0.2">
      <c r="A59" s="3"/>
    </row>
    <row r="60" spans="1:29" ht="19.5" customHeight="1" x14ac:dyDescent="0.2">
      <c r="A60" s="3"/>
    </row>
    <row r="61" spans="1:29" ht="19.5" customHeight="1" x14ac:dyDescent="0.2">
      <c r="A61" s="3"/>
      <c r="P61" s="189">
        <f>SUM(COUNTIF(Q11:Q41,"RTT")*U2)</f>
        <v>0</v>
      </c>
      <c r="Q61" s="83" t="s">
        <v>58</v>
      </c>
      <c r="S61" s="1" t="s">
        <v>80</v>
      </c>
      <c r="T61" s="174">
        <f>COUNTIF($U$11:$U$41,Données!C16)</f>
        <v>0</v>
      </c>
    </row>
    <row r="62" spans="1:29" ht="19.5" customHeight="1" x14ac:dyDescent="0.2">
      <c r="M62" s="214"/>
      <c r="N62" s="214"/>
      <c r="P62" s="189">
        <f>SUM(COUNTIF(Q11:Q41,"½RTT")*(U2/2))</f>
        <v>0</v>
      </c>
      <c r="Q62" s="83" t="s">
        <v>60</v>
      </c>
      <c r="S62" s="1" t="s">
        <v>81</v>
      </c>
      <c r="T62" s="174">
        <f>COUNTIF($U$11:$U$41,Données!C17)</f>
        <v>0</v>
      </c>
    </row>
    <row r="63" spans="1:29" ht="19.5" customHeight="1" x14ac:dyDescent="0.2">
      <c r="P63" s="190">
        <f>SUM(P61:P62)</f>
        <v>0</v>
      </c>
      <c r="S63" s="1" t="s">
        <v>82</v>
      </c>
      <c r="T63" s="174">
        <f>COUNTIF($U$11:$U$41,Données!C18)</f>
        <v>0</v>
      </c>
    </row>
    <row r="64" spans="1:29" ht="19.5" customHeight="1" x14ac:dyDescent="0.2">
      <c r="S64" s="1" t="s">
        <v>83</v>
      </c>
      <c r="T64" s="174">
        <f>COUNTIF($U$11:$U$41,Données!C19)</f>
        <v>0</v>
      </c>
    </row>
    <row r="65" spans="7:20" ht="19.5" customHeight="1" x14ac:dyDescent="0.2">
      <c r="S65" s="1" t="s">
        <v>84</v>
      </c>
      <c r="T65" s="174">
        <f>COUNTIF($U$11:$U$41,Données!C20)</f>
        <v>0</v>
      </c>
    </row>
    <row r="66" spans="7:20" ht="19.5" customHeight="1" x14ac:dyDescent="0.2"/>
    <row r="67" spans="7:20" ht="19.5" customHeight="1" x14ac:dyDescent="0.2"/>
    <row r="68" spans="7:20" ht="19.5" customHeight="1" x14ac:dyDescent="0.2"/>
    <row r="69" spans="7:20" ht="19.5" customHeight="1" x14ac:dyDescent="0.2"/>
    <row r="70" spans="7:20" ht="19.5" customHeight="1" x14ac:dyDescent="0.2">
      <c r="G70" s="253"/>
      <c r="H70" s="254"/>
    </row>
    <row r="71" spans="7:20" ht="19.5" customHeight="1" x14ac:dyDescent="0.2"/>
    <row r="72" spans="7:20" ht="19.5" customHeight="1" x14ac:dyDescent="0.2"/>
    <row r="73" spans="7:20" ht="19.5" customHeight="1" x14ac:dyDescent="0.2"/>
    <row r="74" spans="7:20" ht="19.5" customHeight="1" x14ac:dyDescent="0.2"/>
    <row r="75" spans="7:20" ht="19.5" customHeight="1" x14ac:dyDescent="0.2"/>
    <row r="76" spans="7:20" ht="19.5" customHeight="1" x14ac:dyDescent="0.2"/>
    <row r="77" spans="7:20" ht="19.5" customHeight="1" x14ac:dyDescent="0.2"/>
    <row r="78" spans="7:20" ht="19.5" customHeight="1" x14ac:dyDescent="0.2"/>
    <row r="79" spans="7:20" ht="19.5" customHeight="1" x14ac:dyDescent="0.2"/>
    <row r="80" spans="7:20" ht="19.5" customHeight="1" x14ac:dyDescent="0.2"/>
    <row r="81" ht="19.5" customHeight="1" x14ac:dyDescent="0.2"/>
    <row r="82" ht="19.5" customHeight="1" x14ac:dyDescent="0.2"/>
  </sheetData>
  <mergeCells count="271">
    <mergeCell ref="AG42:AG43"/>
    <mergeCell ref="AC47:AC48"/>
    <mergeCell ref="AB45:AB46"/>
    <mergeCell ref="AC45:AC46"/>
    <mergeCell ref="A44:I44"/>
    <mergeCell ref="E39:F39"/>
    <mergeCell ref="E40:F40"/>
    <mergeCell ref="C36:D36"/>
    <mergeCell ref="A42:B42"/>
    <mergeCell ref="E43:G43"/>
    <mergeCell ref="J46:L46"/>
    <mergeCell ref="AE42:AE43"/>
    <mergeCell ref="AF42:AF43"/>
    <mergeCell ref="AE44:AF44"/>
    <mergeCell ref="AD42:AD43"/>
    <mergeCell ref="K35:L35"/>
    <mergeCell ref="I37:J37"/>
    <mergeCell ref="I38:J38"/>
    <mergeCell ref="I39:J39"/>
    <mergeCell ref="I40:J40"/>
    <mergeCell ref="Q44:R44"/>
    <mergeCell ref="K44:L44"/>
    <mergeCell ref="U8:U9"/>
    <mergeCell ref="K42:L42"/>
    <mergeCell ref="S13:T13"/>
    <mergeCell ref="S14:T14"/>
    <mergeCell ref="C10:D10"/>
    <mergeCell ref="E10:F10"/>
    <mergeCell ref="G10:H10"/>
    <mergeCell ref="I10:J10"/>
    <mergeCell ref="I13:J13"/>
    <mergeCell ref="I15:J15"/>
    <mergeCell ref="I16:J16"/>
    <mergeCell ref="I30:J30"/>
    <mergeCell ref="I31:J31"/>
    <mergeCell ref="I23:J23"/>
    <mergeCell ref="I24:J24"/>
    <mergeCell ref="I25:J25"/>
    <mergeCell ref="I26:J26"/>
    <mergeCell ref="I17:J17"/>
    <mergeCell ref="I18:J18"/>
    <mergeCell ref="I19:J19"/>
    <mergeCell ref="I20:J20"/>
    <mergeCell ref="I21:J21"/>
    <mergeCell ref="I41:J41"/>
    <mergeCell ref="I32:J32"/>
    <mergeCell ref="B2:C2"/>
    <mergeCell ref="K37:L37"/>
    <mergeCell ref="K27:L27"/>
    <mergeCell ref="K28:L28"/>
    <mergeCell ref="K29:L29"/>
    <mergeCell ref="K30:L30"/>
    <mergeCell ref="K31:L31"/>
    <mergeCell ref="K22:L22"/>
    <mergeCell ref="K23:L23"/>
    <mergeCell ref="K24:L24"/>
    <mergeCell ref="K25:L25"/>
    <mergeCell ref="K26:L26"/>
    <mergeCell ref="K17:L17"/>
    <mergeCell ref="K18:L18"/>
    <mergeCell ref="K19:L19"/>
    <mergeCell ref="K20:L20"/>
    <mergeCell ref="K21:L21"/>
    <mergeCell ref="K32:L32"/>
    <mergeCell ref="K33:L33"/>
    <mergeCell ref="K34:L34"/>
    <mergeCell ref="I12:J12"/>
    <mergeCell ref="K36:L36"/>
    <mergeCell ref="K12:L12"/>
    <mergeCell ref="E30:F30"/>
    <mergeCell ref="G13:H13"/>
    <mergeCell ref="G14:H14"/>
    <mergeCell ref="G15:H15"/>
    <mergeCell ref="G16:H16"/>
    <mergeCell ref="G40:H40"/>
    <mergeCell ref="G41:H41"/>
    <mergeCell ref="G32:H32"/>
    <mergeCell ref="G33:H33"/>
    <mergeCell ref="G34:H34"/>
    <mergeCell ref="G35:H35"/>
    <mergeCell ref="G36:H36"/>
    <mergeCell ref="G17:H17"/>
    <mergeCell ref="G18:H18"/>
    <mergeCell ref="G19:H19"/>
    <mergeCell ref="G20:H20"/>
    <mergeCell ref="G21:H21"/>
    <mergeCell ref="G31:H31"/>
    <mergeCell ref="G37:H37"/>
    <mergeCell ref="G38:H38"/>
    <mergeCell ref="G39:H39"/>
    <mergeCell ref="A1:F1"/>
    <mergeCell ref="G1:N1"/>
    <mergeCell ref="P1:U1"/>
    <mergeCell ref="H2:I2"/>
    <mergeCell ref="D2:G2"/>
    <mergeCell ref="C7:N7"/>
    <mergeCell ref="O7:O42"/>
    <mergeCell ref="P7:U7"/>
    <mergeCell ref="A3:C3"/>
    <mergeCell ref="C11:D11"/>
    <mergeCell ref="E11:F11"/>
    <mergeCell ref="G11:H11"/>
    <mergeCell ref="I11:J11"/>
    <mergeCell ref="K11:L11"/>
    <mergeCell ref="C41:D41"/>
    <mergeCell ref="C38:D38"/>
    <mergeCell ref="C39:D39"/>
    <mergeCell ref="C40:D40"/>
    <mergeCell ref="C17:D17"/>
    <mergeCell ref="E35:F35"/>
    <mergeCell ref="E36:F36"/>
    <mergeCell ref="E22:F22"/>
    <mergeCell ref="E23:F23"/>
    <mergeCell ref="G27:H27"/>
    <mergeCell ref="Z55:AA55"/>
    <mergeCell ref="A57:U57"/>
    <mergeCell ref="A58:U58"/>
    <mergeCell ref="AB51:AB52"/>
    <mergeCell ref="Z45:Z46"/>
    <mergeCell ref="AA45:AA46"/>
    <mergeCell ref="E46:I46"/>
    <mergeCell ref="N46:N47"/>
    <mergeCell ref="X47:X48"/>
    <mergeCell ref="Y47:Y48"/>
    <mergeCell ref="E45:I45"/>
    <mergeCell ref="P45:Q45"/>
    <mergeCell ref="X45:X46"/>
    <mergeCell ref="Y45:Y46"/>
    <mergeCell ref="O48:Q48"/>
    <mergeCell ref="R47:R48"/>
    <mergeCell ref="J47:L47"/>
    <mergeCell ref="R45:R46"/>
    <mergeCell ref="Z47:Z48"/>
    <mergeCell ref="AA47:AA48"/>
    <mergeCell ref="AB47:AB48"/>
    <mergeCell ref="AC51:AC52"/>
    <mergeCell ref="H54:I54"/>
    <mergeCell ref="O51:R52"/>
    <mergeCell ref="X51:X52"/>
    <mergeCell ref="Y51:Y52"/>
    <mergeCell ref="Z51:Z52"/>
    <mergeCell ref="J51:L53"/>
    <mergeCell ref="AA51:AA52"/>
    <mergeCell ref="J49:L49"/>
    <mergeCell ref="O49:R50"/>
    <mergeCell ref="J50:L50"/>
    <mergeCell ref="G70:H70"/>
    <mergeCell ref="H55:I55"/>
    <mergeCell ref="J55:L55"/>
    <mergeCell ref="C29:D29"/>
    <mergeCell ref="C30:D30"/>
    <mergeCell ref="C31:D31"/>
    <mergeCell ref="C22:D22"/>
    <mergeCell ref="C23:D23"/>
    <mergeCell ref="C24:D24"/>
    <mergeCell ref="C25:D25"/>
    <mergeCell ref="C26:D26"/>
    <mergeCell ref="E24:F24"/>
    <mergeCell ref="E25:F25"/>
    <mergeCell ref="E26:F26"/>
    <mergeCell ref="C37:D37"/>
    <mergeCell ref="E37:F37"/>
    <mergeCell ref="E38:F38"/>
    <mergeCell ref="A45:D46"/>
    <mergeCell ref="C28:D28"/>
    <mergeCell ref="C32:D32"/>
    <mergeCell ref="C33:D33"/>
    <mergeCell ref="C34:D34"/>
    <mergeCell ref="C35:D35"/>
    <mergeCell ref="E41:F41"/>
    <mergeCell ref="S20:T20"/>
    <mergeCell ref="S21:T21"/>
    <mergeCell ref="S22:T22"/>
    <mergeCell ref="S23:T23"/>
    <mergeCell ref="G28:H28"/>
    <mergeCell ref="G29:H29"/>
    <mergeCell ref="G30:H30"/>
    <mergeCell ref="G22:H22"/>
    <mergeCell ref="G23:H23"/>
    <mergeCell ref="G24:H24"/>
    <mergeCell ref="G25:H25"/>
    <mergeCell ref="G26:H26"/>
    <mergeCell ref="I28:J28"/>
    <mergeCell ref="I27:J27"/>
    <mergeCell ref="I22:J22"/>
    <mergeCell ref="I29:J29"/>
    <mergeCell ref="S24:T24"/>
    <mergeCell ref="S25:T25"/>
    <mergeCell ref="S26:T26"/>
    <mergeCell ref="S27:T27"/>
    <mergeCell ref="S28:T28"/>
    <mergeCell ref="S29:T29"/>
    <mergeCell ref="C27:D27"/>
    <mergeCell ref="E18:F18"/>
    <mergeCell ref="E42:F42"/>
    <mergeCell ref="G42:H42"/>
    <mergeCell ref="I42:J42"/>
    <mergeCell ref="C20:D20"/>
    <mergeCell ref="C21:D21"/>
    <mergeCell ref="C42:D42"/>
    <mergeCell ref="E32:F32"/>
    <mergeCell ref="E33:F33"/>
    <mergeCell ref="E34:F34"/>
    <mergeCell ref="E19:F19"/>
    <mergeCell ref="E20:F20"/>
    <mergeCell ref="E21:F21"/>
    <mergeCell ref="E31:F31"/>
    <mergeCell ref="E27:F27"/>
    <mergeCell ref="E28:F28"/>
    <mergeCell ref="E29:F29"/>
    <mergeCell ref="I33:J33"/>
    <mergeCell ref="I34:J34"/>
    <mergeCell ref="I35:J35"/>
    <mergeCell ref="I36:J36"/>
    <mergeCell ref="C18:D18"/>
    <mergeCell ref="C19:D19"/>
    <mergeCell ref="S17:T17"/>
    <mergeCell ref="S18:T18"/>
    <mergeCell ref="S19:T19"/>
    <mergeCell ref="K13:L13"/>
    <mergeCell ref="K14:L14"/>
    <mergeCell ref="K15:L15"/>
    <mergeCell ref="K16:L16"/>
    <mergeCell ref="S12:T12"/>
    <mergeCell ref="S8:T9"/>
    <mergeCell ref="M8:N9"/>
    <mergeCell ref="S15:T15"/>
    <mergeCell ref="S16:T16"/>
    <mergeCell ref="A4:I4"/>
    <mergeCell ref="P8:P9"/>
    <mergeCell ref="A9:B9"/>
    <mergeCell ref="A6:B6"/>
    <mergeCell ref="C9:F9"/>
    <mergeCell ref="G9:J9"/>
    <mergeCell ref="K9:L9"/>
    <mergeCell ref="C8:L8"/>
    <mergeCell ref="E12:F12"/>
    <mergeCell ref="E13:F13"/>
    <mergeCell ref="E14:F14"/>
    <mergeCell ref="E15:F15"/>
    <mergeCell ref="E16:F16"/>
    <mergeCell ref="C12:D12"/>
    <mergeCell ref="C13:D13"/>
    <mergeCell ref="C14:D14"/>
    <mergeCell ref="E17:F17"/>
    <mergeCell ref="C15:D15"/>
    <mergeCell ref="C16:D16"/>
    <mergeCell ref="I14:J14"/>
    <mergeCell ref="G12:H12"/>
    <mergeCell ref="M62:N62"/>
    <mergeCell ref="J2:K2"/>
    <mergeCell ref="S30:T30"/>
    <mergeCell ref="S31:T31"/>
    <mergeCell ref="S32:T32"/>
    <mergeCell ref="K43:M43"/>
    <mergeCell ref="N51:N53"/>
    <mergeCell ref="S33:T33"/>
    <mergeCell ref="S34:T34"/>
    <mergeCell ref="S35:T35"/>
    <mergeCell ref="S36:T36"/>
    <mergeCell ref="S37:T37"/>
    <mergeCell ref="S38:T38"/>
    <mergeCell ref="S39:T39"/>
    <mergeCell ref="S40:T40"/>
    <mergeCell ref="S41:T41"/>
    <mergeCell ref="K38:L38"/>
    <mergeCell ref="K39:L39"/>
    <mergeCell ref="K40:L40"/>
    <mergeCell ref="K41:L41"/>
    <mergeCell ref="Q8:R9"/>
    <mergeCell ref="S11:T11"/>
  </mergeCells>
  <conditionalFormatting sqref="Y45:Y46">
    <cfRule type="containsText" dxfId="32" priority="43" stopIfTrue="1" operator="containsText" text="BATTREAU">
      <formula>NOT(ISERROR(SEARCH("BATTREAU",Y45)))</formula>
    </cfRule>
  </conditionalFormatting>
  <conditionalFormatting sqref="A11:B41">
    <cfRule type="expression" dxfId="31" priority="40">
      <formula>COUNTIF(fériés,A11)</formula>
    </cfRule>
    <cfRule type="expression" dxfId="30" priority="42">
      <formula>WEEKDAY(A11,2)&gt;6</formula>
    </cfRule>
  </conditionalFormatting>
  <conditionalFormatting sqref="A41">
    <cfRule type="expression" dxfId="29" priority="41">
      <formula>(B41&lt;31)</formula>
    </cfRule>
  </conditionalFormatting>
  <conditionalFormatting sqref="G42">
    <cfRule type="expression" dxfId="28" priority="29">
      <formula>WEEKDAY(B42,2)&gt;6</formula>
    </cfRule>
    <cfRule type="expression" dxfId="27" priority="38">
      <formula>COUNTIF(fériés,B42)</formula>
    </cfRule>
  </conditionalFormatting>
  <conditionalFormatting sqref="I42">
    <cfRule type="expression" dxfId="26" priority="28">
      <formula>WEEKDAY(A42,2)&gt;6</formula>
    </cfRule>
    <cfRule type="expression" dxfId="25" priority="37">
      <formula>COUNTIF(fériés,A42)</formula>
    </cfRule>
  </conditionalFormatting>
  <conditionalFormatting sqref="Q11:R41">
    <cfRule type="expression" dxfId="24" priority="34">
      <formula>WEEKDAY(A11,2)&gt;6</formula>
    </cfRule>
  </conditionalFormatting>
  <conditionalFormatting sqref="S11:S41">
    <cfRule type="expression" dxfId="23" priority="32">
      <formula>WEEKDAY(A11,2)&gt;6</formula>
    </cfRule>
  </conditionalFormatting>
  <conditionalFormatting sqref="U11:U41">
    <cfRule type="expression" dxfId="22" priority="31">
      <formula>WEEKDAY(A11,2)&gt;6</formula>
    </cfRule>
  </conditionalFormatting>
  <conditionalFormatting sqref="E42">
    <cfRule type="expression" dxfId="21" priority="68">
      <formula>WEEKDAY(B42,2)&gt;6</formula>
    </cfRule>
    <cfRule type="expression" dxfId="20" priority="69">
      <formula>COUNTIF(fériés,B42)</formula>
    </cfRule>
  </conditionalFormatting>
  <conditionalFormatting sqref="M42 K11:K42">
    <cfRule type="expression" dxfId="19" priority="21">
      <formula>WEEKDAY(A11,2)&gt;6</formula>
    </cfRule>
  </conditionalFormatting>
  <conditionalFormatting sqref="A5">
    <cfRule type="expression" dxfId="18" priority="18" stopIfTrue="1">
      <formula>COUNTIF(fériés,A5)</formula>
    </cfRule>
    <cfRule type="expression" dxfId="17" priority="19">
      <formula>WEEKDAY(A5,2)&gt;6</formula>
    </cfRule>
  </conditionalFormatting>
  <conditionalFormatting sqref="C11:C41">
    <cfRule type="expression" dxfId="16" priority="39">
      <formula>WEEKDAY(A11,2)&gt;6</formula>
    </cfRule>
  </conditionalFormatting>
  <conditionalFormatting sqref="E11:E41">
    <cfRule type="expression" dxfId="15" priority="6">
      <formula>WEEKDAY(A11,2)&gt;6</formula>
    </cfRule>
  </conditionalFormatting>
  <conditionalFormatting sqref="G11:G41">
    <cfRule type="expression" dxfId="14" priority="4">
      <formula>WEEKDAY(A11,2)&gt;6</formula>
    </cfRule>
  </conditionalFormatting>
  <conditionalFormatting sqref="I11:I41">
    <cfRule type="expression" dxfId="13" priority="2">
      <formula>WEEKDAY(A11,2)&gt;6</formula>
    </cfRule>
  </conditionalFormatting>
  <conditionalFormatting sqref="M11:N41">
    <cfRule type="expression" dxfId="12" priority="35">
      <formula>WEEKDAY(A11,2)&gt;6</formula>
    </cfRule>
  </conditionalFormatting>
  <conditionalFormatting sqref="Y9">
    <cfRule type="expression" dxfId="11" priority="70">
      <formula>AND(U5&lt;Y9)</formula>
    </cfRule>
  </conditionalFormatting>
  <conditionalFormatting sqref="Q11:R41">
    <cfRule type="expression" dxfId="10" priority="25">
      <formula>COUNTIF(fériés,A11)</formula>
    </cfRule>
  </conditionalFormatting>
  <conditionalFormatting sqref="S11:S41">
    <cfRule type="expression" dxfId="9" priority="23">
      <formula>COUNTIF(fériés,A11)</formula>
    </cfRule>
  </conditionalFormatting>
  <conditionalFormatting sqref="U11:U41">
    <cfRule type="expression" dxfId="8" priority="22">
      <formula>COUNTIF(fériés,A11)</formula>
    </cfRule>
  </conditionalFormatting>
  <conditionalFormatting sqref="M42 K11:K42">
    <cfRule type="expression" dxfId="7" priority="20">
      <formula>COUNTIF(fériés,A11)</formula>
    </cfRule>
  </conditionalFormatting>
  <conditionalFormatting sqref="C11:C41">
    <cfRule type="expression" dxfId="6" priority="30">
      <formula>COUNTIF(fériés,A11)</formula>
    </cfRule>
  </conditionalFormatting>
  <conditionalFormatting sqref="E11:E41">
    <cfRule type="expression" dxfId="5" priority="5">
      <formula>COUNTIF(fériés,A11)</formula>
    </cfRule>
  </conditionalFormatting>
  <conditionalFormatting sqref="G11:G41">
    <cfRule type="expression" dxfId="4" priority="3">
      <formula>COUNTIF(fériés,A11)</formula>
    </cfRule>
  </conditionalFormatting>
  <conditionalFormatting sqref="I11:I41">
    <cfRule type="expression" dxfId="3" priority="1">
      <formula>COUNTIF(fériés,A11)</formula>
    </cfRule>
  </conditionalFormatting>
  <conditionalFormatting sqref="M11:N41">
    <cfRule type="expression" dxfId="2" priority="26">
      <formula>COUNTIF(fériés,A11)</formula>
    </cfRule>
  </conditionalFormatting>
  <dataValidations count="6">
    <dataValidation type="list" allowBlank="1" showInputMessage="1" showErrorMessage="1" promptTitle="Choix du mois" prompt="a préparer" sqref="D2:G2">
      <formula1>"JANVIER,FÉVRIER,MARS,AVRIL,MAI,JUIN,JUILLET,AOÛT,SEPTEMBRE,OCTOBRE,NOVEMBRE,DÉCEMBRE"</formula1>
    </dataValidation>
    <dataValidation type="list" allowBlank="1" sqref="R11:R41">
      <formula1>INDIRECT(Q11)</formula1>
    </dataValidation>
    <dataValidation type="list" allowBlank="1" showInputMessage="1" showErrorMessage="1" sqref="S11:T41">
      <formula1>Abscences</formula1>
    </dataValidation>
    <dataValidation type="list" allowBlank="1" showInputMessage="1" showErrorMessage="1" sqref="U11:U41">
      <formula1>INDIRECT(S11)</formula1>
    </dataValidation>
    <dataValidation type="list" allowBlank="1" showInputMessage="1" showErrorMessage="1" sqref="M11:M41">
      <formula1>ecarts</formula1>
    </dataValidation>
    <dataValidation type="list" allowBlank="1" showInputMessage="1" promptTitle="ATTENTION !" prompt="Si vous saisiez directement ici vos congés, il n'y aura plus de report de vos congés depuis le calendrier. C'est possible, mais soyez sûr de vous. Vous pouvez renseigner depuis le calendrier." sqref="Q11:Q41">
      <formula1>Congés</formula1>
    </dataValidation>
  </dataValidations>
  <printOptions horizontalCentered="1" verticalCentered="1"/>
  <pageMargins left="3.937007874015748E-2" right="3.937007874015748E-2" top="0.15748031496062992" bottom="0.35433070866141736" header="0" footer="0"/>
  <pageSetup paperSize="9" scale="5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Données</vt:lpstr>
      <vt:lpstr>JANVIER</vt:lpstr>
      <vt:lpstr>Abscences</vt:lpstr>
      <vt:lpstr>absnonprog</vt:lpstr>
      <vt:lpstr>an</vt:lpstr>
      <vt:lpstr>ecarts</vt:lpstr>
      <vt:lpstr>Enfantsmalades</vt:lpstr>
      <vt:lpstr>fériés</vt:lpstr>
      <vt:lpstr>JANVIER!table_HAMB</vt:lpstr>
      <vt:lpstr>JANVIER!Zone_d_impression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ALiA</dc:creator>
  <cp:lastModifiedBy>alia</cp:lastModifiedBy>
  <cp:lastPrinted>2013-02-06T09:35:52Z</cp:lastPrinted>
  <dcterms:created xsi:type="dcterms:W3CDTF">2011-04-07T14:10:52Z</dcterms:created>
  <dcterms:modified xsi:type="dcterms:W3CDTF">2013-02-09T07:28:43Z</dcterms:modified>
</cp:coreProperties>
</file>