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calcPr calcId="145621"/>
</workbook>
</file>

<file path=xl/calcChain.xml><?xml version="1.0" encoding="utf-8"?>
<calcChain xmlns="http://schemas.openxmlformats.org/spreadsheetml/2006/main">
  <c r="S33" i="1" l="1"/>
  <c r="S34" i="1"/>
  <c r="S35" i="1"/>
  <c r="S36" i="1"/>
  <c r="S37" i="1"/>
  <c r="S38" i="1"/>
  <c r="S39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6" i="1"/>
  <c r="K39" i="1"/>
  <c r="K38" i="1"/>
  <c r="K37" i="1"/>
  <c r="K36" i="1"/>
  <c r="K35" i="1"/>
  <c r="J39" i="1"/>
  <c r="J38" i="1"/>
  <c r="J37" i="1"/>
  <c r="J36" i="1"/>
  <c r="J35" i="1"/>
  <c r="K34" i="1"/>
  <c r="J34" i="1"/>
  <c r="CB54" i="1" l="1"/>
  <c r="CB53" i="1"/>
  <c r="CB52" i="1"/>
  <c r="CB51" i="1"/>
  <c r="CB50" i="1"/>
  <c r="CB49" i="1"/>
  <c r="CB48" i="1"/>
  <c r="CB47" i="1"/>
  <c r="CB46" i="1"/>
  <c r="CB45" i="1"/>
  <c r="CB44" i="1"/>
  <c r="CB43" i="1"/>
  <c r="CB42" i="1"/>
  <c r="CB41" i="1"/>
  <c r="CB40" i="1"/>
  <c r="CB39" i="1"/>
  <c r="CB38" i="1"/>
  <c r="CB37" i="1"/>
  <c r="CB36" i="1"/>
  <c r="CB35" i="1"/>
  <c r="CB34" i="1"/>
  <c r="CB33" i="1"/>
  <c r="DI32" i="1"/>
  <c r="DH31" i="1" s="1"/>
  <c r="DH32" i="1"/>
  <c r="CB32" i="1"/>
  <c r="V32" i="1"/>
  <c r="C32" i="1"/>
  <c r="CB31" i="1"/>
  <c r="V31" i="1"/>
  <c r="C31" i="1"/>
  <c r="DH30" i="1"/>
  <c r="CB30" i="1"/>
  <c r="V30" i="1"/>
  <c r="C30" i="1"/>
  <c r="DH29" i="1"/>
  <c r="DI29" i="1" s="1"/>
  <c r="DH28" i="1" s="1"/>
  <c r="CB29" i="1"/>
  <c r="V29" i="1"/>
  <c r="C29" i="1"/>
  <c r="DD28" i="1"/>
  <c r="CB28" i="1"/>
  <c r="V28" i="1"/>
  <c r="C28" i="1"/>
  <c r="DD27" i="1"/>
  <c r="CB27" i="1"/>
  <c r="V27" i="1"/>
  <c r="C27" i="1"/>
  <c r="CB26" i="1"/>
  <c r="V26" i="1"/>
  <c r="C26" i="1"/>
  <c r="CB25" i="1"/>
  <c r="V25" i="1"/>
  <c r="C25" i="1"/>
  <c r="CB24" i="1"/>
  <c r="V24" i="1"/>
  <c r="C24" i="1"/>
  <c r="DH23" i="1"/>
  <c r="CB23" i="1"/>
  <c r="V23" i="1"/>
  <c r="C23" i="1"/>
  <c r="DH22" i="1"/>
  <c r="CB22" i="1"/>
  <c r="V22" i="1"/>
  <c r="C22" i="1"/>
  <c r="CB21" i="1"/>
  <c r="V21" i="1"/>
  <c r="C21" i="1"/>
  <c r="CB20" i="1"/>
  <c r="V20" i="1"/>
  <c r="C20" i="1"/>
  <c r="CB19" i="1"/>
  <c r="V19" i="1"/>
  <c r="C19" i="1"/>
  <c r="DJ18" i="1"/>
  <c r="CB18" i="1"/>
  <c r="V18" i="1"/>
  <c r="C18" i="1"/>
  <c r="CB17" i="1"/>
  <c r="V17" i="1"/>
  <c r="C17" i="1"/>
  <c r="CB16" i="1"/>
  <c r="V16" i="1"/>
  <c r="C16" i="1"/>
  <c r="CB15" i="1"/>
  <c r="V15" i="1"/>
  <c r="C15" i="1"/>
  <c r="CB14" i="1"/>
  <c r="V14" i="1"/>
  <c r="C14" i="1"/>
  <c r="CB13" i="1"/>
  <c r="V13" i="1"/>
  <c r="C13" i="1"/>
  <c r="CB12" i="1"/>
  <c r="V12" i="1"/>
  <c r="C12" i="1"/>
  <c r="DL11" i="1"/>
  <c r="DJ11" i="1"/>
  <c r="DH11" i="1"/>
  <c r="DF11" i="1"/>
  <c r="DD11" i="1"/>
  <c r="CB11" i="1"/>
  <c r="V11" i="1"/>
  <c r="C11" i="1"/>
  <c r="DW10" i="1"/>
  <c r="CB10" i="1"/>
  <c r="V10" i="1"/>
  <c r="C10" i="1"/>
  <c r="CB9" i="1"/>
  <c r="V9" i="1"/>
  <c r="C9" i="1"/>
  <c r="CB8" i="1"/>
  <c r="V8" i="1"/>
  <c r="C8" i="1"/>
  <c r="CB7" i="1"/>
  <c r="V7" i="1"/>
  <c r="C7" i="1"/>
  <c r="CZ6" i="1"/>
  <c r="CB6" i="1"/>
  <c r="V6" i="1"/>
  <c r="C6" i="1"/>
  <c r="CZ5" i="1"/>
  <c r="CB5" i="1"/>
  <c r="V5" i="1"/>
  <c r="D4" i="1"/>
  <c r="C4" i="1"/>
  <c r="B4" i="1"/>
  <c r="CZ3" i="1"/>
  <c r="CZ2" i="1"/>
  <c r="F2" i="1"/>
  <c r="E2" i="1"/>
  <c r="CZ1" i="1"/>
  <c r="E1" i="1"/>
</calcChain>
</file>

<file path=xl/sharedStrings.xml><?xml version="1.0" encoding="utf-8"?>
<sst xmlns="http://schemas.openxmlformats.org/spreadsheetml/2006/main" count="337" uniqueCount="262">
  <si>
    <t>OUI</t>
  </si>
  <si>
    <t>system</t>
  </si>
  <si>
    <t>sauve_aquisition</t>
  </si>
  <si>
    <t>libellé</t>
  </si>
  <si>
    <t>TAG</t>
  </si>
  <si>
    <t>valeur</t>
  </si>
  <si>
    <t>nb minute</t>
  </si>
  <si>
    <t>somme</t>
  </si>
  <si>
    <t>calcul</t>
  </si>
  <si>
    <t>nb valeur 7h</t>
  </si>
  <si>
    <t>moyenne</t>
  </si>
  <si>
    <t>COMPTEUR</t>
  </si>
  <si>
    <t>HCL</t>
  </si>
  <si>
    <t>memoire</t>
  </si>
  <si>
    <t>POUSSIERE</t>
  </si>
  <si>
    <t>cov</t>
  </si>
  <si>
    <t>so2</t>
  </si>
  <si>
    <t>co</t>
  </si>
  <si>
    <t>nox</t>
  </si>
  <si>
    <t>Tableau supplémentaire pour un cumul jour hebdomadaire</t>
  </si>
  <si>
    <t>compte_moy</t>
  </si>
  <si>
    <t>nb_val_jour</t>
  </si>
  <si>
    <t>TOTALISATION DEPUIS LE 1 JANVIER</t>
  </si>
  <si>
    <t>1 TOTALISATION EST EGALE A 30 MINUTES D'INCINERATION</t>
  </si>
  <si>
    <t>Period</t>
  </si>
  <si>
    <t>#cycles</t>
  </si>
  <si>
    <t>Echeance</t>
  </si>
  <si>
    <t>Echéance</t>
  </si>
  <si>
    <t>7h30</t>
  </si>
  <si>
    <t>8h</t>
  </si>
  <si>
    <t>8h30</t>
  </si>
  <si>
    <t>9h</t>
  </si>
  <si>
    <t>9h30</t>
  </si>
  <si>
    <t>10h</t>
  </si>
  <si>
    <t>10h30</t>
  </si>
  <si>
    <t>11h</t>
  </si>
  <si>
    <t>11h30</t>
  </si>
  <si>
    <t>12h</t>
  </si>
  <si>
    <t>12h30</t>
  </si>
  <si>
    <t>13h</t>
  </si>
  <si>
    <t>13h30</t>
  </si>
  <si>
    <t>14h</t>
  </si>
  <si>
    <t>14h30</t>
  </si>
  <si>
    <t>15h</t>
  </si>
  <si>
    <t>15h30</t>
  </si>
  <si>
    <t>16h</t>
  </si>
  <si>
    <t>16h30</t>
  </si>
  <si>
    <t>17h</t>
  </si>
  <si>
    <t>17h30</t>
  </si>
  <si>
    <t>18h</t>
  </si>
  <si>
    <t>18h30</t>
  </si>
  <si>
    <t>19h</t>
  </si>
  <si>
    <t>19h30</t>
  </si>
  <si>
    <t>20h</t>
  </si>
  <si>
    <t>20h30</t>
  </si>
  <si>
    <t>21h</t>
  </si>
  <si>
    <t>21h30</t>
  </si>
  <si>
    <t>22h</t>
  </si>
  <si>
    <t>22h30</t>
  </si>
  <si>
    <t>23h</t>
  </si>
  <si>
    <t>23h30</t>
  </si>
  <si>
    <t>0h</t>
  </si>
  <si>
    <t>0h30</t>
  </si>
  <si>
    <t>1h</t>
  </si>
  <si>
    <t>1h30</t>
  </si>
  <si>
    <t>2h</t>
  </si>
  <si>
    <t>2h30</t>
  </si>
  <si>
    <t>3h</t>
  </si>
  <si>
    <t>3h30</t>
  </si>
  <si>
    <t>4h</t>
  </si>
  <si>
    <t>4h30</t>
  </si>
  <si>
    <t>5h</t>
  </si>
  <si>
    <t>5h30</t>
  </si>
  <si>
    <t>6h</t>
  </si>
  <si>
    <t>6h30</t>
  </si>
  <si>
    <t>7h</t>
  </si>
  <si>
    <t>COV</t>
  </si>
  <si>
    <t>Poussiére</t>
  </si>
  <si>
    <t>SO2</t>
  </si>
  <si>
    <t>CO</t>
  </si>
  <si>
    <t>NOX</t>
  </si>
  <si>
    <t>defaut inci</t>
  </si>
  <si>
    <t>heure calcul</t>
  </si>
  <si>
    <t>Information</t>
  </si>
  <si>
    <t>TagName.item</t>
  </si>
  <si>
    <t>Valeur</t>
  </si>
  <si>
    <t>Previous hour</t>
  </si>
  <si>
    <t>Nombre scrutation</t>
  </si>
  <si>
    <t>Calcul intermédiaire</t>
  </si>
  <si>
    <t>Minimum</t>
  </si>
  <si>
    <t>Maximum</t>
  </si>
  <si>
    <t>Cumul Général</t>
  </si>
  <si>
    <t>Moyenne</t>
  </si>
  <si>
    <t>Cumul</t>
  </si>
  <si>
    <t>NB_passage a 0</t>
  </si>
  <si>
    <t>NB_passage a 1</t>
  </si>
  <si>
    <t>Nb chgt</t>
  </si>
  <si>
    <t>Run Time</t>
  </si>
  <si>
    <t>No Run Time</t>
  </si>
  <si>
    <t>Débit eaux brutes admis sur la station</t>
  </si>
  <si>
    <t>FE0A100.PV</t>
  </si>
  <si>
    <t>0DP100</t>
  </si>
  <si>
    <t>SURV-PC,PV</t>
  </si>
  <si>
    <t>Débit eaux decantées ecretage</t>
  </si>
  <si>
    <t>FE2E200.PV + FE2E300.PV</t>
  </si>
  <si>
    <t>0DP110</t>
  </si>
  <si>
    <t>AE0A100M.CPV</t>
  </si>
  <si>
    <t>Débit eaux epurées</t>
  </si>
  <si>
    <t>FE3C100.PV</t>
  </si>
  <si>
    <t>0DP200</t>
  </si>
  <si>
    <t>TOTALISATION DE LA JOURNEE 7 H - 7 H</t>
  </si>
  <si>
    <t>TE0A100.PV</t>
  </si>
  <si>
    <t>débit by-pass (Signal Mesure)</t>
  </si>
  <si>
    <t>FE0B100.PV</t>
  </si>
  <si>
    <t>0DP210</t>
  </si>
  <si>
    <t>débit by-pass</t>
  </si>
  <si>
    <t>FE0B100.PV-(FE2E200.PV + FE2E300.PV)</t>
  </si>
  <si>
    <t>0DP300</t>
  </si>
  <si>
    <t>Conforme</t>
  </si>
  <si>
    <t>non-conforme</t>
  </si>
  <si>
    <t>FE0A100.SUM</t>
  </si>
  <si>
    <t>Reciculation des boues file 1</t>
  </si>
  <si>
    <t>FE3D100.PV</t>
  </si>
  <si>
    <t>0DP310</t>
  </si>
  <si>
    <t>Reciculation des boues file 2</t>
  </si>
  <si>
    <t>FE3D200.PV</t>
  </si>
  <si>
    <t>0EP110</t>
  </si>
  <si>
    <t>FE0B100.SUM</t>
  </si>
  <si>
    <t>Reciculation des boues file 3</t>
  </si>
  <si>
    <t>FE3D300.PV</t>
  </si>
  <si>
    <t>0EP210</t>
  </si>
  <si>
    <t>FE0E100.PV</t>
  </si>
  <si>
    <t>Recyclage liqueur mixte file 1</t>
  </si>
  <si>
    <t>FIC3A110.PV</t>
  </si>
  <si>
    <t>0IP100</t>
  </si>
  <si>
    <t>TEMPS DE DEPASSEMENT SUR LA JOURNEE</t>
  </si>
  <si>
    <t>TEMPS DE DEPASSEMENT DEPUIS LE 1 JANVIER en 1/2 heure</t>
  </si>
  <si>
    <t>FE0E100.SUM</t>
  </si>
  <si>
    <t>Recyclage liqueur mixte file 2</t>
  </si>
  <si>
    <t>FIC3A210.PV</t>
  </si>
  <si>
    <t>0IP200</t>
  </si>
  <si>
    <t>FE0E200.PV</t>
  </si>
  <si>
    <t>Recyclage liqueur mixte file 3</t>
  </si>
  <si>
    <t>FIC3A310.PV</t>
  </si>
  <si>
    <t>1BS100TMM</t>
  </si>
  <si>
    <t>FE0E200.SUM</t>
  </si>
  <si>
    <t>Oxygene moyen file 1</t>
  </si>
  <si>
    <t>ET307C01.CPV</t>
  </si>
  <si>
    <t>1BS200TMM</t>
  </si>
  <si>
    <t>FE0I100.PV</t>
  </si>
  <si>
    <t>Oxygene dernier compartiment aéré bio file 1</t>
  </si>
  <si>
    <t>AE3A130.PV</t>
  </si>
  <si>
    <t>1BS300TMM</t>
  </si>
  <si>
    <t>libelle</t>
  </si>
  <si>
    <t>tag</t>
  </si>
  <si>
    <t>etat</t>
  </si>
  <si>
    <t>FE0I100.SUM</t>
  </si>
  <si>
    <t>Oxygene moyen file 2</t>
  </si>
  <si>
    <t>ET307C02.CPV</t>
  </si>
  <si>
    <t>1BT100</t>
  </si>
  <si>
    <t>alerte</t>
  </si>
  <si>
    <t>30m</t>
  </si>
  <si>
    <t>SURV-30M.P01</t>
  </si>
  <si>
    <t>totalisation</t>
  </si>
  <si>
    <t>mémoire YOKO</t>
  </si>
  <si>
    <t>SURV30MN.P01</t>
  </si>
  <si>
    <t>FE0I200.PV</t>
  </si>
  <si>
    <t>Oxygene dernier compartiment aéré bio file 2</t>
  </si>
  <si>
    <t>AE3A230.PV</t>
  </si>
  <si>
    <t>1BT200</t>
  </si>
  <si>
    <t>SRV-02H.PV</t>
  </si>
  <si>
    <t>FE0I200.SUM</t>
  </si>
  <si>
    <t>Oxygene moyen file 3</t>
  </si>
  <si>
    <t>ET307C03.CPV</t>
  </si>
  <si>
    <t>1CT100</t>
  </si>
  <si>
    <t>SRV-03H.PV</t>
  </si>
  <si>
    <t>??</t>
  </si>
  <si>
    <t>AE3A330.PV</t>
  </si>
  <si>
    <t>1CT200</t>
  </si>
  <si>
    <t>SRV-03H5.PV</t>
  </si>
  <si>
    <t>FE2E200.PV</t>
  </si>
  <si>
    <t>Debit d'air total biologique</t>
  </si>
  <si>
    <t>Q3A001.CPV</t>
  </si>
  <si>
    <t>1CX100TMM</t>
  </si>
  <si>
    <t>SRV-04H.PV</t>
  </si>
  <si>
    <t>ACTIVATION SURV</t>
  </si>
  <si>
    <t>FE2E200.SUM</t>
  </si>
  <si>
    <t>Debit d'air file 1</t>
  </si>
  <si>
    <t>FE3A100.PV</t>
  </si>
  <si>
    <t>1DP100</t>
  </si>
  <si>
    <t>ARRET</t>
  </si>
  <si>
    <t>DESACTIVATION SURV</t>
  </si>
  <si>
    <t>FE2E300.PV</t>
  </si>
  <si>
    <t>Debit d'air file 2</t>
  </si>
  <si>
    <t>FE3A200.PV</t>
  </si>
  <si>
    <t>1DP200</t>
  </si>
  <si>
    <t>SURVVLE.P07</t>
  </si>
  <si>
    <t>NON</t>
  </si>
  <si>
    <t>FE2E300.SUM</t>
  </si>
  <si>
    <t>Debit d'air file 3</t>
  </si>
  <si>
    <t>FE3A300.PV</t>
  </si>
  <si>
    <t>1DP300</t>
  </si>
  <si>
    <t>incineration</t>
  </si>
  <si>
    <t>four 1</t>
  </si>
  <si>
    <t>four 2</t>
  </si>
  <si>
    <t>Puissance inst eclairage ete</t>
  </si>
  <si>
    <t>Q35P.PV</t>
  </si>
  <si>
    <t>1EP100</t>
  </si>
  <si>
    <t>FOUR EN FONCTIONNEMENT</t>
  </si>
  <si>
    <t>Turbidite eaux epuree</t>
  </si>
  <si>
    <t>AE3C110.PV</t>
  </si>
  <si>
    <t>1EP200</t>
  </si>
  <si>
    <t>FOUR 1</t>
  </si>
  <si>
    <t>FE3C100M.CPV</t>
  </si>
  <si>
    <t>P-PO4 eaux epurées</t>
  </si>
  <si>
    <t>AE3C130.PV</t>
  </si>
  <si>
    <t>1EP300</t>
  </si>
  <si>
    <t>FOUR 2</t>
  </si>
  <si>
    <t>incineration four 1</t>
  </si>
  <si>
    <t>FE3C100.SUM</t>
  </si>
  <si>
    <t>N-NO3 eaux epurées</t>
  </si>
  <si>
    <t>AE3C120.PV</t>
  </si>
  <si>
    <t>1EP400</t>
  </si>
  <si>
    <t>fioul</t>
  </si>
  <si>
    <t>TE1A100.PV</t>
  </si>
  <si>
    <t>Temperature lit four 1</t>
  </si>
  <si>
    <t>TLIT1.PV</t>
  </si>
  <si>
    <t>1EP500</t>
  </si>
  <si>
    <t>TAUX O2</t>
  </si>
  <si>
    <t>fioul + boue</t>
  </si>
  <si>
    <t>AE1A100.PV</t>
  </si>
  <si>
    <t>Temperature sommet four 1</t>
  </si>
  <si>
    <t>TE4P356.PV</t>
  </si>
  <si>
    <t>1FA110</t>
  </si>
  <si>
    <t>tempch</t>
  </si>
  <si>
    <t>incineration four 2</t>
  </si>
  <si>
    <t>AC3A100.SV</t>
  </si>
  <si>
    <t>Pression boite a vent four 1</t>
  </si>
  <si>
    <t>PE4P300.PV</t>
  </si>
  <si>
    <t>1FA120</t>
  </si>
  <si>
    <t>0DP100.ONTM</t>
  </si>
  <si>
    <t>4PP950</t>
  </si>
  <si>
    <t>4PP960</t>
  </si>
  <si>
    <t>4PP970</t>
  </si>
  <si>
    <t>CE4PC020</t>
  </si>
  <si>
    <t>CE4PT935</t>
  </si>
  <si>
    <t>2IA110</t>
  </si>
  <si>
    <t>2IA120</t>
  </si>
  <si>
    <t>2IA210</t>
  </si>
  <si>
    <t>2IA220</t>
  </si>
  <si>
    <t>2IA310</t>
  </si>
  <si>
    <t>2IA320</t>
  </si>
  <si>
    <t>2IP410</t>
  </si>
  <si>
    <t>2IP420</t>
  </si>
  <si>
    <t>2IP430</t>
  </si>
  <si>
    <t>2IP440</t>
  </si>
  <si>
    <t>A1P110</t>
  </si>
  <si>
    <t>A1P120</t>
  </si>
  <si>
    <t>4PP390</t>
  </si>
  <si>
    <t>CH4P390</t>
  </si>
  <si>
    <t>4PP130.ONTM</t>
  </si>
  <si>
    <t>4PP230.ONTM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</si>
</sst>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\ h:mm"/>
    <numFmt numFmtId="165" formatCode="yy/mm/dd"/>
  </numFmts>
  <fonts count="10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0"/>
      <name val="Arial"/>
      <family val="2"/>
    </font>
    <font>
      <b/>
      <sz val="14"/>
      <color indexed="1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9"/>
      <name val="Terminal"/>
      <family val="3"/>
      <charset val="255"/>
    </font>
    <font>
      <sz val="8"/>
      <name val="Arial"/>
      <family val="2"/>
    </font>
    <font>
      <sz val="10"/>
      <color indexed="10"/>
      <name val="Arial"/>
      <family val="2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88">
    <xf numFmtId="0" fontId="0" fillId="0" borderId="0" xfId="0"/>
    <xf numFmtId="0" fontId="0" fillId="0" borderId="0" xfId="0" applyFill="1"/>
    <xf numFmtId="0" fontId="1" fillId="0" borderId="0" xfId="0" applyFont="1" applyFill="1"/>
    <xf numFmtId="4" fontId="0" fillId="0" borderId="0" xfId="0" applyNumberFormat="1" applyFill="1"/>
    <xf numFmtId="1" fontId="2" fillId="0" borderId="1" xfId="0" applyNumberFormat="1" applyFont="1" applyFill="1" applyBorder="1" applyAlignment="1">
      <alignment horizontal="right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/>
    <xf numFmtId="2" fontId="0" fillId="0" borderId="0" xfId="0" applyNumberFormat="1" applyFill="1"/>
    <xf numFmtId="0" fontId="3" fillId="0" borderId="0" xfId="0" applyFont="1" applyFill="1"/>
    <xf numFmtId="0" fontId="4" fillId="0" borderId="0" xfId="0" applyFont="1" applyFill="1"/>
    <xf numFmtId="4" fontId="4" fillId="0" borderId="0" xfId="0" applyNumberFormat="1" applyFont="1" applyFill="1"/>
    <xf numFmtId="2" fontId="0" fillId="0" borderId="0" xfId="0" applyNumberFormat="1" applyFill="1" applyAlignment="1">
      <alignment horizontal="right"/>
    </xf>
    <xf numFmtId="0" fontId="0" fillId="0" borderId="6" xfId="0" applyFill="1" applyBorder="1"/>
    <xf numFmtId="0" fontId="0" fillId="0" borderId="7" xfId="0" applyFill="1" applyBorder="1"/>
    <xf numFmtId="0" fontId="2" fillId="0" borderId="8" xfId="0" applyFont="1" applyFill="1" applyBorder="1"/>
    <xf numFmtId="0" fontId="0" fillId="0" borderId="9" xfId="0" applyFill="1" applyBorder="1"/>
    <xf numFmtId="0" fontId="0" fillId="0" borderId="4" xfId="0" applyFill="1" applyBorder="1"/>
    <xf numFmtId="0" fontId="0" fillId="0" borderId="5" xfId="0" applyFill="1" applyBorder="1"/>
    <xf numFmtId="2" fontId="2" fillId="0" borderId="0" xfId="0" applyNumberFormat="1" applyFont="1" applyFill="1"/>
    <xf numFmtId="0" fontId="2" fillId="0" borderId="0" xfId="0" applyFont="1" applyFill="1" applyAlignment="1">
      <alignment horizontal="center"/>
    </xf>
    <xf numFmtId="2" fontId="2" fillId="0" borderId="0" xfId="0" applyNumberFormat="1" applyFont="1" applyFill="1" applyAlignment="1">
      <alignment horizontal="center"/>
    </xf>
    <xf numFmtId="0" fontId="0" fillId="0" borderId="10" xfId="0" applyFill="1" applyBorder="1"/>
    <xf numFmtId="0" fontId="0" fillId="0" borderId="11" xfId="0" applyFill="1" applyBorder="1"/>
    <xf numFmtId="0" fontId="2" fillId="0" borderId="12" xfId="0" applyFont="1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0" xfId="0" applyFill="1" applyAlignment="1">
      <alignment horizontal="center"/>
    </xf>
    <xf numFmtId="2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20" xfId="0" applyFill="1" applyBorder="1"/>
    <xf numFmtId="22" fontId="0" fillId="0" borderId="21" xfId="0" applyNumberFormat="1" applyFill="1" applyBorder="1"/>
    <xf numFmtId="22" fontId="0" fillId="0" borderId="0" xfId="0" applyNumberFormat="1" applyFill="1"/>
    <xf numFmtId="22" fontId="0" fillId="0" borderId="22" xfId="0" applyNumberFormat="1" applyFill="1" applyBorder="1"/>
    <xf numFmtId="22" fontId="6" fillId="0" borderId="0" xfId="1" quotePrefix="1" applyNumberFormat="1" applyFont="1" applyFill="1" applyBorder="1" applyAlignment="1" applyProtection="1">
      <alignment horizontal="center" vertical="center"/>
    </xf>
    <xf numFmtId="22" fontId="7" fillId="0" borderId="0" xfId="0" applyNumberFormat="1" applyFont="1" applyFill="1"/>
    <xf numFmtId="2" fontId="7" fillId="0" borderId="2" xfId="0" applyNumberFormat="1" applyFont="1" applyFill="1" applyBorder="1"/>
    <xf numFmtId="2" fontId="7" fillId="0" borderId="3" xfId="0" applyNumberFormat="1" applyFont="1" applyFill="1" applyBorder="1"/>
    <xf numFmtId="2" fontId="7" fillId="0" borderId="23" xfId="0" applyNumberFormat="1" applyFont="1" applyFill="1" applyBorder="1"/>
    <xf numFmtId="0" fontId="4" fillId="0" borderId="16" xfId="0" applyFont="1" applyFill="1" applyBorder="1"/>
    <xf numFmtId="0" fontId="2" fillId="0" borderId="24" xfId="0" applyFont="1" applyFill="1" applyBorder="1" applyAlignment="1">
      <alignment horizontal="center"/>
    </xf>
    <xf numFmtId="2" fontId="2" fillId="0" borderId="24" xfId="0" applyNumberFormat="1" applyFont="1" applyFill="1" applyBorder="1" applyAlignment="1">
      <alignment horizontal="center"/>
    </xf>
    <xf numFmtId="2" fontId="2" fillId="0" borderId="24" xfId="0" applyNumberFormat="1" applyFont="1" applyFill="1" applyBorder="1" applyAlignment="1">
      <alignment horizontal="right"/>
    </xf>
    <xf numFmtId="0" fontId="2" fillId="0" borderId="24" xfId="0" applyFont="1" applyFill="1" applyBorder="1"/>
    <xf numFmtId="0" fontId="2" fillId="0" borderId="19" xfId="0" applyFont="1" applyFill="1" applyBorder="1" applyAlignment="1">
      <alignment horizontal="center"/>
    </xf>
    <xf numFmtId="0" fontId="8" fillId="0" borderId="25" xfId="0" applyFont="1" applyFill="1" applyBorder="1"/>
    <xf numFmtId="0" fontId="2" fillId="0" borderId="12" xfId="0" applyFont="1" applyFill="1" applyBorder="1" applyAlignment="1">
      <alignment horizontal="center"/>
    </xf>
    <xf numFmtId="0" fontId="5" fillId="0" borderId="0" xfId="1" applyFont="1" applyFill="1"/>
    <xf numFmtId="2" fontId="0" fillId="0" borderId="2" xfId="0" applyNumberFormat="1" applyFill="1" applyBorder="1" applyAlignment="1">
      <alignment horizontal="center" vertical="center"/>
    </xf>
    <xf numFmtId="2" fontId="0" fillId="0" borderId="3" xfId="0" applyNumberFormat="1" applyFill="1" applyBorder="1" applyAlignment="1">
      <alignment horizontal="center" vertical="center"/>
    </xf>
    <xf numFmtId="2" fontId="0" fillId="0" borderId="23" xfId="0" applyNumberFormat="1" applyFill="1" applyBorder="1" applyAlignment="1">
      <alignment horizontal="center" vertical="center"/>
    </xf>
    <xf numFmtId="0" fontId="4" fillId="0" borderId="26" xfId="0" applyFont="1" applyFill="1" applyBorder="1"/>
    <xf numFmtId="0" fontId="8" fillId="0" borderId="27" xfId="0" applyFont="1" applyFill="1" applyBorder="1"/>
    <xf numFmtId="2" fontId="2" fillId="0" borderId="0" xfId="0" applyNumberFormat="1" applyFont="1" applyFill="1" applyBorder="1" applyAlignment="1">
      <alignment horizontal="center"/>
    </xf>
    <xf numFmtId="22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2" fontId="0" fillId="0" borderId="0" xfId="0" applyNumberFormat="1" applyFill="1" applyBorder="1" applyAlignment="1">
      <alignment horizontal="right"/>
    </xf>
    <xf numFmtId="0" fontId="0" fillId="0" borderId="0" xfId="0" applyNumberFormat="1" applyFill="1" applyBorder="1"/>
    <xf numFmtId="164" fontId="0" fillId="0" borderId="0" xfId="0" applyNumberFormat="1" applyFill="1" applyBorder="1"/>
    <xf numFmtId="0" fontId="0" fillId="0" borderId="28" xfId="0" applyFill="1" applyBorder="1"/>
    <xf numFmtId="0" fontId="0" fillId="0" borderId="26" xfId="0" applyFill="1" applyBorder="1"/>
    <xf numFmtId="0" fontId="8" fillId="0" borderId="29" xfId="0" applyFont="1" applyFill="1" applyBorder="1"/>
    <xf numFmtId="0" fontId="7" fillId="0" borderId="0" xfId="0" applyFont="1" applyFill="1"/>
    <xf numFmtId="2" fontId="0" fillId="0" borderId="0" xfId="0" applyNumberFormat="1" applyFill="1" applyBorder="1"/>
    <xf numFmtId="0" fontId="0" fillId="0" borderId="30" xfId="0" applyFill="1" applyBorder="1"/>
    <xf numFmtId="0" fontId="2" fillId="0" borderId="29" xfId="0" applyFont="1" applyFill="1" applyBorder="1"/>
    <xf numFmtId="0" fontId="2" fillId="0" borderId="10" xfId="0" applyFont="1" applyFill="1" applyBorder="1"/>
    <xf numFmtId="0" fontId="0" fillId="0" borderId="29" xfId="0" applyFill="1" applyBorder="1"/>
    <xf numFmtId="0" fontId="2" fillId="0" borderId="0" xfId="0" applyFont="1" applyFill="1" applyBorder="1"/>
    <xf numFmtId="0" fontId="0" fillId="0" borderId="31" xfId="0" applyFill="1" applyBorder="1"/>
    <xf numFmtId="0" fontId="0" fillId="0" borderId="32" xfId="0" applyFill="1" applyBorder="1"/>
    <xf numFmtId="0" fontId="0" fillId="0" borderId="33" xfId="0" applyFill="1" applyBorder="1"/>
    <xf numFmtId="0" fontId="5" fillId="0" borderId="0" xfId="1" applyFont="1" applyFill="1" applyAlignment="1" applyProtection="1">
      <alignment horizontal="left"/>
    </xf>
    <xf numFmtId="2" fontId="0" fillId="0" borderId="16" xfId="0" applyNumberFormat="1" applyFill="1" applyBorder="1" applyAlignment="1"/>
    <xf numFmtId="2" fontId="0" fillId="0" borderId="24" xfId="0" applyNumberFormat="1" applyFill="1" applyBorder="1" applyAlignment="1"/>
    <xf numFmtId="0" fontId="0" fillId="0" borderId="24" xfId="0" applyFill="1" applyBorder="1" applyAlignment="1"/>
    <xf numFmtId="0" fontId="0" fillId="0" borderId="19" xfId="0" applyFill="1" applyBorder="1" applyAlignment="1"/>
    <xf numFmtId="2" fontId="2" fillId="0" borderId="16" xfId="0" applyNumberFormat="1" applyFont="1" applyFill="1" applyBorder="1" applyAlignment="1">
      <alignment horizontal="center"/>
    </xf>
    <xf numFmtId="2" fontId="2" fillId="0" borderId="17" xfId="0" applyNumberFormat="1" applyFont="1" applyFill="1" applyBorder="1" applyAlignment="1">
      <alignment horizontal="center"/>
    </xf>
    <xf numFmtId="2" fontId="2" fillId="0" borderId="18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165" fontId="0" fillId="0" borderId="0" xfId="0" applyNumberFormat="1" applyFill="1" applyAlignment="1">
      <alignment horizontal="center"/>
    </xf>
    <xf numFmtId="0" fontId="9" fillId="0" borderId="0" xfId="0" applyFont="1"/>
  </cellXfs>
  <cellStyles count="2">
    <cellStyle name="Normal" xfId="0" builtinId="0"/>
    <cellStyle name="Normal_TMDM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10" Type="http://schemas.openxmlformats.org/officeDocument/2006/relationships/externalLink" Target="externalLinks/externalLink7.xml"/><Relationship Id="rId19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41</xdr:row>
      <xdr:rowOff>180976</xdr:rowOff>
    </xdr:from>
    <xdr:to>
      <xdr:col>5</xdr:col>
      <xdr:colOff>561975</xdr:colOff>
      <xdr:row>45</xdr:row>
      <xdr:rowOff>47626</xdr:rowOff>
    </xdr:to>
    <xdr:sp macro="" textlink="">
      <xdr:nvSpPr>
        <xdr:cNvPr id="2" name="Rectangle à coins arrondis 1"/>
        <xdr:cNvSpPr/>
      </xdr:nvSpPr>
      <xdr:spPr>
        <a:xfrm>
          <a:off x="2495550" y="8401051"/>
          <a:ext cx="2476500" cy="628650"/>
        </a:xfrm>
        <a:prstGeom prst="wedgeRoundRectCallout">
          <a:avLst>
            <a:gd name="adj1" fmla="val -25833"/>
            <a:gd name="adj2" fmla="val -9958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date du jour renseignée, je ne sais comment, mais c'est indispensable.</a:t>
          </a:r>
        </a:p>
      </xdr:txBody>
    </xdr:sp>
    <xdr:clientData/>
  </xdr:twoCellAnchor>
  <xdr:twoCellAnchor>
    <xdr:from>
      <xdr:col>6</xdr:col>
      <xdr:colOff>438150</xdr:colOff>
      <xdr:row>42</xdr:row>
      <xdr:rowOff>19051</xdr:rowOff>
    </xdr:from>
    <xdr:to>
      <xdr:col>9</xdr:col>
      <xdr:colOff>85725</xdr:colOff>
      <xdr:row>45</xdr:row>
      <xdr:rowOff>76201</xdr:rowOff>
    </xdr:to>
    <xdr:sp macro="" textlink="">
      <xdr:nvSpPr>
        <xdr:cNvPr id="3" name="Rectangle à coins arrondis 2"/>
        <xdr:cNvSpPr/>
      </xdr:nvSpPr>
      <xdr:spPr>
        <a:xfrm>
          <a:off x="6115050" y="8534401"/>
          <a:ext cx="2486025" cy="628650"/>
        </a:xfrm>
        <a:prstGeom prst="wedgeRoundRectCallout">
          <a:avLst>
            <a:gd name="adj1" fmla="val 358075"/>
            <a:gd name="adj2" fmla="val -1480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date du jour m</a:t>
          </a:r>
          <a:r>
            <a:rPr lang="fr-FR" sz="1100" baseline="0"/>
            <a:t>is forme avec un format personnalisé aa/mm/jj qui est en lien avec la date en colonne D</a:t>
          </a:r>
          <a:endParaRPr lang="fr-FR" sz="1100"/>
        </a:p>
      </xdr:txBody>
    </xdr:sp>
    <xdr:clientData/>
  </xdr:twoCellAnchor>
  <xdr:twoCellAnchor>
    <xdr:from>
      <xdr:col>5</xdr:col>
      <xdr:colOff>635000</xdr:colOff>
      <xdr:row>33</xdr:row>
      <xdr:rowOff>21167</xdr:rowOff>
    </xdr:from>
    <xdr:to>
      <xdr:col>8</xdr:col>
      <xdr:colOff>264583</xdr:colOff>
      <xdr:row>39</xdr:row>
      <xdr:rowOff>84667</xdr:rowOff>
    </xdr:to>
    <xdr:sp macro="" textlink="">
      <xdr:nvSpPr>
        <xdr:cNvPr id="4" name="Rectangle à coins arrondis 3"/>
        <xdr:cNvSpPr/>
      </xdr:nvSpPr>
      <xdr:spPr>
        <a:xfrm>
          <a:off x="5037667" y="6731000"/>
          <a:ext cx="2783416" cy="1206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tu as une</a:t>
          </a:r>
          <a:r>
            <a:rPr lang="fr-FR" sz="1100" baseline="0"/>
            <a:t> formule qui va récupérer selon l'adresse la valeur dans la cellule G170 et H170 et celles du dessous.</a:t>
          </a:r>
        </a:p>
        <a:p>
          <a:pPr algn="l"/>
          <a:r>
            <a:rPr lang="fr-FR" sz="1100" baseline="0"/>
            <a:t>Il te faudra recoller cette séquence.</a:t>
          </a:r>
          <a:endParaRPr lang="fr-FR" sz="1100"/>
        </a:p>
      </xdr:txBody>
    </xdr:sp>
    <xdr:clientData/>
  </xdr:twoCellAnchor>
  <xdr:twoCellAnchor>
    <xdr:from>
      <xdr:col>8</xdr:col>
      <xdr:colOff>338667</xdr:colOff>
      <xdr:row>32</xdr:row>
      <xdr:rowOff>21167</xdr:rowOff>
    </xdr:from>
    <xdr:to>
      <xdr:col>8</xdr:col>
      <xdr:colOff>793750</xdr:colOff>
      <xdr:row>40</xdr:row>
      <xdr:rowOff>52917</xdr:rowOff>
    </xdr:to>
    <xdr:sp macro="" textlink="">
      <xdr:nvSpPr>
        <xdr:cNvPr id="5" name="Accolade ouvrante 4"/>
        <xdr:cNvSpPr/>
      </xdr:nvSpPr>
      <xdr:spPr>
        <a:xfrm>
          <a:off x="7895167" y="6540500"/>
          <a:ext cx="455083" cy="1555750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_courbe%201301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1">
    <ddeItems>
      <ddeItem name="Ncycles" advise="1">
        <values>
          <value>
            <val>192461</val>
          </value>
        </values>
      </ddeItem>
      <ddeItem name="Txtperiod" advise="1">
        <values>
          <value>
            <val>60</val>
          </value>
        </values>
      </ddeItem>
      <ddeItem name="V(10)" advise="1">
        <values>
          <value>
            <val>298.178</val>
          </value>
        </values>
      </ddeItem>
      <ddeItem name="V(11)" advise="1">
        <values>
          <value>
            <val>28682414.399999999</val>
          </value>
        </values>
      </ddeItem>
      <ddeItem name="V(12)" advise="1">
        <values>
          <value>
            <val>0</val>
          </value>
        </values>
      </ddeItem>
      <ddeItem name="V(13)" advise="1">
        <values>
          <value>
            <val>166736.14300000001</val>
          </value>
        </values>
      </ddeItem>
      <ddeItem name="V(14)" advise="1">
        <values>
          <value>
            <val>0</val>
          </value>
        </values>
      </ddeItem>
      <ddeItem name="V(15)" advise="1">
        <values>
          <value>
            <val>77557.522100000002</val>
          </value>
        </values>
      </ddeItem>
      <ddeItem name="V(16)" advise="1">
        <values>
          <value t="str">
            <val>??</val>
          </value>
        </values>
      </ddeItem>
      <ddeItem name="V(17)" advise="1">
        <values>
          <value>
            <val>602.45899999999995</val>
          </value>
        </values>
      </ddeItem>
      <ddeItem name="V(18)" advise="1">
        <values>
          <value>
            <val>26561281.899999999</val>
          </value>
        </values>
      </ddeItem>
      <ddeItem name="V(19)" advise="1">
        <values>
          <value>
            <val>713.30600000000004</val>
          </value>
        </values>
      </ddeItem>
      <ddeItem name="V(2)" advise="1">
        <values>
          <value>
            <val>-8.8129334200000006E-2</val>
          </value>
        </values>
      </ddeItem>
      <ddeItem name="V(20)" advise="1">
        <values>
          <value>
            <val>29056126.399999999</val>
          </value>
        </values>
      </ddeItem>
      <ddeItem name="V(21)" advise="1">
        <values>
          <value>
            <val>1301.55</val>
          </value>
        </values>
      </ddeItem>
      <ddeItem name="V(22)" advise="1">
        <values>
          <value>
            <val>60942595.899999999</val>
          </value>
        </values>
      </ddeItem>
      <ddeItem name="V(23)" advise="1">
        <values>
          <value>
            <val>2397.41</val>
          </value>
        </values>
      </ddeItem>
      <ddeItem name="V(24)" advise="1">
        <values>
          <value>
            <val>21330871.600000001</val>
          </value>
        </values>
      </ddeItem>
      <ddeItem name="V(25)" advise="1">
        <values>
          <value>
            <val>10.2873</val>
          </value>
        </values>
      </ddeItem>
      <ddeItem name="V(26)" advise="1">
        <values>
          <value>
            <val>7.6502100000000004</val>
          </value>
        </values>
      </ddeItem>
      <ddeItem name="V(27)" advise="1">
        <values>
          <value>
            <val>2.5</val>
          </value>
        </values>
      </ddeItem>
      <ddeItem name="V(3)" advise="1">
        <values>
          <value>
            <val>5.5219699999999996</val>
          </value>
        </values>
      </ddeItem>
      <ddeItem name="V(4)" advise="1">
        <values>
          <value>
            <val>3839.73</val>
          </value>
        </values>
      </ddeItem>
      <ddeItem name="V(5)" advise="1">
        <values>
          <value>
            <val>66699856.600000001</val>
          </value>
        </values>
      </ddeItem>
      <ddeItem name="V(6)" advise="1">
        <values>
          <value>
            <val>1301.55</val>
          </value>
        </values>
      </ddeItem>
      <ddeItem name="V(7)" advise="1">
        <values>
          <value>
            <val>60942595.899999999</val>
          </value>
        </values>
      </ddeItem>
      <ddeItem name="V(8)" advise="1">
        <values>
          <value>
            <val>135.16200000000001</val>
          </value>
        </values>
      </ddeItem>
      <ddeItem name="V(9)" advise="1">
        <values>
          <value>
            <val>18589175.800000001</val>
          </value>
        </values>
      </ddeItem>
    </ddeItems>
  </ddeLin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rchive1">
    <ddeItems>
      <ddeItem name="echeance" advise="1">
        <values>
          <value>
            <val>41277.291666666664</val>
          </value>
        </values>
      </ddeItem>
      <ddeItem name="StdDocumentName" ole="1" advise="1"/>
    </ddeItems>
  </ddeLin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10">
    <ddeItems>
      <ddeItem name="StdDocumentName" ole="1" advise="1"/>
      <ddeItem name="V(28)" advise="1">
        <values>
          <value>
            <val>3838.83</val>
          </value>
        </values>
      </ddeItem>
    </ddeItems>
  </ddeLin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14">
    <ddeItems>
      <ddeItem name="StdDocumentName" ole="1" advise="1"/>
      <ddeItem name="V(1)" advise="1">
        <values>
          <value>
            <val>26682215</val>
          </value>
        </values>
      </ddeItem>
      <ddeItem name="V(10)" advise="1">
        <values>
          <value>
            <val>1532458</val>
          </value>
        </values>
      </ddeItem>
      <ddeItem name="V(11)" advise="1">
        <values>
          <value>
            <val>56781987</val>
          </value>
        </values>
      </ddeItem>
      <ddeItem name="V(12)" advise="1">
        <values>
          <value>
            <val>56833305</val>
          </value>
        </values>
      </ddeItem>
      <ddeItem name="V(13)" advise="1">
        <values>
          <value>
            <val>13097646</val>
          </value>
        </values>
      </ddeItem>
      <ddeItem name="V(14)" advise="1">
        <values>
          <value>
            <val>0</val>
          </value>
        </values>
      </ddeItem>
      <ddeItem name="V(16)" advise="1">
        <values>
          <value>
            <val>32979249</val>
          </value>
        </values>
      </ddeItem>
      <ddeItem name="V(17)" advise="1">
        <values>
          <value>
            <val>35786603</val>
          </value>
        </values>
      </ddeItem>
      <ddeItem name="V(18)" advise="1">
        <values>
          <value>
            <val>42241286</val>
          </value>
        </values>
      </ddeItem>
      <ddeItem name="V(19)" advise="1">
        <values>
          <value>
            <val>45949891</val>
          </value>
        </values>
      </ddeItem>
      <ddeItem name="V(2)" advise="1">
        <values>
          <value>
            <val>26663083</val>
          </value>
        </values>
      </ddeItem>
      <ddeItem name="V(20)" advise="1">
        <values>
          <value>
            <val>29327848</val>
          </value>
        </values>
      </ddeItem>
      <ddeItem name="V(21)" advise="1">
        <values>
          <value>
            <val>13298872</val>
          </value>
        </values>
      </ddeItem>
      <ddeItem name="V(22)" advise="1">
        <values>
          <value>
            <val>79933403</val>
          </value>
        </values>
      </ddeItem>
      <ddeItem name="V(23)" advise="1">
        <values>
          <value>
            <val>28510925</val>
          </value>
        </values>
      </ddeItem>
      <ddeItem name="V(24)" advise="1">
        <values>
          <value>
            <val>48023</val>
          </value>
        </values>
      </ddeItem>
      <ddeItem name="V(25)" advise="1">
        <values>
          <value>
            <val>52677</val>
          </value>
        </values>
      </ddeItem>
      <ddeItem name="V(26)" advise="1">
        <values>
          <value>
            <val>33388</val>
          </value>
        </values>
      </ddeItem>
      <ddeItem name="V(27)" advise="1">
        <values>
          <value>
            <val>31041</val>
          </value>
        </values>
      </ddeItem>
      <ddeItem name="V(28)" advise="1">
        <values>
          <value>
            <val>40705830</val>
          </value>
        </values>
      </ddeItem>
      <ddeItem name="V(29)" advise="1">
        <values>
          <value>
            <val>86057843</val>
          </value>
        </values>
      </ddeItem>
      <ddeItem name="V(3)" advise="1">
        <values>
          <value>
            <val>49874648</val>
          </value>
        </values>
      </ddeItem>
      <ddeItem name="V(30)" advise="1">
        <values>
          <value>
            <val>87344639</val>
          </value>
        </values>
      </ddeItem>
      <ddeItem name="V(4)" advise="1">
        <values>
          <value>
            <val>49912842</val>
          </value>
        </values>
      </ddeItem>
      <ddeItem name="V(5)" advise="1">
        <values>
          <value>
            <val>84948522</val>
          </value>
        </values>
      </ddeItem>
      <ddeItem name="V(6)" advise="1">
        <values>
          <value>
            <val>84986411</val>
          </value>
        </values>
      </ddeItem>
      <ddeItem name="V(7)" advise="1">
        <values>
          <value>
            <val>27157014</val>
          </value>
        </values>
      </ddeItem>
      <ddeItem name="V(8)" advise="1">
        <values>
          <value>
            <val>36584815</val>
          </value>
        </values>
      </ddeItem>
      <ddeItem name="V(9)" advise="1">
        <values>
          <value>
            <val>3277049</val>
          </value>
        </values>
      </ddeItem>
    </ddeItems>
  </ddeLin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9">
    <ddeItems>
      <ddeItem name="StdDocumentName" ole="1" advise="1"/>
      <ddeItem name="V(1)" advise="1">
        <values>
          <value>
            <val>2423.96</val>
          </value>
        </values>
      </ddeItem>
      <ddeItem name="V(10)" advise="1">
        <values>
          <value>
            <val>0.19844300000000001</val>
          </value>
        </values>
      </ddeItem>
      <ddeItem name="V(11)" advise="1">
        <values>
          <value>
            <val>1.64874673</val>
          </value>
        </values>
      </ddeItem>
      <ddeItem name="V(12)" advise="1">
        <values>
          <value>
            <val>3.5250900000000001</val>
          </value>
        </values>
      </ddeItem>
      <ddeItem name="V(13)" advise="1">
        <values>
          <value>
            <val>1.9293508500000001</val>
          </value>
        </values>
      </ddeItem>
      <ddeItem name="V(14)" advise="1">
        <values>
          <value>
            <val>604.56100000000004</val>
          </value>
        </values>
      </ddeItem>
      <ddeItem name="V(15)" advise="1">
        <values>
          <value>
            <val>717.09</val>
          </value>
        </values>
      </ddeItem>
      <ddeItem name="V(16)" advise="1">
        <values>
          <value>
            <val>0.40892499999999998</val>
          </value>
        </values>
      </ddeItem>
      <ddeItem name="V(17)" advise="1">
        <values>
          <value>
            <val>9879.43</val>
          </value>
        </values>
      </ddeItem>
      <ddeItem name="V(18)" advise="1">
        <values>
          <value>
            <val>8289.69</val>
          </value>
        </values>
      </ddeItem>
      <ddeItem name="V(19)" advise="1">
        <values>
          <value>
            <val>1100.1500000000001</val>
          </value>
        </values>
      </ddeItem>
      <ddeItem name="V(2)" advise="1">
        <values>
          <value>
            <val>1317.32</val>
          </value>
        </values>
      </ddeItem>
      <ddeItem name="V(20)" advise="1">
        <values>
          <value>
            <val>2479.92</val>
          </value>
        </values>
      </ddeItem>
      <ddeItem name="V(22)" advise="1">
        <values>
          <value>
            <val>3.7001499999999998</val>
          </value>
        </values>
      </ddeItem>
      <ddeItem name="V(23)" advise="1">
        <values>
          <value>
            <val>0.88407599999999997</val>
          </value>
        </values>
      </ddeItem>
      <ddeItem name="V(24)" advise="1">
        <values>
          <value>
            <val>0</val>
          </value>
        </values>
      </ddeItem>
      <ddeItem name="V(25)" advise="1">
        <values>
          <value>
            <val>19.730699999999999</val>
          </value>
        </values>
      </ddeItem>
      <ddeItem name="V(26)" advise="1">
        <values>
          <value>
            <val>18.325500000000002</val>
          </value>
        </values>
      </ddeItem>
      <ddeItem name="V(27)" advise="1">
        <values>
          <value>
            <val>0.41363699999999998</val>
          </value>
        </values>
      </ddeItem>
      <ddeItem name="V(3)" advise="1">
        <values>
          <value>
            <val>1630.9</val>
          </value>
        </values>
      </ddeItem>
      <ddeItem name="V(4)" advise="1">
        <values>
          <value>
            <val>1529.08</val>
          </value>
        </values>
      </ddeItem>
      <ddeItem name="V(5)" advise="1">
        <values>
          <value>
            <val>1547.41</val>
          </value>
        </values>
      </ddeItem>
      <ddeItem name="V(6)" advise="1">
        <values>
          <value>
            <val>1062.4000000000001</val>
          </value>
        </values>
      </ddeItem>
      <ddeItem name="V(7)" advise="1">
        <values>
          <value>
            <val>1574.21</val>
          </value>
        </values>
      </ddeItem>
      <ddeItem name="V(8)" advise="1">
        <values>
          <value>
            <val>1433.37</val>
          </value>
        </values>
      </ddeItem>
      <ddeItem name="V(9)" advise="1">
        <values>
          <value>
            <val>3.0867247600000001</val>
          </value>
        </values>
      </ddeItem>
    </ddeItems>
  </ddeLin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1"/>
      <sheetName val="sdc"/>
      <sheetName val="datas"/>
      <sheetName val="bilan"/>
      <sheetName val="sauvegarde"/>
      <sheetName val="donnée_courbe_drire"/>
      <sheetName val="Coprécipitation"/>
      <sheetName val="bilan_compteur"/>
      <sheetName val="tableau_drire"/>
      <sheetName val="transfert_OAD"/>
      <sheetName val="OAD_STEP"/>
      <sheetName val="message"/>
      <sheetName val="courbe_drire"/>
      <sheetName val="courbe"/>
      <sheetName val="courbe_bio"/>
      <sheetName val="courbe_temperature_four2"/>
      <sheetName val="courbe_temperature_four1"/>
      <sheetName val="ARRET"/>
      <sheetName val="courbe_fonc_inciné_four2"/>
      <sheetName val="courbe_fonc_inciné_four1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>
        <row r="28">
          <cell r="I28">
            <v>15.554936666666666</v>
          </cell>
        </row>
        <row r="29">
          <cell r="I29">
            <v>30.547313333333339</v>
          </cell>
        </row>
        <row r="30">
          <cell r="I30">
            <v>30.590866666666663</v>
          </cell>
        </row>
        <row r="31">
          <cell r="I31">
            <v>32.335023333333332</v>
          </cell>
        </row>
        <row r="32">
          <cell r="I32">
            <v>33.010356666666659</v>
          </cell>
        </row>
        <row r="33">
          <cell r="I33">
            <v>34.106216666666668</v>
          </cell>
        </row>
        <row r="34">
          <cell r="I34">
            <v>34.561199999999999</v>
          </cell>
        </row>
        <row r="35">
          <cell r="I35">
            <v>35.317106666666668</v>
          </cell>
        </row>
        <row r="36">
          <cell r="I36">
            <v>35.283020000000008</v>
          </cell>
        </row>
        <row r="37">
          <cell r="I37">
            <v>34.47030333333332</v>
          </cell>
        </row>
        <row r="38">
          <cell r="I38">
            <v>36.617486666666665</v>
          </cell>
        </row>
        <row r="39">
          <cell r="I39">
            <v>37.25860999999999</v>
          </cell>
        </row>
        <row r="40">
          <cell r="I40">
            <v>37.67019333333333</v>
          </cell>
        </row>
        <row r="70">
          <cell r="L70">
            <v>0</v>
          </cell>
        </row>
        <row r="80">
          <cell r="D80">
            <v>0.61576695430769246</v>
          </cell>
          <cell r="F80">
            <v>4.4666658775128223</v>
          </cell>
          <cell r="H80">
            <v>1.5012169666666667E-2</v>
          </cell>
          <cell r="J80">
            <v>26.296777435897429</v>
          </cell>
        </row>
      </sheetData>
      <sheetData sheetId="9"/>
      <sheetData sheetId="10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30">
    <ddeItems>
      <ddeItem name="StdDocumentName" ole="1" advise="1"/>
      <ddeItem name="V(1)" advise="1">
        <values>
          <value>
            <val>0</val>
          </value>
        </values>
      </ddeItem>
      <ddeItem name="V(4)" advise="1">
        <values>
          <value>
            <val>94.798699999999997</val>
          </value>
        </values>
      </ddeItem>
    </ddeItems>
  </ddeLin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33">
    <ddeItems>
      <ddeItem name="StdDocumentName" ole="1" advise="1"/>
      <ddeItem name="V(23)" advise="1">
        <values>
          <value>
            <val>0</val>
          </value>
        </values>
      </ddeItem>
      <ddeItem name="V(24)" advise="1">
        <values>
          <value>
            <val>1</val>
          </value>
        </values>
      </ddeItem>
    </ddeItems>
  </ddeLin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11">
    <ddeItems>
      <ddeItem name="StdDocumentName" ole="1" advise="1"/>
      <ddeItem name="V(2)" advise="1">
        <values>
          <value>
            <val>0</val>
          </value>
        </values>
      </ddeItem>
      <ddeItem name="V(3)" advise="1">
        <values>
          <value>
            <val>0</val>
          </value>
        </values>
      </ddeItem>
      <ddeItem name="V(4)" advise="1">
        <values>
          <value>
            <val>0</val>
          </value>
        </values>
      </ddeItem>
    </ddeItems>
  </ddeLin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25">
    <ddeItems>
      <ddeItem name="StdDocumentName" ole="1" advise="1"/>
      <ddeItem name="V(10)" advise="1">
        <values>
          <value>
            <val>21192968</val>
          </value>
        </values>
      </ddeItem>
      <ddeItem name="V(11)" advise="1">
        <values>
          <value>
            <val>50861636</val>
          </value>
        </values>
      </ddeItem>
      <ddeItem name="V(12)" advise="1">
        <values>
          <value>
            <val>34848259</val>
          </value>
        </values>
      </ddeItem>
      <ddeItem name="V(13)" advise="1">
        <values>
          <value>
            <val>27546886</val>
          </value>
        </values>
      </ddeItem>
      <ddeItem name="V(14)" advise="1">
        <values>
          <value>
            <val>5829626</val>
          </value>
        </values>
      </ddeItem>
      <ddeItem name="V(15)" advise="1">
        <values>
          <value>
            <val>5910966</val>
          </value>
        </values>
      </ddeItem>
      <ddeItem name="V(16)" advise="1">
        <values>
          <value>
            <val>36816299</val>
          </value>
        </values>
      </ddeItem>
      <ddeItem name="V(17)" advise="1">
        <values>
          <value>
            <val>24794442</val>
          </value>
        </values>
      </ddeItem>
      <ddeItem name="V(18)" advise="1">
        <values>
          <value>
            <val>88738676</val>
          </value>
        </values>
      </ddeItem>
      <ddeItem name="V(19)" advise="1">
        <values>
          <value>
            <val>10209798</val>
          </value>
        </values>
      </ddeItem>
      <ddeItem name="V(4)" advise="1">
        <values>
          <value>
            <val>7107765</val>
          </value>
        </values>
      </ddeItem>
      <ddeItem name="V(5)" advise="1">
        <values>
          <value>
            <val>59328983</val>
          </value>
        </values>
      </ddeItem>
      <ddeItem name="V(6)" advise="1">
        <values>
          <value>
            <val>45157750</val>
          </value>
        </values>
      </ddeItem>
      <ddeItem name="V(7)" advise="1">
        <values>
          <value>
            <val>46138977</val>
          </value>
        </values>
      </ddeItem>
      <ddeItem name="V(8)" advise="1">
        <values>
          <value>
            <val>37836461</val>
          </value>
        </values>
      </ddeItem>
      <ddeItem name="V(9)" advise="1">
        <values>
          <value>
            <val>48562641</val>
          </value>
        </values>
      </ddeItem>
    </ddeItems>
  </ddeLin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26">
    <ddeItems>
      <ddeItem name="StdDocumentName" ole="1" advise="1"/>
      <ddeItem name="V(20)" advise="1">
        <values>
          <value>
            <val>46951693</val>
          </value>
        </values>
      </ddeItem>
      <ddeItem name="V(21)" advise="1">
        <values>
          <value>
            <val>49041626</val>
          </value>
        </values>
      </ddeItem>
      <ddeItem name="V(22)" advise="1">
        <values>
          <value>
            <val>48094036</val>
          </value>
        </values>
      </ddeItem>
    </ddeItems>
  </ddeLin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ddeLink xmlns:r="http://schemas.openxmlformats.org/officeDocument/2006/relationships" ddeService="CSDDE" ddeTopic="A8">
    <ddeItems>
      <ddeItem name="StdDocumentName" ole="1" advise="1"/>
      <ddeItem name="V(21)" advise="1">
        <values>
          <value>
            <val>252244</val>
          </value>
        </values>
      </ddeItem>
      <ddeItem name="V(22)" advise="1">
        <values>
          <value>
            <val>2315816</val>
          </value>
        </values>
      </ddeItem>
    </ddeItems>
  </ddeLin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X54"/>
  <sheetViews>
    <sheetView tabSelected="1" topLeftCell="A20" zoomScale="90" zoomScaleNormal="90" workbookViewId="0">
      <selection activeCell="K41" sqref="K41"/>
    </sheetView>
  </sheetViews>
  <sheetFormatPr baseColWidth="10" defaultRowHeight="15" x14ac:dyDescent="0.25"/>
  <cols>
    <col min="1" max="1" width="4.140625" style="1" customWidth="1"/>
    <col min="2" max="2" width="17.140625" style="1" customWidth="1"/>
    <col min="3" max="3" width="12.42578125" style="11" customWidth="1"/>
    <col min="4" max="4" width="18" style="1" customWidth="1"/>
    <col min="5" max="5" width="14.42578125" style="1" customWidth="1"/>
    <col min="6" max="6" width="18.5703125" style="1" customWidth="1"/>
    <col min="7" max="7" width="15.140625" style="1" customWidth="1"/>
    <col min="8" max="8" width="13.5703125" style="15" customWidth="1"/>
    <col min="9" max="9" width="13.5703125" style="1" customWidth="1"/>
    <col min="10" max="10" width="12.42578125" style="1" customWidth="1"/>
    <col min="11" max="11" width="11.42578125" style="1"/>
    <col min="12" max="13" width="16" style="1" customWidth="1"/>
    <col min="14" max="15" width="11.42578125" style="1"/>
    <col min="16" max="16" width="13.42578125" style="1" customWidth="1"/>
    <col min="17" max="19" width="11.42578125" style="1"/>
    <col min="20" max="20" width="38" style="1" customWidth="1"/>
    <col min="21" max="21" width="37.5703125" style="1" customWidth="1"/>
    <col min="22" max="22" width="12" style="1" bestFit="1" customWidth="1"/>
    <col min="23" max="23" width="15.7109375" style="1" bestFit="1" customWidth="1"/>
    <col min="24" max="27" width="11.42578125" style="1"/>
    <col min="28" max="36" width="13.28515625" style="1" bestFit="1" customWidth="1"/>
    <col min="37" max="41" width="11.42578125" style="1"/>
    <col min="42" max="42" width="13.28515625" style="1" bestFit="1" customWidth="1"/>
    <col min="43" max="44" width="11.42578125" style="1"/>
    <col min="45" max="45" width="16.140625" style="1" customWidth="1"/>
    <col min="46" max="46" width="18.42578125" style="1" customWidth="1"/>
    <col min="47" max="47" width="19.28515625" style="1" customWidth="1"/>
    <col min="48" max="48" width="13.28515625" style="1" bestFit="1" customWidth="1"/>
    <col min="49" max="75" width="11.42578125" style="1"/>
    <col min="76" max="76" width="13.28515625" style="1" bestFit="1" customWidth="1"/>
    <col min="77" max="101" width="11.42578125" style="1"/>
    <col min="102" max="102" width="15.28515625" style="1" bestFit="1" customWidth="1"/>
    <col min="103" max="103" width="11.42578125" style="1"/>
    <col min="104" max="104" width="13.28515625" style="1" bestFit="1" customWidth="1"/>
    <col min="105" max="106" width="11.42578125" style="1"/>
    <col min="107" max="107" width="16" style="1" customWidth="1"/>
    <col min="108" max="108" width="12.7109375" style="1" customWidth="1"/>
    <col min="109" max="256" width="11.42578125" style="1"/>
    <col min="257" max="257" width="4.140625" style="1" customWidth="1"/>
    <col min="258" max="258" width="17.140625" style="1" customWidth="1"/>
    <col min="259" max="259" width="12.42578125" style="1" customWidth="1"/>
    <col min="260" max="260" width="18" style="1" customWidth="1"/>
    <col min="261" max="261" width="14.42578125" style="1" customWidth="1"/>
    <col min="262" max="262" width="18.5703125" style="1" customWidth="1"/>
    <col min="263" max="263" width="15.140625" style="1" customWidth="1"/>
    <col min="264" max="265" width="13.5703125" style="1" customWidth="1"/>
    <col min="266" max="266" width="12.42578125" style="1" customWidth="1"/>
    <col min="267" max="267" width="11.42578125" style="1"/>
    <col min="268" max="269" width="16" style="1" customWidth="1"/>
    <col min="270" max="271" width="11.42578125" style="1"/>
    <col min="272" max="272" width="13.42578125" style="1" customWidth="1"/>
    <col min="273" max="275" width="11.42578125" style="1"/>
    <col min="276" max="276" width="38" style="1" customWidth="1"/>
    <col min="277" max="277" width="37.5703125" style="1" customWidth="1"/>
    <col min="278" max="278" width="12" style="1" bestFit="1" customWidth="1"/>
    <col min="279" max="283" width="11.42578125" style="1"/>
    <col min="284" max="292" width="13.28515625" style="1" bestFit="1" customWidth="1"/>
    <col min="293" max="297" width="11.42578125" style="1"/>
    <col min="298" max="298" width="13.28515625" style="1" bestFit="1" customWidth="1"/>
    <col min="299" max="302" width="11.42578125" style="1"/>
    <col min="303" max="303" width="15.28515625" style="1" bestFit="1" customWidth="1"/>
    <col min="304" max="304" width="13.28515625" style="1" bestFit="1" customWidth="1"/>
    <col min="305" max="331" width="11.42578125" style="1"/>
    <col min="332" max="332" width="13.28515625" style="1" bestFit="1" customWidth="1"/>
    <col min="333" max="357" width="11.42578125" style="1"/>
    <col min="358" max="358" width="15.28515625" style="1" bestFit="1" customWidth="1"/>
    <col min="359" max="359" width="11.42578125" style="1"/>
    <col min="360" max="360" width="13.28515625" style="1" bestFit="1" customWidth="1"/>
    <col min="361" max="362" width="11.42578125" style="1"/>
    <col min="363" max="363" width="16" style="1" customWidth="1"/>
    <col min="364" max="364" width="12.7109375" style="1" customWidth="1"/>
    <col min="365" max="512" width="11.42578125" style="1"/>
    <col min="513" max="513" width="4.140625" style="1" customWidth="1"/>
    <col min="514" max="514" width="17.140625" style="1" customWidth="1"/>
    <col min="515" max="515" width="12.42578125" style="1" customWidth="1"/>
    <col min="516" max="516" width="18" style="1" customWidth="1"/>
    <col min="517" max="517" width="14.42578125" style="1" customWidth="1"/>
    <col min="518" max="518" width="18.5703125" style="1" customWidth="1"/>
    <col min="519" max="519" width="15.140625" style="1" customWidth="1"/>
    <col min="520" max="521" width="13.5703125" style="1" customWidth="1"/>
    <col min="522" max="522" width="12.42578125" style="1" customWidth="1"/>
    <col min="523" max="523" width="11.42578125" style="1"/>
    <col min="524" max="525" width="16" style="1" customWidth="1"/>
    <col min="526" max="527" width="11.42578125" style="1"/>
    <col min="528" max="528" width="13.42578125" style="1" customWidth="1"/>
    <col min="529" max="531" width="11.42578125" style="1"/>
    <col min="532" max="532" width="38" style="1" customWidth="1"/>
    <col min="533" max="533" width="37.5703125" style="1" customWidth="1"/>
    <col min="534" max="534" width="12" style="1" bestFit="1" customWidth="1"/>
    <col min="535" max="539" width="11.42578125" style="1"/>
    <col min="540" max="548" width="13.28515625" style="1" bestFit="1" customWidth="1"/>
    <col min="549" max="553" width="11.42578125" style="1"/>
    <col min="554" max="554" width="13.28515625" style="1" bestFit="1" customWidth="1"/>
    <col min="555" max="558" width="11.42578125" style="1"/>
    <col min="559" max="559" width="15.28515625" style="1" bestFit="1" customWidth="1"/>
    <col min="560" max="560" width="13.28515625" style="1" bestFit="1" customWidth="1"/>
    <col min="561" max="587" width="11.42578125" style="1"/>
    <col min="588" max="588" width="13.28515625" style="1" bestFit="1" customWidth="1"/>
    <col min="589" max="613" width="11.42578125" style="1"/>
    <col min="614" max="614" width="15.28515625" style="1" bestFit="1" customWidth="1"/>
    <col min="615" max="615" width="11.42578125" style="1"/>
    <col min="616" max="616" width="13.28515625" style="1" bestFit="1" customWidth="1"/>
    <col min="617" max="618" width="11.42578125" style="1"/>
    <col min="619" max="619" width="16" style="1" customWidth="1"/>
    <col min="620" max="620" width="12.7109375" style="1" customWidth="1"/>
    <col min="621" max="768" width="11.42578125" style="1"/>
    <col min="769" max="769" width="4.140625" style="1" customWidth="1"/>
    <col min="770" max="770" width="17.140625" style="1" customWidth="1"/>
    <col min="771" max="771" width="12.42578125" style="1" customWidth="1"/>
    <col min="772" max="772" width="18" style="1" customWidth="1"/>
    <col min="773" max="773" width="14.42578125" style="1" customWidth="1"/>
    <col min="774" max="774" width="18.5703125" style="1" customWidth="1"/>
    <col min="775" max="775" width="15.140625" style="1" customWidth="1"/>
    <col min="776" max="777" width="13.5703125" style="1" customWidth="1"/>
    <col min="778" max="778" width="12.42578125" style="1" customWidth="1"/>
    <col min="779" max="779" width="11.42578125" style="1"/>
    <col min="780" max="781" width="16" style="1" customWidth="1"/>
    <col min="782" max="783" width="11.42578125" style="1"/>
    <col min="784" max="784" width="13.42578125" style="1" customWidth="1"/>
    <col min="785" max="787" width="11.42578125" style="1"/>
    <col min="788" max="788" width="38" style="1" customWidth="1"/>
    <col min="789" max="789" width="37.5703125" style="1" customWidth="1"/>
    <col min="790" max="790" width="12" style="1" bestFit="1" customWidth="1"/>
    <col min="791" max="795" width="11.42578125" style="1"/>
    <col min="796" max="804" width="13.28515625" style="1" bestFit="1" customWidth="1"/>
    <col min="805" max="809" width="11.42578125" style="1"/>
    <col min="810" max="810" width="13.28515625" style="1" bestFit="1" customWidth="1"/>
    <col min="811" max="814" width="11.42578125" style="1"/>
    <col min="815" max="815" width="15.28515625" style="1" bestFit="1" customWidth="1"/>
    <col min="816" max="816" width="13.28515625" style="1" bestFit="1" customWidth="1"/>
    <col min="817" max="843" width="11.42578125" style="1"/>
    <col min="844" max="844" width="13.28515625" style="1" bestFit="1" customWidth="1"/>
    <col min="845" max="869" width="11.42578125" style="1"/>
    <col min="870" max="870" width="15.28515625" style="1" bestFit="1" customWidth="1"/>
    <col min="871" max="871" width="11.42578125" style="1"/>
    <col min="872" max="872" width="13.28515625" style="1" bestFit="1" customWidth="1"/>
    <col min="873" max="874" width="11.42578125" style="1"/>
    <col min="875" max="875" width="16" style="1" customWidth="1"/>
    <col min="876" max="876" width="12.7109375" style="1" customWidth="1"/>
    <col min="877" max="1024" width="11.42578125" style="1"/>
    <col min="1025" max="1025" width="4.140625" style="1" customWidth="1"/>
    <col min="1026" max="1026" width="17.140625" style="1" customWidth="1"/>
    <col min="1027" max="1027" width="12.42578125" style="1" customWidth="1"/>
    <col min="1028" max="1028" width="18" style="1" customWidth="1"/>
    <col min="1029" max="1029" width="14.42578125" style="1" customWidth="1"/>
    <col min="1030" max="1030" width="18.5703125" style="1" customWidth="1"/>
    <col min="1031" max="1031" width="15.140625" style="1" customWidth="1"/>
    <col min="1032" max="1033" width="13.5703125" style="1" customWidth="1"/>
    <col min="1034" max="1034" width="12.42578125" style="1" customWidth="1"/>
    <col min="1035" max="1035" width="11.42578125" style="1"/>
    <col min="1036" max="1037" width="16" style="1" customWidth="1"/>
    <col min="1038" max="1039" width="11.42578125" style="1"/>
    <col min="1040" max="1040" width="13.42578125" style="1" customWidth="1"/>
    <col min="1041" max="1043" width="11.42578125" style="1"/>
    <col min="1044" max="1044" width="38" style="1" customWidth="1"/>
    <col min="1045" max="1045" width="37.5703125" style="1" customWidth="1"/>
    <col min="1046" max="1046" width="12" style="1" bestFit="1" customWidth="1"/>
    <col min="1047" max="1051" width="11.42578125" style="1"/>
    <col min="1052" max="1060" width="13.28515625" style="1" bestFit="1" customWidth="1"/>
    <col min="1061" max="1065" width="11.42578125" style="1"/>
    <col min="1066" max="1066" width="13.28515625" style="1" bestFit="1" customWidth="1"/>
    <col min="1067" max="1070" width="11.42578125" style="1"/>
    <col min="1071" max="1071" width="15.28515625" style="1" bestFit="1" customWidth="1"/>
    <col min="1072" max="1072" width="13.28515625" style="1" bestFit="1" customWidth="1"/>
    <col min="1073" max="1099" width="11.42578125" style="1"/>
    <col min="1100" max="1100" width="13.28515625" style="1" bestFit="1" customWidth="1"/>
    <col min="1101" max="1125" width="11.42578125" style="1"/>
    <col min="1126" max="1126" width="15.28515625" style="1" bestFit="1" customWidth="1"/>
    <col min="1127" max="1127" width="11.42578125" style="1"/>
    <col min="1128" max="1128" width="13.28515625" style="1" bestFit="1" customWidth="1"/>
    <col min="1129" max="1130" width="11.42578125" style="1"/>
    <col min="1131" max="1131" width="16" style="1" customWidth="1"/>
    <col min="1132" max="1132" width="12.7109375" style="1" customWidth="1"/>
    <col min="1133" max="1280" width="11.42578125" style="1"/>
    <col min="1281" max="1281" width="4.140625" style="1" customWidth="1"/>
    <col min="1282" max="1282" width="17.140625" style="1" customWidth="1"/>
    <col min="1283" max="1283" width="12.42578125" style="1" customWidth="1"/>
    <col min="1284" max="1284" width="18" style="1" customWidth="1"/>
    <col min="1285" max="1285" width="14.42578125" style="1" customWidth="1"/>
    <col min="1286" max="1286" width="18.5703125" style="1" customWidth="1"/>
    <col min="1287" max="1287" width="15.140625" style="1" customWidth="1"/>
    <col min="1288" max="1289" width="13.5703125" style="1" customWidth="1"/>
    <col min="1290" max="1290" width="12.42578125" style="1" customWidth="1"/>
    <col min="1291" max="1291" width="11.42578125" style="1"/>
    <col min="1292" max="1293" width="16" style="1" customWidth="1"/>
    <col min="1294" max="1295" width="11.42578125" style="1"/>
    <col min="1296" max="1296" width="13.42578125" style="1" customWidth="1"/>
    <col min="1297" max="1299" width="11.42578125" style="1"/>
    <col min="1300" max="1300" width="38" style="1" customWidth="1"/>
    <col min="1301" max="1301" width="37.5703125" style="1" customWidth="1"/>
    <col min="1302" max="1302" width="12" style="1" bestFit="1" customWidth="1"/>
    <col min="1303" max="1307" width="11.42578125" style="1"/>
    <col min="1308" max="1316" width="13.28515625" style="1" bestFit="1" customWidth="1"/>
    <col min="1317" max="1321" width="11.42578125" style="1"/>
    <col min="1322" max="1322" width="13.28515625" style="1" bestFit="1" customWidth="1"/>
    <col min="1323" max="1326" width="11.42578125" style="1"/>
    <col min="1327" max="1327" width="15.28515625" style="1" bestFit="1" customWidth="1"/>
    <col min="1328" max="1328" width="13.28515625" style="1" bestFit="1" customWidth="1"/>
    <col min="1329" max="1355" width="11.42578125" style="1"/>
    <col min="1356" max="1356" width="13.28515625" style="1" bestFit="1" customWidth="1"/>
    <col min="1357" max="1381" width="11.42578125" style="1"/>
    <col min="1382" max="1382" width="15.28515625" style="1" bestFit="1" customWidth="1"/>
    <col min="1383" max="1383" width="11.42578125" style="1"/>
    <col min="1384" max="1384" width="13.28515625" style="1" bestFit="1" customWidth="1"/>
    <col min="1385" max="1386" width="11.42578125" style="1"/>
    <col min="1387" max="1387" width="16" style="1" customWidth="1"/>
    <col min="1388" max="1388" width="12.7109375" style="1" customWidth="1"/>
    <col min="1389" max="1536" width="11.42578125" style="1"/>
    <col min="1537" max="1537" width="4.140625" style="1" customWidth="1"/>
    <col min="1538" max="1538" width="17.140625" style="1" customWidth="1"/>
    <col min="1539" max="1539" width="12.42578125" style="1" customWidth="1"/>
    <col min="1540" max="1540" width="18" style="1" customWidth="1"/>
    <col min="1541" max="1541" width="14.42578125" style="1" customWidth="1"/>
    <col min="1542" max="1542" width="18.5703125" style="1" customWidth="1"/>
    <col min="1543" max="1543" width="15.140625" style="1" customWidth="1"/>
    <col min="1544" max="1545" width="13.5703125" style="1" customWidth="1"/>
    <col min="1546" max="1546" width="12.42578125" style="1" customWidth="1"/>
    <col min="1547" max="1547" width="11.42578125" style="1"/>
    <col min="1548" max="1549" width="16" style="1" customWidth="1"/>
    <col min="1550" max="1551" width="11.42578125" style="1"/>
    <col min="1552" max="1552" width="13.42578125" style="1" customWidth="1"/>
    <col min="1553" max="1555" width="11.42578125" style="1"/>
    <col min="1556" max="1556" width="38" style="1" customWidth="1"/>
    <col min="1557" max="1557" width="37.5703125" style="1" customWidth="1"/>
    <col min="1558" max="1558" width="12" style="1" bestFit="1" customWidth="1"/>
    <col min="1559" max="1563" width="11.42578125" style="1"/>
    <col min="1564" max="1572" width="13.28515625" style="1" bestFit="1" customWidth="1"/>
    <col min="1573" max="1577" width="11.42578125" style="1"/>
    <col min="1578" max="1578" width="13.28515625" style="1" bestFit="1" customWidth="1"/>
    <col min="1579" max="1582" width="11.42578125" style="1"/>
    <col min="1583" max="1583" width="15.28515625" style="1" bestFit="1" customWidth="1"/>
    <col min="1584" max="1584" width="13.28515625" style="1" bestFit="1" customWidth="1"/>
    <col min="1585" max="1611" width="11.42578125" style="1"/>
    <col min="1612" max="1612" width="13.28515625" style="1" bestFit="1" customWidth="1"/>
    <col min="1613" max="1637" width="11.42578125" style="1"/>
    <col min="1638" max="1638" width="15.28515625" style="1" bestFit="1" customWidth="1"/>
    <col min="1639" max="1639" width="11.42578125" style="1"/>
    <col min="1640" max="1640" width="13.28515625" style="1" bestFit="1" customWidth="1"/>
    <col min="1641" max="1642" width="11.42578125" style="1"/>
    <col min="1643" max="1643" width="16" style="1" customWidth="1"/>
    <col min="1644" max="1644" width="12.7109375" style="1" customWidth="1"/>
    <col min="1645" max="1792" width="11.42578125" style="1"/>
    <col min="1793" max="1793" width="4.140625" style="1" customWidth="1"/>
    <col min="1794" max="1794" width="17.140625" style="1" customWidth="1"/>
    <col min="1795" max="1795" width="12.42578125" style="1" customWidth="1"/>
    <col min="1796" max="1796" width="18" style="1" customWidth="1"/>
    <col min="1797" max="1797" width="14.42578125" style="1" customWidth="1"/>
    <col min="1798" max="1798" width="18.5703125" style="1" customWidth="1"/>
    <col min="1799" max="1799" width="15.140625" style="1" customWidth="1"/>
    <col min="1800" max="1801" width="13.5703125" style="1" customWidth="1"/>
    <col min="1802" max="1802" width="12.42578125" style="1" customWidth="1"/>
    <col min="1803" max="1803" width="11.42578125" style="1"/>
    <col min="1804" max="1805" width="16" style="1" customWidth="1"/>
    <col min="1806" max="1807" width="11.42578125" style="1"/>
    <col min="1808" max="1808" width="13.42578125" style="1" customWidth="1"/>
    <col min="1809" max="1811" width="11.42578125" style="1"/>
    <col min="1812" max="1812" width="38" style="1" customWidth="1"/>
    <col min="1813" max="1813" width="37.5703125" style="1" customWidth="1"/>
    <col min="1814" max="1814" width="12" style="1" bestFit="1" customWidth="1"/>
    <col min="1815" max="1819" width="11.42578125" style="1"/>
    <col min="1820" max="1828" width="13.28515625" style="1" bestFit="1" customWidth="1"/>
    <col min="1829" max="1833" width="11.42578125" style="1"/>
    <col min="1834" max="1834" width="13.28515625" style="1" bestFit="1" customWidth="1"/>
    <col min="1835" max="1838" width="11.42578125" style="1"/>
    <col min="1839" max="1839" width="15.28515625" style="1" bestFit="1" customWidth="1"/>
    <col min="1840" max="1840" width="13.28515625" style="1" bestFit="1" customWidth="1"/>
    <col min="1841" max="1867" width="11.42578125" style="1"/>
    <col min="1868" max="1868" width="13.28515625" style="1" bestFit="1" customWidth="1"/>
    <col min="1869" max="1893" width="11.42578125" style="1"/>
    <col min="1894" max="1894" width="15.28515625" style="1" bestFit="1" customWidth="1"/>
    <col min="1895" max="1895" width="11.42578125" style="1"/>
    <col min="1896" max="1896" width="13.28515625" style="1" bestFit="1" customWidth="1"/>
    <col min="1897" max="1898" width="11.42578125" style="1"/>
    <col min="1899" max="1899" width="16" style="1" customWidth="1"/>
    <col min="1900" max="1900" width="12.7109375" style="1" customWidth="1"/>
    <col min="1901" max="2048" width="11.42578125" style="1"/>
    <col min="2049" max="2049" width="4.140625" style="1" customWidth="1"/>
    <col min="2050" max="2050" width="17.140625" style="1" customWidth="1"/>
    <col min="2051" max="2051" width="12.42578125" style="1" customWidth="1"/>
    <col min="2052" max="2052" width="18" style="1" customWidth="1"/>
    <col min="2053" max="2053" width="14.42578125" style="1" customWidth="1"/>
    <col min="2054" max="2054" width="18.5703125" style="1" customWidth="1"/>
    <col min="2055" max="2055" width="15.140625" style="1" customWidth="1"/>
    <col min="2056" max="2057" width="13.5703125" style="1" customWidth="1"/>
    <col min="2058" max="2058" width="12.42578125" style="1" customWidth="1"/>
    <col min="2059" max="2059" width="11.42578125" style="1"/>
    <col min="2060" max="2061" width="16" style="1" customWidth="1"/>
    <col min="2062" max="2063" width="11.42578125" style="1"/>
    <col min="2064" max="2064" width="13.42578125" style="1" customWidth="1"/>
    <col min="2065" max="2067" width="11.42578125" style="1"/>
    <col min="2068" max="2068" width="38" style="1" customWidth="1"/>
    <col min="2069" max="2069" width="37.5703125" style="1" customWidth="1"/>
    <col min="2070" max="2070" width="12" style="1" bestFit="1" customWidth="1"/>
    <col min="2071" max="2075" width="11.42578125" style="1"/>
    <col min="2076" max="2084" width="13.28515625" style="1" bestFit="1" customWidth="1"/>
    <col min="2085" max="2089" width="11.42578125" style="1"/>
    <col min="2090" max="2090" width="13.28515625" style="1" bestFit="1" customWidth="1"/>
    <col min="2091" max="2094" width="11.42578125" style="1"/>
    <col min="2095" max="2095" width="15.28515625" style="1" bestFit="1" customWidth="1"/>
    <col min="2096" max="2096" width="13.28515625" style="1" bestFit="1" customWidth="1"/>
    <col min="2097" max="2123" width="11.42578125" style="1"/>
    <col min="2124" max="2124" width="13.28515625" style="1" bestFit="1" customWidth="1"/>
    <col min="2125" max="2149" width="11.42578125" style="1"/>
    <col min="2150" max="2150" width="15.28515625" style="1" bestFit="1" customWidth="1"/>
    <col min="2151" max="2151" width="11.42578125" style="1"/>
    <col min="2152" max="2152" width="13.28515625" style="1" bestFit="1" customWidth="1"/>
    <col min="2153" max="2154" width="11.42578125" style="1"/>
    <col min="2155" max="2155" width="16" style="1" customWidth="1"/>
    <col min="2156" max="2156" width="12.7109375" style="1" customWidth="1"/>
    <col min="2157" max="2304" width="11.42578125" style="1"/>
    <col min="2305" max="2305" width="4.140625" style="1" customWidth="1"/>
    <col min="2306" max="2306" width="17.140625" style="1" customWidth="1"/>
    <col min="2307" max="2307" width="12.42578125" style="1" customWidth="1"/>
    <col min="2308" max="2308" width="18" style="1" customWidth="1"/>
    <col min="2309" max="2309" width="14.42578125" style="1" customWidth="1"/>
    <col min="2310" max="2310" width="18.5703125" style="1" customWidth="1"/>
    <col min="2311" max="2311" width="15.140625" style="1" customWidth="1"/>
    <col min="2312" max="2313" width="13.5703125" style="1" customWidth="1"/>
    <col min="2314" max="2314" width="12.42578125" style="1" customWidth="1"/>
    <col min="2315" max="2315" width="11.42578125" style="1"/>
    <col min="2316" max="2317" width="16" style="1" customWidth="1"/>
    <col min="2318" max="2319" width="11.42578125" style="1"/>
    <col min="2320" max="2320" width="13.42578125" style="1" customWidth="1"/>
    <col min="2321" max="2323" width="11.42578125" style="1"/>
    <col min="2324" max="2324" width="38" style="1" customWidth="1"/>
    <col min="2325" max="2325" width="37.5703125" style="1" customWidth="1"/>
    <col min="2326" max="2326" width="12" style="1" bestFit="1" customWidth="1"/>
    <col min="2327" max="2331" width="11.42578125" style="1"/>
    <col min="2332" max="2340" width="13.28515625" style="1" bestFit="1" customWidth="1"/>
    <col min="2341" max="2345" width="11.42578125" style="1"/>
    <col min="2346" max="2346" width="13.28515625" style="1" bestFit="1" customWidth="1"/>
    <col min="2347" max="2350" width="11.42578125" style="1"/>
    <col min="2351" max="2351" width="15.28515625" style="1" bestFit="1" customWidth="1"/>
    <col min="2352" max="2352" width="13.28515625" style="1" bestFit="1" customWidth="1"/>
    <col min="2353" max="2379" width="11.42578125" style="1"/>
    <col min="2380" max="2380" width="13.28515625" style="1" bestFit="1" customWidth="1"/>
    <col min="2381" max="2405" width="11.42578125" style="1"/>
    <col min="2406" max="2406" width="15.28515625" style="1" bestFit="1" customWidth="1"/>
    <col min="2407" max="2407" width="11.42578125" style="1"/>
    <col min="2408" max="2408" width="13.28515625" style="1" bestFit="1" customWidth="1"/>
    <col min="2409" max="2410" width="11.42578125" style="1"/>
    <col min="2411" max="2411" width="16" style="1" customWidth="1"/>
    <col min="2412" max="2412" width="12.7109375" style="1" customWidth="1"/>
    <col min="2413" max="2560" width="11.42578125" style="1"/>
    <col min="2561" max="2561" width="4.140625" style="1" customWidth="1"/>
    <col min="2562" max="2562" width="17.140625" style="1" customWidth="1"/>
    <col min="2563" max="2563" width="12.42578125" style="1" customWidth="1"/>
    <col min="2564" max="2564" width="18" style="1" customWidth="1"/>
    <col min="2565" max="2565" width="14.42578125" style="1" customWidth="1"/>
    <col min="2566" max="2566" width="18.5703125" style="1" customWidth="1"/>
    <col min="2567" max="2567" width="15.140625" style="1" customWidth="1"/>
    <col min="2568" max="2569" width="13.5703125" style="1" customWidth="1"/>
    <col min="2570" max="2570" width="12.42578125" style="1" customWidth="1"/>
    <col min="2571" max="2571" width="11.42578125" style="1"/>
    <col min="2572" max="2573" width="16" style="1" customWidth="1"/>
    <col min="2574" max="2575" width="11.42578125" style="1"/>
    <col min="2576" max="2576" width="13.42578125" style="1" customWidth="1"/>
    <col min="2577" max="2579" width="11.42578125" style="1"/>
    <col min="2580" max="2580" width="38" style="1" customWidth="1"/>
    <col min="2581" max="2581" width="37.5703125" style="1" customWidth="1"/>
    <col min="2582" max="2582" width="12" style="1" bestFit="1" customWidth="1"/>
    <col min="2583" max="2587" width="11.42578125" style="1"/>
    <col min="2588" max="2596" width="13.28515625" style="1" bestFit="1" customWidth="1"/>
    <col min="2597" max="2601" width="11.42578125" style="1"/>
    <col min="2602" max="2602" width="13.28515625" style="1" bestFit="1" customWidth="1"/>
    <col min="2603" max="2606" width="11.42578125" style="1"/>
    <col min="2607" max="2607" width="15.28515625" style="1" bestFit="1" customWidth="1"/>
    <col min="2608" max="2608" width="13.28515625" style="1" bestFit="1" customWidth="1"/>
    <col min="2609" max="2635" width="11.42578125" style="1"/>
    <col min="2636" max="2636" width="13.28515625" style="1" bestFit="1" customWidth="1"/>
    <col min="2637" max="2661" width="11.42578125" style="1"/>
    <col min="2662" max="2662" width="15.28515625" style="1" bestFit="1" customWidth="1"/>
    <col min="2663" max="2663" width="11.42578125" style="1"/>
    <col min="2664" max="2664" width="13.28515625" style="1" bestFit="1" customWidth="1"/>
    <col min="2665" max="2666" width="11.42578125" style="1"/>
    <col min="2667" max="2667" width="16" style="1" customWidth="1"/>
    <col min="2668" max="2668" width="12.7109375" style="1" customWidth="1"/>
    <col min="2669" max="2816" width="11.42578125" style="1"/>
    <col min="2817" max="2817" width="4.140625" style="1" customWidth="1"/>
    <col min="2818" max="2818" width="17.140625" style="1" customWidth="1"/>
    <col min="2819" max="2819" width="12.42578125" style="1" customWidth="1"/>
    <col min="2820" max="2820" width="18" style="1" customWidth="1"/>
    <col min="2821" max="2821" width="14.42578125" style="1" customWidth="1"/>
    <col min="2822" max="2822" width="18.5703125" style="1" customWidth="1"/>
    <col min="2823" max="2823" width="15.140625" style="1" customWidth="1"/>
    <col min="2824" max="2825" width="13.5703125" style="1" customWidth="1"/>
    <col min="2826" max="2826" width="12.42578125" style="1" customWidth="1"/>
    <col min="2827" max="2827" width="11.42578125" style="1"/>
    <col min="2828" max="2829" width="16" style="1" customWidth="1"/>
    <col min="2830" max="2831" width="11.42578125" style="1"/>
    <col min="2832" max="2832" width="13.42578125" style="1" customWidth="1"/>
    <col min="2833" max="2835" width="11.42578125" style="1"/>
    <col min="2836" max="2836" width="38" style="1" customWidth="1"/>
    <col min="2837" max="2837" width="37.5703125" style="1" customWidth="1"/>
    <col min="2838" max="2838" width="12" style="1" bestFit="1" customWidth="1"/>
    <col min="2839" max="2843" width="11.42578125" style="1"/>
    <col min="2844" max="2852" width="13.28515625" style="1" bestFit="1" customWidth="1"/>
    <col min="2853" max="2857" width="11.42578125" style="1"/>
    <col min="2858" max="2858" width="13.28515625" style="1" bestFit="1" customWidth="1"/>
    <col min="2859" max="2862" width="11.42578125" style="1"/>
    <col min="2863" max="2863" width="15.28515625" style="1" bestFit="1" customWidth="1"/>
    <col min="2864" max="2864" width="13.28515625" style="1" bestFit="1" customWidth="1"/>
    <col min="2865" max="2891" width="11.42578125" style="1"/>
    <col min="2892" max="2892" width="13.28515625" style="1" bestFit="1" customWidth="1"/>
    <col min="2893" max="2917" width="11.42578125" style="1"/>
    <col min="2918" max="2918" width="15.28515625" style="1" bestFit="1" customWidth="1"/>
    <col min="2919" max="2919" width="11.42578125" style="1"/>
    <col min="2920" max="2920" width="13.28515625" style="1" bestFit="1" customWidth="1"/>
    <col min="2921" max="2922" width="11.42578125" style="1"/>
    <col min="2923" max="2923" width="16" style="1" customWidth="1"/>
    <col min="2924" max="2924" width="12.7109375" style="1" customWidth="1"/>
    <col min="2925" max="3072" width="11.42578125" style="1"/>
    <col min="3073" max="3073" width="4.140625" style="1" customWidth="1"/>
    <col min="3074" max="3074" width="17.140625" style="1" customWidth="1"/>
    <col min="3075" max="3075" width="12.42578125" style="1" customWidth="1"/>
    <col min="3076" max="3076" width="18" style="1" customWidth="1"/>
    <col min="3077" max="3077" width="14.42578125" style="1" customWidth="1"/>
    <col min="3078" max="3078" width="18.5703125" style="1" customWidth="1"/>
    <col min="3079" max="3079" width="15.140625" style="1" customWidth="1"/>
    <col min="3080" max="3081" width="13.5703125" style="1" customWidth="1"/>
    <col min="3082" max="3082" width="12.42578125" style="1" customWidth="1"/>
    <col min="3083" max="3083" width="11.42578125" style="1"/>
    <col min="3084" max="3085" width="16" style="1" customWidth="1"/>
    <col min="3086" max="3087" width="11.42578125" style="1"/>
    <col min="3088" max="3088" width="13.42578125" style="1" customWidth="1"/>
    <col min="3089" max="3091" width="11.42578125" style="1"/>
    <col min="3092" max="3092" width="38" style="1" customWidth="1"/>
    <col min="3093" max="3093" width="37.5703125" style="1" customWidth="1"/>
    <col min="3094" max="3094" width="12" style="1" bestFit="1" customWidth="1"/>
    <col min="3095" max="3099" width="11.42578125" style="1"/>
    <col min="3100" max="3108" width="13.28515625" style="1" bestFit="1" customWidth="1"/>
    <col min="3109" max="3113" width="11.42578125" style="1"/>
    <col min="3114" max="3114" width="13.28515625" style="1" bestFit="1" customWidth="1"/>
    <col min="3115" max="3118" width="11.42578125" style="1"/>
    <col min="3119" max="3119" width="15.28515625" style="1" bestFit="1" customWidth="1"/>
    <col min="3120" max="3120" width="13.28515625" style="1" bestFit="1" customWidth="1"/>
    <col min="3121" max="3147" width="11.42578125" style="1"/>
    <col min="3148" max="3148" width="13.28515625" style="1" bestFit="1" customWidth="1"/>
    <col min="3149" max="3173" width="11.42578125" style="1"/>
    <col min="3174" max="3174" width="15.28515625" style="1" bestFit="1" customWidth="1"/>
    <col min="3175" max="3175" width="11.42578125" style="1"/>
    <col min="3176" max="3176" width="13.28515625" style="1" bestFit="1" customWidth="1"/>
    <col min="3177" max="3178" width="11.42578125" style="1"/>
    <col min="3179" max="3179" width="16" style="1" customWidth="1"/>
    <col min="3180" max="3180" width="12.7109375" style="1" customWidth="1"/>
    <col min="3181" max="3328" width="11.42578125" style="1"/>
    <col min="3329" max="3329" width="4.140625" style="1" customWidth="1"/>
    <col min="3330" max="3330" width="17.140625" style="1" customWidth="1"/>
    <col min="3331" max="3331" width="12.42578125" style="1" customWidth="1"/>
    <col min="3332" max="3332" width="18" style="1" customWidth="1"/>
    <col min="3333" max="3333" width="14.42578125" style="1" customWidth="1"/>
    <col min="3334" max="3334" width="18.5703125" style="1" customWidth="1"/>
    <col min="3335" max="3335" width="15.140625" style="1" customWidth="1"/>
    <col min="3336" max="3337" width="13.5703125" style="1" customWidth="1"/>
    <col min="3338" max="3338" width="12.42578125" style="1" customWidth="1"/>
    <col min="3339" max="3339" width="11.42578125" style="1"/>
    <col min="3340" max="3341" width="16" style="1" customWidth="1"/>
    <col min="3342" max="3343" width="11.42578125" style="1"/>
    <col min="3344" max="3344" width="13.42578125" style="1" customWidth="1"/>
    <col min="3345" max="3347" width="11.42578125" style="1"/>
    <col min="3348" max="3348" width="38" style="1" customWidth="1"/>
    <col min="3349" max="3349" width="37.5703125" style="1" customWidth="1"/>
    <col min="3350" max="3350" width="12" style="1" bestFit="1" customWidth="1"/>
    <col min="3351" max="3355" width="11.42578125" style="1"/>
    <col min="3356" max="3364" width="13.28515625" style="1" bestFit="1" customWidth="1"/>
    <col min="3365" max="3369" width="11.42578125" style="1"/>
    <col min="3370" max="3370" width="13.28515625" style="1" bestFit="1" customWidth="1"/>
    <col min="3371" max="3374" width="11.42578125" style="1"/>
    <col min="3375" max="3375" width="15.28515625" style="1" bestFit="1" customWidth="1"/>
    <col min="3376" max="3376" width="13.28515625" style="1" bestFit="1" customWidth="1"/>
    <col min="3377" max="3403" width="11.42578125" style="1"/>
    <col min="3404" max="3404" width="13.28515625" style="1" bestFit="1" customWidth="1"/>
    <col min="3405" max="3429" width="11.42578125" style="1"/>
    <col min="3430" max="3430" width="15.28515625" style="1" bestFit="1" customWidth="1"/>
    <col min="3431" max="3431" width="11.42578125" style="1"/>
    <col min="3432" max="3432" width="13.28515625" style="1" bestFit="1" customWidth="1"/>
    <col min="3433" max="3434" width="11.42578125" style="1"/>
    <col min="3435" max="3435" width="16" style="1" customWidth="1"/>
    <col min="3436" max="3436" width="12.7109375" style="1" customWidth="1"/>
    <col min="3437" max="3584" width="11.42578125" style="1"/>
    <col min="3585" max="3585" width="4.140625" style="1" customWidth="1"/>
    <col min="3586" max="3586" width="17.140625" style="1" customWidth="1"/>
    <col min="3587" max="3587" width="12.42578125" style="1" customWidth="1"/>
    <col min="3588" max="3588" width="18" style="1" customWidth="1"/>
    <col min="3589" max="3589" width="14.42578125" style="1" customWidth="1"/>
    <col min="3590" max="3590" width="18.5703125" style="1" customWidth="1"/>
    <col min="3591" max="3591" width="15.140625" style="1" customWidth="1"/>
    <col min="3592" max="3593" width="13.5703125" style="1" customWidth="1"/>
    <col min="3594" max="3594" width="12.42578125" style="1" customWidth="1"/>
    <col min="3595" max="3595" width="11.42578125" style="1"/>
    <col min="3596" max="3597" width="16" style="1" customWidth="1"/>
    <col min="3598" max="3599" width="11.42578125" style="1"/>
    <col min="3600" max="3600" width="13.42578125" style="1" customWidth="1"/>
    <col min="3601" max="3603" width="11.42578125" style="1"/>
    <col min="3604" max="3604" width="38" style="1" customWidth="1"/>
    <col min="3605" max="3605" width="37.5703125" style="1" customWidth="1"/>
    <col min="3606" max="3606" width="12" style="1" bestFit="1" customWidth="1"/>
    <col min="3607" max="3611" width="11.42578125" style="1"/>
    <col min="3612" max="3620" width="13.28515625" style="1" bestFit="1" customWidth="1"/>
    <col min="3621" max="3625" width="11.42578125" style="1"/>
    <col min="3626" max="3626" width="13.28515625" style="1" bestFit="1" customWidth="1"/>
    <col min="3627" max="3630" width="11.42578125" style="1"/>
    <col min="3631" max="3631" width="15.28515625" style="1" bestFit="1" customWidth="1"/>
    <col min="3632" max="3632" width="13.28515625" style="1" bestFit="1" customWidth="1"/>
    <col min="3633" max="3659" width="11.42578125" style="1"/>
    <col min="3660" max="3660" width="13.28515625" style="1" bestFit="1" customWidth="1"/>
    <col min="3661" max="3685" width="11.42578125" style="1"/>
    <col min="3686" max="3686" width="15.28515625" style="1" bestFit="1" customWidth="1"/>
    <col min="3687" max="3687" width="11.42578125" style="1"/>
    <col min="3688" max="3688" width="13.28515625" style="1" bestFit="1" customWidth="1"/>
    <col min="3689" max="3690" width="11.42578125" style="1"/>
    <col min="3691" max="3691" width="16" style="1" customWidth="1"/>
    <col min="3692" max="3692" width="12.7109375" style="1" customWidth="1"/>
    <col min="3693" max="3840" width="11.42578125" style="1"/>
    <col min="3841" max="3841" width="4.140625" style="1" customWidth="1"/>
    <col min="3842" max="3842" width="17.140625" style="1" customWidth="1"/>
    <col min="3843" max="3843" width="12.42578125" style="1" customWidth="1"/>
    <col min="3844" max="3844" width="18" style="1" customWidth="1"/>
    <col min="3845" max="3845" width="14.42578125" style="1" customWidth="1"/>
    <col min="3846" max="3846" width="18.5703125" style="1" customWidth="1"/>
    <col min="3847" max="3847" width="15.140625" style="1" customWidth="1"/>
    <col min="3848" max="3849" width="13.5703125" style="1" customWidth="1"/>
    <col min="3850" max="3850" width="12.42578125" style="1" customWidth="1"/>
    <col min="3851" max="3851" width="11.42578125" style="1"/>
    <col min="3852" max="3853" width="16" style="1" customWidth="1"/>
    <col min="3854" max="3855" width="11.42578125" style="1"/>
    <col min="3856" max="3856" width="13.42578125" style="1" customWidth="1"/>
    <col min="3857" max="3859" width="11.42578125" style="1"/>
    <col min="3860" max="3860" width="38" style="1" customWidth="1"/>
    <col min="3861" max="3861" width="37.5703125" style="1" customWidth="1"/>
    <col min="3862" max="3862" width="12" style="1" bestFit="1" customWidth="1"/>
    <col min="3863" max="3867" width="11.42578125" style="1"/>
    <col min="3868" max="3876" width="13.28515625" style="1" bestFit="1" customWidth="1"/>
    <col min="3877" max="3881" width="11.42578125" style="1"/>
    <col min="3882" max="3882" width="13.28515625" style="1" bestFit="1" customWidth="1"/>
    <col min="3883" max="3886" width="11.42578125" style="1"/>
    <col min="3887" max="3887" width="15.28515625" style="1" bestFit="1" customWidth="1"/>
    <col min="3888" max="3888" width="13.28515625" style="1" bestFit="1" customWidth="1"/>
    <col min="3889" max="3915" width="11.42578125" style="1"/>
    <col min="3916" max="3916" width="13.28515625" style="1" bestFit="1" customWidth="1"/>
    <col min="3917" max="3941" width="11.42578125" style="1"/>
    <col min="3942" max="3942" width="15.28515625" style="1" bestFit="1" customWidth="1"/>
    <col min="3943" max="3943" width="11.42578125" style="1"/>
    <col min="3944" max="3944" width="13.28515625" style="1" bestFit="1" customWidth="1"/>
    <col min="3945" max="3946" width="11.42578125" style="1"/>
    <col min="3947" max="3947" width="16" style="1" customWidth="1"/>
    <col min="3948" max="3948" width="12.7109375" style="1" customWidth="1"/>
    <col min="3949" max="4096" width="11.42578125" style="1"/>
    <col min="4097" max="4097" width="4.140625" style="1" customWidth="1"/>
    <col min="4098" max="4098" width="17.140625" style="1" customWidth="1"/>
    <col min="4099" max="4099" width="12.42578125" style="1" customWidth="1"/>
    <col min="4100" max="4100" width="18" style="1" customWidth="1"/>
    <col min="4101" max="4101" width="14.42578125" style="1" customWidth="1"/>
    <col min="4102" max="4102" width="18.5703125" style="1" customWidth="1"/>
    <col min="4103" max="4103" width="15.140625" style="1" customWidth="1"/>
    <col min="4104" max="4105" width="13.5703125" style="1" customWidth="1"/>
    <col min="4106" max="4106" width="12.42578125" style="1" customWidth="1"/>
    <col min="4107" max="4107" width="11.42578125" style="1"/>
    <col min="4108" max="4109" width="16" style="1" customWidth="1"/>
    <col min="4110" max="4111" width="11.42578125" style="1"/>
    <col min="4112" max="4112" width="13.42578125" style="1" customWidth="1"/>
    <col min="4113" max="4115" width="11.42578125" style="1"/>
    <col min="4116" max="4116" width="38" style="1" customWidth="1"/>
    <col min="4117" max="4117" width="37.5703125" style="1" customWidth="1"/>
    <col min="4118" max="4118" width="12" style="1" bestFit="1" customWidth="1"/>
    <col min="4119" max="4123" width="11.42578125" style="1"/>
    <col min="4124" max="4132" width="13.28515625" style="1" bestFit="1" customWidth="1"/>
    <col min="4133" max="4137" width="11.42578125" style="1"/>
    <col min="4138" max="4138" width="13.28515625" style="1" bestFit="1" customWidth="1"/>
    <col min="4139" max="4142" width="11.42578125" style="1"/>
    <col min="4143" max="4143" width="15.28515625" style="1" bestFit="1" customWidth="1"/>
    <col min="4144" max="4144" width="13.28515625" style="1" bestFit="1" customWidth="1"/>
    <col min="4145" max="4171" width="11.42578125" style="1"/>
    <col min="4172" max="4172" width="13.28515625" style="1" bestFit="1" customWidth="1"/>
    <col min="4173" max="4197" width="11.42578125" style="1"/>
    <col min="4198" max="4198" width="15.28515625" style="1" bestFit="1" customWidth="1"/>
    <col min="4199" max="4199" width="11.42578125" style="1"/>
    <col min="4200" max="4200" width="13.28515625" style="1" bestFit="1" customWidth="1"/>
    <col min="4201" max="4202" width="11.42578125" style="1"/>
    <col min="4203" max="4203" width="16" style="1" customWidth="1"/>
    <col min="4204" max="4204" width="12.7109375" style="1" customWidth="1"/>
    <col min="4205" max="4352" width="11.42578125" style="1"/>
    <col min="4353" max="4353" width="4.140625" style="1" customWidth="1"/>
    <col min="4354" max="4354" width="17.140625" style="1" customWidth="1"/>
    <col min="4355" max="4355" width="12.42578125" style="1" customWidth="1"/>
    <col min="4356" max="4356" width="18" style="1" customWidth="1"/>
    <col min="4357" max="4357" width="14.42578125" style="1" customWidth="1"/>
    <col min="4358" max="4358" width="18.5703125" style="1" customWidth="1"/>
    <col min="4359" max="4359" width="15.140625" style="1" customWidth="1"/>
    <col min="4360" max="4361" width="13.5703125" style="1" customWidth="1"/>
    <col min="4362" max="4362" width="12.42578125" style="1" customWidth="1"/>
    <col min="4363" max="4363" width="11.42578125" style="1"/>
    <col min="4364" max="4365" width="16" style="1" customWidth="1"/>
    <col min="4366" max="4367" width="11.42578125" style="1"/>
    <col min="4368" max="4368" width="13.42578125" style="1" customWidth="1"/>
    <col min="4369" max="4371" width="11.42578125" style="1"/>
    <col min="4372" max="4372" width="38" style="1" customWidth="1"/>
    <col min="4373" max="4373" width="37.5703125" style="1" customWidth="1"/>
    <col min="4374" max="4374" width="12" style="1" bestFit="1" customWidth="1"/>
    <col min="4375" max="4379" width="11.42578125" style="1"/>
    <col min="4380" max="4388" width="13.28515625" style="1" bestFit="1" customWidth="1"/>
    <col min="4389" max="4393" width="11.42578125" style="1"/>
    <col min="4394" max="4394" width="13.28515625" style="1" bestFit="1" customWidth="1"/>
    <col min="4395" max="4398" width="11.42578125" style="1"/>
    <col min="4399" max="4399" width="15.28515625" style="1" bestFit="1" customWidth="1"/>
    <col min="4400" max="4400" width="13.28515625" style="1" bestFit="1" customWidth="1"/>
    <col min="4401" max="4427" width="11.42578125" style="1"/>
    <col min="4428" max="4428" width="13.28515625" style="1" bestFit="1" customWidth="1"/>
    <col min="4429" max="4453" width="11.42578125" style="1"/>
    <col min="4454" max="4454" width="15.28515625" style="1" bestFit="1" customWidth="1"/>
    <col min="4455" max="4455" width="11.42578125" style="1"/>
    <col min="4456" max="4456" width="13.28515625" style="1" bestFit="1" customWidth="1"/>
    <col min="4457" max="4458" width="11.42578125" style="1"/>
    <col min="4459" max="4459" width="16" style="1" customWidth="1"/>
    <col min="4460" max="4460" width="12.7109375" style="1" customWidth="1"/>
    <col min="4461" max="4608" width="11.42578125" style="1"/>
    <col min="4609" max="4609" width="4.140625" style="1" customWidth="1"/>
    <col min="4610" max="4610" width="17.140625" style="1" customWidth="1"/>
    <col min="4611" max="4611" width="12.42578125" style="1" customWidth="1"/>
    <col min="4612" max="4612" width="18" style="1" customWidth="1"/>
    <col min="4613" max="4613" width="14.42578125" style="1" customWidth="1"/>
    <col min="4614" max="4614" width="18.5703125" style="1" customWidth="1"/>
    <col min="4615" max="4615" width="15.140625" style="1" customWidth="1"/>
    <col min="4616" max="4617" width="13.5703125" style="1" customWidth="1"/>
    <col min="4618" max="4618" width="12.42578125" style="1" customWidth="1"/>
    <col min="4619" max="4619" width="11.42578125" style="1"/>
    <col min="4620" max="4621" width="16" style="1" customWidth="1"/>
    <col min="4622" max="4623" width="11.42578125" style="1"/>
    <col min="4624" max="4624" width="13.42578125" style="1" customWidth="1"/>
    <col min="4625" max="4627" width="11.42578125" style="1"/>
    <col min="4628" max="4628" width="38" style="1" customWidth="1"/>
    <col min="4629" max="4629" width="37.5703125" style="1" customWidth="1"/>
    <col min="4630" max="4630" width="12" style="1" bestFit="1" customWidth="1"/>
    <col min="4631" max="4635" width="11.42578125" style="1"/>
    <col min="4636" max="4644" width="13.28515625" style="1" bestFit="1" customWidth="1"/>
    <col min="4645" max="4649" width="11.42578125" style="1"/>
    <col min="4650" max="4650" width="13.28515625" style="1" bestFit="1" customWidth="1"/>
    <col min="4651" max="4654" width="11.42578125" style="1"/>
    <col min="4655" max="4655" width="15.28515625" style="1" bestFit="1" customWidth="1"/>
    <col min="4656" max="4656" width="13.28515625" style="1" bestFit="1" customWidth="1"/>
    <col min="4657" max="4683" width="11.42578125" style="1"/>
    <col min="4684" max="4684" width="13.28515625" style="1" bestFit="1" customWidth="1"/>
    <col min="4685" max="4709" width="11.42578125" style="1"/>
    <col min="4710" max="4710" width="15.28515625" style="1" bestFit="1" customWidth="1"/>
    <col min="4711" max="4711" width="11.42578125" style="1"/>
    <col min="4712" max="4712" width="13.28515625" style="1" bestFit="1" customWidth="1"/>
    <col min="4713" max="4714" width="11.42578125" style="1"/>
    <col min="4715" max="4715" width="16" style="1" customWidth="1"/>
    <col min="4716" max="4716" width="12.7109375" style="1" customWidth="1"/>
    <col min="4717" max="4864" width="11.42578125" style="1"/>
    <col min="4865" max="4865" width="4.140625" style="1" customWidth="1"/>
    <col min="4866" max="4866" width="17.140625" style="1" customWidth="1"/>
    <col min="4867" max="4867" width="12.42578125" style="1" customWidth="1"/>
    <col min="4868" max="4868" width="18" style="1" customWidth="1"/>
    <col min="4869" max="4869" width="14.42578125" style="1" customWidth="1"/>
    <col min="4870" max="4870" width="18.5703125" style="1" customWidth="1"/>
    <col min="4871" max="4871" width="15.140625" style="1" customWidth="1"/>
    <col min="4872" max="4873" width="13.5703125" style="1" customWidth="1"/>
    <col min="4874" max="4874" width="12.42578125" style="1" customWidth="1"/>
    <col min="4875" max="4875" width="11.42578125" style="1"/>
    <col min="4876" max="4877" width="16" style="1" customWidth="1"/>
    <col min="4878" max="4879" width="11.42578125" style="1"/>
    <col min="4880" max="4880" width="13.42578125" style="1" customWidth="1"/>
    <col min="4881" max="4883" width="11.42578125" style="1"/>
    <col min="4884" max="4884" width="38" style="1" customWidth="1"/>
    <col min="4885" max="4885" width="37.5703125" style="1" customWidth="1"/>
    <col min="4886" max="4886" width="12" style="1" bestFit="1" customWidth="1"/>
    <col min="4887" max="4891" width="11.42578125" style="1"/>
    <col min="4892" max="4900" width="13.28515625" style="1" bestFit="1" customWidth="1"/>
    <col min="4901" max="4905" width="11.42578125" style="1"/>
    <col min="4906" max="4906" width="13.28515625" style="1" bestFit="1" customWidth="1"/>
    <col min="4907" max="4910" width="11.42578125" style="1"/>
    <col min="4911" max="4911" width="15.28515625" style="1" bestFit="1" customWidth="1"/>
    <col min="4912" max="4912" width="13.28515625" style="1" bestFit="1" customWidth="1"/>
    <col min="4913" max="4939" width="11.42578125" style="1"/>
    <col min="4940" max="4940" width="13.28515625" style="1" bestFit="1" customWidth="1"/>
    <col min="4941" max="4965" width="11.42578125" style="1"/>
    <col min="4966" max="4966" width="15.28515625" style="1" bestFit="1" customWidth="1"/>
    <col min="4967" max="4967" width="11.42578125" style="1"/>
    <col min="4968" max="4968" width="13.28515625" style="1" bestFit="1" customWidth="1"/>
    <col min="4969" max="4970" width="11.42578125" style="1"/>
    <col min="4971" max="4971" width="16" style="1" customWidth="1"/>
    <col min="4972" max="4972" width="12.7109375" style="1" customWidth="1"/>
    <col min="4973" max="5120" width="11.42578125" style="1"/>
    <col min="5121" max="5121" width="4.140625" style="1" customWidth="1"/>
    <col min="5122" max="5122" width="17.140625" style="1" customWidth="1"/>
    <col min="5123" max="5123" width="12.42578125" style="1" customWidth="1"/>
    <col min="5124" max="5124" width="18" style="1" customWidth="1"/>
    <col min="5125" max="5125" width="14.42578125" style="1" customWidth="1"/>
    <col min="5126" max="5126" width="18.5703125" style="1" customWidth="1"/>
    <col min="5127" max="5127" width="15.140625" style="1" customWidth="1"/>
    <col min="5128" max="5129" width="13.5703125" style="1" customWidth="1"/>
    <col min="5130" max="5130" width="12.42578125" style="1" customWidth="1"/>
    <col min="5131" max="5131" width="11.42578125" style="1"/>
    <col min="5132" max="5133" width="16" style="1" customWidth="1"/>
    <col min="5134" max="5135" width="11.42578125" style="1"/>
    <col min="5136" max="5136" width="13.42578125" style="1" customWidth="1"/>
    <col min="5137" max="5139" width="11.42578125" style="1"/>
    <col min="5140" max="5140" width="38" style="1" customWidth="1"/>
    <col min="5141" max="5141" width="37.5703125" style="1" customWidth="1"/>
    <col min="5142" max="5142" width="12" style="1" bestFit="1" customWidth="1"/>
    <col min="5143" max="5147" width="11.42578125" style="1"/>
    <col min="5148" max="5156" width="13.28515625" style="1" bestFit="1" customWidth="1"/>
    <col min="5157" max="5161" width="11.42578125" style="1"/>
    <col min="5162" max="5162" width="13.28515625" style="1" bestFit="1" customWidth="1"/>
    <col min="5163" max="5166" width="11.42578125" style="1"/>
    <col min="5167" max="5167" width="15.28515625" style="1" bestFit="1" customWidth="1"/>
    <col min="5168" max="5168" width="13.28515625" style="1" bestFit="1" customWidth="1"/>
    <col min="5169" max="5195" width="11.42578125" style="1"/>
    <col min="5196" max="5196" width="13.28515625" style="1" bestFit="1" customWidth="1"/>
    <col min="5197" max="5221" width="11.42578125" style="1"/>
    <col min="5222" max="5222" width="15.28515625" style="1" bestFit="1" customWidth="1"/>
    <col min="5223" max="5223" width="11.42578125" style="1"/>
    <col min="5224" max="5224" width="13.28515625" style="1" bestFit="1" customWidth="1"/>
    <col min="5225" max="5226" width="11.42578125" style="1"/>
    <col min="5227" max="5227" width="16" style="1" customWidth="1"/>
    <col min="5228" max="5228" width="12.7109375" style="1" customWidth="1"/>
    <col min="5229" max="5376" width="11.42578125" style="1"/>
    <col min="5377" max="5377" width="4.140625" style="1" customWidth="1"/>
    <col min="5378" max="5378" width="17.140625" style="1" customWidth="1"/>
    <col min="5379" max="5379" width="12.42578125" style="1" customWidth="1"/>
    <col min="5380" max="5380" width="18" style="1" customWidth="1"/>
    <col min="5381" max="5381" width="14.42578125" style="1" customWidth="1"/>
    <col min="5382" max="5382" width="18.5703125" style="1" customWidth="1"/>
    <col min="5383" max="5383" width="15.140625" style="1" customWidth="1"/>
    <col min="5384" max="5385" width="13.5703125" style="1" customWidth="1"/>
    <col min="5386" max="5386" width="12.42578125" style="1" customWidth="1"/>
    <col min="5387" max="5387" width="11.42578125" style="1"/>
    <col min="5388" max="5389" width="16" style="1" customWidth="1"/>
    <col min="5390" max="5391" width="11.42578125" style="1"/>
    <col min="5392" max="5392" width="13.42578125" style="1" customWidth="1"/>
    <col min="5393" max="5395" width="11.42578125" style="1"/>
    <col min="5396" max="5396" width="38" style="1" customWidth="1"/>
    <col min="5397" max="5397" width="37.5703125" style="1" customWidth="1"/>
    <col min="5398" max="5398" width="12" style="1" bestFit="1" customWidth="1"/>
    <col min="5399" max="5403" width="11.42578125" style="1"/>
    <col min="5404" max="5412" width="13.28515625" style="1" bestFit="1" customWidth="1"/>
    <col min="5413" max="5417" width="11.42578125" style="1"/>
    <col min="5418" max="5418" width="13.28515625" style="1" bestFit="1" customWidth="1"/>
    <col min="5419" max="5422" width="11.42578125" style="1"/>
    <col min="5423" max="5423" width="15.28515625" style="1" bestFit="1" customWidth="1"/>
    <col min="5424" max="5424" width="13.28515625" style="1" bestFit="1" customWidth="1"/>
    <col min="5425" max="5451" width="11.42578125" style="1"/>
    <col min="5452" max="5452" width="13.28515625" style="1" bestFit="1" customWidth="1"/>
    <col min="5453" max="5477" width="11.42578125" style="1"/>
    <col min="5478" max="5478" width="15.28515625" style="1" bestFit="1" customWidth="1"/>
    <col min="5479" max="5479" width="11.42578125" style="1"/>
    <col min="5480" max="5480" width="13.28515625" style="1" bestFit="1" customWidth="1"/>
    <col min="5481" max="5482" width="11.42578125" style="1"/>
    <col min="5483" max="5483" width="16" style="1" customWidth="1"/>
    <col min="5484" max="5484" width="12.7109375" style="1" customWidth="1"/>
    <col min="5485" max="5632" width="11.42578125" style="1"/>
    <col min="5633" max="5633" width="4.140625" style="1" customWidth="1"/>
    <col min="5634" max="5634" width="17.140625" style="1" customWidth="1"/>
    <col min="5635" max="5635" width="12.42578125" style="1" customWidth="1"/>
    <col min="5636" max="5636" width="18" style="1" customWidth="1"/>
    <col min="5637" max="5637" width="14.42578125" style="1" customWidth="1"/>
    <col min="5638" max="5638" width="18.5703125" style="1" customWidth="1"/>
    <col min="5639" max="5639" width="15.140625" style="1" customWidth="1"/>
    <col min="5640" max="5641" width="13.5703125" style="1" customWidth="1"/>
    <col min="5642" max="5642" width="12.42578125" style="1" customWidth="1"/>
    <col min="5643" max="5643" width="11.42578125" style="1"/>
    <col min="5644" max="5645" width="16" style="1" customWidth="1"/>
    <col min="5646" max="5647" width="11.42578125" style="1"/>
    <col min="5648" max="5648" width="13.42578125" style="1" customWidth="1"/>
    <col min="5649" max="5651" width="11.42578125" style="1"/>
    <col min="5652" max="5652" width="38" style="1" customWidth="1"/>
    <col min="5653" max="5653" width="37.5703125" style="1" customWidth="1"/>
    <col min="5654" max="5654" width="12" style="1" bestFit="1" customWidth="1"/>
    <col min="5655" max="5659" width="11.42578125" style="1"/>
    <col min="5660" max="5668" width="13.28515625" style="1" bestFit="1" customWidth="1"/>
    <col min="5669" max="5673" width="11.42578125" style="1"/>
    <col min="5674" max="5674" width="13.28515625" style="1" bestFit="1" customWidth="1"/>
    <col min="5675" max="5678" width="11.42578125" style="1"/>
    <col min="5679" max="5679" width="15.28515625" style="1" bestFit="1" customWidth="1"/>
    <col min="5680" max="5680" width="13.28515625" style="1" bestFit="1" customWidth="1"/>
    <col min="5681" max="5707" width="11.42578125" style="1"/>
    <col min="5708" max="5708" width="13.28515625" style="1" bestFit="1" customWidth="1"/>
    <col min="5709" max="5733" width="11.42578125" style="1"/>
    <col min="5734" max="5734" width="15.28515625" style="1" bestFit="1" customWidth="1"/>
    <col min="5735" max="5735" width="11.42578125" style="1"/>
    <col min="5736" max="5736" width="13.28515625" style="1" bestFit="1" customWidth="1"/>
    <col min="5737" max="5738" width="11.42578125" style="1"/>
    <col min="5739" max="5739" width="16" style="1" customWidth="1"/>
    <col min="5740" max="5740" width="12.7109375" style="1" customWidth="1"/>
    <col min="5741" max="5888" width="11.42578125" style="1"/>
    <col min="5889" max="5889" width="4.140625" style="1" customWidth="1"/>
    <col min="5890" max="5890" width="17.140625" style="1" customWidth="1"/>
    <col min="5891" max="5891" width="12.42578125" style="1" customWidth="1"/>
    <col min="5892" max="5892" width="18" style="1" customWidth="1"/>
    <col min="5893" max="5893" width="14.42578125" style="1" customWidth="1"/>
    <col min="5894" max="5894" width="18.5703125" style="1" customWidth="1"/>
    <col min="5895" max="5895" width="15.140625" style="1" customWidth="1"/>
    <col min="5896" max="5897" width="13.5703125" style="1" customWidth="1"/>
    <col min="5898" max="5898" width="12.42578125" style="1" customWidth="1"/>
    <col min="5899" max="5899" width="11.42578125" style="1"/>
    <col min="5900" max="5901" width="16" style="1" customWidth="1"/>
    <col min="5902" max="5903" width="11.42578125" style="1"/>
    <col min="5904" max="5904" width="13.42578125" style="1" customWidth="1"/>
    <col min="5905" max="5907" width="11.42578125" style="1"/>
    <col min="5908" max="5908" width="38" style="1" customWidth="1"/>
    <col min="5909" max="5909" width="37.5703125" style="1" customWidth="1"/>
    <col min="5910" max="5910" width="12" style="1" bestFit="1" customWidth="1"/>
    <col min="5911" max="5915" width="11.42578125" style="1"/>
    <col min="5916" max="5924" width="13.28515625" style="1" bestFit="1" customWidth="1"/>
    <col min="5925" max="5929" width="11.42578125" style="1"/>
    <col min="5930" max="5930" width="13.28515625" style="1" bestFit="1" customWidth="1"/>
    <col min="5931" max="5934" width="11.42578125" style="1"/>
    <col min="5935" max="5935" width="15.28515625" style="1" bestFit="1" customWidth="1"/>
    <col min="5936" max="5936" width="13.28515625" style="1" bestFit="1" customWidth="1"/>
    <col min="5937" max="5963" width="11.42578125" style="1"/>
    <col min="5964" max="5964" width="13.28515625" style="1" bestFit="1" customWidth="1"/>
    <col min="5965" max="5989" width="11.42578125" style="1"/>
    <col min="5990" max="5990" width="15.28515625" style="1" bestFit="1" customWidth="1"/>
    <col min="5991" max="5991" width="11.42578125" style="1"/>
    <col min="5992" max="5992" width="13.28515625" style="1" bestFit="1" customWidth="1"/>
    <col min="5993" max="5994" width="11.42578125" style="1"/>
    <col min="5995" max="5995" width="16" style="1" customWidth="1"/>
    <col min="5996" max="5996" width="12.7109375" style="1" customWidth="1"/>
    <col min="5997" max="6144" width="11.42578125" style="1"/>
    <col min="6145" max="6145" width="4.140625" style="1" customWidth="1"/>
    <col min="6146" max="6146" width="17.140625" style="1" customWidth="1"/>
    <col min="6147" max="6147" width="12.42578125" style="1" customWidth="1"/>
    <col min="6148" max="6148" width="18" style="1" customWidth="1"/>
    <col min="6149" max="6149" width="14.42578125" style="1" customWidth="1"/>
    <col min="6150" max="6150" width="18.5703125" style="1" customWidth="1"/>
    <col min="6151" max="6151" width="15.140625" style="1" customWidth="1"/>
    <col min="6152" max="6153" width="13.5703125" style="1" customWidth="1"/>
    <col min="6154" max="6154" width="12.42578125" style="1" customWidth="1"/>
    <col min="6155" max="6155" width="11.42578125" style="1"/>
    <col min="6156" max="6157" width="16" style="1" customWidth="1"/>
    <col min="6158" max="6159" width="11.42578125" style="1"/>
    <col min="6160" max="6160" width="13.42578125" style="1" customWidth="1"/>
    <col min="6161" max="6163" width="11.42578125" style="1"/>
    <col min="6164" max="6164" width="38" style="1" customWidth="1"/>
    <col min="6165" max="6165" width="37.5703125" style="1" customWidth="1"/>
    <col min="6166" max="6166" width="12" style="1" bestFit="1" customWidth="1"/>
    <col min="6167" max="6171" width="11.42578125" style="1"/>
    <col min="6172" max="6180" width="13.28515625" style="1" bestFit="1" customWidth="1"/>
    <col min="6181" max="6185" width="11.42578125" style="1"/>
    <col min="6186" max="6186" width="13.28515625" style="1" bestFit="1" customWidth="1"/>
    <col min="6187" max="6190" width="11.42578125" style="1"/>
    <col min="6191" max="6191" width="15.28515625" style="1" bestFit="1" customWidth="1"/>
    <col min="6192" max="6192" width="13.28515625" style="1" bestFit="1" customWidth="1"/>
    <col min="6193" max="6219" width="11.42578125" style="1"/>
    <col min="6220" max="6220" width="13.28515625" style="1" bestFit="1" customWidth="1"/>
    <col min="6221" max="6245" width="11.42578125" style="1"/>
    <col min="6246" max="6246" width="15.28515625" style="1" bestFit="1" customWidth="1"/>
    <col min="6247" max="6247" width="11.42578125" style="1"/>
    <col min="6248" max="6248" width="13.28515625" style="1" bestFit="1" customWidth="1"/>
    <col min="6249" max="6250" width="11.42578125" style="1"/>
    <col min="6251" max="6251" width="16" style="1" customWidth="1"/>
    <col min="6252" max="6252" width="12.7109375" style="1" customWidth="1"/>
    <col min="6253" max="6400" width="11.42578125" style="1"/>
    <col min="6401" max="6401" width="4.140625" style="1" customWidth="1"/>
    <col min="6402" max="6402" width="17.140625" style="1" customWidth="1"/>
    <col min="6403" max="6403" width="12.42578125" style="1" customWidth="1"/>
    <col min="6404" max="6404" width="18" style="1" customWidth="1"/>
    <col min="6405" max="6405" width="14.42578125" style="1" customWidth="1"/>
    <col min="6406" max="6406" width="18.5703125" style="1" customWidth="1"/>
    <col min="6407" max="6407" width="15.140625" style="1" customWidth="1"/>
    <col min="6408" max="6409" width="13.5703125" style="1" customWidth="1"/>
    <col min="6410" max="6410" width="12.42578125" style="1" customWidth="1"/>
    <col min="6411" max="6411" width="11.42578125" style="1"/>
    <col min="6412" max="6413" width="16" style="1" customWidth="1"/>
    <col min="6414" max="6415" width="11.42578125" style="1"/>
    <col min="6416" max="6416" width="13.42578125" style="1" customWidth="1"/>
    <col min="6417" max="6419" width="11.42578125" style="1"/>
    <col min="6420" max="6420" width="38" style="1" customWidth="1"/>
    <col min="6421" max="6421" width="37.5703125" style="1" customWidth="1"/>
    <col min="6422" max="6422" width="12" style="1" bestFit="1" customWidth="1"/>
    <col min="6423" max="6427" width="11.42578125" style="1"/>
    <col min="6428" max="6436" width="13.28515625" style="1" bestFit="1" customWidth="1"/>
    <col min="6437" max="6441" width="11.42578125" style="1"/>
    <col min="6442" max="6442" width="13.28515625" style="1" bestFit="1" customWidth="1"/>
    <col min="6443" max="6446" width="11.42578125" style="1"/>
    <col min="6447" max="6447" width="15.28515625" style="1" bestFit="1" customWidth="1"/>
    <col min="6448" max="6448" width="13.28515625" style="1" bestFit="1" customWidth="1"/>
    <col min="6449" max="6475" width="11.42578125" style="1"/>
    <col min="6476" max="6476" width="13.28515625" style="1" bestFit="1" customWidth="1"/>
    <col min="6477" max="6501" width="11.42578125" style="1"/>
    <col min="6502" max="6502" width="15.28515625" style="1" bestFit="1" customWidth="1"/>
    <col min="6503" max="6503" width="11.42578125" style="1"/>
    <col min="6504" max="6504" width="13.28515625" style="1" bestFit="1" customWidth="1"/>
    <col min="6505" max="6506" width="11.42578125" style="1"/>
    <col min="6507" max="6507" width="16" style="1" customWidth="1"/>
    <col min="6508" max="6508" width="12.7109375" style="1" customWidth="1"/>
    <col min="6509" max="6656" width="11.42578125" style="1"/>
    <col min="6657" max="6657" width="4.140625" style="1" customWidth="1"/>
    <col min="6658" max="6658" width="17.140625" style="1" customWidth="1"/>
    <col min="6659" max="6659" width="12.42578125" style="1" customWidth="1"/>
    <col min="6660" max="6660" width="18" style="1" customWidth="1"/>
    <col min="6661" max="6661" width="14.42578125" style="1" customWidth="1"/>
    <col min="6662" max="6662" width="18.5703125" style="1" customWidth="1"/>
    <col min="6663" max="6663" width="15.140625" style="1" customWidth="1"/>
    <col min="6664" max="6665" width="13.5703125" style="1" customWidth="1"/>
    <col min="6666" max="6666" width="12.42578125" style="1" customWidth="1"/>
    <col min="6667" max="6667" width="11.42578125" style="1"/>
    <col min="6668" max="6669" width="16" style="1" customWidth="1"/>
    <col min="6670" max="6671" width="11.42578125" style="1"/>
    <col min="6672" max="6672" width="13.42578125" style="1" customWidth="1"/>
    <col min="6673" max="6675" width="11.42578125" style="1"/>
    <col min="6676" max="6676" width="38" style="1" customWidth="1"/>
    <col min="6677" max="6677" width="37.5703125" style="1" customWidth="1"/>
    <col min="6678" max="6678" width="12" style="1" bestFit="1" customWidth="1"/>
    <col min="6679" max="6683" width="11.42578125" style="1"/>
    <col min="6684" max="6692" width="13.28515625" style="1" bestFit="1" customWidth="1"/>
    <col min="6693" max="6697" width="11.42578125" style="1"/>
    <col min="6698" max="6698" width="13.28515625" style="1" bestFit="1" customWidth="1"/>
    <col min="6699" max="6702" width="11.42578125" style="1"/>
    <col min="6703" max="6703" width="15.28515625" style="1" bestFit="1" customWidth="1"/>
    <col min="6704" max="6704" width="13.28515625" style="1" bestFit="1" customWidth="1"/>
    <col min="6705" max="6731" width="11.42578125" style="1"/>
    <col min="6732" max="6732" width="13.28515625" style="1" bestFit="1" customWidth="1"/>
    <col min="6733" max="6757" width="11.42578125" style="1"/>
    <col min="6758" max="6758" width="15.28515625" style="1" bestFit="1" customWidth="1"/>
    <col min="6759" max="6759" width="11.42578125" style="1"/>
    <col min="6760" max="6760" width="13.28515625" style="1" bestFit="1" customWidth="1"/>
    <col min="6761" max="6762" width="11.42578125" style="1"/>
    <col min="6763" max="6763" width="16" style="1" customWidth="1"/>
    <col min="6764" max="6764" width="12.7109375" style="1" customWidth="1"/>
    <col min="6765" max="6912" width="11.42578125" style="1"/>
    <col min="6913" max="6913" width="4.140625" style="1" customWidth="1"/>
    <col min="6914" max="6914" width="17.140625" style="1" customWidth="1"/>
    <col min="6915" max="6915" width="12.42578125" style="1" customWidth="1"/>
    <col min="6916" max="6916" width="18" style="1" customWidth="1"/>
    <col min="6917" max="6917" width="14.42578125" style="1" customWidth="1"/>
    <col min="6918" max="6918" width="18.5703125" style="1" customWidth="1"/>
    <col min="6919" max="6919" width="15.140625" style="1" customWidth="1"/>
    <col min="6920" max="6921" width="13.5703125" style="1" customWidth="1"/>
    <col min="6922" max="6922" width="12.42578125" style="1" customWidth="1"/>
    <col min="6923" max="6923" width="11.42578125" style="1"/>
    <col min="6924" max="6925" width="16" style="1" customWidth="1"/>
    <col min="6926" max="6927" width="11.42578125" style="1"/>
    <col min="6928" max="6928" width="13.42578125" style="1" customWidth="1"/>
    <col min="6929" max="6931" width="11.42578125" style="1"/>
    <col min="6932" max="6932" width="38" style="1" customWidth="1"/>
    <col min="6933" max="6933" width="37.5703125" style="1" customWidth="1"/>
    <col min="6934" max="6934" width="12" style="1" bestFit="1" customWidth="1"/>
    <col min="6935" max="6939" width="11.42578125" style="1"/>
    <col min="6940" max="6948" width="13.28515625" style="1" bestFit="1" customWidth="1"/>
    <col min="6949" max="6953" width="11.42578125" style="1"/>
    <col min="6954" max="6954" width="13.28515625" style="1" bestFit="1" customWidth="1"/>
    <col min="6955" max="6958" width="11.42578125" style="1"/>
    <col min="6959" max="6959" width="15.28515625" style="1" bestFit="1" customWidth="1"/>
    <col min="6960" max="6960" width="13.28515625" style="1" bestFit="1" customWidth="1"/>
    <col min="6961" max="6987" width="11.42578125" style="1"/>
    <col min="6988" max="6988" width="13.28515625" style="1" bestFit="1" customWidth="1"/>
    <col min="6989" max="7013" width="11.42578125" style="1"/>
    <col min="7014" max="7014" width="15.28515625" style="1" bestFit="1" customWidth="1"/>
    <col min="7015" max="7015" width="11.42578125" style="1"/>
    <col min="7016" max="7016" width="13.28515625" style="1" bestFit="1" customWidth="1"/>
    <col min="7017" max="7018" width="11.42578125" style="1"/>
    <col min="7019" max="7019" width="16" style="1" customWidth="1"/>
    <col min="7020" max="7020" width="12.7109375" style="1" customWidth="1"/>
    <col min="7021" max="7168" width="11.42578125" style="1"/>
    <col min="7169" max="7169" width="4.140625" style="1" customWidth="1"/>
    <col min="7170" max="7170" width="17.140625" style="1" customWidth="1"/>
    <col min="7171" max="7171" width="12.42578125" style="1" customWidth="1"/>
    <col min="7172" max="7172" width="18" style="1" customWidth="1"/>
    <col min="7173" max="7173" width="14.42578125" style="1" customWidth="1"/>
    <col min="7174" max="7174" width="18.5703125" style="1" customWidth="1"/>
    <col min="7175" max="7175" width="15.140625" style="1" customWidth="1"/>
    <col min="7176" max="7177" width="13.5703125" style="1" customWidth="1"/>
    <col min="7178" max="7178" width="12.42578125" style="1" customWidth="1"/>
    <col min="7179" max="7179" width="11.42578125" style="1"/>
    <col min="7180" max="7181" width="16" style="1" customWidth="1"/>
    <col min="7182" max="7183" width="11.42578125" style="1"/>
    <col min="7184" max="7184" width="13.42578125" style="1" customWidth="1"/>
    <col min="7185" max="7187" width="11.42578125" style="1"/>
    <col min="7188" max="7188" width="38" style="1" customWidth="1"/>
    <col min="7189" max="7189" width="37.5703125" style="1" customWidth="1"/>
    <col min="7190" max="7190" width="12" style="1" bestFit="1" customWidth="1"/>
    <col min="7191" max="7195" width="11.42578125" style="1"/>
    <col min="7196" max="7204" width="13.28515625" style="1" bestFit="1" customWidth="1"/>
    <col min="7205" max="7209" width="11.42578125" style="1"/>
    <col min="7210" max="7210" width="13.28515625" style="1" bestFit="1" customWidth="1"/>
    <col min="7211" max="7214" width="11.42578125" style="1"/>
    <col min="7215" max="7215" width="15.28515625" style="1" bestFit="1" customWidth="1"/>
    <col min="7216" max="7216" width="13.28515625" style="1" bestFit="1" customWidth="1"/>
    <col min="7217" max="7243" width="11.42578125" style="1"/>
    <col min="7244" max="7244" width="13.28515625" style="1" bestFit="1" customWidth="1"/>
    <col min="7245" max="7269" width="11.42578125" style="1"/>
    <col min="7270" max="7270" width="15.28515625" style="1" bestFit="1" customWidth="1"/>
    <col min="7271" max="7271" width="11.42578125" style="1"/>
    <col min="7272" max="7272" width="13.28515625" style="1" bestFit="1" customWidth="1"/>
    <col min="7273" max="7274" width="11.42578125" style="1"/>
    <col min="7275" max="7275" width="16" style="1" customWidth="1"/>
    <col min="7276" max="7276" width="12.7109375" style="1" customWidth="1"/>
    <col min="7277" max="7424" width="11.42578125" style="1"/>
    <col min="7425" max="7425" width="4.140625" style="1" customWidth="1"/>
    <col min="7426" max="7426" width="17.140625" style="1" customWidth="1"/>
    <col min="7427" max="7427" width="12.42578125" style="1" customWidth="1"/>
    <col min="7428" max="7428" width="18" style="1" customWidth="1"/>
    <col min="7429" max="7429" width="14.42578125" style="1" customWidth="1"/>
    <col min="7430" max="7430" width="18.5703125" style="1" customWidth="1"/>
    <col min="7431" max="7431" width="15.140625" style="1" customWidth="1"/>
    <col min="7432" max="7433" width="13.5703125" style="1" customWidth="1"/>
    <col min="7434" max="7434" width="12.42578125" style="1" customWidth="1"/>
    <col min="7435" max="7435" width="11.42578125" style="1"/>
    <col min="7436" max="7437" width="16" style="1" customWidth="1"/>
    <col min="7438" max="7439" width="11.42578125" style="1"/>
    <col min="7440" max="7440" width="13.42578125" style="1" customWidth="1"/>
    <col min="7441" max="7443" width="11.42578125" style="1"/>
    <col min="7444" max="7444" width="38" style="1" customWidth="1"/>
    <col min="7445" max="7445" width="37.5703125" style="1" customWidth="1"/>
    <col min="7446" max="7446" width="12" style="1" bestFit="1" customWidth="1"/>
    <col min="7447" max="7451" width="11.42578125" style="1"/>
    <col min="7452" max="7460" width="13.28515625" style="1" bestFit="1" customWidth="1"/>
    <col min="7461" max="7465" width="11.42578125" style="1"/>
    <col min="7466" max="7466" width="13.28515625" style="1" bestFit="1" customWidth="1"/>
    <col min="7467" max="7470" width="11.42578125" style="1"/>
    <col min="7471" max="7471" width="15.28515625" style="1" bestFit="1" customWidth="1"/>
    <col min="7472" max="7472" width="13.28515625" style="1" bestFit="1" customWidth="1"/>
    <col min="7473" max="7499" width="11.42578125" style="1"/>
    <col min="7500" max="7500" width="13.28515625" style="1" bestFit="1" customWidth="1"/>
    <col min="7501" max="7525" width="11.42578125" style="1"/>
    <col min="7526" max="7526" width="15.28515625" style="1" bestFit="1" customWidth="1"/>
    <col min="7527" max="7527" width="11.42578125" style="1"/>
    <col min="7528" max="7528" width="13.28515625" style="1" bestFit="1" customWidth="1"/>
    <col min="7529" max="7530" width="11.42578125" style="1"/>
    <col min="7531" max="7531" width="16" style="1" customWidth="1"/>
    <col min="7532" max="7532" width="12.7109375" style="1" customWidth="1"/>
    <col min="7533" max="7680" width="11.42578125" style="1"/>
    <col min="7681" max="7681" width="4.140625" style="1" customWidth="1"/>
    <col min="7682" max="7682" width="17.140625" style="1" customWidth="1"/>
    <col min="7683" max="7683" width="12.42578125" style="1" customWidth="1"/>
    <col min="7684" max="7684" width="18" style="1" customWidth="1"/>
    <col min="7685" max="7685" width="14.42578125" style="1" customWidth="1"/>
    <col min="7686" max="7686" width="18.5703125" style="1" customWidth="1"/>
    <col min="7687" max="7687" width="15.140625" style="1" customWidth="1"/>
    <col min="7688" max="7689" width="13.5703125" style="1" customWidth="1"/>
    <col min="7690" max="7690" width="12.42578125" style="1" customWidth="1"/>
    <col min="7691" max="7691" width="11.42578125" style="1"/>
    <col min="7692" max="7693" width="16" style="1" customWidth="1"/>
    <col min="7694" max="7695" width="11.42578125" style="1"/>
    <col min="7696" max="7696" width="13.42578125" style="1" customWidth="1"/>
    <col min="7697" max="7699" width="11.42578125" style="1"/>
    <col min="7700" max="7700" width="38" style="1" customWidth="1"/>
    <col min="7701" max="7701" width="37.5703125" style="1" customWidth="1"/>
    <col min="7702" max="7702" width="12" style="1" bestFit="1" customWidth="1"/>
    <col min="7703" max="7707" width="11.42578125" style="1"/>
    <col min="7708" max="7716" width="13.28515625" style="1" bestFit="1" customWidth="1"/>
    <col min="7717" max="7721" width="11.42578125" style="1"/>
    <col min="7722" max="7722" width="13.28515625" style="1" bestFit="1" customWidth="1"/>
    <col min="7723" max="7726" width="11.42578125" style="1"/>
    <col min="7727" max="7727" width="15.28515625" style="1" bestFit="1" customWidth="1"/>
    <col min="7728" max="7728" width="13.28515625" style="1" bestFit="1" customWidth="1"/>
    <col min="7729" max="7755" width="11.42578125" style="1"/>
    <col min="7756" max="7756" width="13.28515625" style="1" bestFit="1" customWidth="1"/>
    <col min="7757" max="7781" width="11.42578125" style="1"/>
    <col min="7782" max="7782" width="15.28515625" style="1" bestFit="1" customWidth="1"/>
    <col min="7783" max="7783" width="11.42578125" style="1"/>
    <col min="7784" max="7784" width="13.28515625" style="1" bestFit="1" customWidth="1"/>
    <col min="7785" max="7786" width="11.42578125" style="1"/>
    <col min="7787" max="7787" width="16" style="1" customWidth="1"/>
    <col min="7788" max="7788" width="12.7109375" style="1" customWidth="1"/>
    <col min="7789" max="7936" width="11.42578125" style="1"/>
    <col min="7937" max="7937" width="4.140625" style="1" customWidth="1"/>
    <col min="7938" max="7938" width="17.140625" style="1" customWidth="1"/>
    <col min="7939" max="7939" width="12.42578125" style="1" customWidth="1"/>
    <col min="7940" max="7940" width="18" style="1" customWidth="1"/>
    <col min="7941" max="7941" width="14.42578125" style="1" customWidth="1"/>
    <col min="7942" max="7942" width="18.5703125" style="1" customWidth="1"/>
    <col min="7943" max="7943" width="15.140625" style="1" customWidth="1"/>
    <col min="7944" max="7945" width="13.5703125" style="1" customWidth="1"/>
    <col min="7946" max="7946" width="12.42578125" style="1" customWidth="1"/>
    <col min="7947" max="7947" width="11.42578125" style="1"/>
    <col min="7948" max="7949" width="16" style="1" customWidth="1"/>
    <col min="7950" max="7951" width="11.42578125" style="1"/>
    <col min="7952" max="7952" width="13.42578125" style="1" customWidth="1"/>
    <col min="7953" max="7955" width="11.42578125" style="1"/>
    <col min="7956" max="7956" width="38" style="1" customWidth="1"/>
    <col min="7957" max="7957" width="37.5703125" style="1" customWidth="1"/>
    <col min="7958" max="7958" width="12" style="1" bestFit="1" customWidth="1"/>
    <col min="7959" max="7963" width="11.42578125" style="1"/>
    <col min="7964" max="7972" width="13.28515625" style="1" bestFit="1" customWidth="1"/>
    <col min="7973" max="7977" width="11.42578125" style="1"/>
    <col min="7978" max="7978" width="13.28515625" style="1" bestFit="1" customWidth="1"/>
    <col min="7979" max="7982" width="11.42578125" style="1"/>
    <col min="7983" max="7983" width="15.28515625" style="1" bestFit="1" customWidth="1"/>
    <col min="7984" max="7984" width="13.28515625" style="1" bestFit="1" customWidth="1"/>
    <col min="7985" max="8011" width="11.42578125" style="1"/>
    <col min="8012" max="8012" width="13.28515625" style="1" bestFit="1" customWidth="1"/>
    <col min="8013" max="8037" width="11.42578125" style="1"/>
    <col min="8038" max="8038" width="15.28515625" style="1" bestFit="1" customWidth="1"/>
    <col min="8039" max="8039" width="11.42578125" style="1"/>
    <col min="8040" max="8040" width="13.28515625" style="1" bestFit="1" customWidth="1"/>
    <col min="8041" max="8042" width="11.42578125" style="1"/>
    <col min="8043" max="8043" width="16" style="1" customWidth="1"/>
    <col min="8044" max="8044" width="12.7109375" style="1" customWidth="1"/>
    <col min="8045" max="8192" width="11.42578125" style="1"/>
    <col min="8193" max="8193" width="4.140625" style="1" customWidth="1"/>
    <col min="8194" max="8194" width="17.140625" style="1" customWidth="1"/>
    <col min="8195" max="8195" width="12.42578125" style="1" customWidth="1"/>
    <col min="8196" max="8196" width="18" style="1" customWidth="1"/>
    <col min="8197" max="8197" width="14.42578125" style="1" customWidth="1"/>
    <col min="8198" max="8198" width="18.5703125" style="1" customWidth="1"/>
    <col min="8199" max="8199" width="15.140625" style="1" customWidth="1"/>
    <col min="8200" max="8201" width="13.5703125" style="1" customWidth="1"/>
    <col min="8202" max="8202" width="12.42578125" style="1" customWidth="1"/>
    <col min="8203" max="8203" width="11.42578125" style="1"/>
    <col min="8204" max="8205" width="16" style="1" customWidth="1"/>
    <col min="8206" max="8207" width="11.42578125" style="1"/>
    <col min="8208" max="8208" width="13.42578125" style="1" customWidth="1"/>
    <col min="8209" max="8211" width="11.42578125" style="1"/>
    <col min="8212" max="8212" width="38" style="1" customWidth="1"/>
    <col min="8213" max="8213" width="37.5703125" style="1" customWidth="1"/>
    <col min="8214" max="8214" width="12" style="1" bestFit="1" customWidth="1"/>
    <col min="8215" max="8219" width="11.42578125" style="1"/>
    <col min="8220" max="8228" width="13.28515625" style="1" bestFit="1" customWidth="1"/>
    <col min="8229" max="8233" width="11.42578125" style="1"/>
    <col min="8234" max="8234" width="13.28515625" style="1" bestFit="1" customWidth="1"/>
    <col min="8235" max="8238" width="11.42578125" style="1"/>
    <col min="8239" max="8239" width="15.28515625" style="1" bestFit="1" customWidth="1"/>
    <col min="8240" max="8240" width="13.28515625" style="1" bestFit="1" customWidth="1"/>
    <col min="8241" max="8267" width="11.42578125" style="1"/>
    <col min="8268" max="8268" width="13.28515625" style="1" bestFit="1" customWidth="1"/>
    <col min="8269" max="8293" width="11.42578125" style="1"/>
    <col min="8294" max="8294" width="15.28515625" style="1" bestFit="1" customWidth="1"/>
    <col min="8295" max="8295" width="11.42578125" style="1"/>
    <col min="8296" max="8296" width="13.28515625" style="1" bestFit="1" customWidth="1"/>
    <col min="8297" max="8298" width="11.42578125" style="1"/>
    <col min="8299" max="8299" width="16" style="1" customWidth="1"/>
    <col min="8300" max="8300" width="12.7109375" style="1" customWidth="1"/>
    <col min="8301" max="8448" width="11.42578125" style="1"/>
    <col min="8449" max="8449" width="4.140625" style="1" customWidth="1"/>
    <col min="8450" max="8450" width="17.140625" style="1" customWidth="1"/>
    <col min="8451" max="8451" width="12.42578125" style="1" customWidth="1"/>
    <col min="8452" max="8452" width="18" style="1" customWidth="1"/>
    <col min="8453" max="8453" width="14.42578125" style="1" customWidth="1"/>
    <col min="8454" max="8454" width="18.5703125" style="1" customWidth="1"/>
    <col min="8455" max="8455" width="15.140625" style="1" customWidth="1"/>
    <col min="8456" max="8457" width="13.5703125" style="1" customWidth="1"/>
    <col min="8458" max="8458" width="12.42578125" style="1" customWidth="1"/>
    <col min="8459" max="8459" width="11.42578125" style="1"/>
    <col min="8460" max="8461" width="16" style="1" customWidth="1"/>
    <col min="8462" max="8463" width="11.42578125" style="1"/>
    <col min="8464" max="8464" width="13.42578125" style="1" customWidth="1"/>
    <col min="8465" max="8467" width="11.42578125" style="1"/>
    <col min="8468" max="8468" width="38" style="1" customWidth="1"/>
    <col min="8469" max="8469" width="37.5703125" style="1" customWidth="1"/>
    <col min="8470" max="8470" width="12" style="1" bestFit="1" customWidth="1"/>
    <col min="8471" max="8475" width="11.42578125" style="1"/>
    <col min="8476" max="8484" width="13.28515625" style="1" bestFit="1" customWidth="1"/>
    <col min="8485" max="8489" width="11.42578125" style="1"/>
    <col min="8490" max="8490" width="13.28515625" style="1" bestFit="1" customWidth="1"/>
    <col min="8491" max="8494" width="11.42578125" style="1"/>
    <col min="8495" max="8495" width="15.28515625" style="1" bestFit="1" customWidth="1"/>
    <col min="8496" max="8496" width="13.28515625" style="1" bestFit="1" customWidth="1"/>
    <col min="8497" max="8523" width="11.42578125" style="1"/>
    <col min="8524" max="8524" width="13.28515625" style="1" bestFit="1" customWidth="1"/>
    <col min="8525" max="8549" width="11.42578125" style="1"/>
    <col min="8550" max="8550" width="15.28515625" style="1" bestFit="1" customWidth="1"/>
    <col min="8551" max="8551" width="11.42578125" style="1"/>
    <col min="8552" max="8552" width="13.28515625" style="1" bestFit="1" customWidth="1"/>
    <col min="8553" max="8554" width="11.42578125" style="1"/>
    <col min="8555" max="8555" width="16" style="1" customWidth="1"/>
    <col min="8556" max="8556" width="12.7109375" style="1" customWidth="1"/>
    <col min="8557" max="8704" width="11.42578125" style="1"/>
    <col min="8705" max="8705" width="4.140625" style="1" customWidth="1"/>
    <col min="8706" max="8706" width="17.140625" style="1" customWidth="1"/>
    <col min="8707" max="8707" width="12.42578125" style="1" customWidth="1"/>
    <col min="8708" max="8708" width="18" style="1" customWidth="1"/>
    <col min="8709" max="8709" width="14.42578125" style="1" customWidth="1"/>
    <col min="8710" max="8710" width="18.5703125" style="1" customWidth="1"/>
    <col min="8711" max="8711" width="15.140625" style="1" customWidth="1"/>
    <col min="8712" max="8713" width="13.5703125" style="1" customWidth="1"/>
    <col min="8714" max="8714" width="12.42578125" style="1" customWidth="1"/>
    <col min="8715" max="8715" width="11.42578125" style="1"/>
    <col min="8716" max="8717" width="16" style="1" customWidth="1"/>
    <col min="8718" max="8719" width="11.42578125" style="1"/>
    <col min="8720" max="8720" width="13.42578125" style="1" customWidth="1"/>
    <col min="8721" max="8723" width="11.42578125" style="1"/>
    <col min="8724" max="8724" width="38" style="1" customWidth="1"/>
    <col min="8725" max="8725" width="37.5703125" style="1" customWidth="1"/>
    <col min="8726" max="8726" width="12" style="1" bestFit="1" customWidth="1"/>
    <col min="8727" max="8731" width="11.42578125" style="1"/>
    <col min="8732" max="8740" width="13.28515625" style="1" bestFit="1" customWidth="1"/>
    <col min="8741" max="8745" width="11.42578125" style="1"/>
    <col min="8746" max="8746" width="13.28515625" style="1" bestFit="1" customWidth="1"/>
    <col min="8747" max="8750" width="11.42578125" style="1"/>
    <col min="8751" max="8751" width="15.28515625" style="1" bestFit="1" customWidth="1"/>
    <col min="8752" max="8752" width="13.28515625" style="1" bestFit="1" customWidth="1"/>
    <col min="8753" max="8779" width="11.42578125" style="1"/>
    <col min="8780" max="8780" width="13.28515625" style="1" bestFit="1" customWidth="1"/>
    <col min="8781" max="8805" width="11.42578125" style="1"/>
    <col min="8806" max="8806" width="15.28515625" style="1" bestFit="1" customWidth="1"/>
    <col min="8807" max="8807" width="11.42578125" style="1"/>
    <col min="8808" max="8808" width="13.28515625" style="1" bestFit="1" customWidth="1"/>
    <col min="8809" max="8810" width="11.42578125" style="1"/>
    <col min="8811" max="8811" width="16" style="1" customWidth="1"/>
    <col min="8812" max="8812" width="12.7109375" style="1" customWidth="1"/>
    <col min="8813" max="8960" width="11.42578125" style="1"/>
    <col min="8961" max="8961" width="4.140625" style="1" customWidth="1"/>
    <col min="8962" max="8962" width="17.140625" style="1" customWidth="1"/>
    <col min="8963" max="8963" width="12.42578125" style="1" customWidth="1"/>
    <col min="8964" max="8964" width="18" style="1" customWidth="1"/>
    <col min="8965" max="8965" width="14.42578125" style="1" customWidth="1"/>
    <col min="8966" max="8966" width="18.5703125" style="1" customWidth="1"/>
    <col min="8967" max="8967" width="15.140625" style="1" customWidth="1"/>
    <col min="8968" max="8969" width="13.5703125" style="1" customWidth="1"/>
    <col min="8970" max="8970" width="12.42578125" style="1" customWidth="1"/>
    <col min="8971" max="8971" width="11.42578125" style="1"/>
    <col min="8972" max="8973" width="16" style="1" customWidth="1"/>
    <col min="8974" max="8975" width="11.42578125" style="1"/>
    <col min="8976" max="8976" width="13.42578125" style="1" customWidth="1"/>
    <col min="8977" max="8979" width="11.42578125" style="1"/>
    <col min="8980" max="8980" width="38" style="1" customWidth="1"/>
    <col min="8981" max="8981" width="37.5703125" style="1" customWidth="1"/>
    <col min="8982" max="8982" width="12" style="1" bestFit="1" customWidth="1"/>
    <col min="8983" max="8987" width="11.42578125" style="1"/>
    <col min="8988" max="8996" width="13.28515625" style="1" bestFit="1" customWidth="1"/>
    <col min="8997" max="9001" width="11.42578125" style="1"/>
    <col min="9002" max="9002" width="13.28515625" style="1" bestFit="1" customWidth="1"/>
    <col min="9003" max="9006" width="11.42578125" style="1"/>
    <col min="9007" max="9007" width="15.28515625" style="1" bestFit="1" customWidth="1"/>
    <col min="9008" max="9008" width="13.28515625" style="1" bestFit="1" customWidth="1"/>
    <col min="9009" max="9035" width="11.42578125" style="1"/>
    <col min="9036" max="9036" width="13.28515625" style="1" bestFit="1" customWidth="1"/>
    <col min="9037" max="9061" width="11.42578125" style="1"/>
    <col min="9062" max="9062" width="15.28515625" style="1" bestFit="1" customWidth="1"/>
    <col min="9063" max="9063" width="11.42578125" style="1"/>
    <col min="9064" max="9064" width="13.28515625" style="1" bestFit="1" customWidth="1"/>
    <col min="9065" max="9066" width="11.42578125" style="1"/>
    <col min="9067" max="9067" width="16" style="1" customWidth="1"/>
    <col min="9068" max="9068" width="12.7109375" style="1" customWidth="1"/>
    <col min="9069" max="9216" width="11.42578125" style="1"/>
    <col min="9217" max="9217" width="4.140625" style="1" customWidth="1"/>
    <col min="9218" max="9218" width="17.140625" style="1" customWidth="1"/>
    <col min="9219" max="9219" width="12.42578125" style="1" customWidth="1"/>
    <col min="9220" max="9220" width="18" style="1" customWidth="1"/>
    <col min="9221" max="9221" width="14.42578125" style="1" customWidth="1"/>
    <col min="9222" max="9222" width="18.5703125" style="1" customWidth="1"/>
    <col min="9223" max="9223" width="15.140625" style="1" customWidth="1"/>
    <col min="9224" max="9225" width="13.5703125" style="1" customWidth="1"/>
    <col min="9226" max="9226" width="12.42578125" style="1" customWidth="1"/>
    <col min="9227" max="9227" width="11.42578125" style="1"/>
    <col min="9228" max="9229" width="16" style="1" customWidth="1"/>
    <col min="9230" max="9231" width="11.42578125" style="1"/>
    <col min="9232" max="9232" width="13.42578125" style="1" customWidth="1"/>
    <col min="9233" max="9235" width="11.42578125" style="1"/>
    <col min="9236" max="9236" width="38" style="1" customWidth="1"/>
    <col min="9237" max="9237" width="37.5703125" style="1" customWidth="1"/>
    <col min="9238" max="9238" width="12" style="1" bestFit="1" customWidth="1"/>
    <col min="9239" max="9243" width="11.42578125" style="1"/>
    <col min="9244" max="9252" width="13.28515625" style="1" bestFit="1" customWidth="1"/>
    <col min="9253" max="9257" width="11.42578125" style="1"/>
    <col min="9258" max="9258" width="13.28515625" style="1" bestFit="1" customWidth="1"/>
    <col min="9259" max="9262" width="11.42578125" style="1"/>
    <col min="9263" max="9263" width="15.28515625" style="1" bestFit="1" customWidth="1"/>
    <col min="9264" max="9264" width="13.28515625" style="1" bestFit="1" customWidth="1"/>
    <col min="9265" max="9291" width="11.42578125" style="1"/>
    <col min="9292" max="9292" width="13.28515625" style="1" bestFit="1" customWidth="1"/>
    <col min="9293" max="9317" width="11.42578125" style="1"/>
    <col min="9318" max="9318" width="15.28515625" style="1" bestFit="1" customWidth="1"/>
    <col min="9319" max="9319" width="11.42578125" style="1"/>
    <col min="9320" max="9320" width="13.28515625" style="1" bestFit="1" customWidth="1"/>
    <col min="9321" max="9322" width="11.42578125" style="1"/>
    <col min="9323" max="9323" width="16" style="1" customWidth="1"/>
    <col min="9324" max="9324" width="12.7109375" style="1" customWidth="1"/>
    <col min="9325" max="9472" width="11.42578125" style="1"/>
    <col min="9473" max="9473" width="4.140625" style="1" customWidth="1"/>
    <col min="9474" max="9474" width="17.140625" style="1" customWidth="1"/>
    <col min="9475" max="9475" width="12.42578125" style="1" customWidth="1"/>
    <col min="9476" max="9476" width="18" style="1" customWidth="1"/>
    <col min="9477" max="9477" width="14.42578125" style="1" customWidth="1"/>
    <col min="9478" max="9478" width="18.5703125" style="1" customWidth="1"/>
    <col min="9479" max="9479" width="15.140625" style="1" customWidth="1"/>
    <col min="9480" max="9481" width="13.5703125" style="1" customWidth="1"/>
    <col min="9482" max="9482" width="12.42578125" style="1" customWidth="1"/>
    <col min="9483" max="9483" width="11.42578125" style="1"/>
    <col min="9484" max="9485" width="16" style="1" customWidth="1"/>
    <col min="9486" max="9487" width="11.42578125" style="1"/>
    <col min="9488" max="9488" width="13.42578125" style="1" customWidth="1"/>
    <col min="9489" max="9491" width="11.42578125" style="1"/>
    <col min="9492" max="9492" width="38" style="1" customWidth="1"/>
    <col min="9493" max="9493" width="37.5703125" style="1" customWidth="1"/>
    <col min="9494" max="9494" width="12" style="1" bestFit="1" customWidth="1"/>
    <col min="9495" max="9499" width="11.42578125" style="1"/>
    <col min="9500" max="9508" width="13.28515625" style="1" bestFit="1" customWidth="1"/>
    <col min="9509" max="9513" width="11.42578125" style="1"/>
    <col min="9514" max="9514" width="13.28515625" style="1" bestFit="1" customWidth="1"/>
    <col min="9515" max="9518" width="11.42578125" style="1"/>
    <col min="9519" max="9519" width="15.28515625" style="1" bestFit="1" customWidth="1"/>
    <col min="9520" max="9520" width="13.28515625" style="1" bestFit="1" customWidth="1"/>
    <col min="9521" max="9547" width="11.42578125" style="1"/>
    <col min="9548" max="9548" width="13.28515625" style="1" bestFit="1" customWidth="1"/>
    <col min="9549" max="9573" width="11.42578125" style="1"/>
    <col min="9574" max="9574" width="15.28515625" style="1" bestFit="1" customWidth="1"/>
    <col min="9575" max="9575" width="11.42578125" style="1"/>
    <col min="9576" max="9576" width="13.28515625" style="1" bestFit="1" customWidth="1"/>
    <col min="9577" max="9578" width="11.42578125" style="1"/>
    <col min="9579" max="9579" width="16" style="1" customWidth="1"/>
    <col min="9580" max="9580" width="12.7109375" style="1" customWidth="1"/>
    <col min="9581" max="9728" width="11.42578125" style="1"/>
    <col min="9729" max="9729" width="4.140625" style="1" customWidth="1"/>
    <col min="9730" max="9730" width="17.140625" style="1" customWidth="1"/>
    <col min="9731" max="9731" width="12.42578125" style="1" customWidth="1"/>
    <col min="9732" max="9732" width="18" style="1" customWidth="1"/>
    <col min="9733" max="9733" width="14.42578125" style="1" customWidth="1"/>
    <col min="9734" max="9734" width="18.5703125" style="1" customWidth="1"/>
    <col min="9735" max="9735" width="15.140625" style="1" customWidth="1"/>
    <col min="9736" max="9737" width="13.5703125" style="1" customWidth="1"/>
    <col min="9738" max="9738" width="12.42578125" style="1" customWidth="1"/>
    <col min="9739" max="9739" width="11.42578125" style="1"/>
    <col min="9740" max="9741" width="16" style="1" customWidth="1"/>
    <col min="9742" max="9743" width="11.42578125" style="1"/>
    <col min="9744" max="9744" width="13.42578125" style="1" customWidth="1"/>
    <col min="9745" max="9747" width="11.42578125" style="1"/>
    <col min="9748" max="9748" width="38" style="1" customWidth="1"/>
    <col min="9749" max="9749" width="37.5703125" style="1" customWidth="1"/>
    <col min="9750" max="9750" width="12" style="1" bestFit="1" customWidth="1"/>
    <col min="9751" max="9755" width="11.42578125" style="1"/>
    <col min="9756" max="9764" width="13.28515625" style="1" bestFit="1" customWidth="1"/>
    <col min="9765" max="9769" width="11.42578125" style="1"/>
    <col min="9770" max="9770" width="13.28515625" style="1" bestFit="1" customWidth="1"/>
    <col min="9771" max="9774" width="11.42578125" style="1"/>
    <col min="9775" max="9775" width="15.28515625" style="1" bestFit="1" customWidth="1"/>
    <col min="9776" max="9776" width="13.28515625" style="1" bestFit="1" customWidth="1"/>
    <col min="9777" max="9803" width="11.42578125" style="1"/>
    <col min="9804" max="9804" width="13.28515625" style="1" bestFit="1" customWidth="1"/>
    <col min="9805" max="9829" width="11.42578125" style="1"/>
    <col min="9830" max="9830" width="15.28515625" style="1" bestFit="1" customWidth="1"/>
    <col min="9831" max="9831" width="11.42578125" style="1"/>
    <col min="9832" max="9832" width="13.28515625" style="1" bestFit="1" customWidth="1"/>
    <col min="9833" max="9834" width="11.42578125" style="1"/>
    <col min="9835" max="9835" width="16" style="1" customWidth="1"/>
    <col min="9836" max="9836" width="12.7109375" style="1" customWidth="1"/>
    <col min="9837" max="9984" width="11.42578125" style="1"/>
    <col min="9985" max="9985" width="4.140625" style="1" customWidth="1"/>
    <col min="9986" max="9986" width="17.140625" style="1" customWidth="1"/>
    <col min="9987" max="9987" width="12.42578125" style="1" customWidth="1"/>
    <col min="9988" max="9988" width="18" style="1" customWidth="1"/>
    <col min="9989" max="9989" width="14.42578125" style="1" customWidth="1"/>
    <col min="9990" max="9990" width="18.5703125" style="1" customWidth="1"/>
    <col min="9991" max="9991" width="15.140625" style="1" customWidth="1"/>
    <col min="9992" max="9993" width="13.5703125" style="1" customWidth="1"/>
    <col min="9994" max="9994" width="12.42578125" style="1" customWidth="1"/>
    <col min="9995" max="9995" width="11.42578125" style="1"/>
    <col min="9996" max="9997" width="16" style="1" customWidth="1"/>
    <col min="9998" max="9999" width="11.42578125" style="1"/>
    <col min="10000" max="10000" width="13.42578125" style="1" customWidth="1"/>
    <col min="10001" max="10003" width="11.42578125" style="1"/>
    <col min="10004" max="10004" width="38" style="1" customWidth="1"/>
    <col min="10005" max="10005" width="37.5703125" style="1" customWidth="1"/>
    <col min="10006" max="10006" width="12" style="1" bestFit="1" customWidth="1"/>
    <col min="10007" max="10011" width="11.42578125" style="1"/>
    <col min="10012" max="10020" width="13.28515625" style="1" bestFit="1" customWidth="1"/>
    <col min="10021" max="10025" width="11.42578125" style="1"/>
    <col min="10026" max="10026" width="13.28515625" style="1" bestFit="1" customWidth="1"/>
    <col min="10027" max="10030" width="11.42578125" style="1"/>
    <col min="10031" max="10031" width="15.28515625" style="1" bestFit="1" customWidth="1"/>
    <col min="10032" max="10032" width="13.28515625" style="1" bestFit="1" customWidth="1"/>
    <col min="10033" max="10059" width="11.42578125" style="1"/>
    <col min="10060" max="10060" width="13.28515625" style="1" bestFit="1" customWidth="1"/>
    <col min="10061" max="10085" width="11.42578125" style="1"/>
    <col min="10086" max="10086" width="15.28515625" style="1" bestFit="1" customWidth="1"/>
    <col min="10087" max="10087" width="11.42578125" style="1"/>
    <col min="10088" max="10088" width="13.28515625" style="1" bestFit="1" customWidth="1"/>
    <col min="10089" max="10090" width="11.42578125" style="1"/>
    <col min="10091" max="10091" width="16" style="1" customWidth="1"/>
    <col min="10092" max="10092" width="12.7109375" style="1" customWidth="1"/>
    <col min="10093" max="10240" width="11.42578125" style="1"/>
    <col min="10241" max="10241" width="4.140625" style="1" customWidth="1"/>
    <col min="10242" max="10242" width="17.140625" style="1" customWidth="1"/>
    <col min="10243" max="10243" width="12.42578125" style="1" customWidth="1"/>
    <col min="10244" max="10244" width="18" style="1" customWidth="1"/>
    <col min="10245" max="10245" width="14.42578125" style="1" customWidth="1"/>
    <col min="10246" max="10246" width="18.5703125" style="1" customWidth="1"/>
    <col min="10247" max="10247" width="15.140625" style="1" customWidth="1"/>
    <col min="10248" max="10249" width="13.5703125" style="1" customWidth="1"/>
    <col min="10250" max="10250" width="12.42578125" style="1" customWidth="1"/>
    <col min="10251" max="10251" width="11.42578125" style="1"/>
    <col min="10252" max="10253" width="16" style="1" customWidth="1"/>
    <col min="10254" max="10255" width="11.42578125" style="1"/>
    <col min="10256" max="10256" width="13.42578125" style="1" customWidth="1"/>
    <col min="10257" max="10259" width="11.42578125" style="1"/>
    <col min="10260" max="10260" width="38" style="1" customWidth="1"/>
    <col min="10261" max="10261" width="37.5703125" style="1" customWidth="1"/>
    <col min="10262" max="10262" width="12" style="1" bestFit="1" customWidth="1"/>
    <col min="10263" max="10267" width="11.42578125" style="1"/>
    <col min="10268" max="10276" width="13.28515625" style="1" bestFit="1" customWidth="1"/>
    <col min="10277" max="10281" width="11.42578125" style="1"/>
    <col min="10282" max="10282" width="13.28515625" style="1" bestFit="1" customWidth="1"/>
    <col min="10283" max="10286" width="11.42578125" style="1"/>
    <col min="10287" max="10287" width="15.28515625" style="1" bestFit="1" customWidth="1"/>
    <col min="10288" max="10288" width="13.28515625" style="1" bestFit="1" customWidth="1"/>
    <col min="10289" max="10315" width="11.42578125" style="1"/>
    <col min="10316" max="10316" width="13.28515625" style="1" bestFit="1" customWidth="1"/>
    <col min="10317" max="10341" width="11.42578125" style="1"/>
    <col min="10342" max="10342" width="15.28515625" style="1" bestFit="1" customWidth="1"/>
    <col min="10343" max="10343" width="11.42578125" style="1"/>
    <col min="10344" max="10344" width="13.28515625" style="1" bestFit="1" customWidth="1"/>
    <col min="10345" max="10346" width="11.42578125" style="1"/>
    <col min="10347" max="10347" width="16" style="1" customWidth="1"/>
    <col min="10348" max="10348" width="12.7109375" style="1" customWidth="1"/>
    <col min="10349" max="10496" width="11.42578125" style="1"/>
    <col min="10497" max="10497" width="4.140625" style="1" customWidth="1"/>
    <col min="10498" max="10498" width="17.140625" style="1" customWidth="1"/>
    <col min="10499" max="10499" width="12.42578125" style="1" customWidth="1"/>
    <col min="10500" max="10500" width="18" style="1" customWidth="1"/>
    <col min="10501" max="10501" width="14.42578125" style="1" customWidth="1"/>
    <col min="10502" max="10502" width="18.5703125" style="1" customWidth="1"/>
    <col min="10503" max="10503" width="15.140625" style="1" customWidth="1"/>
    <col min="10504" max="10505" width="13.5703125" style="1" customWidth="1"/>
    <col min="10506" max="10506" width="12.42578125" style="1" customWidth="1"/>
    <col min="10507" max="10507" width="11.42578125" style="1"/>
    <col min="10508" max="10509" width="16" style="1" customWidth="1"/>
    <col min="10510" max="10511" width="11.42578125" style="1"/>
    <col min="10512" max="10512" width="13.42578125" style="1" customWidth="1"/>
    <col min="10513" max="10515" width="11.42578125" style="1"/>
    <col min="10516" max="10516" width="38" style="1" customWidth="1"/>
    <col min="10517" max="10517" width="37.5703125" style="1" customWidth="1"/>
    <col min="10518" max="10518" width="12" style="1" bestFit="1" customWidth="1"/>
    <col min="10519" max="10523" width="11.42578125" style="1"/>
    <col min="10524" max="10532" width="13.28515625" style="1" bestFit="1" customWidth="1"/>
    <col min="10533" max="10537" width="11.42578125" style="1"/>
    <col min="10538" max="10538" width="13.28515625" style="1" bestFit="1" customWidth="1"/>
    <col min="10539" max="10542" width="11.42578125" style="1"/>
    <col min="10543" max="10543" width="15.28515625" style="1" bestFit="1" customWidth="1"/>
    <col min="10544" max="10544" width="13.28515625" style="1" bestFit="1" customWidth="1"/>
    <col min="10545" max="10571" width="11.42578125" style="1"/>
    <col min="10572" max="10572" width="13.28515625" style="1" bestFit="1" customWidth="1"/>
    <col min="10573" max="10597" width="11.42578125" style="1"/>
    <col min="10598" max="10598" width="15.28515625" style="1" bestFit="1" customWidth="1"/>
    <col min="10599" max="10599" width="11.42578125" style="1"/>
    <col min="10600" max="10600" width="13.28515625" style="1" bestFit="1" customWidth="1"/>
    <col min="10601" max="10602" width="11.42578125" style="1"/>
    <col min="10603" max="10603" width="16" style="1" customWidth="1"/>
    <col min="10604" max="10604" width="12.7109375" style="1" customWidth="1"/>
    <col min="10605" max="10752" width="11.42578125" style="1"/>
    <col min="10753" max="10753" width="4.140625" style="1" customWidth="1"/>
    <col min="10754" max="10754" width="17.140625" style="1" customWidth="1"/>
    <col min="10755" max="10755" width="12.42578125" style="1" customWidth="1"/>
    <col min="10756" max="10756" width="18" style="1" customWidth="1"/>
    <col min="10757" max="10757" width="14.42578125" style="1" customWidth="1"/>
    <col min="10758" max="10758" width="18.5703125" style="1" customWidth="1"/>
    <col min="10759" max="10759" width="15.140625" style="1" customWidth="1"/>
    <col min="10760" max="10761" width="13.5703125" style="1" customWidth="1"/>
    <col min="10762" max="10762" width="12.42578125" style="1" customWidth="1"/>
    <col min="10763" max="10763" width="11.42578125" style="1"/>
    <col min="10764" max="10765" width="16" style="1" customWidth="1"/>
    <col min="10766" max="10767" width="11.42578125" style="1"/>
    <col min="10768" max="10768" width="13.42578125" style="1" customWidth="1"/>
    <col min="10769" max="10771" width="11.42578125" style="1"/>
    <col min="10772" max="10772" width="38" style="1" customWidth="1"/>
    <col min="10773" max="10773" width="37.5703125" style="1" customWidth="1"/>
    <col min="10774" max="10774" width="12" style="1" bestFit="1" customWidth="1"/>
    <col min="10775" max="10779" width="11.42578125" style="1"/>
    <col min="10780" max="10788" width="13.28515625" style="1" bestFit="1" customWidth="1"/>
    <col min="10789" max="10793" width="11.42578125" style="1"/>
    <col min="10794" max="10794" width="13.28515625" style="1" bestFit="1" customWidth="1"/>
    <col min="10795" max="10798" width="11.42578125" style="1"/>
    <col min="10799" max="10799" width="15.28515625" style="1" bestFit="1" customWidth="1"/>
    <col min="10800" max="10800" width="13.28515625" style="1" bestFit="1" customWidth="1"/>
    <col min="10801" max="10827" width="11.42578125" style="1"/>
    <col min="10828" max="10828" width="13.28515625" style="1" bestFit="1" customWidth="1"/>
    <col min="10829" max="10853" width="11.42578125" style="1"/>
    <col min="10854" max="10854" width="15.28515625" style="1" bestFit="1" customWidth="1"/>
    <col min="10855" max="10855" width="11.42578125" style="1"/>
    <col min="10856" max="10856" width="13.28515625" style="1" bestFit="1" customWidth="1"/>
    <col min="10857" max="10858" width="11.42578125" style="1"/>
    <col min="10859" max="10859" width="16" style="1" customWidth="1"/>
    <col min="10860" max="10860" width="12.7109375" style="1" customWidth="1"/>
    <col min="10861" max="11008" width="11.42578125" style="1"/>
    <col min="11009" max="11009" width="4.140625" style="1" customWidth="1"/>
    <col min="11010" max="11010" width="17.140625" style="1" customWidth="1"/>
    <col min="11011" max="11011" width="12.42578125" style="1" customWidth="1"/>
    <col min="11012" max="11012" width="18" style="1" customWidth="1"/>
    <col min="11013" max="11013" width="14.42578125" style="1" customWidth="1"/>
    <col min="11014" max="11014" width="18.5703125" style="1" customWidth="1"/>
    <col min="11015" max="11015" width="15.140625" style="1" customWidth="1"/>
    <col min="11016" max="11017" width="13.5703125" style="1" customWidth="1"/>
    <col min="11018" max="11018" width="12.42578125" style="1" customWidth="1"/>
    <col min="11019" max="11019" width="11.42578125" style="1"/>
    <col min="11020" max="11021" width="16" style="1" customWidth="1"/>
    <col min="11022" max="11023" width="11.42578125" style="1"/>
    <col min="11024" max="11024" width="13.42578125" style="1" customWidth="1"/>
    <col min="11025" max="11027" width="11.42578125" style="1"/>
    <col min="11028" max="11028" width="38" style="1" customWidth="1"/>
    <col min="11029" max="11029" width="37.5703125" style="1" customWidth="1"/>
    <col min="11030" max="11030" width="12" style="1" bestFit="1" customWidth="1"/>
    <col min="11031" max="11035" width="11.42578125" style="1"/>
    <col min="11036" max="11044" width="13.28515625" style="1" bestFit="1" customWidth="1"/>
    <col min="11045" max="11049" width="11.42578125" style="1"/>
    <col min="11050" max="11050" width="13.28515625" style="1" bestFit="1" customWidth="1"/>
    <col min="11051" max="11054" width="11.42578125" style="1"/>
    <col min="11055" max="11055" width="15.28515625" style="1" bestFit="1" customWidth="1"/>
    <col min="11056" max="11056" width="13.28515625" style="1" bestFit="1" customWidth="1"/>
    <col min="11057" max="11083" width="11.42578125" style="1"/>
    <col min="11084" max="11084" width="13.28515625" style="1" bestFit="1" customWidth="1"/>
    <col min="11085" max="11109" width="11.42578125" style="1"/>
    <col min="11110" max="11110" width="15.28515625" style="1" bestFit="1" customWidth="1"/>
    <col min="11111" max="11111" width="11.42578125" style="1"/>
    <col min="11112" max="11112" width="13.28515625" style="1" bestFit="1" customWidth="1"/>
    <col min="11113" max="11114" width="11.42578125" style="1"/>
    <col min="11115" max="11115" width="16" style="1" customWidth="1"/>
    <col min="11116" max="11116" width="12.7109375" style="1" customWidth="1"/>
    <col min="11117" max="11264" width="11.42578125" style="1"/>
    <col min="11265" max="11265" width="4.140625" style="1" customWidth="1"/>
    <col min="11266" max="11266" width="17.140625" style="1" customWidth="1"/>
    <col min="11267" max="11267" width="12.42578125" style="1" customWidth="1"/>
    <col min="11268" max="11268" width="18" style="1" customWidth="1"/>
    <col min="11269" max="11269" width="14.42578125" style="1" customWidth="1"/>
    <col min="11270" max="11270" width="18.5703125" style="1" customWidth="1"/>
    <col min="11271" max="11271" width="15.140625" style="1" customWidth="1"/>
    <col min="11272" max="11273" width="13.5703125" style="1" customWidth="1"/>
    <col min="11274" max="11274" width="12.42578125" style="1" customWidth="1"/>
    <col min="11275" max="11275" width="11.42578125" style="1"/>
    <col min="11276" max="11277" width="16" style="1" customWidth="1"/>
    <col min="11278" max="11279" width="11.42578125" style="1"/>
    <col min="11280" max="11280" width="13.42578125" style="1" customWidth="1"/>
    <col min="11281" max="11283" width="11.42578125" style="1"/>
    <col min="11284" max="11284" width="38" style="1" customWidth="1"/>
    <col min="11285" max="11285" width="37.5703125" style="1" customWidth="1"/>
    <col min="11286" max="11286" width="12" style="1" bestFit="1" customWidth="1"/>
    <col min="11287" max="11291" width="11.42578125" style="1"/>
    <col min="11292" max="11300" width="13.28515625" style="1" bestFit="1" customWidth="1"/>
    <col min="11301" max="11305" width="11.42578125" style="1"/>
    <col min="11306" max="11306" width="13.28515625" style="1" bestFit="1" customWidth="1"/>
    <col min="11307" max="11310" width="11.42578125" style="1"/>
    <col min="11311" max="11311" width="15.28515625" style="1" bestFit="1" customWidth="1"/>
    <col min="11312" max="11312" width="13.28515625" style="1" bestFit="1" customWidth="1"/>
    <col min="11313" max="11339" width="11.42578125" style="1"/>
    <col min="11340" max="11340" width="13.28515625" style="1" bestFit="1" customWidth="1"/>
    <col min="11341" max="11365" width="11.42578125" style="1"/>
    <col min="11366" max="11366" width="15.28515625" style="1" bestFit="1" customWidth="1"/>
    <col min="11367" max="11367" width="11.42578125" style="1"/>
    <col min="11368" max="11368" width="13.28515625" style="1" bestFit="1" customWidth="1"/>
    <col min="11369" max="11370" width="11.42578125" style="1"/>
    <col min="11371" max="11371" width="16" style="1" customWidth="1"/>
    <col min="11372" max="11372" width="12.7109375" style="1" customWidth="1"/>
    <col min="11373" max="11520" width="11.42578125" style="1"/>
    <col min="11521" max="11521" width="4.140625" style="1" customWidth="1"/>
    <col min="11522" max="11522" width="17.140625" style="1" customWidth="1"/>
    <col min="11523" max="11523" width="12.42578125" style="1" customWidth="1"/>
    <col min="11524" max="11524" width="18" style="1" customWidth="1"/>
    <col min="11525" max="11525" width="14.42578125" style="1" customWidth="1"/>
    <col min="11526" max="11526" width="18.5703125" style="1" customWidth="1"/>
    <col min="11527" max="11527" width="15.140625" style="1" customWidth="1"/>
    <col min="11528" max="11529" width="13.5703125" style="1" customWidth="1"/>
    <col min="11530" max="11530" width="12.42578125" style="1" customWidth="1"/>
    <col min="11531" max="11531" width="11.42578125" style="1"/>
    <col min="11532" max="11533" width="16" style="1" customWidth="1"/>
    <col min="11534" max="11535" width="11.42578125" style="1"/>
    <col min="11536" max="11536" width="13.42578125" style="1" customWidth="1"/>
    <col min="11537" max="11539" width="11.42578125" style="1"/>
    <col min="11540" max="11540" width="38" style="1" customWidth="1"/>
    <col min="11541" max="11541" width="37.5703125" style="1" customWidth="1"/>
    <col min="11542" max="11542" width="12" style="1" bestFit="1" customWidth="1"/>
    <col min="11543" max="11547" width="11.42578125" style="1"/>
    <col min="11548" max="11556" width="13.28515625" style="1" bestFit="1" customWidth="1"/>
    <col min="11557" max="11561" width="11.42578125" style="1"/>
    <col min="11562" max="11562" width="13.28515625" style="1" bestFit="1" customWidth="1"/>
    <col min="11563" max="11566" width="11.42578125" style="1"/>
    <col min="11567" max="11567" width="15.28515625" style="1" bestFit="1" customWidth="1"/>
    <col min="11568" max="11568" width="13.28515625" style="1" bestFit="1" customWidth="1"/>
    <col min="11569" max="11595" width="11.42578125" style="1"/>
    <col min="11596" max="11596" width="13.28515625" style="1" bestFit="1" customWidth="1"/>
    <col min="11597" max="11621" width="11.42578125" style="1"/>
    <col min="11622" max="11622" width="15.28515625" style="1" bestFit="1" customWidth="1"/>
    <col min="11623" max="11623" width="11.42578125" style="1"/>
    <col min="11624" max="11624" width="13.28515625" style="1" bestFit="1" customWidth="1"/>
    <col min="11625" max="11626" width="11.42578125" style="1"/>
    <col min="11627" max="11627" width="16" style="1" customWidth="1"/>
    <col min="11628" max="11628" width="12.7109375" style="1" customWidth="1"/>
    <col min="11629" max="11776" width="11.42578125" style="1"/>
    <col min="11777" max="11777" width="4.140625" style="1" customWidth="1"/>
    <col min="11778" max="11778" width="17.140625" style="1" customWidth="1"/>
    <col min="11779" max="11779" width="12.42578125" style="1" customWidth="1"/>
    <col min="11780" max="11780" width="18" style="1" customWidth="1"/>
    <col min="11781" max="11781" width="14.42578125" style="1" customWidth="1"/>
    <col min="11782" max="11782" width="18.5703125" style="1" customWidth="1"/>
    <col min="11783" max="11783" width="15.140625" style="1" customWidth="1"/>
    <col min="11784" max="11785" width="13.5703125" style="1" customWidth="1"/>
    <col min="11786" max="11786" width="12.42578125" style="1" customWidth="1"/>
    <col min="11787" max="11787" width="11.42578125" style="1"/>
    <col min="11788" max="11789" width="16" style="1" customWidth="1"/>
    <col min="11790" max="11791" width="11.42578125" style="1"/>
    <col min="11792" max="11792" width="13.42578125" style="1" customWidth="1"/>
    <col min="11793" max="11795" width="11.42578125" style="1"/>
    <col min="11796" max="11796" width="38" style="1" customWidth="1"/>
    <col min="11797" max="11797" width="37.5703125" style="1" customWidth="1"/>
    <col min="11798" max="11798" width="12" style="1" bestFit="1" customWidth="1"/>
    <col min="11799" max="11803" width="11.42578125" style="1"/>
    <col min="11804" max="11812" width="13.28515625" style="1" bestFit="1" customWidth="1"/>
    <col min="11813" max="11817" width="11.42578125" style="1"/>
    <col min="11818" max="11818" width="13.28515625" style="1" bestFit="1" customWidth="1"/>
    <col min="11819" max="11822" width="11.42578125" style="1"/>
    <col min="11823" max="11823" width="15.28515625" style="1" bestFit="1" customWidth="1"/>
    <col min="11824" max="11824" width="13.28515625" style="1" bestFit="1" customWidth="1"/>
    <col min="11825" max="11851" width="11.42578125" style="1"/>
    <col min="11852" max="11852" width="13.28515625" style="1" bestFit="1" customWidth="1"/>
    <col min="11853" max="11877" width="11.42578125" style="1"/>
    <col min="11878" max="11878" width="15.28515625" style="1" bestFit="1" customWidth="1"/>
    <col min="11879" max="11879" width="11.42578125" style="1"/>
    <col min="11880" max="11880" width="13.28515625" style="1" bestFit="1" customWidth="1"/>
    <col min="11881" max="11882" width="11.42578125" style="1"/>
    <col min="11883" max="11883" width="16" style="1" customWidth="1"/>
    <col min="11884" max="11884" width="12.7109375" style="1" customWidth="1"/>
    <col min="11885" max="12032" width="11.42578125" style="1"/>
    <col min="12033" max="12033" width="4.140625" style="1" customWidth="1"/>
    <col min="12034" max="12034" width="17.140625" style="1" customWidth="1"/>
    <col min="12035" max="12035" width="12.42578125" style="1" customWidth="1"/>
    <col min="12036" max="12036" width="18" style="1" customWidth="1"/>
    <col min="12037" max="12037" width="14.42578125" style="1" customWidth="1"/>
    <col min="12038" max="12038" width="18.5703125" style="1" customWidth="1"/>
    <col min="12039" max="12039" width="15.140625" style="1" customWidth="1"/>
    <col min="12040" max="12041" width="13.5703125" style="1" customWidth="1"/>
    <col min="12042" max="12042" width="12.42578125" style="1" customWidth="1"/>
    <col min="12043" max="12043" width="11.42578125" style="1"/>
    <col min="12044" max="12045" width="16" style="1" customWidth="1"/>
    <col min="12046" max="12047" width="11.42578125" style="1"/>
    <col min="12048" max="12048" width="13.42578125" style="1" customWidth="1"/>
    <col min="12049" max="12051" width="11.42578125" style="1"/>
    <col min="12052" max="12052" width="38" style="1" customWidth="1"/>
    <col min="12053" max="12053" width="37.5703125" style="1" customWidth="1"/>
    <col min="12054" max="12054" width="12" style="1" bestFit="1" customWidth="1"/>
    <col min="12055" max="12059" width="11.42578125" style="1"/>
    <col min="12060" max="12068" width="13.28515625" style="1" bestFit="1" customWidth="1"/>
    <col min="12069" max="12073" width="11.42578125" style="1"/>
    <col min="12074" max="12074" width="13.28515625" style="1" bestFit="1" customWidth="1"/>
    <col min="12075" max="12078" width="11.42578125" style="1"/>
    <col min="12079" max="12079" width="15.28515625" style="1" bestFit="1" customWidth="1"/>
    <col min="12080" max="12080" width="13.28515625" style="1" bestFit="1" customWidth="1"/>
    <col min="12081" max="12107" width="11.42578125" style="1"/>
    <col min="12108" max="12108" width="13.28515625" style="1" bestFit="1" customWidth="1"/>
    <col min="12109" max="12133" width="11.42578125" style="1"/>
    <col min="12134" max="12134" width="15.28515625" style="1" bestFit="1" customWidth="1"/>
    <col min="12135" max="12135" width="11.42578125" style="1"/>
    <col min="12136" max="12136" width="13.28515625" style="1" bestFit="1" customWidth="1"/>
    <col min="12137" max="12138" width="11.42578125" style="1"/>
    <col min="12139" max="12139" width="16" style="1" customWidth="1"/>
    <col min="12140" max="12140" width="12.7109375" style="1" customWidth="1"/>
    <col min="12141" max="12288" width="11.42578125" style="1"/>
    <col min="12289" max="12289" width="4.140625" style="1" customWidth="1"/>
    <col min="12290" max="12290" width="17.140625" style="1" customWidth="1"/>
    <col min="12291" max="12291" width="12.42578125" style="1" customWidth="1"/>
    <col min="12292" max="12292" width="18" style="1" customWidth="1"/>
    <col min="12293" max="12293" width="14.42578125" style="1" customWidth="1"/>
    <col min="12294" max="12294" width="18.5703125" style="1" customWidth="1"/>
    <col min="12295" max="12295" width="15.140625" style="1" customWidth="1"/>
    <col min="12296" max="12297" width="13.5703125" style="1" customWidth="1"/>
    <col min="12298" max="12298" width="12.42578125" style="1" customWidth="1"/>
    <col min="12299" max="12299" width="11.42578125" style="1"/>
    <col min="12300" max="12301" width="16" style="1" customWidth="1"/>
    <col min="12302" max="12303" width="11.42578125" style="1"/>
    <col min="12304" max="12304" width="13.42578125" style="1" customWidth="1"/>
    <col min="12305" max="12307" width="11.42578125" style="1"/>
    <col min="12308" max="12308" width="38" style="1" customWidth="1"/>
    <col min="12309" max="12309" width="37.5703125" style="1" customWidth="1"/>
    <col min="12310" max="12310" width="12" style="1" bestFit="1" customWidth="1"/>
    <col min="12311" max="12315" width="11.42578125" style="1"/>
    <col min="12316" max="12324" width="13.28515625" style="1" bestFit="1" customWidth="1"/>
    <col min="12325" max="12329" width="11.42578125" style="1"/>
    <col min="12330" max="12330" width="13.28515625" style="1" bestFit="1" customWidth="1"/>
    <col min="12331" max="12334" width="11.42578125" style="1"/>
    <col min="12335" max="12335" width="15.28515625" style="1" bestFit="1" customWidth="1"/>
    <col min="12336" max="12336" width="13.28515625" style="1" bestFit="1" customWidth="1"/>
    <col min="12337" max="12363" width="11.42578125" style="1"/>
    <col min="12364" max="12364" width="13.28515625" style="1" bestFit="1" customWidth="1"/>
    <col min="12365" max="12389" width="11.42578125" style="1"/>
    <col min="12390" max="12390" width="15.28515625" style="1" bestFit="1" customWidth="1"/>
    <col min="12391" max="12391" width="11.42578125" style="1"/>
    <col min="12392" max="12392" width="13.28515625" style="1" bestFit="1" customWidth="1"/>
    <col min="12393" max="12394" width="11.42578125" style="1"/>
    <col min="12395" max="12395" width="16" style="1" customWidth="1"/>
    <col min="12396" max="12396" width="12.7109375" style="1" customWidth="1"/>
    <col min="12397" max="12544" width="11.42578125" style="1"/>
    <col min="12545" max="12545" width="4.140625" style="1" customWidth="1"/>
    <col min="12546" max="12546" width="17.140625" style="1" customWidth="1"/>
    <col min="12547" max="12547" width="12.42578125" style="1" customWidth="1"/>
    <col min="12548" max="12548" width="18" style="1" customWidth="1"/>
    <col min="12549" max="12549" width="14.42578125" style="1" customWidth="1"/>
    <col min="12550" max="12550" width="18.5703125" style="1" customWidth="1"/>
    <col min="12551" max="12551" width="15.140625" style="1" customWidth="1"/>
    <col min="12552" max="12553" width="13.5703125" style="1" customWidth="1"/>
    <col min="12554" max="12554" width="12.42578125" style="1" customWidth="1"/>
    <col min="12555" max="12555" width="11.42578125" style="1"/>
    <col min="12556" max="12557" width="16" style="1" customWidth="1"/>
    <col min="12558" max="12559" width="11.42578125" style="1"/>
    <col min="12560" max="12560" width="13.42578125" style="1" customWidth="1"/>
    <col min="12561" max="12563" width="11.42578125" style="1"/>
    <col min="12564" max="12564" width="38" style="1" customWidth="1"/>
    <col min="12565" max="12565" width="37.5703125" style="1" customWidth="1"/>
    <col min="12566" max="12566" width="12" style="1" bestFit="1" customWidth="1"/>
    <col min="12567" max="12571" width="11.42578125" style="1"/>
    <col min="12572" max="12580" width="13.28515625" style="1" bestFit="1" customWidth="1"/>
    <col min="12581" max="12585" width="11.42578125" style="1"/>
    <col min="12586" max="12586" width="13.28515625" style="1" bestFit="1" customWidth="1"/>
    <col min="12587" max="12590" width="11.42578125" style="1"/>
    <col min="12591" max="12591" width="15.28515625" style="1" bestFit="1" customWidth="1"/>
    <col min="12592" max="12592" width="13.28515625" style="1" bestFit="1" customWidth="1"/>
    <col min="12593" max="12619" width="11.42578125" style="1"/>
    <col min="12620" max="12620" width="13.28515625" style="1" bestFit="1" customWidth="1"/>
    <col min="12621" max="12645" width="11.42578125" style="1"/>
    <col min="12646" max="12646" width="15.28515625" style="1" bestFit="1" customWidth="1"/>
    <col min="12647" max="12647" width="11.42578125" style="1"/>
    <col min="12648" max="12648" width="13.28515625" style="1" bestFit="1" customWidth="1"/>
    <col min="12649" max="12650" width="11.42578125" style="1"/>
    <col min="12651" max="12651" width="16" style="1" customWidth="1"/>
    <col min="12652" max="12652" width="12.7109375" style="1" customWidth="1"/>
    <col min="12653" max="12800" width="11.42578125" style="1"/>
    <col min="12801" max="12801" width="4.140625" style="1" customWidth="1"/>
    <col min="12802" max="12802" width="17.140625" style="1" customWidth="1"/>
    <col min="12803" max="12803" width="12.42578125" style="1" customWidth="1"/>
    <col min="12804" max="12804" width="18" style="1" customWidth="1"/>
    <col min="12805" max="12805" width="14.42578125" style="1" customWidth="1"/>
    <col min="12806" max="12806" width="18.5703125" style="1" customWidth="1"/>
    <col min="12807" max="12807" width="15.140625" style="1" customWidth="1"/>
    <col min="12808" max="12809" width="13.5703125" style="1" customWidth="1"/>
    <col min="12810" max="12810" width="12.42578125" style="1" customWidth="1"/>
    <col min="12811" max="12811" width="11.42578125" style="1"/>
    <col min="12812" max="12813" width="16" style="1" customWidth="1"/>
    <col min="12814" max="12815" width="11.42578125" style="1"/>
    <col min="12816" max="12816" width="13.42578125" style="1" customWidth="1"/>
    <col min="12817" max="12819" width="11.42578125" style="1"/>
    <col min="12820" max="12820" width="38" style="1" customWidth="1"/>
    <col min="12821" max="12821" width="37.5703125" style="1" customWidth="1"/>
    <col min="12822" max="12822" width="12" style="1" bestFit="1" customWidth="1"/>
    <col min="12823" max="12827" width="11.42578125" style="1"/>
    <col min="12828" max="12836" width="13.28515625" style="1" bestFit="1" customWidth="1"/>
    <col min="12837" max="12841" width="11.42578125" style="1"/>
    <col min="12842" max="12842" width="13.28515625" style="1" bestFit="1" customWidth="1"/>
    <col min="12843" max="12846" width="11.42578125" style="1"/>
    <col min="12847" max="12847" width="15.28515625" style="1" bestFit="1" customWidth="1"/>
    <col min="12848" max="12848" width="13.28515625" style="1" bestFit="1" customWidth="1"/>
    <col min="12849" max="12875" width="11.42578125" style="1"/>
    <col min="12876" max="12876" width="13.28515625" style="1" bestFit="1" customWidth="1"/>
    <col min="12877" max="12901" width="11.42578125" style="1"/>
    <col min="12902" max="12902" width="15.28515625" style="1" bestFit="1" customWidth="1"/>
    <col min="12903" max="12903" width="11.42578125" style="1"/>
    <col min="12904" max="12904" width="13.28515625" style="1" bestFit="1" customWidth="1"/>
    <col min="12905" max="12906" width="11.42578125" style="1"/>
    <col min="12907" max="12907" width="16" style="1" customWidth="1"/>
    <col min="12908" max="12908" width="12.7109375" style="1" customWidth="1"/>
    <col min="12909" max="13056" width="11.42578125" style="1"/>
    <col min="13057" max="13057" width="4.140625" style="1" customWidth="1"/>
    <col min="13058" max="13058" width="17.140625" style="1" customWidth="1"/>
    <col min="13059" max="13059" width="12.42578125" style="1" customWidth="1"/>
    <col min="13060" max="13060" width="18" style="1" customWidth="1"/>
    <col min="13061" max="13061" width="14.42578125" style="1" customWidth="1"/>
    <col min="13062" max="13062" width="18.5703125" style="1" customWidth="1"/>
    <col min="13063" max="13063" width="15.140625" style="1" customWidth="1"/>
    <col min="13064" max="13065" width="13.5703125" style="1" customWidth="1"/>
    <col min="13066" max="13066" width="12.42578125" style="1" customWidth="1"/>
    <col min="13067" max="13067" width="11.42578125" style="1"/>
    <col min="13068" max="13069" width="16" style="1" customWidth="1"/>
    <col min="13070" max="13071" width="11.42578125" style="1"/>
    <col min="13072" max="13072" width="13.42578125" style="1" customWidth="1"/>
    <col min="13073" max="13075" width="11.42578125" style="1"/>
    <col min="13076" max="13076" width="38" style="1" customWidth="1"/>
    <col min="13077" max="13077" width="37.5703125" style="1" customWidth="1"/>
    <col min="13078" max="13078" width="12" style="1" bestFit="1" customWidth="1"/>
    <col min="13079" max="13083" width="11.42578125" style="1"/>
    <col min="13084" max="13092" width="13.28515625" style="1" bestFit="1" customWidth="1"/>
    <col min="13093" max="13097" width="11.42578125" style="1"/>
    <col min="13098" max="13098" width="13.28515625" style="1" bestFit="1" customWidth="1"/>
    <col min="13099" max="13102" width="11.42578125" style="1"/>
    <col min="13103" max="13103" width="15.28515625" style="1" bestFit="1" customWidth="1"/>
    <col min="13104" max="13104" width="13.28515625" style="1" bestFit="1" customWidth="1"/>
    <col min="13105" max="13131" width="11.42578125" style="1"/>
    <col min="13132" max="13132" width="13.28515625" style="1" bestFit="1" customWidth="1"/>
    <col min="13133" max="13157" width="11.42578125" style="1"/>
    <col min="13158" max="13158" width="15.28515625" style="1" bestFit="1" customWidth="1"/>
    <col min="13159" max="13159" width="11.42578125" style="1"/>
    <col min="13160" max="13160" width="13.28515625" style="1" bestFit="1" customWidth="1"/>
    <col min="13161" max="13162" width="11.42578125" style="1"/>
    <col min="13163" max="13163" width="16" style="1" customWidth="1"/>
    <col min="13164" max="13164" width="12.7109375" style="1" customWidth="1"/>
    <col min="13165" max="13312" width="11.42578125" style="1"/>
    <col min="13313" max="13313" width="4.140625" style="1" customWidth="1"/>
    <col min="13314" max="13314" width="17.140625" style="1" customWidth="1"/>
    <col min="13315" max="13315" width="12.42578125" style="1" customWidth="1"/>
    <col min="13316" max="13316" width="18" style="1" customWidth="1"/>
    <col min="13317" max="13317" width="14.42578125" style="1" customWidth="1"/>
    <col min="13318" max="13318" width="18.5703125" style="1" customWidth="1"/>
    <col min="13319" max="13319" width="15.140625" style="1" customWidth="1"/>
    <col min="13320" max="13321" width="13.5703125" style="1" customWidth="1"/>
    <col min="13322" max="13322" width="12.42578125" style="1" customWidth="1"/>
    <col min="13323" max="13323" width="11.42578125" style="1"/>
    <col min="13324" max="13325" width="16" style="1" customWidth="1"/>
    <col min="13326" max="13327" width="11.42578125" style="1"/>
    <col min="13328" max="13328" width="13.42578125" style="1" customWidth="1"/>
    <col min="13329" max="13331" width="11.42578125" style="1"/>
    <col min="13332" max="13332" width="38" style="1" customWidth="1"/>
    <col min="13333" max="13333" width="37.5703125" style="1" customWidth="1"/>
    <col min="13334" max="13334" width="12" style="1" bestFit="1" customWidth="1"/>
    <col min="13335" max="13339" width="11.42578125" style="1"/>
    <col min="13340" max="13348" width="13.28515625" style="1" bestFit="1" customWidth="1"/>
    <col min="13349" max="13353" width="11.42578125" style="1"/>
    <col min="13354" max="13354" width="13.28515625" style="1" bestFit="1" customWidth="1"/>
    <col min="13355" max="13358" width="11.42578125" style="1"/>
    <col min="13359" max="13359" width="15.28515625" style="1" bestFit="1" customWidth="1"/>
    <col min="13360" max="13360" width="13.28515625" style="1" bestFit="1" customWidth="1"/>
    <col min="13361" max="13387" width="11.42578125" style="1"/>
    <col min="13388" max="13388" width="13.28515625" style="1" bestFit="1" customWidth="1"/>
    <col min="13389" max="13413" width="11.42578125" style="1"/>
    <col min="13414" max="13414" width="15.28515625" style="1" bestFit="1" customWidth="1"/>
    <col min="13415" max="13415" width="11.42578125" style="1"/>
    <col min="13416" max="13416" width="13.28515625" style="1" bestFit="1" customWidth="1"/>
    <col min="13417" max="13418" width="11.42578125" style="1"/>
    <col min="13419" max="13419" width="16" style="1" customWidth="1"/>
    <col min="13420" max="13420" width="12.7109375" style="1" customWidth="1"/>
    <col min="13421" max="13568" width="11.42578125" style="1"/>
    <col min="13569" max="13569" width="4.140625" style="1" customWidth="1"/>
    <col min="13570" max="13570" width="17.140625" style="1" customWidth="1"/>
    <col min="13571" max="13571" width="12.42578125" style="1" customWidth="1"/>
    <col min="13572" max="13572" width="18" style="1" customWidth="1"/>
    <col min="13573" max="13573" width="14.42578125" style="1" customWidth="1"/>
    <col min="13574" max="13574" width="18.5703125" style="1" customWidth="1"/>
    <col min="13575" max="13575" width="15.140625" style="1" customWidth="1"/>
    <col min="13576" max="13577" width="13.5703125" style="1" customWidth="1"/>
    <col min="13578" max="13578" width="12.42578125" style="1" customWidth="1"/>
    <col min="13579" max="13579" width="11.42578125" style="1"/>
    <col min="13580" max="13581" width="16" style="1" customWidth="1"/>
    <col min="13582" max="13583" width="11.42578125" style="1"/>
    <col min="13584" max="13584" width="13.42578125" style="1" customWidth="1"/>
    <col min="13585" max="13587" width="11.42578125" style="1"/>
    <col min="13588" max="13588" width="38" style="1" customWidth="1"/>
    <col min="13589" max="13589" width="37.5703125" style="1" customWidth="1"/>
    <col min="13590" max="13590" width="12" style="1" bestFit="1" customWidth="1"/>
    <col min="13591" max="13595" width="11.42578125" style="1"/>
    <col min="13596" max="13604" width="13.28515625" style="1" bestFit="1" customWidth="1"/>
    <col min="13605" max="13609" width="11.42578125" style="1"/>
    <col min="13610" max="13610" width="13.28515625" style="1" bestFit="1" customWidth="1"/>
    <col min="13611" max="13614" width="11.42578125" style="1"/>
    <col min="13615" max="13615" width="15.28515625" style="1" bestFit="1" customWidth="1"/>
    <col min="13616" max="13616" width="13.28515625" style="1" bestFit="1" customWidth="1"/>
    <col min="13617" max="13643" width="11.42578125" style="1"/>
    <col min="13644" max="13644" width="13.28515625" style="1" bestFit="1" customWidth="1"/>
    <col min="13645" max="13669" width="11.42578125" style="1"/>
    <col min="13670" max="13670" width="15.28515625" style="1" bestFit="1" customWidth="1"/>
    <col min="13671" max="13671" width="11.42578125" style="1"/>
    <col min="13672" max="13672" width="13.28515625" style="1" bestFit="1" customWidth="1"/>
    <col min="13673" max="13674" width="11.42578125" style="1"/>
    <col min="13675" max="13675" width="16" style="1" customWidth="1"/>
    <col min="13676" max="13676" width="12.7109375" style="1" customWidth="1"/>
    <col min="13677" max="13824" width="11.42578125" style="1"/>
    <col min="13825" max="13825" width="4.140625" style="1" customWidth="1"/>
    <col min="13826" max="13826" width="17.140625" style="1" customWidth="1"/>
    <col min="13827" max="13827" width="12.42578125" style="1" customWidth="1"/>
    <col min="13828" max="13828" width="18" style="1" customWidth="1"/>
    <col min="13829" max="13829" width="14.42578125" style="1" customWidth="1"/>
    <col min="13830" max="13830" width="18.5703125" style="1" customWidth="1"/>
    <col min="13831" max="13831" width="15.140625" style="1" customWidth="1"/>
    <col min="13832" max="13833" width="13.5703125" style="1" customWidth="1"/>
    <col min="13834" max="13834" width="12.42578125" style="1" customWidth="1"/>
    <col min="13835" max="13835" width="11.42578125" style="1"/>
    <col min="13836" max="13837" width="16" style="1" customWidth="1"/>
    <col min="13838" max="13839" width="11.42578125" style="1"/>
    <col min="13840" max="13840" width="13.42578125" style="1" customWidth="1"/>
    <col min="13841" max="13843" width="11.42578125" style="1"/>
    <col min="13844" max="13844" width="38" style="1" customWidth="1"/>
    <col min="13845" max="13845" width="37.5703125" style="1" customWidth="1"/>
    <col min="13846" max="13846" width="12" style="1" bestFit="1" customWidth="1"/>
    <col min="13847" max="13851" width="11.42578125" style="1"/>
    <col min="13852" max="13860" width="13.28515625" style="1" bestFit="1" customWidth="1"/>
    <col min="13861" max="13865" width="11.42578125" style="1"/>
    <col min="13866" max="13866" width="13.28515625" style="1" bestFit="1" customWidth="1"/>
    <col min="13867" max="13870" width="11.42578125" style="1"/>
    <col min="13871" max="13871" width="15.28515625" style="1" bestFit="1" customWidth="1"/>
    <col min="13872" max="13872" width="13.28515625" style="1" bestFit="1" customWidth="1"/>
    <col min="13873" max="13899" width="11.42578125" style="1"/>
    <col min="13900" max="13900" width="13.28515625" style="1" bestFit="1" customWidth="1"/>
    <col min="13901" max="13925" width="11.42578125" style="1"/>
    <col min="13926" max="13926" width="15.28515625" style="1" bestFit="1" customWidth="1"/>
    <col min="13927" max="13927" width="11.42578125" style="1"/>
    <col min="13928" max="13928" width="13.28515625" style="1" bestFit="1" customWidth="1"/>
    <col min="13929" max="13930" width="11.42578125" style="1"/>
    <col min="13931" max="13931" width="16" style="1" customWidth="1"/>
    <col min="13932" max="13932" width="12.7109375" style="1" customWidth="1"/>
    <col min="13933" max="14080" width="11.42578125" style="1"/>
    <col min="14081" max="14081" width="4.140625" style="1" customWidth="1"/>
    <col min="14082" max="14082" width="17.140625" style="1" customWidth="1"/>
    <col min="14083" max="14083" width="12.42578125" style="1" customWidth="1"/>
    <col min="14084" max="14084" width="18" style="1" customWidth="1"/>
    <col min="14085" max="14085" width="14.42578125" style="1" customWidth="1"/>
    <col min="14086" max="14086" width="18.5703125" style="1" customWidth="1"/>
    <col min="14087" max="14087" width="15.140625" style="1" customWidth="1"/>
    <col min="14088" max="14089" width="13.5703125" style="1" customWidth="1"/>
    <col min="14090" max="14090" width="12.42578125" style="1" customWidth="1"/>
    <col min="14091" max="14091" width="11.42578125" style="1"/>
    <col min="14092" max="14093" width="16" style="1" customWidth="1"/>
    <col min="14094" max="14095" width="11.42578125" style="1"/>
    <col min="14096" max="14096" width="13.42578125" style="1" customWidth="1"/>
    <col min="14097" max="14099" width="11.42578125" style="1"/>
    <col min="14100" max="14100" width="38" style="1" customWidth="1"/>
    <col min="14101" max="14101" width="37.5703125" style="1" customWidth="1"/>
    <col min="14102" max="14102" width="12" style="1" bestFit="1" customWidth="1"/>
    <col min="14103" max="14107" width="11.42578125" style="1"/>
    <col min="14108" max="14116" width="13.28515625" style="1" bestFit="1" customWidth="1"/>
    <col min="14117" max="14121" width="11.42578125" style="1"/>
    <col min="14122" max="14122" width="13.28515625" style="1" bestFit="1" customWidth="1"/>
    <col min="14123" max="14126" width="11.42578125" style="1"/>
    <col min="14127" max="14127" width="15.28515625" style="1" bestFit="1" customWidth="1"/>
    <col min="14128" max="14128" width="13.28515625" style="1" bestFit="1" customWidth="1"/>
    <col min="14129" max="14155" width="11.42578125" style="1"/>
    <col min="14156" max="14156" width="13.28515625" style="1" bestFit="1" customWidth="1"/>
    <col min="14157" max="14181" width="11.42578125" style="1"/>
    <col min="14182" max="14182" width="15.28515625" style="1" bestFit="1" customWidth="1"/>
    <col min="14183" max="14183" width="11.42578125" style="1"/>
    <col min="14184" max="14184" width="13.28515625" style="1" bestFit="1" customWidth="1"/>
    <col min="14185" max="14186" width="11.42578125" style="1"/>
    <col min="14187" max="14187" width="16" style="1" customWidth="1"/>
    <col min="14188" max="14188" width="12.7109375" style="1" customWidth="1"/>
    <col min="14189" max="14336" width="11.42578125" style="1"/>
    <col min="14337" max="14337" width="4.140625" style="1" customWidth="1"/>
    <col min="14338" max="14338" width="17.140625" style="1" customWidth="1"/>
    <col min="14339" max="14339" width="12.42578125" style="1" customWidth="1"/>
    <col min="14340" max="14340" width="18" style="1" customWidth="1"/>
    <col min="14341" max="14341" width="14.42578125" style="1" customWidth="1"/>
    <col min="14342" max="14342" width="18.5703125" style="1" customWidth="1"/>
    <col min="14343" max="14343" width="15.140625" style="1" customWidth="1"/>
    <col min="14344" max="14345" width="13.5703125" style="1" customWidth="1"/>
    <col min="14346" max="14346" width="12.42578125" style="1" customWidth="1"/>
    <col min="14347" max="14347" width="11.42578125" style="1"/>
    <col min="14348" max="14349" width="16" style="1" customWidth="1"/>
    <col min="14350" max="14351" width="11.42578125" style="1"/>
    <col min="14352" max="14352" width="13.42578125" style="1" customWidth="1"/>
    <col min="14353" max="14355" width="11.42578125" style="1"/>
    <col min="14356" max="14356" width="38" style="1" customWidth="1"/>
    <col min="14357" max="14357" width="37.5703125" style="1" customWidth="1"/>
    <col min="14358" max="14358" width="12" style="1" bestFit="1" customWidth="1"/>
    <col min="14359" max="14363" width="11.42578125" style="1"/>
    <col min="14364" max="14372" width="13.28515625" style="1" bestFit="1" customWidth="1"/>
    <col min="14373" max="14377" width="11.42578125" style="1"/>
    <col min="14378" max="14378" width="13.28515625" style="1" bestFit="1" customWidth="1"/>
    <col min="14379" max="14382" width="11.42578125" style="1"/>
    <col min="14383" max="14383" width="15.28515625" style="1" bestFit="1" customWidth="1"/>
    <col min="14384" max="14384" width="13.28515625" style="1" bestFit="1" customWidth="1"/>
    <col min="14385" max="14411" width="11.42578125" style="1"/>
    <col min="14412" max="14412" width="13.28515625" style="1" bestFit="1" customWidth="1"/>
    <col min="14413" max="14437" width="11.42578125" style="1"/>
    <col min="14438" max="14438" width="15.28515625" style="1" bestFit="1" customWidth="1"/>
    <col min="14439" max="14439" width="11.42578125" style="1"/>
    <col min="14440" max="14440" width="13.28515625" style="1" bestFit="1" customWidth="1"/>
    <col min="14441" max="14442" width="11.42578125" style="1"/>
    <col min="14443" max="14443" width="16" style="1" customWidth="1"/>
    <col min="14444" max="14444" width="12.7109375" style="1" customWidth="1"/>
    <col min="14445" max="14592" width="11.42578125" style="1"/>
    <col min="14593" max="14593" width="4.140625" style="1" customWidth="1"/>
    <col min="14594" max="14594" width="17.140625" style="1" customWidth="1"/>
    <col min="14595" max="14595" width="12.42578125" style="1" customWidth="1"/>
    <col min="14596" max="14596" width="18" style="1" customWidth="1"/>
    <col min="14597" max="14597" width="14.42578125" style="1" customWidth="1"/>
    <col min="14598" max="14598" width="18.5703125" style="1" customWidth="1"/>
    <col min="14599" max="14599" width="15.140625" style="1" customWidth="1"/>
    <col min="14600" max="14601" width="13.5703125" style="1" customWidth="1"/>
    <col min="14602" max="14602" width="12.42578125" style="1" customWidth="1"/>
    <col min="14603" max="14603" width="11.42578125" style="1"/>
    <col min="14604" max="14605" width="16" style="1" customWidth="1"/>
    <col min="14606" max="14607" width="11.42578125" style="1"/>
    <col min="14608" max="14608" width="13.42578125" style="1" customWidth="1"/>
    <col min="14609" max="14611" width="11.42578125" style="1"/>
    <col min="14612" max="14612" width="38" style="1" customWidth="1"/>
    <col min="14613" max="14613" width="37.5703125" style="1" customWidth="1"/>
    <col min="14614" max="14614" width="12" style="1" bestFit="1" customWidth="1"/>
    <col min="14615" max="14619" width="11.42578125" style="1"/>
    <col min="14620" max="14628" width="13.28515625" style="1" bestFit="1" customWidth="1"/>
    <col min="14629" max="14633" width="11.42578125" style="1"/>
    <col min="14634" max="14634" width="13.28515625" style="1" bestFit="1" customWidth="1"/>
    <col min="14635" max="14638" width="11.42578125" style="1"/>
    <col min="14639" max="14639" width="15.28515625" style="1" bestFit="1" customWidth="1"/>
    <col min="14640" max="14640" width="13.28515625" style="1" bestFit="1" customWidth="1"/>
    <col min="14641" max="14667" width="11.42578125" style="1"/>
    <col min="14668" max="14668" width="13.28515625" style="1" bestFit="1" customWidth="1"/>
    <col min="14669" max="14693" width="11.42578125" style="1"/>
    <col min="14694" max="14694" width="15.28515625" style="1" bestFit="1" customWidth="1"/>
    <col min="14695" max="14695" width="11.42578125" style="1"/>
    <col min="14696" max="14696" width="13.28515625" style="1" bestFit="1" customWidth="1"/>
    <col min="14697" max="14698" width="11.42578125" style="1"/>
    <col min="14699" max="14699" width="16" style="1" customWidth="1"/>
    <col min="14700" max="14700" width="12.7109375" style="1" customWidth="1"/>
    <col min="14701" max="14848" width="11.42578125" style="1"/>
    <col min="14849" max="14849" width="4.140625" style="1" customWidth="1"/>
    <col min="14850" max="14850" width="17.140625" style="1" customWidth="1"/>
    <col min="14851" max="14851" width="12.42578125" style="1" customWidth="1"/>
    <col min="14852" max="14852" width="18" style="1" customWidth="1"/>
    <col min="14853" max="14853" width="14.42578125" style="1" customWidth="1"/>
    <col min="14854" max="14854" width="18.5703125" style="1" customWidth="1"/>
    <col min="14855" max="14855" width="15.140625" style="1" customWidth="1"/>
    <col min="14856" max="14857" width="13.5703125" style="1" customWidth="1"/>
    <col min="14858" max="14858" width="12.42578125" style="1" customWidth="1"/>
    <col min="14859" max="14859" width="11.42578125" style="1"/>
    <col min="14860" max="14861" width="16" style="1" customWidth="1"/>
    <col min="14862" max="14863" width="11.42578125" style="1"/>
    <col min="14864" max="14864" width="13.42578125" style="1" customWidth="1"/>
    <col min="14865" max="14867" width="11.42578125" style="1"/>
    <col min="14868" max="14868" width="38" style="1" customWidth="1"/>
    <col min="14869" max="14869" width="37.5703125" style="1" customWidth="1"/>
    <col min="14870" max="14870" width="12" style="1" bestFit="1" customWidth="1"/>
    <col min="14871" max="14875" width="11.42578125" style="1"/>
    <col min="14876" max="14884" width="13.28515625" style="1" bestFit="1" customWidth="1"/>
    <col min="14885" max="14889" width="11.42578125" style="1"/>
    <col min="14890" max="14890" width="13.28515625" style="1" bestFit="1" customWidth="1"/>
    <col min="14891" max="14894" width="11.42578125" style="1"/>
    <col min="14895" max="14895" width="15.28515625" style="1" bestFit="1" customWidth="1"/>
    <col min="14896" max="14896" width="13.28515625" style="1" bestFit="1" customWidth="1"/>
    <col min="14897" max="14923" width="11.42578125" style="1"/>
    <col min="14924" max="14924" width="13.28515625" style="1" bestFit="1" customWidth="1"/>
    <col min="14925" max="14949" width="11.42578125" style="1"/>
    <col min="14950" max="14950" width="15.28515625" style="1" bestFit="1" customWidth="1"/>
    <col min="14951" max="14951" width="11.42578125" style="1"/>
    <col min="14952" max="14952" width="13.28515625" style="1" bestFit="1" customWidth="1"/>
    <col min="14953" max="14954" width="11.42578125" style="1"/>
    <col min="14955" max="14955" width="16" style="1" customWidth="1"/>
    <col min="14956" max="14956" width="12.7109375" style="1" customWidth="1"/>
    <col min="14957" max="15104" width="11.42578125" style="1"/>
    <col min="15105" max="15105" width="4.140625" style="1" customWidth="1"/>
    <col min="15106" max="15106" width="17.140625" style="1" customWidth="1"/>
    <col min="15107" max="15107" width="12.42578125" style="1" customWidth="1"/>
    <col min="15108" max="15108" width="18" style="1" customWidth="1"/>
    <col min="15109" max="15109" width="14.42578125" style="1" customWidth="1"/>
    <col min="15110" max="15110" width="18.5703125" style="1" customWidth="1"/>
    <col min="15111" max="15111" width="15.140625" style="1" customWidth="1"/>
    <col min="15112" max="15113" width="13.5703125" style="1" customWidth="1"/>
    <col min="15114" max="15114" width="12.42578125" style="1" customWidth="1"/>
    <col min="15115" max="15115" width="11.42578125" style="1"/>
    <col min="15116" max="15117" width="16" style="1" customWidth="1"/>
    <col min="15118" max="15119" width="11.42578125" style="1"/>
    <col min="15120" max="15120" width="13.42578125" style="1" customWidth="1"/>
    <col min="15121" max="15123" width="11.42578125" style="1"/>
    <col min="15124" max="15124" width="38" style="1" customWidth="1"/>
    <col min="15125" max="15125" width="37.5703125" style="1" customWidth="1"/>
    <col min="15126" max="15126" width="12" style="1" bestFit="1" customWidth="1"/>
    <col min="15127" max="15131" width="11.42578125" style="1"/>
    <col min="15132" max="15140" width="13.28515625" style="1" bestFit="1" customWidth="1"/>
    <col min="15141" max="15145" width="11.42578125" style="1"/>
    <col min="15146" max="15146" width="13.28515625" style="1" bestFit="1" customWidth="1"/>
    <col min="15147" max="15150" width="11.42578125" style="1"/>
    <col min="15151" max="15151" width="15.28515625" style="1" bestFit="1" customWidth="1"/>
    <col min="15152" max="15152" width="13.28515625" style="1" bestFit="1" customWidth="1"/>
    <col min="15153" max="15179" width="11.42578125" style="1"/>
    <col min="15180" max="15180" width="13.28515625" style="1" bestFit="1" customWidth="1"/>
    <col min="15181" max="15205" width="11.42578125" style="1"/>
    <col min="15206" max="15206" width="15.28515625" style="1" bestFit="1" customWidth="1"/>
    <col min="15207" max="15207" width="11.42578125" style="1"/>
    <col min="15208" max="15208" width="13.28515625" style="1" bestFit="1" customWidth="1"/>
    <col min="15209" max="15210" width="11.42578125" style="1"/>
    <col min="15211" max="15211" width="16" style="1" customWidth="1"/>
    <col min="15212" max="15212" width="12.7109375" style="1" customWidth="1"/>
    <col min="15213" max="15360" width="11.42578125" style="1"/>
    <col min="15361" max="15361" width="4.140625" style="1" customWidth="1"/>
    <col min="15362" max="15362" width="17.140625" style="1" customWidth="1"/>
    <col min="15363" max="15363" width="12.42578125" style="1" customWidth="1"/>
    <col min="15364" max="15364" width="18" style="1" customWidth="1"/>
    <col min="15365" max="15365" width="14.42578125" style="1" customWidth="1"/>
    <col min="15366" max="15366" width="18.5703125" style="1" customWidth="1"/>
    <col min="15367" max="15367" width="15.140625" style="1" customWidth="1"/>
    <col min="15368" max="15369" width="13.5703125" style="1" customWidth="1"/>
    <col min="15370" max="15370" width="12.42578125" style="1" customWidth="1"/>
    <col min="15371" max="15371" width="11.42578125" style="1"/>
    <col min="15372" max="15373" width="16" style="1" customWidth="1"/>
    <col min="15374" max="15375" width="11.42578125" style="1"/>
    <col min="15376" max="15376" width="13.42578125" style="1" customWidth="1"/>
    <col min="15377" max="15379" width="11.42578125" style="1"/>
    <col min="15380" max="15380" width="38" style="1" customWidth="1"/>
    <col min="15381" max="15381" width="37.5703125" style="1" customWidth="1"/>
    <col min="15382" max="15382" width="12" style="1" bestFit="1" customWidth="1"/>
    <col min="15383" max="15387" width="11.42578125" style="1"/>
    <col min="15388" max="15396" width="13.28515625" style="1" bestFit="1" customWidth="1"/>
    <col min="15397" max="15401" width="11.42578125" style="1"/>
    <col min="15402" max="15402" width="13.28515625" style="1" bestFit="1" customWidth="1"/>
    <col min="15403" max="15406" width="11.42578125" style="1"/>
    <col min="15407" max="15407" width="15.28515625" style="1" bestFit="1" customWidth="1"/>
    <col min="15408" max="15408" width="13.28515625" style="1" bestFit="1" customWidth="1"/>
    <col min="15409" max="15435" width="11.42578125" style="1"/>
    <col min="15436" max="15436" width="13.28515625" style="1" bestFit="1" customWidth="1"/>
    <col min="15437" max="15461" width="11.42578125" style="1"/>
    <col min="15462" max="15462" width="15.28515625" style="1" bestFit="1" customWidth="1"/>
    <col min="15463" max="15463" width="11.42578125" style="1"/>
    <col min="15464" max="15464" width="13.28515625" style="1" bestFit="1" customWidth="1"/>
    <col min="15465" max="15466" width="11.42578125" style="1"/>
    <col min="15467" max="15467" width="16" style="1" customWidth="1"/>
    <col min="15468" max="15468" width="12.7109375" style="1" customWidth="1"/>
    <col min="15469" max="15616" width="11.42578125" style="1"/>
    <col min="15617" max="15617" width="4.140625" style="1" customWidth="1"/>
    <col min="15618" max="15618" width="17.140625" style="1" customWidth="1"/>
    <col min="15619" max="15619" width="12.42578125" style="1" customWidth="1"/>
    <col min="15620" max="15620" width="18" style="1" customWidth="1"/>
    <col min="15621" max="15621" width="14.42578125" style="1" customWidth="1"/>
    <col min="15622" max="15622" width="18.5703125" style="1" customWidth="1"/>
    <col min="15623" max="15623" width="15.140625" style="1" customWidth="1"/>
    <col min="15624" max="15625" width="13.5703125" style="1" customWidth="1"/>
    <col min="15626" max="15626" width="12.42578125" style="1" customWidth="1"/>
    <col min="15627" max="15627" width="11.42578125" style="1"/>
    <col min="15628" max="15629" width="16" style="1" customWidth="1"/>
    <col min="15630" max="15631" width="11.42578125" style="1"/>
    <col min="15632" max="15632" width="13.42578125" style="1" customWidth="1"/>
    <col min="15633" max="15635" width="11.42578125" style="1"/>
    <col min="15636" max="15636" width="38" style="1" customWidth="1"/>
    <col min="15637" max="15637" width="37.5703125" style="1" customWidth="1"/>
    <col min="15638" max="15638" width="12" style="1" bestFit="1" customWidth="1"/>
    <col min="15639" max="15643" width="11.42578125" style="1"/>
    <col min="15644" max="15652" width="13.28515625" style="1" bestFit="1" customWidth="1"/>
    <col min="15653" max="15657" width="11.42578125" style="1"/>
    <col min="15658" max="15658" width="13.28515625" style="1" bestFit="1" customWidth="1"/>
    <col min="15659" max="15662" width="11.42578125" style="1"/>
    <col min="15663" max="15663" width="15.28515625" style="1" bestFit="1" customWidth="1"/>
    <col min="15664" max="15664" width="13.28515625" style="1" bestFit="1" customWidth="1"/>
    <col min="15665" max="15691" width="11.42578125" style="1"/>
    <col min="15692" max="15692" width="13.28515625" style="1" bestFit="1" customWidth="1"/>
    <col min="15693" max="15717" width="11.42578125" style="1"/>
    <col min="15718" max="15718" width="15.28515625" style="1" bestFit="1" customWidth="1"/>
    <col min="15719" max="15719" width="11.42578125" style="1"/>
    <col min="15720" max="15720" width="13.28515625" style="1" bestFit="1" customWidth="1"/>
    <col min="15721" max="15722" width="11.42578125" style="1"/>
    <col min="15723" max="15723" width="16" style="1" customWidth="1"/>
    <col min="15724" max="15724" width="12.7109375" style="1" customWidth="1"/>
    <col min="15725" max="15872" width="11.42578125" style="1"/>
    <col min="15873" max="15873" width="4.140625" style="1" customWidth="1"/>
    <col min="15874" max="15874" width="17.140625" style="1" customWidth="1"/>
    <col min="15875" max="15875" width="12.42578125" style="1" customWidth="1"/>
    <col min="15876" max="15876" width="18" style="1" customWidth="1"/>
    <col min="15877" max="15877" width="14.42578125" style="1" customWidth="1"/>
    <col min="15878" max="15878" width="18.5703125" style="1" customWidth="1"/>
    <col min="15879" max="15879" width="15.140625" style="1" customWidth="1"/>
    <col min="15880" max="15881" width="13.5703125" style="1" customWidth="1"/>
    <col min="15882" max="15882" width="12.42578125" style="1" customWidth="1"/>
    <col min="15883" max="15883" width="11.42578125" style="1"/>
    <col min="15884" max="15885" width="16" style="1" customWidth="1"/>
    <col min="15886" max="15887" width="11.42578125" style="1"/>
    <col min="15888" max="15888" width="13.42578125" style="1" customWidth="1"/>
    <col min="15889" max="15891" width="11.42578125" style="1"/>
    <col min="15892" max="15892" width="38" style="1" customWidth="1"/>
    <col min="15893" max="15893" width="37.5703125" style="1" customWidth="1"/>
    <col min="15894" max="15894" width="12" style="1" bestFit="1" customWidth="1"/>
    <col min="15895" max="15899" width="11.42578125" style="1"/>
    <col min="15900" max="15908" width="13.28515625" style="1" bestFit="1" customWidth="1"/>
    <col min="15909" max="15913" width="11.42578125" style="1"/>
    <col min="15914" max="15914" width="13.28515625" style="1" bestFit="1" customWidth="1"/>
    <col min="15915" max="15918" width="11.42578125" style="1"/>
    <col min="15919" max="15919" width="15.28515625" style="1" bestFit="1" customWidth="1"/>
    <col min="15920" max="15920" width="13.28515625" style="1" bestFit="1" customWidth="1"/>
    <col min="15921" max="15947" width="11.42578125" style="1"/>
    <col min="15948" max="15948" width="13.28515625" style="1" bestFit="1" customWidth="1"/>
    <col min="15949" max="15973" width="11.42578125" style="1"/>
    <col min="15974" max="15974" width="15.28515625" style="1" bestFit="1" customWidth="1"/>
    <col min="15975" max="15975" width="11.42578125" style="1"/>
    <col min="15976" max="15976" width="13.28515625" style="1" bestFit="1" customWidth="1"/>
    <col min="15977" max="15978" width="11.42578125" style="1"/>
    <col min="15979" max="15979" width="16" style="1" customWidth="1"/>
    <col min="15980" max="15980" width="12.7109375" style="1" customWidth="1"/>
    <col min="15981" max="16128" width="11.42578125" style="1"/>
    <col min="16129" max="16129" width="4.140625" style="1" customWidth="1"/>
    <col min="16130" max="16130" width="17.140625" style="1" customWidth="1"/>
    <col min="16131" max="16131" width="12.42578125" style="1" customWidth="1"/>
    <col min="16132" max="16132" width="18" style="1" customWidth="1"/>
    <col min="16133" max="16133" width="14.42578125" style="1" customWidth="1"/>
    <col min="16134" max="16134" width="18.5703125" style="1" customWidth="1"/>
    <col min="16135" max="16135" width="15.140625" style="1" customWidth="1"/>
    <col min="16136" max="16137" width="13.5703125" style="1" customWidth="1"/>
    <col min="16138" max="16138" width="12.42578125" style="1" customWidth="1"/>
    <col min="16139" max="16139" width="11.42578125" style="1"/>
    <col min="16140" max="16141" width="16" style="1" customWidth="1"/>
    <col min="16142" max="16143" width="11.42578125" style="1"/>
    <col min="16144" max="16144" width="13.42578125" style="1" customWidth="1"/>
    <col min="16145" max="16147" width="11.42578125" style="1"/>
    <col min="16148" max="16148" width="38" style="1" customWidth="1"/>
    <col min="16149" max="16149" width="37.5703125" style="1" customWidth="1"/>
    <col min="16150" max="16150" width="12" style="1" bestFit="1" customWidth="1"/>
    <col min="16151" max="16155" width="11.42578125" style="1"/>
    <col min="16156" max="16164" width="13.28515625" style="1" bestFit="1" customWidth="1"/>
    <col min="16165" max="16169" width="11.42578125" style="1"/>
    <col min="16170" max="16170" width="13.28515625" style="1" bestFit="1" customWidth="1"/>
    <col min="16171" max="16174" width="11.42578125" style="1"/>
    <col min="16175" max="16175" width="15.28515625" style="1" bestFit="1" customWidth="1"/>
    <col min="16176" max="16176" width="13.28515625" style="1" bestFit="1" customWidth="1"/>
    <col min="16177" max="16203" width="11.42578125" style="1"/>
    <col min="16204" max="16204" width="13.28515625" style="1" bestFit="1" customWidth="1"/>
    <col min="16205" max="16229" width="11.42578125" style="1"/>
    <col min="16230" max="16230" width="15.28515625" style="1" bestFit="1" customWidth="1"/>
    <col min="16231" max="16231" width="11.42578125" style="1"/>
    <col min="16232" max="16232" width="13.28515625" style="1" bestFit="1" customWidth="1"/>
    <col min="16233" max="16234" width="11.42578125" style="1"/>
    <col min="16235" max="16235" width="16" style="1" customWidth="1"/>
    <col min="16236" max="16236" width="12.7109375" style="1" customWidth="1"/>
    <col min="16237" max="16384" width="11.42578125" style="1"/>
  </cols>
  <sheetData>
    <row r="1" spans="1:180" ht="31.5" customHeight="1" thickBot="1" x14ac:dyDescent="0.3">
      <c r="A1" s="1">
        <v>1</v>
      </c>
      <c r="B1" s="2" t="s">
        <v>0</v>
      </c>
      <c r="C1" s="2" t="s">
        <v>0</v>
      </c>
      <c r="E1" s="3" t="e">
        <f ca="1">INFO("memtot")</f>
        <v>#N/A</v>
      </c>
      <c r="F1" s="1" t="s">
        <v>1</v>
      </c>
      <c r="G1" s="1" t="s">
        <v>2</v>
      </c>
      <c r="H1" s="4">
        <v>11</v>
      </c>
      <c r="Q1" s="1" t="s">
        <v>0</v>
      </c>
      <c r="T1" s="5" t="s">
        <v>3</v>
      </c>
      <c r="U1" s="6" t="s">
        <v>4</v>
      </c>
      <c r="V1" s="6" t="s">
        <v>5</v>
      </c>
      <c r="W1" s="6" t="s">
        <v>6</v>
      </c>
      <c r="X1" s="6" t="s">
        <v>7</v>
      </c>
      <c r="Y1" s="6" t="s">
        <v>8</v>
      </c>
      <c r="Z1" s="6" t="s">
        <v>9</v>
      </c>
      <c r="AA1" s="7"/>
      <c r="AB1" s="8" t="s">
        <v>10</v>
      </c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CA1" s="10" t="s">
        <v>11</v>
      </c>
      <c r="CW1" s="1" t="s">
        <v>12</v>
      </c>
      <c r="CX1" s="1">
        <v>1000</v>
      </c>
      <c r="CY1" s="1" t="s">
        <v>12</v>
      </c>
      <c r="CZ1" s="11">
        <f>DD1</f>
        <v>60</v>
      </c>
      <c r="DA1" s="1" t="s">
        <v>13</v>
      </c>
      <c r="DC1" s="1" t="s">
        <v>12</v>
      </c>
      <c r="DD1" s="1">
        <v>60</v>
      </c>
      <c r="DE1" s="1" t="s">
        <v>14</v>
      </c>
      <c r="DF1" s="1">
        <v>30</v>
      </c>
      <c r="DG1" s="1" t="s">
        <v>15</v>
      </c>
      <c r="DH1" s="1">
        <v>20</v>
      </c>
      <c r="DI1" s="1" t="s">
        <v>16</v>
      </c>
      <c r="DJ1" s="1">
        <v>200</v>
      </c>
      <c r="DK1" s="1" t="s">
        <v>17</v>
      </c>
      <c r="DL1" s="1">
        <v>100</v>
      </c>
      <c r="DM1" s="1" t="s">
        <v>18</v>
      </c>
      <c r="DN1" s="1">
        <v>400</v>
      </c>
      <c r="DU1" s="12" t="s">
        <v>19</v>
      </c>
    </row>
    <row r="2" spans="1:180" ht="22.5" customHeight="1" thickBot="1" x14ac:dyDescent="0.3">
      <c r="B2" s="1" t="s">
        <v>20</v>
      </c>
      <c r="C2" s="11">
        <v>14</v>
      </c>
      <c r="D2" s="13"/>
      <c r="E2" s="14" t="e">
        <f ca="1">INFO("memutil")</f>
        <v>#N/A</v>
      </c>
      <c r="F2" s="13">
        <f ca="1">INFO("nbfich")</f>
        <v>3</v>
      </c>
      <c r="Q2" s="1">
        <v>14</v>
      </c>
      <c r="T2" s="16"/>
      <c r="U2" s="17">
        <v>30</v>
      </c>
      <c r="V2" s="18" t="s">
        <v>21</v>
      </c>
      <c r="AA2" s="19"/>
      <c r="AB2" s="20">
        <v>1</v>
      </c>
      <c r="AC2" s="20">
        <v>2</v>
      </c>
      <c r="AD2" s="20">
        <v>3</v>
      </c>
      <c r="AE2" s="20">
        <v>4</v>
      </c>
      <c r="AF2" s="20">
        <v>5</v>
      </c>
      <c r="AG2" s="20">
        <v>6</v>
      </c>
      <c r="AH2" s="20">
        <v>7</v>
      </c>
      <c r="AI2" s="20">
        <v>8</v>
      </c>
      <c r="AJ2" s="20">
        <v>9</v>
      </c>
      <c r="AK2" s="20">
        <v>10</v>
      </c>
      <c r="AL2" s="20">
        <v>11</v>
      </c>
      <c r="AM2" s="20">
        <v>12</v>
      </c>
      <c r="AN2" s="20">
        <v>13</v>
      </c>
      <c r="AO2" s="20">
        <v>14</v>
      </c>
      <c r="AP2" s="20">
        <v>15</v>
      </c>
      <c r="AQ2" s="20">
        <v>16</v>
      </c>
      <c r="AR2" s="20">
        <v>17</v>
      </c>
      <c r="AS2" s="20">
        <v>18</v>
      </c>
      <c r="AT2" s="20">
        <v>19</v>
      </c>
      <c r="AU2" s="20">
        <v>20</v>
      </c>
      <c r="AV2" s="20">
        <v>21</v>
      </c>
      <c r="AW2" s="20">
        <v>22</v>
      </c>
      <c r="AX2" s="20">
        <v>23</v>
      </c>
      <c r="AY2" s="20">
        <v>24</v>
      </c>
      <c r="AZ2" s="20">
        <v>25</v>
      </c>
      <c r="BA2" s="20">
        <v>26</v>
      </c>
      <c r="BB2" s="20">
        <v>27</v>
      </c>
      <c r="BC2" s="20">
        <v>28</v>
      </c>
      <c r="BD2" s="20">
        <v>29</v>
      </c>
      <c r="BE2" s="20">
        <v>30</v>
      </c>
      <c r="BF2" s="20">
        <v>31</v>
      </c>
      <c r="BG2" s="20">
        <v>32</v>
      </c>
      <c r="BH2" s="20">
        <v>33</v>
      </c>
      <c r="BI2" s="20">
        <v>34</v>
      </c>
      <c r="BJ2" s="20">
        <v>35</v>
      </c>
      <c r="BK2" s="20">
        <v>36</v>
      </c>
      <c r="BL2" s="20">
        <v>37</v>
      </c>
      <c r="BM2" s="20">
        <v>38</v>
      </c>
      <c r="BN2" s="20">
        <v>39</v>
      </c>
      <c r="BO2" s="20">
        <v>40</v>
      </c>
      <c r="BP2" s="20">
        <v>41</v>
      </c>
      <c r="BQ2" s="20">
        <v>42</v>
      </c>
      <c r="BR2" s="20">
        <v>43</v>
      </c>
      <c r="BS2" s="20">
        <v>44</v>
      </c>
      <c r="BT2" s="20">
        <v>45</v>
      </c>
      <c r="BU2" s="20">
        <v>46</v>
      </c>
      <c r="BV2" s="20">
        <v>47</v>
      </c>
      <c r="BW2" s="21">
        <v>48</v>
      </c>
      <c r="CW2" s="1" t="s">
        <v>14</v>
      </c>
      <c r="CX2" s="1">
        <v>150</v>
      </c>
      <c r="CY2" s="1" t="s">
        <v>14</v>
      </c>
      <c r="CZ2" s="11">
        <f>DF1</f>
        <v>30</v>
      </c>
      <c r="DA2" s="10" t="s">
        <v>22</v>
      </c>
      <c r="DB2" s="10"/>
      <c r="DC2" s="22"/>
      <c r="DD2" s="22"/>
      <c r="DE2" s="11" t="s">
        <v>23</v>
      </c>
      <c r="DF2" s="11"/>
      <c r="DG2" s="11"/>
      <c r="DH2" s="11"/>
      <c r="DI2" s="11"/>
      <c r="DJ2" s="11"/>
      <c r="DK2" s="11"/>
      <c r="DL2" s="11"/>
      <c r="DM2" s="11"/>
      <c r="DN2" s="11"/>
    </row>
    <row r="3" spans="1:180" ht="15.75" thickBot="1" x14ac:dyDescent="0.3">
      <c r="B3" s="23" t="s">
        <v>24</v>
      </c>
      <c r="C3" s="24" t="s">
        <v>25</v>
      </c>
      <c r="D3" s="23" t="s">
        <v>26</v>
      </c>
      <c r="E3" s="1" t="s">
        <v>27</v>
      </c>
      <c r="F3" s="1">
        <v>0</v>
      </c>
      <c r="Q3" s="1" t="s">
        <v>25</v>
      </c>
      <c r="T3" s="25"/>
      <c r="U3" s="26"/>
      <c r="V3" s="27"/>
      <c r="AA3" s="28"/>
      <c r="AB3" s="29" t="s">
        <v>28</v>
      </c>
      <c r="AC3" s="29" t="s">
        <v>29</v>
      </c>
      <c r="AD3" s="29" t="s">
        <v>30</v>
      </c>
      <c r="AE3" s="29" t="s">
        <v>31</v>
      </c>
      <c r="AF3" s="29" t="s">
        <v>32</v>
      </c>
      <c r="AG3" s="29" t="s">
        <v>33</v>
      </c>
      <c r="AH3" s="29" t="s">
        <v>34</v>
      </c>
      <c r="AI3" s="29" t="s">
        <v>35</v>
      </c>
      <c r="AJ3" s="29" t="s">
        <v>36</v>
      </c>
      <c r="AK3" s="29" t="s">
        <v>37</v>
      </c>
      <c r="AL3" s="29" t="s">
        <v>38</v>
      </c>
      <c r="AM3" s="29" t="s">
        <v>39</v>
      </c>
      <c r="AN3" s="29" t="s">
        <v>40</v>
      </c>
      <c r="AO3" s="29" t="s">
        <v>41</v>
      </c>
      <c r="AP3" s="29" t="s">
        <v>42</v>
      </c>
      <c r="AQ3" s="29" t="s">
        <v>43</v>
      </c>
      <c r="AR3" s="29" t="s">
        <v>44</v>
      </c>
      <c r="AS3" s="29" t="s">
        <v>45</v>
      </c>
      <c r="AT3" s="29" t="s">
        <v>46</v>
      </c>
      <c r="AU3" s="29" t="s">
        <v>47</v>
      </c>
      <c r="AV3" s="29" t="s">
        <v>48</v>
      </c>
      <c r="AW3" s="29" t="s">
        <v>49</v>
      </c>
      <c r="AX3" s="29" t="s">
        <v>50</v>
      </c>
      <c r="AY3" s="29" t="s">
        <v>51</v>
      </c>
      <c r="AZ3" s="29" t="s">
        <v>52</v>
      </c>
      <c r="BA3" s="29" t="s">
        <v>53</v>
      </c>
      <c r="BB3" s="29" t="s">
        <v>54</v>
      </c>
      <c r="BC3" s="29" t="s">
        <v>55</v>
      </c>
      <c r="BD3" s="29" t="s">
        <v>56</v>
      </c>
      <c r="BE3" s="29" t="s">
        <v>57</v>
      </c>
      <c r="BF3" s="29" t="s">
        <v>58</v>
      </c>
      <c r="BG3" s="29" t="s">
        <v>59</v>
      </c>
      <c r="BH3" s="29" t="s">
        <v>60</v>
      </c>
      <c r="BI3" s="29" t="s">
        <v>61</v>
      </c>
      <c r="BJ3" s="29" t="s">
        <v>62</v>
      </c>
      <c r="BK3" s="29" t="s">
        <v>63</v>
      </c>
      <c r="BL3" s="29" t="s">
        <v>64</v>
      </c>
      <c r="BM3" s="29" t="s">
        <v>65</v>
      </c>
      <c r="BN3" s="29" t="s">
        <v>66</v>
      </c>
      <c r="BO3" s="29" t="s">
        <v>67</v>
      </c>
      <c r="BP3" s="29" t="s">
        <v>68</v>
      </c>
      <c r="BQ3" s="29" t="s">
        <v>69</v>
      </c>
      <c r="BR3" s="29" t="s">
        <v>70</v>
      </c>
      <c r="BS3" s="29" t="s">
        <v>71</v>
      </c>
      <c r="BT3" s="29" t="s">
        <v>72</v>
      </c>
      <c r="BU3" s="29" t="s">
        <v>73</v>
      </c>
      <c r="BV3" s="29" t="s">
        <v>74</v>
      </c>
      <c r="BW3" s="30" t="s">
        <v>75</v>
      </c>
      <c r="CW3" s="1" t="s">
        <v>76</v>
      </c>
      <c r="CX3" s="1">
        <v>20</v>
      </c>
      <c r="CY3" s="1" t="s">
        <v>76</v>
      </c>
      <c r="CZ3" s="11">
        <f>DH1</f>
        <v>20</v>
      </c>
      <c r="DC3" s="82" t="s">
        <v>12</v>
      </c>
      <c r="DD3" s="83"/>
      <c r="DE3" s="84" t="s">
        <v>77</v>
      </c>
      <c r="DF3" s="83"/>
      <c r="DG3" s="84" t="s">
        <v>76</v>
      </c>
      <c r="DH3" s="83"/>
      <c r="DI3" s="84" t="s">
        <v>78</v>
      </c>
      <c r="DJ3" s="83"/>
      <c r="DK3" s="84" t="s">
        <v>79</v>
      </c>
      <c r="DL3" s="83"/>
      <c r="DM3" s="84" t="s">
        <v>80</v>
      </c>
      <c r="DN3" s="85"/>
      <c r="DS3" s="1" t="s">
        <v>81</v>
      </c>
      <c r="DT3" s="1">
        <v>1410</v>
      </c>
    </row>
    <row r="4" spans="1:180" ht="15.75" thickBot="1" x14ac:dyDescent="0.3">
      <c r="B4" s="31">
        <f>[1]!Txtperiod</f>
        <v>60</v>
      </c>
      <c r="C4" s="32">
        <f>[1]!Ncycles</f>
        <v>192461</v>
      </c>
      <c r="D4" s="33">
        <f>[2]!echeance</f>
        <v>41277.291666666664</v>
      </c>
      <c r="E4" s="33">
        <v>40489.291666666664</v>
      </c>
      <c r="O4" s="23"/>
      <c r="P4" s="23"/>
      <c r="Q4" s="1">
        <v>192461</v>
      </c>
      <c r="R4" s="1">
        <v>41116.125300925924</v>
      </c>
      <c r="T4" s="25"/>
      <c r="U4" s="26"/>
      <c r="V4" s="27"/>
      <c r="AA4" s="34" t="s">
        <v>82</v>
      </c>
      <c r="AB4" s="35"/>
      <c r="AC4" s="36"/>
      <c r="AD4" s="35"/>
      <c r="AE4" s="35"/>
      <c r="AF4" s="35"/>
      <c r="AG4" s="35"/>
      <c r="AH4" s="35"/>
      <c r="AI4" s="35"/>
      <c r="AJ4" s="35"/>
      <c r="AK4" s="35"/>
      <c r="AL4" s="35"/>
      <c r="AM4" s="35"/>
      <c r="AN4" s="35"/>
      <c r="AO4" s="35"/>
      <c r="AP4" s="35"/>
      <c r="AQ4" s="35"/>
      <c r="AR4" s="35"/>
      <c r="AS4" s="35">
        <v>41275.65519675926</v>
      </c>
      <c r="AT4" s="35">
        <v>41275.676030092596</v>
      </c>
      <c r="AU4" s="35">
        <v>41275.696863425925</v>
      </c>
      <c r="AV4" s="35">
        <v>41275.71769675926</v>
      </c>
      <c r="AW4" s="35">
        <v>41275.738530092596</v>
      </c>
      <c r="AX4" s="35">
        <v>41275.759363425925</v>
      </c>
      <c r="AY4" s="35">
        <v>41275.78019675926</v>
      </c>
      <c r="AZ4" s="35">
        <v>41275.801030092596</v>
      </c>
      <c r="BA4" s="35">
        <v>41275.821863425925</v>
      </c>
      <c r="BB4" s="35">
        <v>41275.84269675926</v>
      </c>
      <c r="BC4" s="35">
        <v>41275.863530092596</v>
      </c>
      <c r="BD4" s="35">
        <v>41275.884363425925</v>
      </c>
      <c r="BE4" s="35">
        <v>41275.90519675926</v>
      </c>
      <c r="BF4" s="35"/>
      <c r="BG4" s="35"/>
      <c r="BH4" s="35"/>
      <c r="BI4" s="35"/>
      <c r="BJ4" s="35"/>
      <c r="BK4" s="35"/>
      <c r="BL4" s="35"/>
      <c r="BM4" s="35"/>
      <c r="BN4" s="35"/>
      <c r="BO4" s="35"/>
      <c r="BP4" s="35"/>
      <c r="BQ4" s="35"/>
      <c r="BR4" s="35"/>
      <c r="BS4" s="35"/>
      <c r="BT4" s="35"/>
      <c r="BU4" s="35"/>
      <c r="BV4" s="35"/>
      <c r="BW4" s="37"/>
      <c r="BX4" s="36">
        <v>41261.030856481484</v>
      </c>
      <c r="BY4" s="36">
        <v>41227.257893518516</v>
      </c>
      <c r="BZ4" s="36">
        <v>41226.244004629632</v>
      </c>
      <c r="CA4" s="38">
        <v>41209.291898148149</v>
      </c>
      <c r="CB4" s="36">
        <v>41116.125300925924</v>
      </c>
      <c r="CC4" s="36">
        <v>41209.188425925924</v>
      </c>
      <c r="CD4" s="36">
        <v>41250.230150462965</v>
      </c>
      <c r="CE4" s="36">
        <v>41219.261354166665</v>
      </c>
      <c r="CF4" s="36">
        <v>41145.270289351851</v>
      </c>
      <c r="CG4" s="36">
        <v>41245.162777777776</v>
      </c>
      <c r="CH4" s="36"/>
      <c r="CI4" s="36">
        <v>41227.275254629632</v>
      </c>
      <c r="CJ4" s="36">
        <v>41148.265428240738</v>
      </c>
      <c r="CK4" s="36"/>
      <c r="CL4" s="36">
        <v>41247.291944444441</v>
      </c>
      <c r="CM4" s="36"/>
      <c r="CN4" s="36">
        <v>41161.136284722219</v>
      </c>
      <c r="CO4" s="36">
        <v>41142.290625000001</v>
      </c>
      <c r="CP4" s="36"/>
      <c r="CQ4" s="36">
        <v>41129.188518518517</v>
      </c>
      <c r="CR4" s="36">
        <v>41116.288506944446</v>
      </c>
      <c r="CS4" s="36">
        <v>41089.208622685182</v>
      </c>
      <c r="CT4" s="36"/>
      <c r="CU4" s="36">
        <v>41235.231516203705</v>
      </c>
      <c r="CV4" s="36"/>
      <c r="CW4" s="36" t="s">
        <v>78</v>
      </c>
      <c r="CX4" s="11">
        <v>50</v>
      </c>
      <c r="CY4" s="36" t="s">
        <v>78</v>
      </c>
      <c r="CZ4" s="11">
        <v>200</v>
      </c>
      <c r="DA4" s="39"/>
      <c r="DB4" s="39"/>
      <c r="DC4" s="40"/>
      <c r="DD4" s="41"/>
      <c r="DE4" s="41"/>
      <c r="DF4" s="41"/>
      <c r="DG4" s="41"/>
      <c r="DH4" s="41"/>
      <c r="DI4" s="41"/>
      <c r="DJ4" s="41"/>
      <c r="DK4" s="41"/>
      <c r="DL4" s="41"/>
      <c r="DM4" s="41"/>
      <c r="DN4" s="42"/>
      <c r="DO4" s="36"/>
      <c r="DP4" s="36"/>
      <c r="DQ4" s="36"/>
      <c r="DR4" s="36"/>
      <c r="DS4" s="36"/>
      <c r="EG4" s="36"/>
      <c r="EH4" s="36"/>
      <c r="EI4" s="36"/>
      <c r="EJ4" s="36"/>
      <c r="EK4" s="36"/>
      <c r="EL4" s="36"/>
      <c r="EM4" s="36"/>
      <c r="EN4" s="36"/>
      <c r="EO4" s="36"/>
      <c r="EP4" s="36"/>
      <c r="EQ4" s="36"/>
      <c r="ER4" s="36"/>
      <c r="ES4" s="36"/>
      <c r="ET4" s="36"/>
      <c r="EU4" s="36"/>
      <c r="EV4" s="36"/>
      <c r="EW4" s="36"/>
      <c r="EX4" s="36"/>
      <c r="EY4" s="36"/>
      <c r="EZ4" s="36"/>
      <c r="FA4" s="36"/>
      <c r="FB4" s="36"/>
      <c r="FC4" s="36"/>
      <c r="FD4" s="36"/>
      <c r="FE4" s="36"/>
      <c r="FF4" s="36"/>
      <c r="FG4" s="36"/>
      <c r="FH4" s="36"/>
      <c r="FI4" s="36"/>
      <c r="FJ4" s="36"/>
      <c r="FK4" s="36"/>
      <c r="FL4" s="36"/>
      <c r="FM4" s="36"/>
      <c r="FN4" s="36"/>
      <c r="FO4" s="36"/>
      <c r="FP4" s="36"/>
      <c r="FQ4" s="36"/>
      <c r="FR4" s="36"/>
      <c r="FS4" s="36"/>
      <c r="FT4" s="36"/>
      <c r="FU4" s="36"/>
      <c r="FV4" s="36"/>
      <c r="FW4" s="36"/>
      <c r="FX4" s="36"/>
    </row>
    <row r="5" spans="1:180" ht="15.75" thickBot="1" x14ac:dyDescent="0.3">
      <c r="A5" s="43" t="s">
        <v>83</v>
      </c>
      <c r="B5" s="44" t="s">
        <v>84</v>
      </c>
      <c r="C5" s="45" t="s">
        <v>85</v>
      </c>
      <c r="D5" s="44" t="s">
        <v>86</v>
      </c>
      <c r="E5" s="44" t="s">
        <v>87</v>
      </c>
      <c r="F5" s="44" t="s">
        <v>88</v>
      </c>
      <c r="G5" s="44" t="s">
        <v>89</v>
      </c>
      <c r="H5" s="46" t="s">
        <v>90</v>
      </c>
      <c r="I5" s="44" t="s">
        <v>91</v>
      </c>
      <c r="J5" s="44" t="s">
        <v>92</v>
      </c>
      <c r="K5" s="44" t="s">
        <v>93</v>
      </c>
      <c r="L5" s="47" t="s">
        <v>94</v>
      </c>
      <c r="M5" s="47" t="s">
        <v>95</v>
      </c>
      <c r="N5" s="44" t="s">
        <v>96</v>
      </c>
      <c r="O5" s="44" t="s">
        <v>97</v>
      </c>
      <c r="P5" s="48" t="s">
        <v>98</v>
      </c>
      <c r="Q5" s="1" t="s">
        <v>85</v>
      </c>
      <c r="R5" s="1">
        <v>26682215</v>
      </c>
      <c r="T5" s="25" t="s">
        <v>99</v>
      </c>
      <c r="U5" s="49" t="s">
        <v>100</v>
      </c>
      <c r="V5" s="50">
        <f>[3]!'V(28)'</f>
        <v>3838.83</v>
      </c>
      <c r="W5" s="31"/>
      <c r="X5" s="31"/>
      <c r="Y5" s="31"/>
      <c r="Z5" s="31"/>
      <c r="AA5" s="31"/>
      <c r="CA5" s="51" t="s">
        <v>101</v>
      </c>
      <c r="CB5" s="1">
        <f>[4]!'V(1)'</f>
        <v>26682215</v>
      </c>
      <c r="CW5" s="1" t="s">
        <v>79</v>
      </c>
      <c r="CX5" s="1">
        <v>100</v>
      </c>
      <c r="CY5" s="1" t="s">
        <v>79</v>
      </c>
      <c r="CZ5" s="11">
        <f>DL1</f>
        <v>100</v>
      </c>
      <c r="DC5" s="52">
        <v>14986</v>
      </c>
      <c r="DD5" s="53">
        <v>6</v>
      </c>
      <c r="DE5" s="53">
        <v>14974</v>
      </c>
      <c r="DF5" s="53">
        <v>18</v>
      </c>
      <c r="DG5" s="53">
        <v>14986</v>
      </c>
      <c r="DH5" s="53">
        <v>6</v>
      </c>
      <c r="DI5" s="53">
        <v>14989</v>
      </c>
      <c r="DJ5" s="53">
        <v>2</v>
      </c>
      <c r="DK5" s="53">
        <v>14992</v>
      </c>
      <c r="DL5" s="53">
        <v>0</v>
      </c>
      <c r="DM5" s="53">
        <v>14992</v>
      </c>
      <c r="DN5" s="54">
        <v>0</v>
      </c>
    </row>
    <row r="6" spans="1:180" x14ac:dyDescent="0.25">
      <c r="A6" s="55">
        <v>1</v>
      </c>
      <c r="B6" s="56" t="s">
        <v>102</v>
      </c>
      <c r="C6" s="57">
        <f>[4]!'V(14)'</f>
        <v>0</v>
      </c>
      <c r="D6" s="58">
        <v>41276.292002314818</v>
      </c>
      <c r="E6" s="1">
        <v>1440</v>
      </c>
      <c r="F6" s="59">
        <v>1</v>
      </c>
      <c r="G6" s="60">
        <v>0</v>
      </c>
      <c r="H6" s="61">
        <v>1</v>
      </c>
      <c r="I6" s="60">
        <v>722</v>
      </c>
      <c r="J6" s="62">
        <v>0.50138888888888888</v>
      </c>
      <c r="K6" s="62">
        <v>12.012499999953432</v>
      </c>
      <c r="L6" s="60"/>
      <c r="M6" s="60"/>
      <c r="N6" s="60"/>
      <c r="O6" s="63">
        <v>0.5005208333333333</v>
      </c>
      <c r="P6" s="64">
        <v>0.49795138889749069</v>
      </c>
      <c r="Q6" s="1">
        <v>0</v>
      </c>
      <c r="R6" s="1">
        <v>26663083</v>
      </c>
      <c r="S6" s="86">
        <f>D6</f>
        <v>41276.292002314818</v>
      </c>
      <c r="T6" s="25" t="s">
        <v>103</v>
      </c>
      <c r="U6" s="49" t="s">
        <v>104</v>
      </c>
      <c r="V6" s="50">
        <f>[5]!'V(14)'+[5]!'V(15)'</f>
        <v>1321.6510000000001</v>
      </c>
      <c r="X6" s="31"/>
      <c r="Y6" s="31"/>
      <c r="Z6" s="31"/>
      <c r="AA6" s="31"/>
      <c r="CA6" s="51" t="s">
        <v>105</v>
      </c>
      <c r="CB6" s="1">
        <f>[4]!'V(2)'</f>
        <v>26663083</v>
      </c>
      <c r="CW6" s="1" t="s">
        <v>80</v>
      </c>
      <c r="CX6" s="1">
        <v>1000</v>
      </c>
      <c r="CY6" s="1" t="s">
        <v>80</v>
      </c>
      <c r="CZ6" s="1">
        <f>DN1</f>
        <v>400</v>
      </c>
    </row>
    <row r="7" spans="1:180" ht="15.75" thickBot="1" x14ac:dyDescent="0.3">
      <c r="A7" s="65">
        <v>2</v>
      </c>
      <c r="B7" s="66" t="s">
        <v>106</v>
      </c>
      <c r="C7" s="57">
        <f>[1]!'V(2)'</f>
        <v>-8.8129334200000006E-2</v>
      </c>
      <c r="D7" s="58">
        <v>41276.292002314818</v>
      </c>
      <c r="E7" s="1">
        <v>1440</v>
      </c>
      <c r="F7" s="59">
        <v>-8.8129334200000006E-2</v>
      </c>
      <c r="G7" s="60">
        <v>-8.8129334200000006E-2</v>
      </c>
      <c r="H7" s="61">
        <v>-8.8129334200000006E-2</v>
      </c>
      <c r="I7" s="60">
        <v>-126.90624124800289</v>
      </c>
      <c r="J7" s="62">
        <v>-8.8129334200002005E-2</v>
      </c>
      <c r="K7" s="62">
        <v>-2.1118726118934288</v>
      </c>
      <c r="L7" s="60"/>
      <c r="M7" s="60"/>
      <c r="N7" s="60"/>
      <c r="O7" s="63"/>
      <c r="P7" s="64"/>
      <c r="Q7" s="1">
        <v>-8.8129334200000006E-2</v>
      </c>
      <c r="R7" s="1">
        <v>49874648</v>
      </c>
      <c r="S7" s="86">
        <f t="shared" ref="S7:S39" si="0">D7</f>
        <v>41276.292002314818</v>
      </c>
      <c r="T7" s="25" t="s">
        <v>107</v>
      </c>
      <c r="U7" s="49" t="s">
        <v>108</v>
      </c>
      <c r="V7" s="50">
        <f>[5]!'V(1)'</f>
        <v>2423.96</v>
      </c>
      <c r="W7" s="31"/>
      <c r="X7" s="31"/>
      <c r="Y7" s="31"/>
      <c r="Z7" s="31"/>
      <c r="AA7" s="31"/>
      <c r="CA7" s="51" t="s">
        <v>109</v>
      </c>
      <c r="CB7" s="1">
        <f>[4]!'V(3)'</f>
        <v>49874648</v>
      </c>
      <c r="DA7" s="10" t="s">
        <v>110</v>
      </c>
      <c r="DB7" s="10"/>
      <c r="DC7" s="22"/>
      <c r="DD7" s="22"/>
      <c r="DE7" s="11" t="s">
        <v>23</v>
      </c>
      <c r="DF7" s="11"/>
      <c r="DG7" s="11"/>
      <c r="DH7" s="11"/>
      <c r="DI7" s="11"/>
      <c r="DJ7" s="11"/>
      <c r="DK7" s="11"/>
      <c r="DL7" s="11"/>
      <c r="DM7" s="11"/>
      <c r="DN7" s="11"/>
      <c r="DU7" s="10" t="s">
        <v>110</v>
      </c>
      <c r="DV7" s="10"/>
      <c r="DW7" s="22"/>
      <c r="DX7" s="22"/>
      <c r="DY7" s="11" t="s">
        <v>23</v>
      </c>
      <c r="DZ7" s="11"/>
      <c r="EA7" s="11"/>
      <c r="EB7" s="11"/>
      <c r="EC7" s="11"/>
      <c r="ED7" s="11"/>
      <c r="EE7" s="11"/>
      <c r="EF7" s="11"/>
      <c r="EG7" s="11"/>
      <c r="EH7" s="11"/>
    </row>
    <row r="8" spans="1:180" ht="15.75" thickBot="1" x14ac:dyDescent="0.3">
      <c r="A8" s="65">
        <v>3</v>
      </c>
      <c r="B8" s="66" t="s">
        <v>111</v>
      </c>
      <c r="C8" s="57">
        <f>[1]!'V(3)'</f>
        <v>5.5219699999999996</v>
      </c>
      <c r="D8" s="58">
        <v>41276.292002314818</v>
      </c>
      <c r="E8" s="1">
        <v>1440</v>
      </c>
      <c r="F8" s="59">
        <v>5.5219699999999996</v>
      </c>
      <c r="G8" s="60">
        <v>4.13354</v>
      </c>
      <c r="H8" s="61">
        <v>10.1404</v>
      </c>
      <c r="I8" s="60">
        <v>10140.26525000002</v>
      </c>
      <c r="J8" s="62">
        <v>7.0418508680555698</v>
      </c>
      <c r="K8" s="62">
        <v>168.65241868457045</v>
      </c>
      <c r="L8" s="60"/>
      <c r="M8" s="60"/>
      <c r="N8" s="60"/>
      <c r="O8" s="60"/>
      <c r="P8" s="64"/>
      <c r="Q8" s="1">
        <v>5.5219699999999996</v>
      </c>
      <c r="R8" s="1">
        <v>49912842</v>
      </c>
      <c r="S8" s="86">
        <f t="shared" si="0"/>
        <v>41276.292002314818</v>
      </c>
      <c r="T8" s="25" t="s">
        <v>112</v>
      </c>
      <c r="U8" s="49" t="s">
        <v>113</v>
      </c>
      <c r="V8" s="50">
        <f>[5]!'V(2)'</f>
        <v>1317.32</v>
      </c>
      <c r="W8" s="31"/>
      <c r="X8" s="31"/>
      <c r="Y8" s="31"/>
      <c r="Z8" s="31"/>
      <c r="AA8" s="31"/>
      <c r="CA8" s="51" t="s">
        <v>114</v>
      </c>
      <c r="CB8" s="1">
        <f>[4]!'V(4)'</f>
        <v>49912842</v>
      </c>
      <c r="DC8" s="82" t="s">
        <v>12</v>
      </c>
      <c r="DD8" s="83"/>
      <c r="DE8" s="84" t="s">
        <v>77</v>
      </c>
      <c r="DF8" s="83"/>
      <c r="DG8" s="84" t="s">
        <v>76</v>
      </c>
      <c r="DH8" s="83"/>
      <c r="DI8" s="84" t="s">
        <v>78</v>
      </c>
      <c r="DJ8" s="83"/>
      <c r="DK8" s="84" t="s">
        <v>79</v>
      </c>
      <c r="DL8" s="83"/>
      <c r="DM8" s="84" t="s">
        <v>80</v>
      </c>
      <c r="DN8" s="85"/>
      <c r="DW8" s="82" t="s">
        <v>12</v>
      </c>
      <c r="DX8" s="83"/>
      <c r="DY8" s="84" t="s">
        <v>77</v>
      </c>
      <c r="DZ8" s="83"/>
      <c r="EA8" s="84" t="s">
        <v>76</v>
      </c>
      <c r="EB8" s="83"/>
      <c r="EC8" s="84" t="s">
        <v>78</v>
      </c>
      <c r="ED8" s="83"/>
      <c r="EE8" s="84" t="s">
        <v>79</v>
      </c>
      <c r="EF8" s="83"/>
      <c r="EG8" s="84" t="s">
        <v>80</v>
      </c>
      <c r="EH8" s="85"/>
    </row>
    <row r="9" spans="1:180" ht="15.75" thickBot="1" x14ac:dyDescent="0.3">
      <c r="A9" s="55">
        <v>4</v>
      </c>
      <c r="B9" s="66" t="s">
        <v>100</v>
      </c>
      <c r="C9" s="57">
        <f>[1]!'V(4)'</f>
        <v>3839.73</v>
      </c>
      <c r="D9" s="58">
        <v>41276.292002314818</v>
      </c>
      <c r="E9" s="1">
        <v>1440</v>
      </c>
      <c r="F9" s="59">
        <v>3839.73</v>
      </c>
      <c r="G9" s="60">
        <v>3572.73</v>
      </c>
      <c r="H9" s="61">
        <v>8250.67</v>
      </c>
      <c r="I9" s="60">
        <v>7491215.3099999968</v>
      </c>
      <c r="J9" s="62">
        <v>5202.2328541666648</v>
      </c>
      <c r="K9" s="62">
        <v>124670.0402034811</v>
      </c>
      <c r="L9" s="60"/>
      <c r="M9" s="60"/>
      <c r="N9" s="60"/>
      <c r="O9" s="60"/>
      <c r="P9" s="64"/>
      <c r="Q9" s="1">
        <v>3839.73</v>
      </c>
      <c r="R9" s="1">
        <v>84948522</v>
      </c>
      <c r="S9" s="86">
        <f t="shared" si="0"/>
        <v>41276.292002314818</v>
      </c>
      <c r="T9" s="25" t="s">
        <v>115</v>
      </c>
      <c r="U9" s="49" t="s">
        <v>116</v>
      </c>
      <c r="V9" s="50">
        <f>[5]!'V(2)'-([5]!'V(14)'+[5]!'V(15)')</f>
        <v>-4.331000000000131</v>
      </c>
      <c r="W9" s="31"/>
      <c r="X9" s="31"/>
      <c r="Y9" s="31"/>
      <c r="Z9" s="31"/>
      <c r="AA9" s="31"/>
      <c r="CA9" s="51" t="s">
        <v>117</v>
      </c>
      <c r="CB9" s="1">
        <f>[4]!'V(5)'</f>
        <v>84948522</v>
      </c>
      <c r="DA9" s="67"/>
      <c r="DB9" s="67"/>
      <c r="DC9" s="40" t="s">
        <v>118</v>
      </c>
      <c r="DD9" s="41" t="s">
        <v>119</v>
      </c>
      <c r="DE9" s="41" t="s">
        <v>118</v>
      </c>
      <c r="DF9" s="41" t="s">
        <v>119</v>
      </c>
      <c r="DG9" s="41" t="s">
        <v>118</v>
      </c>
      <c r="DH9" s="41" t="s">
        <v>119</v>
      </c>
      <c r="DI9" s="41" t="s">
        <v>118</v>
      </c>
      <c r="DJ9" s="41" t="s">
        <v>119</v>
      </c>
      <c r="DK9" s="41" t="s">
        <v>118</v>
      </c>
      <c r="DL9" s="41" t="s">
        <v>119</v>
      </c>
      <c r="DM9" s="41" t="s">
        <v>118</v>
      </c>
      <c r="DN9" s="42" t="s">
        <v>119</v>
      </c>
      <c r="DU9" s="67"/>
      <c r="DV9" s="67"/>
      <c r="DW9" s="40" t="s">
        <v>118</v>
      </c>
      <c r="DX9" s="41" t="s">
        <v>119</v>
      </c>
      <c r="DY9" s="41" t="s">
        <v>118</v>
      </c>
      <c r="DZ9" s="41" t="s">
        <v>119</v>
      </c>
      <c r="EA9" s="41" t="s">
        <v>118</v>
      </c>
      <c r="EB9" s="41" t="s">
        <v>119</v>
      </c>
      <c r="EC9" s="41" t="s">
        <v>118</v>
      </c>
      <c r="ED9" s="41" t="s">
        <v>119</v>
      </c>
      <c r="EE9" s="41" t="s">
        <v>118</v>
      </c>
      <c r="EF9" s="41" t="s">
        <v>119</v>
      </c>
      <c r="EG9" s="41" t="s">
        <v>118</v>
      </c>
      <c r="EH9" s="42" t="s">
        <v>119</v>
      </c>
    </row>
    <row r="10" spans="1:180" ht="15.75" thickBot="1" x14ac:dyDescent="0.3">
      <c r="A10" s="65">
        <v>5</v>
      </c>
      <c r="B10" s="66" t="s">
        <v>120</v>
      </c>
      <c r="C10" s="57">
        <f>[1]!'V(5)'</f>
        <v>66699856.600000001</v>
      </c>
      <c r="D10" s="58">
        <v>41276.292002314818</v>
      </c>
      <c r="E10" s="1">
        <v>1440</v>
      </c>
      <c r="F10" s="59">
        <v>66699856.600000001</v>
      </c>
      <c r="G10" s="60">
        <v>66575077.799999997</v>
      </c>
      <c r="H10" s="61">
        <v>66699856.600000001</v>
      </c>
      <c r="I10" s="60">
        <v>95963180004.000076</v>
      </c>
      <c r="J10" s="62">
        <v>66641097.225000054</v>
      </c>
      <c r="K10" s="62">
        <v>1596945245.1196523</v>
      </c>
      <c r="L10" s="60"/>
      <c r="M10" s="60"/>
      <c r="N10" s="60"/>
      <c r="O10" s="60"/>
      <c r="P10" s="64"/>
      <c r="Q10" s="1">
        <v>66699856.600000001</v>
      </c>
      <c r="R10" s="1">
        <v>84986411</v>
      </c>
      <c r="S10" s="86">
        <f t="shared" si="0"/>
        <v>41276.292002314818</v>
      </c>
      <c r="T10" s="25" t="s">
        <v>121</v>
      </c>
      <c r="U10" s="49" t="s">
        <v>122</v>
      </c>
      <c r="V10" s="50">
        <f>[5]!'V(3)'</f>
        <v>1630.9</v>
      </c>
      <c r="W10" s="31"/>
      <c r="X10" s="31"/>
      <c r="Y10" s="31"/>
      <c r="Z10" s="31"/>
      <c r="AA10" s="31"/>
      <c r="CA10" s="51" t="s">
        <v>123</v>
      </c>
      <c r="CB10" s="1">
        <f>[4]!'V(6)'</f>
        <v>84986411</v>
      </c>
      <c r="DC10" s="52">
        <v>0</v>
      </c>
      <c r="DD10" s="53">
        <v>0</v>
      </c>
      <c r="DE10" s="53">
        <v>0</v>
      </c>
      <c r="DF10" s="53">
        <v>0</v>
      </c>
      <c r="DG10" s="53">
        <v>0</v>
      </c>
      <c r="DH10" s="53">
        <v>0</v>
      </c>
      <c r="DI10" s="53">
        <v>0</v>
      </c>
      <c r="DJ10" s="53">
        <v>0</v>
      </c>
      <c r="DK10" s="53">
        <v>0</v>
      </c>
      <c r="DL10" s="53">
        <v>0</v>
      </c>
      <c r="DM10" s="53">
        <v>0</v>
      </c>
      <c r="DN10" s="54">
        <v>0</v>
      </c>
      <c r="DW10" s="52">
        <f>(48-COUNTBLANK([6]tableau_drire!I11:I58))</f>
        <v>13</v>
      </c>
      <c r="DX10" s="53">
        <v>0</v>
      </c>
      <c r="DY10" s="53">
        <v>2</v>
      </c>
      <c r="DZ10" s="53">
        <v>0</v>
      </c>
      <c r="EA10" s="53">
        <v>2</v>
      </c>
      <c r="EB10" s="53">
        <v>0</v>
      </c>
      <c r="EC10" s="53">
        <v>2</v>
      </c>
      <c r="ED10" s="53">
        <v>0</v>
      </c>
      <c r="EE10" s="53">
        <v>2</v>
      </c>
      <c r="EF10" s="53">
        <v>0</v>
      </c>
      <c r="EG10" s="53">
        <v>2</v>
      </c>
      <c r="EH10" s="54">
        <v>0</v>
      </c>
    </row>
    <row r="11" spans="1:180" x14ac:dyDescent="0.25">
      <c r="A11" s="65">
        <v>6</v>
      </c>
      <c r="B11" s="66" t="s">
        <v>113</v>
      </c>
      <c r="C11" s="57">
        <f>[1]!'V(6)'</f>
        <v>1301.55</v>
      </c>
      <c r="D11" s="58">
        <v>41276.292002314818</v>
      </c>
      <c r="E11" s="1">
        <v>1440</v>
      </c>
      <c r="F11" s="59">
        <v>1301.55</v>
      </c>
      <c r="G11" s="60">
        <v>-4.7919999999999998</v>
      </c>
      <c r="H11" s="61">
        <v>3733.47</v>
      </c>
      <c r="I11" s="60">
        <v>2059704.5103469992</v>
      </c>
      <c r="J11" s="62">
        <v>1430.3503544076384</v>
      </c>
      <c r="K11" s="62">
        <v>34239.114787594124</v>
      </c>
      <c r="L11" s="60"/>
      <c r="M11" s="60"/>
      <c r="N11" s="60"/>
      <c r="O11" s="60"/>
      <c r="P11" s="64"/>
      <c r="Q11" s="1">
        <v>1301.55</v>
      </c>
      <c r="R11" s="1">
        <v>27157014</v>
      </c>
      <c r="S11" s="86">
        <f t="shared" si="0"/>
        <v>41276.292002314818</v>
      </c>
      <c r="T11" s="25" t="s">
        <v>124</v>
      </c>
      <c r="U11" s="49" t="s">
        <v>125</v>
      </c>
      <c r="V11" s="50">
        <f>[5]!'V(4)'</f>
        <v>1529.08</v>
      </c>
      <c r="W11" s="31"/>
      <c r="X11" s="31"/>
      <c r="Y11" s="31"/>
      <c r="Z11" s="31"/>
      <c r="AA11" s="31"/>
      <c r="CA11" s="51" t="s">
        <v>126</v>
      </c>
      <c r="CB11" s="1">
        <f>[4]!'V(7)'</f>
        <v>27157014</v>
      </c>
      <c r="DD11" s="1">
        <f>IF([6]tableau_drire!D80&gt;10,1,)</f>
        <v>0</v>
      </c>
      <c r="DF11" s="1">
        <f>IF([6]tableau_drire!F80&gt;10,1,)</f>
        <v>0</v>
      </c>
      <c r="DH11" s="1">
        <f>IF([6]tableau_drire!H80&gt;10,1,)</f>
        <v>0</v>
      </c>
      <c r="DJ11" s="1">
        <f>IF([6]tableau_drire!J80&gt;50,1,)</f>
        <v>0</v>
      </c>
      <c r="DL11" s="1">
        <f>IF([6]tableau_drire!L70&gt;50,1,)</f>
        <v>0</v>
      </c>
      <c r="DX11" s="1">
        <v>0</v>
      </c>
      <c r="DZ11" s="1">
        <v>0</v>
      </c>
      <c r="EB11" s="1">
        <v>0</v>
      </c>
      <c r="ED11" s="1">
        <v>0</v>
      </c>
      <c r="EF11" s="1">
        <v>0</v>
      </c>
    </row>
    <row r="12" spans="1:180" x14ac:dyDescent="0.25">
      <c r="A12" s="55">
        <v>7</v>
      </c>
      <c r="B12" s="66" t="s">
        <v>127</v>
      </c>
      <c r="C12" s="57">
        <f>[1]!'V(7)'</f>
        <v>60942595.899999999</v>
      </c>
      <c r="D12" s="58">
        <v>41276.292002314818</v>
      </c>
      <c r="E12" s="1">
        <v>1440</v>
      </c>
      <c r="F12" s="59">
        <v>60942595.899999999</v>
      </c>
      <c r="G12" s="60">
        <v>60908336.399999999</v>
      </c>
      <c r="H12" s="61">
        <v>60942595.899999999</v>
      </c>
      <c r="I12" s="60">
        <v>87729387968.799866</v>
      </c>
      <c r="J12" s="60">
        <v>60923186.089444354</v>
      </c>
      <c r="K12" s="60">
        <v>1459923159.5166852</v>
      </c>
      <c r="L12" s="60"/>
      <c r="M12" s="60"/>
      <c r="N12" s="60"/>
      <c r="O12" s="60"/>
      <c r="P12" s="64"/>
      <c r="Q12" s="1">
        <v>60942595.899999999</v>
      </c>
      <c r="R12" s="1">
        <v>36584815</v>
      </c>
      <c r="S12" s="86">
        <f t="shared" si="0"/>
        <v>41276.292002314818</v>
      </c>
      <c r="T12" s="25" t="s">
        <v>128</v>
      </c>
      <c r="U12" s="49" t="s">
        <v>129</v>
      </c>
      <c r="V12" s="50">
        <f>[5]!'V(5)'</f>
        <v>1547.41</v>
      </c>
      <c r="W12" s="31"/>
      <c r="X12" s="31"/>
      <c r="Y12" s="31"/>
      <c r="Z12" s="31"/>
      <c r="AA12" s="31"/>
      <c r="CA12" s="51" t="s">
        <v>130</v>
      </c>
      <c r="CB12" s="1">
        <f>[4]!'V(8)'</f>
        <v>36584815</v>
      </c>
      <c r="DW12" s="1" t="s">
        <v>5</v>
      </c>
      <c r="DX12" s="1">
        <v>1.4328982069708334</v>
      </c>
      <c r="DY12" s="1" t="s">
        <v>5</v>
      </c>
      <c r="DZ12" s="1">
        <v>2.9310303837013882</v>
      </c>
      <c r="EA12" s="1" t="s">
        <v>5</v>
      </c>
      <c r="EB12" s="1">
        <v>4.824773547222224E-2</v>
      </c>
      <c r="EC12" s="1" t="s">
        <v>5</v>
      </c>
      <c r="ED12" s="1">
        <v>28.728721999999994</v>
      </c>
      <c r="EE12" s="1" t="s">
        <v>5</v>
      </c>
      <c r="EF12" s="1">
        <v>1.2492951125000002</v>
      </c>
      <c r="EG12" s="1" t="s">
        <v>5</v>
      </c>
      <c r="EH12" s="1">
        <v>26.584018999999998</v>
      </c>
    </row>
    <row r="13" spans="1:180" ht="15.75" thickBot="1" x14ac:dyDescent="0.3">
      <c r="A13" s="65">
        <v>8</v>
      </c>
      <c r="B13" s="66" t="s">
        <v>131</v>
      </c>
      <c r="C13" s="57">
        <f>[1]!'V(8)'</f>
        <v>135.16200000000001</v>
      </c>
      <c r="D13" s="58">
        <v>41276.292002314818</v>
      </c>
      <c r="E13" s="1">
        <v>1440</v>
      </c>
      <c r="F13" s="59">
        <v>135.16200000000001</v>
      </c>
      <c r="G13" s="60">
        <v>39.6066</v>
      </c>
      <c r="H13" s="61">
        <v>194.50800000000001</v>
      </c>
      <c r="I13" s="60">
        <v>130197.95129999999</v>
      </c>
      <c r="J13" s="60">
        <v>90.415243958333321</v>
      </c>
      <c r="K13" s="60">
        <v>2166.1523184047628</v>
      </c>
      <c r="L13" s="60"/>
      <c r="M13" s="60"/>
      <c r="N13" s="60"/>
      <c r="O13" s="60"/>
      <c r="P13" s="64"/>
      <c r="Q13" s="1">
        <v>135.16200000000001</v>
      </c>
      <c r="R13" s="1">
        <v>3277049</v>
      </c>
      <c r="S13" s="86">
        <f t="shared" si="0"/>
        <v>41276.292002314818</v>
      </c>
      <c r="T13" s="25" t="s">
        <v>132</v>
      </c>
      <c r="U13" s="49" t="s">
        <v>133</v>
      </c>
      <c r="V13" s="50">
        <f>[5]!'V(6)'</f>
        <v>1062.4000000000001</v>
      </c>
      <c r="W13" s="31"/>
      <c r="X13" s="31"/>
      <c r="Y13" s="31"/>
      <c r="Z13" s="31"/>
      <c r="AA13" s="31"/>
      <c r="CA13" s="51" t="s">
        <v>134</v>
      </c>
      <c r="CB13" s="1">
        <f>[4]!'V(9)'</f>
        <v>3277049</v>
      </c>
      <c r="DC13" s="11"/>
      <c r="DD13" s="22" t="s">
        <v>135</v>
      </c>
      <c r="DE13" s="11"/>
      <c r="DF13" s="11"/>
      <c r="DG13" s="11"/>
      <c r="DH13" s="11"/>
      <c r="DI13" s="22" t="s">
        <v>136</v>
      </c>
      <c r="DJ13" s="68"/>
      <c r="DK13" s="11"/>
      <c r="DL13" s="11"/>
    </row>
    <row r="14" spans="1:180" ht="15.75" thickBot="1" x14ac:dyDescent="0.3">
      <c r="A14" s="65">
        <v>9</v>
      </c>
      <c r="B14" s="66" t="s">
        <v>137</v>
      </c>
      <c r="C14" s="57">
        <f>[1]!'V(9)'</f>
        <v>18589175.800000001</v>
      </c>
      <c r="D14" s="58">
        <v>41276.292002314818</v>
      </c>
      <c r="E14" s="1">
        <v>1440</v>
      </c>
      <c r="F14" s="59">
        <v>18589175.800000001</v>
      </c>
      <c r="G14" s="60">
        <v>18587001.300000001</v>
      </c>
      <c r="H14" s="61">
        <v>18589175.800000001</v>
      </c>
      <c r="I14" s="60">
        <v>26766618215.200005</v>
      </c>
      <c r="J14" s="60">
        <v>18587929.316111114</v>
      </c>
      <c r="K14" s="60">
        <v>445428780.16549873</v>
      </c>
      <c r="L14" s="60"/>
      <c r="M14" s="60"/>
      <c r="N14" s="60"/>
      <c r="O14" s="60"/>
      <c r="P14" s="64"/>
      <c r="Q14" s="1">
        <v>18589175.800000001</v>
      </c>
      <c r="R14" s="1">
        <v>1532458</v>
      </c>
      <c r="S14" s="86">
        <f t="shared" si="0"/>
        <v>41276.292002314818</v>
      </c>
      <c r="T14" s="25" t="s">
        <v>138</v>
      </c>
      <c r="U14" s="49" t="s">
        <v>139</v>
      </c>
      <c r="V14" s="50">
        <f>[5]!'V(7)'</f>
        <v>1574.21</v>
      </c>
      <c r="W14" s="31"/>
      <c r="X14" s="31"/>
      <c r="Y14" s="31"/>
      <c r="Z14" s="31"/>
      <c r="AA14" s="31"/>
      <c r="CA14" s="51" t="s">
        <v>140</v>
      </c>
      <c r="CB14" s="1">
        <f>[4]!'V(10)'</f>
        <v>1532458</v>
      </c>
      <c r="DC14" s="11"/>
      <c r="DD14" s="78">
        <v>0</v>
      </c>
      <c r="DE14" s="79"/>
      <c r="DF14" s="80"/>
      <c r="DG14" s="81"/>
      <c r="DH14" s="11">
        <v>0</v>
      </c>
      <c r="DI14" s="78">
        <v>32</v>
      </c>
      <c r="DJ14" s="79"/>
      <c r="DK14" s="80"/>
      <c r="DL14" s="81"/>
      <c r="DM14" s="11">
        <v>16</v>
      </c>
    </row>
    <row r="15" spans="1:180" x14ac:dyDescent="0.25">
      <c r="A15" s="55">
        <v>10</v>
      </c>
      <c r="B15" s="66" t="s">
        <v>141</v>
      </c>
      <c r="C15" s="57">
        <f>[1]!'V(10)'</f>
        <v>298.178</v>
      </c>
      <c r="D15" s="58">
        <v>41276.292002314818</v>
      </c>
      <c r="E15" s="1">
        <v>1440</v>
      </c>
      <c r="F15" s="59">
        <v>298.178</v>
      </c>
      <c r="G15" s="60">
        <v>1.6891499999999999</v>
      </c>
      <c r="H15" s="61">
        <v>335.15300000000002</v>
      </c>
      <c r="I15" s="60">
        <v>384932.19400000002</v>
      </c>
      <c r="J15" s="60">
        <v>267.31402361111111</v>
      </c>
      <c r="K15" s="60">
        <v>6404.9818042345369</v>
      </c>
      <c r="L15" s="60"/>
      <c r="M15" s="60"/>
      <c r="N15" s="60"/>
      <c r="O15" s="60"/>
      <c r="P15" s="64"/>
      <c r="Q15" s="1">
        <v>298.178</v>
      </c>
      <c r="R15" s="1">
        <v>56781987</v>
      </c>
      <c r="S15" s="86">
        <f t="shared" si="0"/>
        <v>41276.292002314818</v>
      </c>
      <c r="T15" s="25" t="s">
        <v>142</v>
      </c>
      <c r="U15" s="49" t="s">
        <v>143</v>
      </c>
      <c r="V15" s="50">
        <f>[5]!'V(8)'</f>
        <v>1433.37</v>
      </c>
      <c r="W15" s="31"/>
      <c r="X15" s="31"/>
      <c r="Y15" s="31"/>
      <c r="Z15" s="31"/>
      <c r="AA15" s="31"/>
      <c r="CA15" s="51" t="s">
        <v>144</v>
      </c>
      <c r="CB15" s="1">
        <f>[4]!'V(11)'</f>
        <v>56781987</v>
      </c>
    </row>
    <row r="16" spans="1:180" x14ac:dyDescent="0.25">
      <c r="A16" s="65">
        <v>11</v>
      </c>
      <c r="B16" s="66" t="s">
        <v>145</v>
      </c>
      <c r="C16" s="57">
        <f>[1]!'V(11)'</f>
        <v>28682414.399999999</v>
      </c>
      <c r="D16" s="58">
        <v>41276.292002314818</v>
      </c>
      <c r="E16" s="1">
        <v>1440</v>
      </c>
      <c r="F16" s="59">
        <v>28682414.399999999</v>
      </c>
      <c r="G16" s="60">
        <v>28676015.899999999</v>
      </c>
      <c r="H16" s="61">
        <v>28682414.399999999</v>
      </c>
      <c r="I16" s="60">
        <v>41297750819.899971</v>
      </c>
      <c r="J16" s="60">
        <v>28678993.624930535</v>
      </c>
      <c r="K16" s="60">
        <v>687244392.96691799</v>
      </c>
      <c r="L16" s="60"/>
      <c r="M16" s="60"/>
      <c r="N16" s="60"/>
      <c r="O16" s="60"/>
      <c r="P16" s="64"/>
      <c r="Q16" s="1">
        <v>28682414.399999999</v>
      </c>
      <c r="R16" s="1">
        <v>56833305</v>
      </c>
      <c r="S16" s="86">
        <f t="shared" si="0"/>
        <v>41276.292002314818</v>
      </c>
      <c r="T16" s="25" t="s">
        <v>146</v>
      </c>
      <c r="U16" s="49" t="s">
        <v>147</v>
      </c>
      <c r="V16" s="50">
        <f>[5]!'V(9)'</f>
        <v>3.0867247600000001</v>
      </c>
      <c r="W16" s="31"/>
      <c r="X16" s="31"/>
      <c r="Y16" s="31"/>
      <c r="Z16" s="31"/>
      <c r="AA16" s="31"/>
      <c r="CA16" s="51" t="s">
        <v>148</v>
      </c>
      <c r="CB16" s="1">
        <f>[4]!'V(12)'</f>
        <v>56833305</v>
      </c>
    </row>
    <row r="17" spans="1:114" x14ac:dyDescent="0.25">
      <c r="A17" s="65">
        <v>12</v>
      </c>
      <c r="B17" s="66" t="s">
        <v>149</v>
      </c>
      <c r="C17" s="57">
        <f>[1]!'V(12)'</f>
        <v>0</v>
      </c>
      <c r="D17" s="58">
        <v>41276.292002314818</v>
      </c>
      <c r="E17" s="1">
        <v>1440</v>
      </c>
      <c r="F17" s="59">
        <v>0</v>
      </c>
      <c r="G17" s="60">
        <v>0</v>
      </c>
      <c r="H17" s="61">
        <v>21.1586</v>
      </c>
      <c r="I17" s="60">
        <v>616.25816999999995</v>
      </c>
      <c r="J17" s="60">
        <v>0.42795706249999999</v>
      </c>
      <c r="K17" s="60">
        <v>10.270969499149675</v>
      </c>
      <c r="L17" s="60"/>
      <c r="M17" s="60"/>
      <c r="N17" s="60"/>
      <c r="O17" s="60"/>
      <c r="P17" s="64">
        <v>0.95680555555736646</v>
      </c>
      <c r="Q17" s="1">
        <v>0</v>
      </c>
      <c r="R17" s="1">
        <v>13097646</v>
      </c>
      <c r="S17" s="86">
        <f t="shared" si="0"/>
        <v>41276.292002314818</v>
      </c>
      <c r="T17" s="25" t="s">
        <v>150</v>
      </c>
      <c r="U17" s="49" t="s">
        <v>151</v>
      </c>
      <c r="V17" s="50">
        <f>[5]!'V(10)'</f>
        <v>0.19844300000000001</v>
      </c>
      <c r="W17" s="31"/>
      <c r="X17" s="31"/>
      <c r="Y17" s="31"/>
      <c r="Z17" s="31"/>
      <c r="AA17" s="31"/>
      <c r="CA17" s="51" t="s">
        <v>152</v>
      </c>
      <c r="CB17" s="1">
        <f>[4]!'V(13)'</f>
        <v>13097646</v>
      </c>
      <c r="DA17" s="1" t="s">
        <v>153</v>
      </c>
      <c r="DC17" s="1" t="s">
        <v>154</v>
      </c>
      <c r="DD17" s="1" t="s">
        <v>155</v>
      </c>
    </row>
    <row r="18" spans="1:114" x14ac:dyDescent="0.25">
      <c r="A18" s="55">
        <v>13</v>
      </c>
      <c r="B18" s="66" t="s">
        <v>156</v>
      </c>
      <c r="C18" s="57">
        <f>[1]!'V(13)'</f>
        <v>166736.14300000001</v>
      </c>
      <c r="D18" s="58">
        <v>41276.292002314818</v>
      </c>
      <c r="E18" s="1">
        <v>1440</v>
      </c>
      <c r="F18" s="59">
        <v>166736.14300000001</v>
      </c>
      <c r="G18" s="60">
        <v>166725.98699999999</v>
      </c>
      <c r="H18" s="61">
        <v>166736.14300000001</v>
      </c>
      <c r="I18" s="60">
        <v>240089008.20600367</v>
      </c>
      <c r="J18" s="60">
        <v>166728.47792083587</v>
      </c>
      <c r="K18" s="60">
        <v>3995370.1839365689</v>
      </c>
      <c r="L18" s="60"/>
      <c r="M18" s="60"/>
      <c r="N18" s="60"/>
      <c r="O18" s="60"/>
      <c r="P18" s="64"/>
      <c r="Q18" s="1">
        <v>166736.14300000001</v>
      </c>
      <c r="R18" s="1">
        <v>32979249</v>
      </c>
      <c r="S18" s="86">
        <f t="shared" si="0"/>
        <v>41276.292002314818</v>
      </c>
      <c r="T18" s="25" t="s">
        <v>157</v>
      </c>
      <c r="U18" s="49" t="s">
        <v>158</v>
      </c>
      <c r="V18" s="50">
        <f>[5]!'V(11)'</f>
        <v>1.64874673</v>
      </c>
      <c r="W18" s="31"/>
      <c r="X18" s="31"/>
      <c r="Y18" s="31"/>
      <c r="Z18" s="31"/>
      <c r="AA18" s="31"/>
      <c r="CA18" s="51" t="s">
        <v>159</v>
      </c>
      <c r="CB18" s="1">
        <f>[4]!'V(16)'</f>
        <v>32979249</v>
      </c>
      <c r="DA18" s="1" t="s">
        <v>160</v>
      </c>
      <c r="DB18" s="1" t="s">
        <v>161</v>
      </c>
      <c r="DC18" s="1" t="s">
        <v>162</v>
      </c>
      <c r="DD18" s="1">
        <v>1</v>
      </c>
      <c r="DE18" s="1" t="s">
        <v>163</v>
      </c>
      <c r="DF18" s="1">
        <v>0</v>
      </c>
      <c r="DH18" s="1" t="s">
        <v>164</v>
      </c>
      <c r="DI18" s="1" t="s">
        <v>165</v>
      </c>
      <c r="DJ18" s="1">
        <f>[7]!'V(1)'</f>
        <v>0</v>
      </c>
    </row>
    <row r="19" spans="1:114" x14ac:dyDescent="0.25">
      <c r="A19" s="65">
        <v>14</v>
      </c>
      <c r="B19" s="66" t="s">
        <v>166</v>
      </c>
      <c r="C19" s="57">
        <f>[1]!'V(14)'</f>
        <v>0</v>
      </c>
      <c r="D19" s="58">
        <v>41276.292002314818</v>
      </c>
      <c r="E19" s="1">
        <v>1440</v>
      </c>
      <c r="F19" s="59">
        <v>0</v>
      </c>
      <c r="G19" s="60">
        <v>0</v>
      </c>
      <c r="H19" s="61">
        <v>0</v>
      </c>
      <c r="I19" s="60">
        <v>0</v>
      </c>
      <c r="J19" s="60">
        <v>0</v>
      </c>
      <c r="K19" s="60">
        <v>0</v>
      </c>
      <c r="L19" s="60"/>
      <c r="M19" s="60"/>
      <c r="N19" s="60"/>
      <c r="O19" s="60"/>
      <c r="P19" s="64">
        <v>0.99847222222888377</v>
      </c>
      <c r="Q19" s="1">
        <v>0</v>
      </c>
      <c r="R19" s="1">
        <v>35786603</v>
      </c>
      <c r="S19" s="86">
        <f t="shared" si="0"/>
        <v>41276.292002314818</v>
      </c>
      <c r="T19" s="25" t="s">
        <v>167</v>
      </c>
      <c r="U19" s="49" t="s">
        <v>168</v>
      </c>
      <c r="V19" s="50">
        <f>[5]!'V(12)'</f>
        <v>3.5250900000000001</v>
      </c>
      <c r="W19" s="31"/>
      <c r="X19" s="31"/>
      <c r="Y19" s="31"/>
      <c r="Z19" s="31"/>
      <c r="AA19" s="31"/>
      <c r="CA19" s="51" t="s">
        <v>169</v>
      </c>
      <c r="CB19" s="1">
        <f>[4]!'V(17)'</f>
        <v>35786603</v>
      </c>
      <c r="DA19" s="1" t="s">
        <v>160</v>
      </c>
      <c r="DB19" s="1" t="s">
        <v>65</v>
      </c>
      <c r="DC19" s="1" t="s">
        <v>170</v>
      </c>
      <c r="DD19" s="1">
        <v>0</v>
      </c>
    </row>
    <row r="20" spans="1:114" x14ac:dyDescent="0.25">
      <c r="A20" s="65">
        <v>15</v>
      </c>
      <c r="B20" s="66" t="s">
        <v>171</v>
      </c>
      <c r="C20" s="57">
        <f>[1]!'V(15)'</f>
        <v>77557.522100000002</v>
      </c>
      <c r="D20" s="58">
        <v>41276.292002314818</v>
      </c>
      <c r="E20" s="1">
        <v>1440</v>
      </c>
      <c r="F20" s="59">
        <v>77557.522100000002</v>
      </c>
      <c r="G20" s="60">
        <v>77557.522100000002</v>
      </c>
      <c r="H20" s="61">
        <v>77557.522100000002</v>
      </c>
      <c r="I20" s="60">
        <v>111682831.82400188</v>
      </c>
      <c r="J20" s="60">
        <v>77557.522100001312</v>
      </c>
      <c r="K20" s="60">
        <v>1858536.7546020153</v>
      </c>
      <c r="L20" s="60"/>
      <c r="M20" s="60"/>
      <c r="N20" s="60"/>
      <c r="O20" s="60"/>
      <c r="P20" s="64"/>
      <c r="Q20" s="1">
        <v>77557.522100000002</v>
      </c>
      <c r="R20" s="1">
        <v>42241286</v>
      </c>
      <c r="S20" s="86">
        <f t="shared" si="0"/>
        <v>41276.292002314818</v>
      </c>
      <c r="T20" s="25" t="s">
        <v>172</v>
      </c>
      <c r="U20" s="49" t="s">
        <v>173</v>
      </c>
      <c r="V20" s="50">
        <f>[5]!'V(13)'</f>
        <v>1.9293508500000001</v>
      </c>
      <c r="W20" s="31"/>
      <c r="X20" s="31"/>
      <c r="Y20" s="31"/>
      <c r="Z20" s="31"/>
      <c r="AA20" s="31"/>
      <c r="CA20" s="51" t="s">
        <v>174</v>
      </c>
      <c r="CB20" s="1">
        <f>[4]!'V(18)'</f>
        <v>42241286</v>
      </c>
      <c r="DA20" s="1" t="s">
        <v>160</v>
      </c>
      <c r="DB20" s="1" t="s">
        <v>67</v>
      </c>
      <c r="DC20" s="1" t="s">
        <v>175</v>
      </c>
      <c r="DD20" s="1">
        <v>0</v>
      </c>
    </row>
    <row r="21" spans="1:114" x14ac:dyDescent="0.25">
      <c r="A21" s="55">
        <v>16</v>
      </c>
      <c r="B21" s="66"/>
      <c r="C21" s="57" t="str">
        <f>[1]!'V(16)'</f>
        <v>??</v>
      </c>
      <c r="D21" s="59"/>
      <c r="F21" s="59"/>
      <c r="G21" s="59"/>
      <c r="H21" s="61"/>
      <c r="I21" s="59"/>
      <c r="J21" s="60"/>
      <c r="K21" s="60"/>
      <c r="L21" s="60"/>
      <c r="M21" s="60"/>
      <c r="N21" s="60"/>
      <c r="O21" s="60"/>
      <c r="P21" s="64"/>
      <c r="Q21" s="1" t="s">
        <v>176</v>
      </c>
      <c r="R21" s="1">
        <v>45949891</v>
      </c>
      <c r="S21" s="86">
        <f t="shared" si="0"/>
        <v>0</v>
      </c>
      <c r="T21" s="25" t="s">
        <v>167</v>
      </c>
      <c r="U21" s="49" t="s">
        <v>177</v>
      </c>
      <c r="V21" s="50">
        <f>[5]!'V(16)'</f>
        <v>0.40892499999999998</v>
      </c>
      <c r="W21" s="31"/>
      <c r="X21" s="31"/>
      <c r="Y21" s="31"/>
      <c r="Z21" s="31"/>
      <c r="AA21" s="31"/>
      <c r="CA21" s="51" t="s">
        <v>178</v>
      </c>
      <c r="CB21" s="1">
        <f>[4]!'V(19)'</f>
        <v>45949891</v>
      </c>
      <c r="DA21" s="1" t="s">
        <v>160</v>
      </c>
      <c r="DB21" s="1" t="s">
        <v>68</v>
      </c>
      <c r="DC21" s="1" t="s">
        <v>179</v>
      </c>
      <c r="DD21" s="1">
        <v>0</v>
      </c>
    </row>
    <row r="22" spans="1:114" x14ac:dyDescent="0.25">
      <c r="A22" s="65">
        <v>17</v>
      </c>
      <c r="B22" s="66" t="s">
        <v>180</v>
      </c>
      <c r="C22" s="57">
        <f>[1]!'V(17)'</f>
        <v>602.45899999999995</v>
      </c>
      <c r="D22" s="58">
        <v>41276.292002314818</v>
      </c>
      <c r="E22" s="1">
        <v>1440</v>
      </c>
      <c r="F22" s="59">
        <v>602.45899999999995</v>
      </c>
      <c r="G22" s="59">
        <v>-2.5728599999999999</v>
      </c>
      <c r="H22" s="61">
        <v>1844.09</v>
      </c>
      <c r="I22" s="59">
        <v>962163.65547000011</v>
      </c>
      <c r="J22" s="60">
        <v>668.1692051875001</v>
      </c>
      <c r="K22" s="60">
        <v>15994.027460284433</v>
      </c>
      <c r="L22" s="60"/>
      <c r="M22" s="60"/>
      <c r="N22" s="60"/>
      <c r="O22" s="60"/>
      <c r="P22" s="64"/>
      <c r="Q22" s="1">
        <v>602.45899999999995</v>
      </c>
      <c r="R22" s="1">
        <v>29327848</v>
      </c>
      <c r="S22" s="86">
        <f t="shared" si="0"/>
        <v>41276.292002314818</v>
      </c>
      <c r="T22" s="25" t="s">
        <v>181</v>
      </c>
      <c r="U22" s="49" t="s">
        <v>182</v>
      </c>
      <c r="V22" s="50">
        <f>[5]!'V(17)'</f>
        <v>9879.43</v>
      </c>
      <c r="W22" s="31"/>
      <c r="X22" s="31"/>
      <c r="Y22" s="31"/>
      <c r="Z22" s="31"/>
      <c r="AA22" s="31"/>
      <c r="CA22" s="51" t="s">
        <v>183</v>
      </c>
      <c r="CB22" s="1">
        <f>[4]!'V(20)'</f>
        <v>29327848</v>
      </c>
      <c r="DA22" s="1" t="s">
        <v>160</v>
      </c>
      <c r="DB22" s="1" t="s">
        <v>69</v>
      </c>
      <c r="DC22" s="1" t="s">
        <v>184</v>
      </c>
      <c r="DD22" s="1">
        <v>0</v>
      </c>
      <c r="DF22" s="1" t="s">
        <v>185</v>
      </c>
      <c r="DH22" s="1">
        <f>[8]!'V(24)'</f>
        <v>1</v>
      </c>
    </row>
    <row r="23" spans="1:114" x14ac:dyDescent="0.25">
      <c r="A23" s="65">
        <v>18</v>
      </c>
      <c r="B23" s="66" t="s">
        <v>186</v>
      </c>
      <c r="C23" s="57">
        <f>[1]!'V(18)'</f>
        <v>26561281.899999999</v>
      </c>
      <c r="D23" s="58">
        <v>41276.292002314818</v>
      </c>
      <c r="E23" s="1">
        <v>1440</v>
      </c>
      <c r="F23" s="59">
        <v>26561281.899999999</v>
      </c>
      <c r="G23" s="59">
        <v>26545304.899999999</v>
      </c>
      <c r="H23" s="61">
        <v>26561281.899999999</v>
      </c>
      <c r="I23" s="59">
        <v>38235208588.90004</v>
      </c>
      <c r="J23" s="60">
        <v>26552228.18673614</v>
      </c>
      <c r="K23" s="60">
        <v>636280148.18330073</v>
      </c>
      <c r="L23" s="60"/>
      <c r="M23" s="60"/>
      <c r="N23" s="60"/>
      <c r="O23" s="60"/>
      <c r="P23" s="64"/>
      <c r="Q23" s="1">
        <v>26561281.899999999</v>
      </c>
      <c r="R23" s="1">
        <v>13298872</v>
      </c>
      <c r="S23" s="86">
        <f t="shared" si="0"/>
        <v>41276.292002314818</v>
      </c>
      <c r="T23" s="25" t="s">
        <v>187</v>
      </c>
      <c r="U23" s="49" t="s">
        <v>188</v>
      </c>
      <c r="V23" s="50">
        <f>[5]!'V(18)'</f>
        <v>8289.69</v>
      </c>
      <c r="W23" s="31"/>
      <c r="X23" s="31"/>
      <c r="Y23" s="31"/>
      <c r="Z23" s="31"/>
      <c r="AA23" s="31"/>
      <c r="CA23" s="51" t="s">
        <v>189</v>
      </c>
      <c r="CB23" s="1">
        <f>[4]!'V(21)'</f>
        <v>13298872</v>
      </c>
      <c r="DB23" s="1" t="s">
        <v>184</v>
      </c>
      <c r="DC23" s="1" t="s">
        <v>190</v>
      </c>
      <c r="DF23" s="1" t="s">
        <v>191</v>
      </c>
      <c r="DH23" s="1">
        <f>[8]!'V(23)'</f>
        <v>0</v>
      </c>
    </row>
    <row r="24" spans="1:114" ht="15.75" thickBot="1" x14ac:dyDescent="0.3">
      <c r="A24" s="55">
        <v>19</v>
      </c>
      <c r="B24" s="66" t="s">
        <v>192</v>
      </c>
      <c r="C24" s="57">
        <f>[1]!'V(19)'</f>
        <v>713.30600000000004</v>
      </c>
      <c r="D24" s="58">
        <v>41276.292002314818</v>
      </c>
      <c r="E24" s="1">
        <v>1440</v>
      </c>
      <c r="F24" s="59">
        <v>713.30600000000004</v>
      </c>
      <c r="G24" s="59">
        <v>-2.2383199999999999</v>
      </c>
      <c r="H24" s="61">
        <v>1888.4</v>
      </c>
      <c r="I24" s="59">
        <v>1097148.5269246986</v>
      </c>
      <c r="J24" s="60">
        <v>761.90869925326297</v>
      </c>
      <c r="K24" s="60">
        <v>18238.534496077329</v>
      </c>
      <c r="L24" s="60"/>
      <c r="M24" s="60"/>
      <c r="N24" s="60"/>
      <c r="O24" s="60"/>
      <c r="P24" s="64"/>
      <c r="Q24" s="1">
        <v>713.30600000000004</v>
      </c>
      <c r="R24" s="1">
        <v>79933403</v>
      </c>
      <c r="S24" s="86">
        <f t="shared" si="0"/>
        <v>41276.292002314818</v>
      </c>
      <c r="T24" s="25" t="s">
        <v>193</v>
      </c>
      <c r="U24" s="49" t="s">
        <v>194</v>
      </c>
      <c r="V24" s="50">
        <f>[5]!'V(19)'</f>
        <v>1100.1500000000001</v>
      </c>
      <c r="W24" s="31"/>
      <c r="X24" s="31"/>
      <c r="Y24" s="31"/>
      <c r="Z24" s="31"/>
      <c r="AA24" s="31"/>
      <c r="CA24" s="51" t="s">
        <v>195</v>
      </c>
      <c r="CB24" s="1">
        <f>[4]!'V(22)'</f>
        <v>79933403</v>
      </c>
      <c r="DC24" s="1" t="s">
        <v>196</v>
      </c>
      <c r="DD24" s="1">
        <v>0</v>
      </c>
      <c r="DE24" s="1" t="s">
        <v>197</v>
      </c>
    </row>
    <row r="25" spans="1:114" x14ac:dyDescent="0.25">
      <c r="A25" s="65">
        <v>20</v>
      </c>
      <c r="B25" s="66" t="s">
        <v>198</v>
      </c>
      <c r="C25" s="57">
        <f>[1]!'V(20)'</f>
        <v>29056126.399999999</v>
      </c>
      <c r="D25" s="58">
        <v>41276.292002314818</v>
      </c>
      <c r="E25" s="1">
        <v>1440</v>
      </c>
      <c r="F25" s="59">
        <v>29056126.399999999</v>
      </c>
      <c r="G25" s="59">
        <v>29037898.699999999</v>
      </c>
      <c r="H25" s="61">
        <v>29056126.399999999</v>
      </c>
      <c r="I25" s="59">
        <v>41825921803.20002</v>
      </c>
      <c r="J25" s="60">
        <v>29045779.030000012</v>
      </c>
      <c r="K25" s="60">
        <v>696033973.25642133</v>
      </c>
      <c r="L25" s="60"/>
      <c r="M25" s="60"/>
      <c r="N25" s="60"/>
      <c r="O25" s="60"/>
      <c r="P25" s="64"/>
      <c r="Q25" s="1">
        <v>29056126.399999999</v>
      </c>
      <c r="R25" s="1">
        <v>28510925</v>
      </c>
      <c r="S25" s="86">
        <f t="shared" si="0"/>
        <v>41276.292002314818</v>
      </c>
      <c r="T25" s="25" t="s">
        <v>199</v>
      </c>
      <c r="U25" s="49" t="s">
        <v>200</v>
      </c>
      <c r="V25" s="50">
        <f>[5]!'V(20)'</f>
        <v>2479.92</v>
      </c>
      <c r="W25" s="31"/>
      <c r="X25" s="31"/>
      <c r="Y25" s="31"/>
      <c r="Z25" s="31"/>
      <c r="AA25" s="31"/>
      <c r="CA25" s="51" t="s">
        <v>201</v>
      </c>
      <c r="CB25" s="1">
        <f>[4]!'V(23)'</f>
        <v>28510925</v>
      </c>
      <c r="DA25" s="16"/>
      <c r="DB25" s="69"/>
      <c r="DC25" s="69"/>
      <c r="DD25" s="17"/>
      <c r="DF25" s="70" t="s">
        <v>202</v>
      </c>
      <c r="DG25" s="70" t="s">
        <v>203</v>
      </c>
      <c r="DH25" s="70" t="s">
        <v>204</v>
      </c>
    </row>
    <row r="26" spans="1:114" x14ac:dyDescent="0.25">
      <c r="A26" s="65">
        <v>21</v>
      </c>
      <c r="B26" s="66" t="s">
        <v>113</v>
      </c>
      <c r="C26" s="57">
        <f>[1]!'V(21)'</f>
        <v>1301.55</v>
      </c>
      <c r="D26" s="58">
        <v>41276.292002314818</v>
      </c>
      <c r="E26" s="1">
        <v>1440</v>
      </c>
      <c r="F26" s="59">
        <v>1301.55</v>
      </c>
      <c r="G26" s="59">
        <v>-4.7919999999999998</v>
      </c>
      <c r="H26" s="61">
        <v>3733.47</v>
      </c>
      <c r="I26" s="59">
        <v>2059704.5103469992</v>
      </c>
      <c r="J26" s="60">
        <v>1430.3503544076384</v>
      </c>
      <c r="K26" s="60">
        <v>34239.114787594124</v>
      </c>
      <c r="L26" s="60"/>
      <c r="M26" s="60"/>
      <c r="N26" s="60"/>
      <c r="O26" s="60"/>
      <c r="P26" s="64"/>
      <c r="Q26" s="1">
        <v>1301.55</v>
      </c>
      <c r="R26" s="1">
        <v>48023</v>
      </c>
      <c r="S26" s="86">
        <f t="shared" si="0"/>
        <v>41276.292002314818</v>
      </c>
      <c r="T26" s="25" t="s">
        <v>205</v>
      </c>
      <c r="U26" s="49" t="s">
        <v>206</v>
      </c>
      <c r="V26" s="50">
        <f>[7]!'V(4)'</f>
        <v>94.798699999999997</v>
      </c>
      <c r="W26" s="31"/>
      <c r="X26" s="31"/>
      <c r="Y26" s="31"/>
      <c r="Z26" s="31"/>
      <c r="AA26" s="31"/>
      <c r="CA26" s="51" t="s">
        <v>207</v>
      </c>
      <c r="CB26" s="1">
        <f>[4]!'V(24)'</f>
        <v>48023</v>
      </c>
      <c r="DA26" s="71" t="s">
        <v>208</v>
      </c>
      <c r="DB26" s="60"/>
      <c r="DC26" s="60"/>
      <c r="DD26" s="26"/>
      <c r="DF26" s="72"/>
      <c r="DG26" s="72"/>
      <c r="DH26" s="72"/>
    </row>
    <row r="27" spans="1:114" x14ac:dyDescent="0.25">
      <c r="A27" s="55">
        <v>22</v>
      </c>
      <c r="B27" s="66" t="s">
        <v>127</v>
      </c>
      <c r="C27" s="57">
        <f>[1]!'V(22)'</f>
        <v>60942595.899999999</v>
      </c>
      <c r="D27" s="58">
        <v>41276.292002314818</v>
      </c>
      <c r="E27" s="1">
        <v>1440</v>
      </c>
      <c r="F27" s="59">
        <v>60942595.899999999</v>
      </c>
      <c r="G27" s="59">
        <v>60908336.399999999</v>
      </c>
      <c r="H27" s="61">
        <v>60942595.899999999</v>
      </c>
      <c r="I27" s="59">
        <v>87729387968.799866</v>
      </c>
      <c r="J27" s="60">
        <v>60923186.089444354</v>
      </c>
      <c r="K27" s="60">
        <v>1459923159.5166852</v>
      </c>
      <c r="L27" s="60"/>
      <c r="M27" s="60"/>
      <c r="N27" s="60"/>
      <c r="O27" s="60"/>
      <c r="P27" s="64"/>
      <c r="Q27" s="1">
        <v>60942595.899999999</v>
      </c>
      <c r="R27" s="1">
        <v>52677</v>
      </c>
      <c r="S27" s="86">
        <f t="shared" si="0"/>
        <v>41276.292002314818</v>
      </c>
      <c r="T27" s="25" t="s">
        <v>209</v>
      </c>
      <c r="U27" s="49" t="s">
        <v>210</v>
      </c>
      <c r="V27" s="50">
        <f>[5]!'V(22)'</f>
        <v>3.7001499999999998</v>
      </c>
      <c r="W27" s="31"/>
      <c r="X27" s="31"/>
      <c r="Y27" s="31"/>
      <c r="Z27" s="31"/>
      <c r="AA27" s="31"/>
      <c r="CA27" s="51" t="s">
        <v>211</v>
      </c>
      <c r="CB27" s="1">
        <f>[4]!'V(25)'</f>
        <v>52677</v>
      </c>
      <c r="DA27" s="25"/>
      <c r="DB27" s="73" t="s">
        <v>212</v>
      </c>
      <c r="DC27" s="72" t="b">
        <v>0</v>
      </c>
      <c r="DD27" s="26">
        <f>IF(DC27=TRUE,1,0)</f>
        <v>0</v>
      </c>
    </row>
    <row r="28" spans="1:114" x14ac:dyDescent="0.25">
      <c r="A28" s="65">
        <v>23</v>
      </c>
      <c r="B28" s="66" t="s">
        <v>213</v>
      </c>
      <c r="C28" s="57">
        <f>[1]!'V(23)'</f>
        <v>2397.41</v>
      </c>
      <c r="D28" s="58">
        <v>41276.292002314818</v>
      </c>
      <c r="E28" s="1">
        <v>1440</v>
      </c>
      <c r="F28" s="59">
        <v>2397.41</v>
      </c>
      <c r="G28" s="59">
        <v>2105.34</v>
      </c>
      <c r="H28" s="61">
        <v>4536.93</v>
      </c>
      <c r="I28" s="59">
        <v>5073310.53</v>
      </c>
      <c r="J28" s="60">
        <v>3523.1323125000004</v>
      </c>
      <c r="K28" s="60">
        <v>84468.876789259899</v>
      </c>
      <c r="L28" s="60"/>
      <c r="M28" s="60"/>
      <c r="N28" s="60"/>
      <c r="O28" s="60"/>
      <c r="P28" s="64"/>
      <c r="Q28" s="1">
        <v>2397.41</v>
      </c>
      <c r="R28" s="1">
        <v>33388</v>
      </c>
      <c r="S28" s="86">
        <f t="shared" si="0"/>
        <v>41276.292002314818</v>
      </c>
      <c r="T28" s="25" t="s">
        <v>214</v>
      </c>
      <c r="U28" s="49" t="s">
        <v>215</v>
      </c>
      <c r="V28" s="50">
        <f>[5]!'V(23)'</f>
        <v>0.88407599999999997</v>
      </c>
      <c r="W28" s="31"/>
      <c r="X28" s="31"/>
      <c r="Y28" s="31"/>
      <c r="Z28" s="31"/>
      <c r="AA28" s="31"/>
      <c r="CA28" s="51" t="s">
        <v>216</v>
      </c>
      <c r="CB28" s="1">
        <f>[4]!'V(26)'</f>
        <v>33388</v>
      </c>
      <c r="DA28" s="25"/>
      <c r="DB28" s="73" t="s">
        <v>217</v>
      </c>
      <c r="DC28" s="72" t="b">
        <v>1</v>
      </c>
      <c r="DD28" s="26">
        <f>IF(DC28=TRUE,1,0)</f>
        <v>1</v>
      </c>
      <c r="DF28" s="10" t="s">
        <v>218</v>
      </c>
      <c r="DH28" s="10" t="e">
        <f>IF(AND(DI29=1,#REF!&lt;DC30,#REF!&gt;DC31),1,0)</f>
        <v>#REF!</v>
      </c>
    </row>
    <row r="29" spans="1:114" x14ac:dyDescent="0.25">
      <c r="A29" s="65">
        <v>24</v>
      </c>
      <c r="B29" s="66" t="s">
        <v>219</v>
      </c>
      <c r="C29" s="57">
        <f>[1]!'V(24)'</f>
        <v>21330871.600000001</v>
      </c>
      <c r="D29" s="58">
        <v>41276.292002314818</v>
      </c>
      <c r="E29" s="1">
        <v>1440</v>
      </c>
      <c r="F29" s="59">
        <v>21330871.600000001</v>
      </c>
      <c r="G29" s="59">
        <v>21246354.600000001</v>
      </c>
      <c r="H29" s="61">
        <v>21330871.600000001</v>
      </c>
      <c r="I29" s="59">
        <v>30663367006.999924</v>
      </c>
      <c r="J29" s="60">
        <v>21294004.865972169</v>
      </c>
      <c r="K29" s="60">
        <v>510277082.78545821</v>
      </c>
      <c r="L29" s="60"/>
      <c r="M29" s="60"/>
      <c r="N29" s="60"/>
      <c r="O29" s="60"/>
      <c r="P29" s="64"/>
      <c r="Q29" s="1">
        <v>21330871.600000001</v>
      </c>
      <c r="R29" s="1">
        <v>31041</v>
      </c>
      <c r="S29" s="86">
        <f t="shared" si="0"/>
        <v>41276.292002314818</v>
      </c>
      <c r="T29" s="25" t="s">
        <v>220</v>
      </c>
      <c r="U29" s="49" t="s">
        <v>221</v>
      </c>
      <c r="V29" s="50">
        <f>[5]!'V(24)'</f>
        <v>0</v>
      </c>
      <c r="W29" s="31"/>
      <c r="X29" s="31"/>
      <c r="Y29" s="31"/>
      <c r="Z29" s="31"/>
      <c r="AA29" s="31"/>
      <c r="CA29" s="51" t="s">
        <v>222</v>
      </c>
      <c r="CB29" s="1">
        <f>[4]!'V(27)'</f>
        <v>31041</v>
      </c>
      <c r="DA29" s="25"/>
      <c r="DB29" s="60"/>
      <c r="DC29" s="60"/>
      <c r="DD29" s="26"/>
      <c r="DG29" s="1" t="s">
        <v>223</v>
      </c>
      <c r="DH29" s="50">
        <f>[9]!'V(2)'</f>
        <v>0</v>
      </c>
      <c r="DI29" s="1">
        <f>IF(OR(DH29=1,DH30=1),1,0)</f>
        <v>0</v>
      </c>
    </row>
    <row r="30" spans="1:114" x14ac:dyDescent="0.25">
      <c r="A30" s="55">
        <v>25</v>
      </c>
      <c r="B30" s="66" t="s">
        <v>224</v>
      </c>
      <c r="C30" s="57">
        <f>[1]!'V(25)'</f>
        <v>10.2873</v>
      </c>
      <c r="D30" s="58">
        <v>41276.292002314818</v>
      </c>
      <c r="E30" s="1">
        <v>1440</v>
      </c>
      <c r="F30" s="59">
        <v>10.2873</v>
      </c>
      <c r="G30" s="59">
        <v>9.5560700000000001</v>
      </c>
      <c r="H30" s="61">
        <v>11.0067</v>
      </c>
      <c r="I30" s="59">
        <v>14918.595860000016</v>
      </c>
      <c r="J30" s="60">
        <v>10.3601360138889</v>
      </c>
      <c r="K30" s="60">
        <v>248.27324734053693</v>
      </c>
      <c r="L30" s="60"/>
      <c r="M30" s="60"/>
      <c r="N30" s="60"/>
      <c r="O30" s="60"/>
      <c r="P30" s="64"/>
      <c r="Q30" s="1">
        <v>10.2873</v>
      </c>
      <c r="R30" s="1">
        <v>40705830</v>
      </c>
      <c r="S30" s="86">
        <f t="shared" si="0"/>
        <v>41276.292002314818</v>
      </c>
      <c r="T30" s="25" t="s">
        <v>225</v>
      </c>
      <c r="U30" s="49" t="s">
        <v>226</v>
      </c>
      <c r="V30" s="50">
        <f>[5]!'V(25)'</f>
        <v>19.730699999999999</v>
      </c>
      <c r="W30" s="31"/>
      <c r="X30" s="31"/>
      <c r="Y30" s="31"/>
      <c r="Z30" s="31"/>
      <c r="AA30" s="31"/>
      <c r="CA30" s="51" t="s">
        <v>227</v>
      </c>
      <c r="CB30" s="1">
        <f>[4]!'V(28)'</f>
        <v>40705830</v>
      </c>
      <c r="DA30" s="25"/>
      <c r="DB30" s="60" t="s">
        <v>228</v>
      </c>
      <c r="DC30" s="72">
        <v>19</v>
      </c>
      <c r="DD30" s="26"/>
      <c r="DG30" s="1" t="s">
        <v>229</v>
      </c>
      <c r="DH30" s="50">
        <f>[9]!'V(4)'</f>
        <v>0</v>
      </c>
    </row>
    <row r="31" spans="1:114" x14ac:dyDescent="0.25">
      <c r="A31" s="65">
        <v>26</v>
      </c>
      <c r="B31" s="66" t="s">
        <v>230</v>
      </c>
      <c r="C31" s="57">
        <f>[1]!'V(26)'</f>
        <v>7.6502100000000004</v>
      </c>
      <c r="D31" s="58">
        <v>41276.292002314818</v>
      </c>
      <c r="E31" s="1">
        <v>1440</v>
      </c>
      <c r="F31" s="59">
        <v>7.6502100000000004</v>
      </c>
      <c r="G31" s="59">
        <v>7.4845800000000002</v>
      </c>
      <c r="H31" s="61">
        <v>8.17638</v>
      </c>
      <c r="I31" s="59">
        <v>11230.935410000015</v>
      </c>
      <c r="J31" s="60">
        <v>7.7992607013888993</v>
      </c>
      <c r="K31" s="60">
        <v>186.90073301232292</v>
      </c>
      <c r="L31" s="60"/>
      <c r="M31" s="60"/>
      <c r="N31" s="60"/>
      <c r="O31" s="60"/>
      <c r="P31" s="64"/>
      <c r="Q31" s="1">
        <v>7.6502100000000004</v>
      </c>
      <c r="R31" s="1">
        <v>86057843</v>
      </c>
      <c r="S31" s="86">
        <f t="shared" si="0"/>
        <v>41276.292002314818</v>
      </c>
      <c r="T31" s="25" t="s">
        <v>231</v>
      </c>
      <c r="U31" s="49" t="s">
        <v>232</v>
      </c>
      <c r="V31" s="50">
        <f>[5]!'V(26)'</f>
        <v>18.325500000000002</v>
      </c>
      <c r="W31" s="31"/>
      <c r="X31" s="31"/>
      <c r="Y31" s="31"/>
      <c r="Z31" s="31"/>
      <c r="AA31" s="31"/>
      <c r="CA31" s="51" t="s">
        <v>233</v>
      </c>
      <c r="CB31" s="1">
        <f>[4]!'V(29)'</f>
        <v>86057843</v>
      </c>
      <c r="DA31" s="25"/>
      <c r="DB31" s="60" t="s">
        <v>234</v>
      </c>
      <c r="DC31" s="72">
        <v>115</v>
      </c>
      <c r="DD31" s="26"/>
      <c r="DF31" s="10" t="s">
        <v>235</v>
      </c>
      <c r="DH31" s="10" t="e">
        <f>IF(AND(DI$32=1,#REF!&lt;DC$30,#REF!&gt;DC31),1,0)</f>
        <v>#REF!</v>
      </c>
    </row>
    <row r="32" spans="1:114" ht="15.75" thickBot="1" x14ac:dyDescent="0.3">
      <c r="A32" s="65">
        <v>27</v>
      </c>
      <c r="B32" s="66" t="s">
        <v>236</v>
      </c>
      <c r="C32" s="57">
        <f>[1]!'V(27)'</f>
        <v>2.5</v>
      </c>
      <c r="D32" s="58">
        <v>41276.292002314818</v>
      </c>
      <c r="E32" s="1">
        <v>1440</v>
      </c>
      <c r="F32" s="59">
        <v>2.5</v>
      </c>
      <c r="G32" s="59">
        <v>2.5</v>
      </c>
      <c r="H32" s="61">
        <v>2.5</v>
      </c>
      <c r="I32" s="59">
        <v>3600</v>
      </c>
      <c r="J32" s="60">
        <v>2.5</v>
      </c>
      <c r="K32" s="60">
        <v>59.908333333733019</v>
      </c>
      <c r="L32" s="60"/>
      <c r="M32" s="60"/>
      <c r="N32" s="60"/>
      <c r="O32" s="60"/>
      <c r="P32" s="64"/>
      <c r="Q32" s="1">
        <v>2.5</v>
      </c>
      <c r="R32" s="1">
        <v>87344639</v>
      </c>
      <c r="S32" s="86">
        <f t="shared" si="0"/>
        <v>41276.292002314818</v>
      </c>
      <c r="T32" s="25" t="s">
        <v>237</v>
      </c>
      <c r="U32" s="49" t="s">
        <v>238</v>
      </c>
      <c r="V32" s="50">
        <f>[5]!'V(27)'</f>
        <v>0.41363699999999998</v>
      </c>
      <c r="W32" s="31"/>
      <c r="X32" s="31"/>
      <c r="Y32" s="31"/>
      <c r="Z32" s="31"/>
      <c r="AA32" s="31"/>
      <c r="CA32" s="51" t="s">
        <v>239</v>
      </c>
      <c r="CB32" s="1">
        <f>[4]!'V(30)'</f>
        <v>87344639</v>
      </c>
      <c r="DA32" s="74"/>
      <c r="DB32" s="75"/>
      <c r="DC32" s="75"/>
      <c r="DD32" s="76"/>
      <c r="DG32" s="1" t="s">
        <v>223</v>
      </c>
      <c r="DH32" s="50">
        <f>[9]!'V(3)'</f>
        <v>0</v>
      </c>
      <c r="DI32" s="1" t="e">
        <f>IF(OR(DH32=1,#REF!=1),1,0)</f>
        <v>#REF!</v>
      </c>
    </row>
    <row r="33" spans="4:80" x14ac:dyDescent="0.25">
      <c r="D33" s="58">
        <v>41277.292002314818</v>
      </c>
      <c r="S33" s="86">
        <f t="shared" si="0"/>
        <v>41277.292002314818</v>
      </c>
      <c r="CA33" s="51" t="s">
        <v>244</v>
      </c>
      <c r="CB33" s="1">
        <f>[10]!'V(4)'</f>
        <v>7107765</v>
      </c>
    </row>
    <row r="34" spans="4:80" x14ac:dyDescent="0.25">
      <c r="D34" s="58">
        <v>41278.292002314818</v>
      </c>
      <c r="J34" s="87" t="e">
        <f ca="1">INDIRECT("'E:\DATA\j.maquet\Desktop\[donnée_courbe "&amp;SUBSTITUTE($S33,"/","")&amp;".xls]Feuil1'!$G170")</f>
        <v>#REF!</v>
      </c>
      <c r="K34" s="87" t="e">
        <f ca="1">INDIRECT("'E:\DATA\j.maquet\Desktop\[donnée_courbe "&amp;SUBSTITUTE($S33,"/","")&amp;".xls]Feuil1'!$H170")</f>
        <v>#REF!</v>
      </c>
      <c r="S34" s="86">
        <f t="shared" si="0"/>
        <v>41278.292002314818</v>
      </c>
      <c r="CA34" s="51" t="s">
        <v>245</v>
      </c>
      <c r="CB34" s="1">
        <f>[10]!'V(5)'</f>
        <v>59328983</v>
      </c>
    </row>
    <row r="35" spans="4:80" x14ac:dyDescent="0.25">
      <c r="D35" s="58">
        <v>41279.292002314818</v>
      </c>
      <c r="J35" s="87" t="e">
        <f ca="1">INDIRECT("'E:\DATA\j.maquet\Desktop\[donnée_courbe "&amp;SUBSTITUTE($S34,"/","")&amp;".xls]Feuil1'!$G171")</f>
        <v>#REF!</v>
      </c>
      <c r="K35" s="87" t="e">
        <f ca="1">INDIRECT("'E:\DATA\j.maquet\Desktop\[donnée_courbe "&amp;SUBSTITUTE($S34,"/","")&amp;".xls]Feuil1'!$H171")</f>
        <v>#REF!</v>
      </c>
      <c r="S35" s="86">
        <f t="shared" si="0"/>
        <v>41279.292002314818</v>
      </c>
      <c r="CA35" s="51" t="s">
        <v>246</v>
      </c>
      <c r="CB35" s="1">
        <f>[10]!'V(6)'</f>
        <v>45157750</v>
      </c>
    </row>
    <row r="36" spans="4:80" x14ac:dyDescent="0.25">
      <c r="D36" s="58">
        <v>41280.292002314818</v>
      </c>
      <c r="J36" s="87" t="e">
        <f ca="1">INDIRECT("'E:\DATA\j.maquet\Desktop\[donnée_courbe "&amp;SUBSTITUTE($S35,"/","")&amp;".xls]Feuil1'!$G172")</f>
        <v>#REF!</v>
      </c>
      <c r="K36" s="87" t="e">
        <f ca="1">INDIRECT("'E:\DATA\j.maquet\Desktop\[donnée_courbe "&amp;SUBSTITUTE($S35,"/","")&amp;".xls]Feuil1'!$H172")</f>
        <v>#REF!</v>
      </c>
      <c r="S36" s="86">
        <f t="shared" si="0"/>
        <v>41280.292002314818</v>
      </c>
      <c r="CA36" s="51" t="s">
        <v>247</v>
      </c>
      <c r="CB36" s="1">
        <f>[10]!'V(7)'</f>
        <v>46138977</v>
      </c>
    </row>
    <row r="37" spans="4:80" x14ac:dyDescent="0.25">
      <c r="D37" s="58">
        <v>41281.292002314818</v>
      </c>
      <c r="J37" s="87" t="e">
        <f ca="1">INDIRECT("'E:\DATA\j.maquet\Desktop\[donnée_courbe "&amp;SUBSTITUTE($S36,"/","")&amp;".xls]Feuil1'!$G173")</f>
        <v>#REF!</v>
      </c>
      <c r="K37" s="87" t="e">
        <f ca="1">INDIRECT("'E:\DATA\j.maquet\Desktop\[donnée_courbe "&amp;SUBSTITUTE($S36,"/","")&amp;".xls]Feuil1'!$H173")</f>
        <v>#REF!</v>
      </c>
      <c r="S37" s="86">
        <f t="shared" si="0"/>
        <v>41281.292002314818</v>
      </c>
      <c r="CA37" s="51" t="s">
        <v>248</v>
      </c>
      <c r="CB37" s="1">
        <f>[10]!'V(8)'</f>
        <v>37836461</v>
      </c>
    </row>
    <row r="38" spans="4:80" x14ac:dyDescent="0.25">
      <c r="D38" s="58">
        <v>41282.292002314818</v>
      </c>
      <c r="J38" s="87" t="e">
        <f ca="1">INDIRECT("'E:\DATA\j.maquet\Desktop\[donnée_courbe "&amp;SUBSTITUTE($S37,"/","")&amp;".xls]Feuil1'!$G174")</f>
        <v>#REF!</v>
      </c>
      <c r="K38" s="87" t="e">
        <f ca="1">INDIRECT("'E:\DATA\j.maquet\Desktop\[donnée_courbe "&amp;SUBSTITUTE($S37,"/","")&amp;".xls]Feuil1'!$H174")</f>
        <v>#REF!</v>
      </c>
      <c r="S38" s="86">
        <f t="shared" si="0"/>
        <v>41282.292002314818</v>
      </c>
      <c r="CA38" s="51" t="s">
        <v>249</v>
      </c>
      <c r="CB38" s="1">
        <f>[10]!'V(9)'</f>
        <v>48562641</v>
      </c>
    </row>
    <row r="39" spans="4:80" x14ac:dyDescent="0.25">
      <c r="D39" s="58">
        <v>41283.292002314818</v>
      </c>
      <c r="J39" s="87" t="e">
        <f ca="1">INDIRECT("'E:\DATA\j.maquet\Desktop\[donnée_courbe "&amp;SUBSTITUTE($S38,"/","")&amp;".xls]Feuil1'!$G175")</f>
        <v>#REF!</v>
      </c>
      <c r="K39" s="87" t="e">
        <f ca="1">INDIRECT("'E:\DATA\j.maquet\Desktop\[donnée_courbe "&amp;SUBSTITUTE($S38,"/","")&amp;".xls]Feuil1'!$H175")</f>
        <v>#REF!</v>
      </c>
      <c r="S39" s="86">
        <f t="shared" si="0"/>
        <v>41283.292002314818</v>
      </c>
      <c r="CA39" s="51" t="s">
        <v>250</v>
      </c>
      <c r="CB39" s="1">
        <f>[10]!'V(10)'</f>
        <v>21192968</v>
      </c>
    </row>
    <row r="40" spans="4:80" x14ac:dyDescent="0.25">
      <c r="D40" s="58">
        <v>41284.292002314818</v>
      </c>
      <c r="CA40" s="51" t="s">
        <v>251</v>
      </c>
      <c r="CB40" s="1">
        <f>[10]!'V(11)'</f>
        <v>50861636</v>
      </c>
    </row>
    <row r="41" spans="4:80" x14ac:dyDescent="0.25">
      <c r="CA41" s="51" t="s">
        <v>252</v>
      </c>
      <c r="CB41" s="1">
        <f>[10]!'V(12)'</f>
        <v>34848259</v>
      </c>
    </row>
    <row r="42" spans="4:80" x14ac:dyDescent="0.25">
      <c r="CA42" s="51" t="s">
        <v>253</v>
      </c>
      <c r="CB42" s="1">
        <f>[10]!'V(13)'</f>
        <v>27546886</v>
      </c>
    </row>
    <row r="43" spans="4:80" x14ac:dyDescent="0.25">
      <c r="CA43" s="51" t="s">
        <v>254</v>
      </c>
      <c r="CB43" s="1">
        <f>[10]!'V(14)'</f>
        <v>5829626</v>
      </c>
    </row>
    <row r="44" spans="4:80" x14ac:dyDescent="0.25">
      <c r="CA44" s="51" t="s">
        <v>255</v>
      </c>
      <c r="CB44" s="1">
        <f>[10]!'V(15)'</f>
        <v>5910966</v>
      </c>
    </row>
    <row r="45" spans="4:80" x14ac:dyDescent="0.25">
      <c r="CA45" s="51" t="s">
        <v>256</v>
      </c>
      <c r="CB45" s="1">
        <f>[10]!'V(16)'</f>
        <v>36816299</v>
      </c>
    </row>
    <row r="46" spans="4:80" x14ac:dyDescent="0.25">
      <c r="CA46" s="51" t="s">
        <v>257</v>
      </c>
      <c r="CB46" s="1">
        <f>[10]!'V(17)'</f>
        <v>24794442</v>
      </c>
    </row>
    <row r="47" spans="4:80" x14ac:dyDescent="0.25">
      <c r="CA47" s="51" t="s">
        <v>258</v>
      </c>
      <c r="CB47" s="1">
        <f>[10]!'V(18)'</f>
        <v>88738676</v>
      </c>
    </row>
    <row r="48" spans="4:80" x14ac:dyDescent="0.25">
      <c r="CA48" s="51" t="s">
        <v>259</v>
      </c>
      <c r="CB48" s="1">
        <f>[10]!'V(19)'</f>
        <v>10209798</v>
      </c>
    </row>
    <row r="49" spans="79:80" x14ac:dyDescent="0.25">
      <c r="CA49" s="77" t="s">
        <v>241</v>
      </c>
      <c r="CB49" s="1">
        <f>[11]!'V(20)'</f>
        <v>46951693</v>
      </c>
    </row>
    <row r="50" spans="79:80" x14ac:dyDescent="0.25">
      <c r="CA50" s="77" t="s">
        <v>242</v>
      </c>
      <c r="CB50" s="1">
        <f>[11]!'V(21)'</f>
        <v>49041626</v>
      </c>
    </row>
    <row r="51" spans="79:80" x14ac:dyDescent="0.25">
      <c r="CA51" s="77" t="s">
        <v>243</v>
      </c>
      <c r="CB51" s="1">
        <f>[11]!'V(22)'</f>
        <v>48094036</v>
      </c>
    </row>
    <row r="52" spans="79:80" x14ac:dyDescent="0.25">
      <c r="CA52" s="77" t="s">
        <v>240</v>
      </c>
      <c r="CB52" s="1">
        <f>[4]!'V(1)'</f>
        <v>26682215</v>
      </c>
    </row>
    <row r="53" spans="79:80" x14ac:dyDescent="0.25">
      <c r="CA53" s="1" t="s">
        <v>260</v>
      </c>
      <c r="CB53" s="1">
        <f>[12]!'V(21)'</f>
        <v>252244</v>
      </c>
    </row>
    <row r="54" spans="79:80" x14ac:dyDescent="0.25">
      <c r="CA54" s="1" t="s">
        <v>261</v>
      </c>
      <c r="CB54" s="1">
        <f>[12]!'V(22)'</f>
        <v>2315816</v>
      </c>
    </row>
  </sheetData>
  <mergeCells count="20">
    <mergeCell ref="DM3:DN3"/>
    <mergeCell ref="DC3:DD3"/>
    <mergeCell ref="DE3:DF3"/>
    <mergeCell ref="DG3:DH3"/>
    <mergeCell ref="DI3:DJ3"/>
    <mergeCell ref="DK3:DL3"/>
    <mergeCell ref="EC8:ED8"/>
    <mergeCell ref="EE8:EF8"/>
    <mergeCell ref="EG8:EH8"/>
    <mergeCell ref="DC8:DD8"/>
    <mergeCell ref="DE8:DF8"/>
    <mergeCell ref="DG8:DH8"/>
    <mergeCell ref="DI8:DJ8"/>
    <mergeCell ref="DK8:DL8"/>
    <mergeCell ref="DM8:DN8"/>
    <mergeCell ref="DD14:DG14"/>
    <mergeCell ref="DI14:DL14"/>
    <mergeCell ref="DW8:DX8"/>
    <mergeCell ref="DY8:DZ8"/>
    <mergeCell ref="EA8:EB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Egis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MAQUET Joris</dc:creator>
  <cp:lastModifiedBy>Mickaël BEAUDUSSEAU</cp:lastModifiedBy>
  <dcterms:created xsi:type="dcterms:W3CDTF">2014-03-03T14:00:56Z</dcterms:created>
  <dcterms:modified xsi:type="dcterms:W3CDTF">2014-03-03T15:23:54Z</dcterms:modified>
</cp:coreProperties>
</file>