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0332" windowHeight="6036" firstSheet="1" activeTab="2"/>
  </bookViews>
  <sheets>
    <sheet name="Budget 2016" sheetId="1" r:id="rId1"/>
    <sheet name="Juin 2016" sheetId="5" r:id="rId2"/>
    <sheet name="Juillet 2016" sheetId="2" r:id="rId3"/>
    <sheet name="Aout 2016" sheetId="4" r:id="rId4"/>
    <sheet name="Sept 2016" sheetId="7" r:id="rId5"/>
    <sheet name="Coût sortie bateau" sheetId="3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9" i="5" l="1"/>
  <c r="H91" i="2" l="1"/>
  <c r="C111" i="4"/>
  <c r="C91" i="7"/>
  <c r="C90" i="7"/>
  <c r="C96" i="7" s="1"/>
  <c r="C104" i="4"/>
  <c r="K105" i="4" s="1"/>
  <c r="C93" i="7" l="1"/>
  <c r="K49" i="4"/>
  <c r="Q49" i="4"/>
  <c r="D16" i="3" l="1"/>
  <c r="E16" i="3"/>
  <c r="F16" i="3"/>
  <c r="G16" i="3"/>
  <c r="H16" i="3"/>
  <c r="I16" i="3"/>
  <c r="J16" i="3"/>
  <c r="K16" i="3"/>
  <c r="L16" i="3"/>
  <c r="M16" i="3"/>
  <c r="C16" i="3"/>
  <c r="C20" i="3"/>
  <c r="D19" i="3" l="1"/>
  <c r="E19" i="3"/>
  <c r="F19" i="3"/>
  <c r="G19" i="3"/>
  <c r="H19" i="3"/>
  <c r="I19" i="3"/>
  <c r="J19" i="3"/>
  <c r="K19" i="3"/>
  <c r="L19" i="3"/>
  <c r="M19" i="3"/>
  <c r="C19" i="3"/>
  <c r="O90" i="4" l="1"/>
  <c r="N90" i="4"/>
  <c r="N81" i="4"/>
  <c r="D99" i="4"/>
  <c r="E99" i="4"/>
  <c r="F99" i="4"/>
  <c r="G99" i="4"/>
  <c r="H99" i="4"/>
  <c r="I99" i="4"/>
  <c r="J99" i="4"/>
  <c r="L99" i="4"/>
  <c r="M99" i="4"/>
  <c r="P99" i="4"/>
  <c r="R99" i="4"/>
  <c r="S99" i="4"/>
  <c r="T99" i="4"/>
  <c r="U99" i="4"/>
  <c r="V99" i="4"/>
  <c r="W99" i="4"/>
  <c r="X99" i="4"/>
  <c r="Y99" i="4"/>
  <c r="Z99" i="4"/>
  <c r="AA99" i="4"/>
  <c r="AB99" i="4"/>
  <c r="AC99" i="4"/>
  <c r="AD99" i="4"/>
  <c r="AE99" i="4"/>
  <c r="AF99" i="4"/>
  <c r="AG99" i="4"/>
  <c r="C99" i="4"/>
  <c r="L58" i="4"/>
  <c r="L81" i="4"/>
  <c r="L87" i="4" s="1"/>
  <c r="H87" i="4"/>
  <c r="I87" i="4"/>
  <c r="J87" i="4"/>
  <c r="K87" i="4"/>
  <c r="M87" i="4"/>
  <c r="N87" i="4"/>
  <c r="O87" i="4"/>
  <c r="P87" i="4"/>
  <c r="Q87" i="4"/>
  <c r="R87" i="4"/>
  <c r="S87" i="4"/>
  <c r="T87" i="4"/>
  <c r="U87" i="4"/>
  <c r="V87" i="4"/>
  <c r="W87" i="4"/>
  <c r="X87" i="4"/>
  <c r="Y87" i="4"/>
  <c r="Z87" i="4"/>
  <c r="AA87" i="4"/>
  <c r="AB87" i="4"/>
  <c r="AC87" i="4"/>
  <c r="AD87" i="4"/>
  <c r="AE87" i="4"/>
  <c r="AF87" i="4"/>
  <c r="AG87" i="4"/>
  <c r="G87" i="4"/>
  <c r="C101" i="4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AA87" i="2"/>
  <c r="AB87" i="2"/>
  <c r="AC87" i="2"/>
  <c r="AD87" i="2"/>
  <c r="AE87" i="2"/>
  <c r="AF87" i="2"/>
  <c r="C87" i="2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D77" i="4"/>
  <c r="C77" i="4"/>
  <c r="AH76" i="4"/>
  <c r="AK76" i="4" s="1"/>
  <c r="AM75" i="4"/>
  <c r="AH75" i="4"/>
  <c r="AK75" i="4" s="1"/>
  <c r="AH73" i="4"/>
  <c r="AI73" i="4" s="1"/>
  <c r="AM73" i="4" s="1"/>
  <c r="AH72" i="4"/>
  <c r="AI72" i="4" s="1"/>
  <c r="AM72" i="4" s="1"/>
  <c r="AH71" i="4"/>
  <c r="AI71" i="4" s="1"/>
  <c r="AM71" i="4" s="1"/>
  <c r="AH70" i="4"/>
  <c r="AI70" i="4" s="1"/>
  <c r="AH77" i="4" l="1"/>
  <c r="AK77" i="4" s="1"/>
  <c r="AM70" i="4"/>
  <c r="AK70" i="4"/>
  <c r="AK71" i="4"/>
  <c r="AK72" i="4"/>
  <c r="AK73" i="4"/>
  <c r="AI76" i="4"/>
  <c r="AM76" i="4" s="1"/>
  <c r="AI85" i="7"/>
  <c r="AI98" i="4"/>
  <c r="C101" i="7"/>
  <c r="C99" i="7"/>
  <c r="H101" i="7"/>
  <c r="H100" i="7"/>
  <c r="H114" i="4"/>
  <c r="AI85" i="2"/>
  <c r="F35" i="4"/>
  <c r="E81" i="4"/>
  <c r="D13" i="4"/>
  <c r="D38" i="4"/>
  <c r="C49" i="4"/>
  <c r="H89" i="7"/>
  <c r="C89" i="7"/>
  <c r="AE87" i="7"/>
  <c r="AA87" i="7"/>
  <c r="O87" i="7"/>
  <c r="K87" i="7"/>
  <c r="AG85" i="7"/>
  <c r="AF85" i="7"/>
  <c r="AE85" i="7"/>
  <c r="AD85" i="7"/>
  <c r="AC85" i="7"/>
  <c r="AB85" i="7"/>
  <c r="AA85" i="7"/>
  <c r="Z85" i="7"/>
  <c r="Y85" i="7"/>
  <c r="X85" i="7"/>
  <c r="W85" i="7"/>
  <c r="V85" i="7"/>
  <c r="U85" i="7"/>
  <c r="T85" i="7"/>
  <c r="S85" i="7"/>
  <c r="R85" i="7"/>
  <c r="Q85" i="7"/>
  <c r="P85" i="7"/>
  <c r="O85" i="7"/>
  <c r="N85" i="7"/>
  <c r="M85" i="7"/>
  <c r="L85" i="7"/>
  <c r="K85" i="7"/>
  <c r="J85" i="7"/>
  <c r="I85" i="7"/>
  <c r="H85" i="7"/>
  <c r="G85" i="7"/>
  <c r="F85" i="7"/>
  <c r="E85" i="7"/>
  <c r="D85" i="7"/>
  <c r="C85" i="7"/>
  <c r="AH85" i="7" s="1"/>
  <c r="AH84" i="7"/>
  <c r="AH83" i="7"/>
  <c r="AH82" i="7"/>
  <c r="AH81" i="7"/>
  <c r="AH80" i="7"/>
  <c r="AH79" i="7"/>
  <c r="AH78" i="7"/>
  <c r="AH77" i="7"/>
  <c r="AH76" i="7"/>
  <c r="AF75" i="7"/>
  <c r="AE75" i="7"/>
  <c r="AD75" i="7"/>
  <c r="AC75" i="7"/>
  <c r="AB75" i="7"/>
  <c r="AA75" i="7"/>
  <c r="Z75" i="7"/>
  <c r="Y75" i="7"/>
  <c r="X75" i="7"/>
  <c r="W75" i="7"/>
  <c r="V75" i="7"/>
  <c r="U75" i="7"/>
  <c r="T75" i="7"/>
  <c r="S75" i="7"/>
  <c r="R75" i="7"/>
  <c r="Q75" i="7"/>
  <c r="P75" i="7"/>
  <c r="O75" i="7"/>
  <c r="N75" i="7"/>
  <c r="M75" i="7"/>
  <c r="L75" i="7"/>
  <c r="K75" i="7"/>
  <c r="J75" i="7"/>
  <c r="I75" i="7"/>
  <c r="H75" i="7"/>
  <c r="G75" i="7"/>
  <c r="F75" i="7"/>
  <c r="E75" i="7"/>
  <c r="D75" i="7"/>
  <c r="C75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D74" i="7"/>
  <c r="AM73" i="7"/>
  <c r="AH72" i="7"/>
  <c r="AM71" i="7"/>
  <c r="AH71" i="7"/>
  <c r="AK71" i="7" s="1"/>
  <c r="AH70" i="7"/>
  <c r="AI70" i="7" s="1"/>
  <c r="AM70" i="7" s="1"/>
  <c r="AH68" i="7"/>
  <c r="AH67" i="7"/>
  <c r="AG65" i="7"/>
  <c r="AF65" i="7"/>
  <c r="AE65" i="7"/>
  <c r="AD65" i="7"/>
  <c r="AC65" i="7"/>
  <c r="AB65" i="7"/>
  <c r="AA65" i="7"/>
  <c r="Z65" i="7"/>
  <c r="Y65" i="7"/>
  <c r="X65" i="7"/>
  <c r="W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E65" i="7"/>
  <c r="AH65" i="7" s="1"/>
  <c r="D65" i="7"/>
  <c r="C65" i="7"/>
  <c r="AK64" i="7"/>
  <c r="AH64" i="7"/>
  <c r="AI64" i="7" s="1"/>
  <c r="AM64" i="7" s="1"/>
  <c r="AM63" i="7"/>
  <c r="AK63" i="7"/>
  <c r="AH63" i="7"/>
  <c r="AK62" i="7"/>
  <c r="AI62" i="7"/>
  <c r="AM62" i="7" s="1"/>
  <c r="AH62" i="7"/>
  <c r="AK61" i="7"/>
  <c r="AI61" i="7"/>
  <c r="AM61" i="7" s="1"/>
  <c r="AH61" i="7"/>
  <c r="AK60" i="7"/>
  <c r="AI60" i="7"/>
  <c r="AM60" i="7" s="1"/>
  <c r="AH60" i="7"/>
  <c r="AK59" i="7"/>
  <c r="AI59" i="7"/>
  <c r="AH59" i="7"/>
  <c r="S58" i="7"/>
  <c r="AG57" i="7"/>
  <c r="AF57" i="7"/>
  <c r="AE57" i="7"/>
  <c r="AD57" i="7"/>
  <c r="AC57" i="7"/>
  <c r="AB57" i="7"/>
  <c r="AA57" i="7"/>
  <c r="Z57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AH57" i="7" s="1"/>
  <c r="E57" i="7"/>
  <c r="D57" i="7"/>
  <c r="C57" i="7"/>
  <c r="AH56" i="7"/>
  <c r="AI56" i="7" s="1"/>
  <c r="AM56" i="7" s="1"/>
  <c r="AM55" i="7"/>
  <c r="AH55" i="7"/>
  <c r="AK55" i="7" s="1"/>
  <c r="AK54" i="7"/>
  <c r="AH54" i="7"/>
  <c r="AI54" i="7" s="1"/>
  <c r="AM54" i="7" s="1"/>
  <c r="AK53" i="7"/>
  <c r="AH53" i="7"/>
  <c r="AI53" i="7" s="1"/>
  <c r="AM53" i="7" s="1"/>
  <c r="AK52" i="7"/>
  <c r="AH52" i="7"/>
  <c r="AI52" i="7" s="1"/>
  <c r="AM52" i="7" s="1"/>
  <c r="AK51" i="7"/>
  <c r="AH51" i="7"/>
  <c r="AI51" i="7" s="1"/>
  <c r="AF50" i="7"/>
  <c r="AF66" i="7" s="1"/>
  <c r="AC50" i="7"/>
  <c r="AC66" i="7" s="1"/>
  <c r="Y50" i="7"/>
  <c r="Y66" i="7" s="1"/>
  <c r="X50" i="7"/>
  <c r="X66" i="7" s="1"/>
  <c r="U50" i="7"/>
  <c r="U66" i="7" s="1"/>
  <c r="Q50" i="7"/>
  <c r="Q66" i="7" s="1"/>
  <c r="P50" i="7"/>
  <c r="P66" i="7" s="1"/>
  <c r="M50" i="7"/>
  <c r="M66" i="7" s="1"/>
  <c r="I50" i="7"/>
  <c r="I66" i="7" s="1"/>
  <c r="H50" i="7"/>
  <c r="H66" i="7" s="1"/>
  <c r="E50" i="7"/>
  <c r="E66" i="7" s="1"/>
  <c r="AG49" i="7"/>
  <c r="AG87" i="7" s="1"/>
  <c r="AF49" i="7"/>
  <c r="AF87" i="7" s="1"/>
  <c r="AE49" i="7"/>
  <c r="AD49" i="7"/>
  <c r="AD87" i="7" s="1"/>
  <c r="AC49" i="7"/>
  <c r="AC87" i="7" s="1"/>
  <c r="AB49" i="7"/>
  <c r="AB87" i="7" s="1"/>
  <c r="AA49" i="7"/>
  <c r="Z49" i="7"/>
  <c r="Z87" i="7" s="1"/>
  <c r="Y49" i="7"/>
  <c r="Y87" i="7" s="1"/>
  <c r="X49" i="7"/>
  <c r="X87" i="7" s="1"/>
  <c r="W49" i="7"/>
  <c r="W87" i="7" s="1"/>
  <c r="V49" i="7"/>
  <c r="V87" i="7" s="1"/>
  <c r="U49" i="7"/>
  <c r="U87" i="7" s="1"/>
  <c r="T49" i="7"/>
  <c r="T87" i="7" s="1"/>
  <c r="S49" i="7"/>
  <c r="S87" i="7" s="1"/>
  <c r="R49" i="7"/>
  <c r="R87" i="7" s="1"/>
  <c r="Q49" i="7"/>
  <c r="Q87" i="7" s="1"/>
  <c r="P49" i="7"/>
  <c r="P87" i="7" s="1"/>
  <c r="O49" i="7"/>
  <c r="N49" i="7"/>
  <c r="N87" i="7" s="1"/>
  <c r="M49" i="7"/>
  <c r="M87" i="7" s="1"/>
  <c r="L49" i="7"/>
  <c r="L87" i="7" s="1"/>
  <c r="K49" i="7"/>
  <c r="J49" i="7"/>
  <c r="J87" i="7" s="1"/>
  <c r="I49" i="7"/>
  <c r="I87" i="7" s="1"/>
  <c r="H49" i="7"/>
  <c r="H87" i="7" s="1"/>
  <c r="G49" i="7"/>
  <c r="G87" i="7" s="1"/>
  <c r="F49" i="7"/>
  <c r="F87" i="7" s="1"/>
  <c r="E49" i="7"/>
  <c r="E87" i="7" s="1"/>
  <c r="D49" i="7"/>
  <c r="D87" i="7" s="1"/>
  <c r="C49" i="7"/>
  <c r="AH49" i="7" s="1"/>
  <c r="AH48" i="7"/>
  <c r="AM47" i="7"/>
  <c r="AH47" i="7"/>
  <c r="AK47" i="7" s="1"/>
  <c r="AH46" i="7"/>
  <c r="AH45" i="7"/>
  <c r="AH44" i="7"/>
  <c r="AH43" i="7"/>
  <c r="AF42" i="7"/>
  <c r="AF58" i="7" s="1"/>
  <c r="AE42" i="7"/>
  <c r="AE50" i="7" s="1"/>
  <c r="AE66" i="7" s="1"/>
  <c r="AD42" i="7"/>
  <c r="AC42" i="7"/>
  <c r="AC58" i="7" s="1"/>
  <c r="AB42" i="7"/>
  <c r="AB58" i="7" s="1"/>
  <c r="AA42" i="7"/>
  <c r="AA50" i="7" s="1"/>
  <c r="AA66" i="7" s="1"/>
  <c r="Z42" i="7"/>
  <c r="Y42" i="7"/>
  <c r="Y58" i="7" s="1"/>
  <c r="X42" i="7"/>
  <c r="X58" i="7" s="1"/>
  <c r="W42" i="7"/>
  <c r="W50" i="7" s="1"/>
  <c r="W66" i="7" s="1"/>
  <c r="V42" i="7"/>
  <c r="U42" i="7"/>
  <c r="U58" i="7" s="1"/>
  <c r="T42" i="7"/>
  <c r="T58" i="7" s="1"/>
  <c r="S42" i="7"/>
  <c r="S50" i="7" s="1"/>
  <c r="S66" i="7" s="1"/>
  <c r="R42" i="7"/>
  <c r="Q42" i="7"/>
  <c r="Q58" i="7" s="1"/>
  <c r="P42" i="7"/>
  <c r="P58" i="7" s="1"/>
  <c r="O42" i="7"/>
  <c r="O50" i="7" s="1"/>
  <c r="O66" i="7" s="1"/>
  <c r="N42" i="7"/>
  <c r="M42" i="7"/>
  <c r="M58" i="7" s="1"/>
  <c r="L42" i="7"/>
  <c r="L58" i="7" s="1"/>
  <c r="K42" i="7"/>
  <c r="K50" i="7" s="1"/>
  <c r="K66" i="7" s="1"/>
  <c r="J42" i="7"/>
  <c r="I42" i="7"/>
  <c r="I58" i="7" s="1"/>
  <c r="H42" i="7"/>
  <c r="H58" i="7" s="1"/>
  <c r="G42" i="7"/>
  <c r="G50" i="7" s="1"/>
  <c r="G66" i="7" s="1"/>
  <c r="F42" i="7"/>
  <c r="E42" i="7"/>
  <c r="E58" i="7" s="1"/>
  <c r="D42" i="7"/>
  <c r="D58" i="7" s="1"/>
  <c r="C42" i="7"/>
  <c r="C50" i="7" s="1"/>
  <c r="C66" i="7" s="1"/>
  <c r="AG39" i="7"/>
  <c r="AF39" i="7"/>
  <c r="AC39" i="7"/>
  <c r="AB39" i="7"/>
  <c r="Y39" i="7"/>
  <c r="X39" i="7"/>
  <c r="T39" i="7"/>
  <c r="Q39" i="7"/>
  <c r="P39" i="7"/>
  <c r="M39" i="7"/>
  <c r="L39" i="7"/>
  <c r="I39" i="7"/>
  <c r="H39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D38" i="7"/>
  <c r="C38" i="7"/>
  <c r="AH37" i="7"/>
  <c r="AJ37" i="7" s="1"/>
  <c r="AI36" i="7"/>
  <c r="AH36" i="7"/>
  <c r="AH35" i="7"/>
  <c r="AJ35" i="7" s="1"/>
  <c r="AH34" i="7"/>
  <c r="AJ34" i="7" s="1"/>
  <c r="AH33" i="7"/>
  <c r="AJ33" i="7" s="1"/>
  <c r="AH32" i="7"/>
  <c r="AJ32" i="7" s="1"/>
  <c r="AH31" i="7"/>
  <c r="AJ31" i="7" s="1"/>
  <c r="AH30" i="7"/>
  <c r="AJ30" i="7" s="1"/>
  <c r="AH29" i="7"/>
  <c r="AJ29" i="7" s="1"/>
  <c r="AI28" i="7"/>
  <c r="AH28" i="7"/>
  <c r="AI27" i="7"/>
  <c r="AH27" i="7"/>
  <c r="AI26" i="7"/>
  <c r="AH26" i="7"/>
  <c r="AI25" i="7"/>
  <c r="AH25" i="7"/>
  <c r="AJ25" i="7" s="1"/>
  <c r="AI24" i="7"/>
  <c r="AH24" i="7"/>
  <c r="AI23" i="7"/>
  <c r="AH23" i="7"/>
  <c r="AI22" i="7"/>
  <c r="AI21" i="7"/>
  <c r="AH21" i="7"/>
  <c r="AI20" i="7"/>
  <c r="AH20" i="7"/>
  <c r="AJ20" i="7" s="1"/>
  <c r="AI19" i="7"/>
  <c r="AH19" i="7"/>
  <c r="AI18" i="7"/>
  <c r="AH18" i="7"/>
  <c r="AI17" i="7"/>
  <c r="AH17" i="7"/>
  <c r="AJ16" i="7"/>
  <c r="AI16" i="7"/>
  <c r="AH16" i="7"/>
  <c r="AI15" i="7"/>
  <c r="AH15" i="7"/>
  <c r="AG13" i="7"/>
  <c r="AF13" i="7"/>
  <c r="AE13" i="7"/>
  <c r="AE39" i="7" s="1"/>
  <c r="AD13" i="7"/>
  <c r="AD39" i="7" s="1"/>
  <c r="AC13" i="7"/>
  <c r="AB13" i="7"/>
  <c r="AA13" i="7"/>
  <c r="AA39" i="7" s="1"/>
  <c r="Z13" i="7"/>
  <c r="Z39" i="7" s="1"/>
  <c r="Y13" i="7"/>
  <c r="X13" i="7"/>
  <c r="W13" i="7"/>
  <c r="W39" i="7" s="1"/>
  <c r="V13" i="7"/>
  <c r="V39" i="7" s="1"/>
  <c r="U13" i="7"/>
  <c r="U39" i="7" s="1"/>
  <c r="T13" i="7"/>
  <c r="S13" i="7"/>
  <c r="S39" i="7" s="1"/>
  <c r="R13" i="7"/>
  <c r="R39" i="7" s="1"/>
  <c r="Q13" i="7"/>
  <c r="P13" i="7"/>
  <c r="O13" i="7"/>
  <c r="O39" i="7" s="1"/>
  <c r="N13" i="7"/>
  <c r="N39" i="7" s="1"/>
  <c r="M13" i="7"/>
  <c r="L13" i="7"/>
  <c r="K13" i="7"/>
  <c r="K39" i="7" s="1"/>
  <c r="J13" i="7"/>
  <c r="J39" i="7" s="1"/>
  <c r="I13" i="7"/>
  <c r="H13" i="7"/>
  <c r="G13" i="7"/>
  <c r="G39" i="7" s="1"/>
  <c r="F13" i="7"/>
  <c r="F39" i="7" s="1"/>
  <c r="E13" i="7"/>
  <c r="D13" i="7"/>
  <c r="C13" i="7"/>
  <c r="C39" i="7" s="1"/>
  <c r="AI12" i="7"/>
  <c r="AH12" i="7"/>
  <c r="AJ12" i="7" s="1"/>
  <c r="AI11" i="7"/>
  <c r="AH11" i="7"/>
  <c r="AI10" i="7"/>
  <c r="AH10" i="7"/>
  <c r="AI9" i="7"/>
  <c r="AH9" i="7"/>
  <c r="AI8" i="7"/>
  <c r="AH8" i="7"/>
  <c r="AJ8" i="7" s="1"/>
  <c r="AI7" i="7"/>
  <c r="AH7" i="7"/>
  <c r="AI6" i="7"/>
  <c r="AH6" i="7"/>
  <c r="AI5" i="7"/>
  <c r="AH5" i="7"/>
  <c r="H102" i="7" l="1"/>
  <c r="AM77" i="4"/>
  <c r="AI77" i="4"/>
  <c r="C100" i="7"/>
  <c r="C102" i="7" s="1"/>
  <c r="D39" i="7"/>
  <c r="AJ24" i="7"/>
  <c r="AJ17" i="7"/>
  <c r="AJ19" i="7"/>
  <c r="AJ26" i="7"/>
  <c r="AJ28" i="7"/>
  <c r="AJ21" i="7"/>
  <c r="AJ7" i="7"/>
  <c r="AJ11" i="7"/>
  <c r="AJ10" i="7"/>
  <c r="AJ5" i="7"/>
  <c r="G58" i="7"/>
  <c r="AA58" i="7"/>
  <c r="W58" i="7"/>
  <c r="K58" i="7"/>
  <c r="D50" i="7"/>
  <c r="D66" i="7" s="1"/>
  <c r="L50" i="7"/>
  <c r="L66" i="7" s="1"/>
  <c r="T50" i="7"/>
  <c r="T66" i="7" s="1"/>
  <c r="AB50" i="7"/>
  <c r="AB66" i="7" s="1"/>
  <c r="O58" i="7"/>
  <c r="AE58" i="7"/>
  <c r="C58" i="7"/>
  <c r="AK57" i="7"/>
  <c r="AK45" i="7"/>
  <c r="AI45" i="7"/>
  <c r="AM45" i="7" s="1"/>
  <c r="C74" i="7"/>
  <c r="AH74" i="7" s="1"/>
  <c r="AH87" i="7" s="1"/>
  <c r="K92" i="7" s="1"/>
  <c r="AH69" i="7"/>
  <c r="AH13" i="7"/>
  <c r="AK48" i="7"/>
  <c r="AI48" i="7"/>
  <c r="AM48" i="7" s="1"/>
  <c r="AJ6" i="7"/>
  <c r="AI13" i="7"/>
  <c r="AI39" i="7" s="1"/>
  <c r="AJ9" i="7"/>
  <c r="AJ13" i="7" s="1"/>
  <c r="AJ18" i="7"/>
  <c r="E38" i="7"/>
  <c r="AH22" i="7"/>
  <c r="AJ22" i="7" s="1"/>
  <c r="AJ27" i="7"/>
  <c r="F50" i="7"/>
  <c r="F66" i="7" s="1"/>
  <c r="F58" i="7"/>
  <c r="J50" i="7"/>
  <c r="J66" i="7" s="1"/>
  <c r="J58" i="7"/>
  <c r="N50" i="7"/>
  <c r="N66" i="7" s="1"/>
  <c r="N58" i="7"/>
  <c r="R50" i="7"/>
  <c r="R66" i="7" s="1"/>
  <c r="R58" i="7"/>
  <c r="V50" i="7"/>
  <c r="V66" i="7" s="1"/>
  <c r="V58" i="7"/>
  <c r="Z50" i="7"/>
  <c r="Z66" i="7" s="1"/>
  <c r="Z58" i="7"/>
  <c r="AD50" i="7"/>
  <c r="AD66" i="7" s="1"/>
  <c r="AD58" i="7"/>
  <c r="AK43" i="7"/>
  <c r="AI43" i="7"/>
  <c r="AI57" i="7"/>
  <c r="AM51" i="7"/>
  <c r="AM57" i="7" s="1"/>
  <c r="AK67" i="7"/>
  <c r="AI67" i="7"/>
  <c r="AK72" i="7"/>
  <c r="AI72" i="7"/>
  <c r="AM72" i="7" s="1"/>
  <c r="AJ23" i="7"/>
  <c r="AJ36" i="7"/>
  <c r="AI46" i="7"/>
  <c r="AM46" i="7" s="1"/>
  <c r="AK65" i="7"/>
  <c r="AJ15" i="7"/>
  <c r="AI38" i="7"/>
  <c r="AK44" i="7"/>
  <c r="AI44" i="7"/>
  <c r="AM44" i="7" s="1"/>
  <c r="AI65" i="7"/>
  <c r="AM59" i="7"/>
  <c r="AM65" i="7" s="1"/>
  <c r="AK68" i="7"/>
  <c r="AI68" i="7"/>
  <c r="AM68" i="7" s="1"/>
  <c r="AK56" i="7"/>
  <c r="AK70" i="7"/>
  <c r="E22" i="4"/>
  <c r="C87" i="7" l="1"/>
  <c r="AM43" i="7"/>
  <c r="AM49" i="7" s="1"/>
  <c r="AI49" i="7"/>
  <c r="AM67" i="7"/>
  <c r="E39" i="7"/>
  <c r="AH38" i="7"/>
  <c r="AH39" i="7" s="1"/>
  <c r="AI69" i="7"/>
  <c r="AM69" i="7" s="1"/>
  <c r="AK69" i="7"/>
  <c r="AK74" i="7" s="1"/>
  <c r="AK46" i="7"/>
  <c r="AK49" i="7" s="1"/>
  <c r="K90" i="7"/>
  <c r="K91" i="7"/>
  <c r="K93" i="7"/>
  <c r="AH73" i="2"/>
  <c r="AJ38" i="7" l="1"/>
  <c r="AJ39" i="7" s="1"/>
  <c r="K94" i="7"/>
  <c r="AM74" i="7"/>
  <c r="H90" i="7"/>
  <c r="H91" i="7" s="1"/>
  <c r="AI74" i="7"/>
  <c r="AF20" i="5"/>
  <c r="AC49" i="5"/>
  <c r="AC68" i="5"/>
  <c r="AC61" i="5"/>
  <c r="AB69" i="5"/>
  <c r="AA69" i="5"/>
  <c r="AA49" i="5"/>
  <c r="H90" i="5"/>
  <c r="C90" i="5"/>
  <c r="AG86" i="5"/>
  <c r="AF86" i="5"/>
  <c r="AE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J86" i="5"/>
  <c r="I86" i="5"/>
  <c r="H86" i="5"/>
  <c r="G86" i="5"/>
  <c r="F86" i="5"/>
  <c r="E86" i="5"/>
  <c r="D86" i="5"/>
  <c r="C86" i="5"/>
  <c r="AH86" i="5" s="1"/>
  <c r="AH85" i="5"/>
  <c r="AH84" i="5"/>
  <c r="AH83" i="5"/>
  <c r="AH82" i="5"/>
  <c r="AH81" i="5"/>
  <c r="AH80" i="5"/>
  <c r="AH79" i="5"/>
  <c r="AH78" i="5"/>
  <c r="AH77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G76" i="5"/>
  <c r="F76" i="5"/>
  <c r="E76" i="5"/>
  <c r="D76" i="5"/>
  <c r="C76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G75" i="5"/>
  <c r="F75" i="5"/>
  <c r="E75" i="5"/>
  <c r="D75" i="5"/>
  <c r="C75" i="5"/>
  <c r="AM74" i="5"/>
  <c r="AK73" i="5"/>
  <c r="AI73" i="5"/>
  <c r="AM73" i="5" s="1"/>
  <c r="AH73" i="5"/>
  <c r="AM72" i="5"/>
  <c r="AK72" i="5"/>
  <c r="AH72" i="5"/>
  <c r="AI71" i="5"/>
  <c r="AM71" i="5" s="1"/>
  <c r="AH71" i="5"/>
  <c r="AK71" i="5" s="1"/>
  <c r="AH70" i="5"/>
  <c r="AH69" i="5"/>
  <c r="AI69" i="5" s="1"/>
  <c r="AM69" i="5" s="1"/>
  <c r="AH68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G66" i="5"/>
  <c r="F66" i="5"/>
  <c r="E66" i="5"/>
  <c r="D66" i="5"/>
  <c r="C66" i="5"/>
  <c r="AH66" i="5" s="1"/>
  <c r="AH65" i="5"/>
  <c r="AM64" i="5"/>
  <c r="AK64" i="5"/>
  <c r="AH64" i="5"/>
  <c r="AM63" i="5"/>
  <c r="AK63" i="5"/>
  <c r="AI63" i="5"/>
  <c r="AH63" i="5"/>
  <c r="AM62" i="5"/>
  <c r="AK62" i="5"/>
  <c r="AI62" i="5"/>
  <c r="AH62" i="5"/>
  <c r="AI61" i="5"/>
  <c r="AM61" i="5" s="1"/>
  <c r="AH61" i="5"/>
  <c r="AK61" i="5" s="1"/>
  <c r="AM60" i="5"/>
  <c r="AK60" i="5"/>
  <c r="AI60" i="5"/>
  <c r="AH60" i="5"/>
  <c r="Y59" i="5"/>
  <c r="I59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J58" i="5"/>
  <c r="I58" i="5"/>
  <c r="H58" i="5"/>
  <c r="G58" i="5"/>
  <c r="F58" i="5"/>
  <c r="E58" i="5"/>
  <c r="D58" i="5"/>
  <c r="C58" i="5"/>
  <c r="AI57" i="5"/>
  <c r="AM57" i="5" s="1"/>
  <c r="AH57" i="5"/>
  <c r="AK57" i="5" s="1"/>
  <c r="AM56" i="5"/>
  <c r="AH56" i="5"/>
  <c r="AK56" i="5" s="1"/>
  <c r="AH55" i="5"/>
  <c r="AH54" i="5"/>
  <c r="AH53" i="5"/>
  <c r="AH52" i="5"/>
  <c r="Z51" i="5"/>
  <c r="Z67" i="5" s="1"/>
  <c r="R51" i="5"/>
  <c r="R67" i="5" s="1"/>
  <c r="J51" i="5"/>
  <c r="J67" i="5" s="1"/>
  <c r="AG50" i="5"/>
  <c r="AG88" i="5" s="1"/>
  <c r="AF50" i="5"/>
  <c r="AF88" i="5" s="1"/>
  <c r="AE50" i="5"/>
  <c r="AE88" i="5" s="1"/>
  <c r="AD50" i="5"/>
  <c r="AD88" i="5" s="1"/>
  <c r="AC50" i="5"/>
  <c r="AC88" i="5" s="1"/>
  <c r="AB50" i="5"/>
  <c r="AB88" i="5" s="1"/>
  <c r="AA50" i="5"/>
  <c r="AA88" i="5" s="1"/>
  <c r="Z50" i="5"/>
  <c r="Z88" i="5" s="1"/>
  <c r="Y50" i="5"/>
  <c r="Y88" i="5" s="1"/>
  <c r="X50" i="5"/>
  <c r="X88" i="5" s="1"/>
  <c r="W50" i="5"/>
  <c r="W88" i="5" s="1"/>
  <c r="V50" i="5"/>
  <c r="V88" i="5" s="1"/>
  <c r="U50" i="5"/>
  <c r="U88" i="5" s="1"/>
  <c r="T50" i="5"/>
  <c r="T88" i="5" s="1"/>
  <c r="S50" i="5"/>
  <c r="S88" i="5" s="1"/>
  <c r="R50" i="5"/>
  <c r="R88" i="5" s="1"/>
  <c r="Q50" i="5"/>
  <c r="Q88" i="5" s="1"/>
  <c r="P50" i="5"/>
  <c r="P88" i="5" s="1"/>
  <c r="O50" i="5"/>
  <c r="O88" i="5" s="1"/>
  <c r="N50" i="5"/>
  <c r="N88" i="5" s="1"/>
  <c r="M50" i="5"/>
  <c r="M88" i="5" s="1"/>
  <c r="L50" i="5"/>
  <c r="L88" i="5" s="1"/>
  <c r="K50" i="5"/>
  <c r="K88" i="5" s="1"/>
  <c r="J50" i="5"/>
  <c r="J88" i="5" s="1"/>
  <c r="I50" i="5"/>
  <c r="I88" i="5" s="1"/>
  <c r="H50" i="5"/>
  <c r="H88" i="5" s="1"/>
  <c r="G50" i="5"/>
  <c r="G88" i="5" s="1"/>
  <c r="F50" i="5"/>
  <c r="F88" i="5" s="1"/>
  <c r="E50" i="5"/>
  <c r="E88" i="5" s="1"/>
  <c r="D50" i="5"/>
  <c r="D88" i="5" s="1"/>
  <c r="C50" i="5"/>
  <c r="C88" i="5" s="1"/>
  <c r="AH49" i="5"/>
  <c r="AM48" i="5"/>
  <c r="AK48" i="5"/>
  <c r="AH48" i="5"/>
  <c r="AK47" i="5"/>
  <c r="AI47" i="5"/>
  <c r="AM47" i="5" s="1"/>
  <c r="AH47" i="5"/>
  <c r="AK46" i="5"/>
  <c r="AI46" i="5"/>
  <c r="AM46" i="5" s="1"/>
  <c r="AH46" i="5"/>
  <c r="AK45" i="5"/>
  <c r="AI45" i="5"/>
  <c r="AM45" i="5" s="1"/>
  <c r="AH45" i="5"/>
  <c r="AK44" i="5"/>
  <c r="AI44" i="5"/>
  <c r="AH44" i="5"/>
  <c r="AG59" i="5"/>
  <c r="AF43" i="5"/>
  <c r="AE43" i="5"/>
  <c r="AE59" i="5" s="1"/>
  <c r="AD43" i="5"/>
  <c r="AD59" i="5" s="1"/>
  <c r="AC43" i="5"/>
  <c r="AC59" i="5" s="1"/>
  <c r="AB43" i="5"/>
  <c r="AA43" i="5"/>
  <c r="AA59" i="5" s="1"/>
  <c r="Z43" i="5"/>
  <c r="Z59" i="5" s="1"/>
  <c r="Y43" i="5"/>
  <c r="Y51" i="5" s="1"/>
  <c r="Y67" i="5" s="1"/>
  <c r="X43" i="5"/>
  <c r="W43" i="5"/>
  <c r="W59" i="5" s="1"/>
  <c r="V43" i="5"/>
  <c r="V59" i="5" s="1"/>
  <c r="U43" i="5"/>
  <c r="U59" i="5" s="1"/>
  <c r="T43" i="5"/>
  <c r="S43" i="5"/>
  <c r="S59" i="5" s="1"/>
  <c r="R43" i="5"/>
  <c r="R59" i="5" s="1"/>
  <c r="Q43" i="5"/>
  <c r="Q51" i="5" s="1"/>
  <c r="Q67" i="5" s="1"/>
  <c r="P43" i="5"/>
  <c r="O43" i="5"/>
  <c r="O59" i="5" s="1"/>
  <c r="N43" i="5"/>
  <c r="N59" i="5" s="1"/>
  <c r="M43" i="5"/>
  <c r="M59" i="5" s="1"/>
  <c r="L43" i="5"/>
  <c r="K43" i="5"/>
  <c r="K59" i="5" s="1"/>
  <c r="J43" i="5"/>
  <c r="J59" i="5" s="1"/>
  <c r="I43" i="5"/>
  <c r="I51" i="5" s="1"/>
  <c r="I67" i="5" s="1"/>
  <c r="H43" i="5"/>
  <c r="G43" i="5"/>
  <c r="G59" i="5" s="1"/>
  <c r="F43" i="5"/>
  <c r="F59" i="5" s="1"/>
  <c r="E43" i="5"/>
  <c r="E59" i="5" s="1"/>
  <c r="D43" i="5"/>
  <c r="C43" i="5"/>
  <c r="C59" i="5" s="1"/>
  <c r="Z40" i="5"/>
  <c r="V40" i="5"/>
  <c r="R40" i="5"/>
  <c r="N40" i="5"/>
  <c r="J40" i="5"/>
  <c r="F40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AH38" i="5"/>
  <c r="AJ38" i="5" s="1"/>
  <c r="AI37" i="5"/>
  <c r="AJ37" i="5" s="1"/>
  <c r="AH37" i="5"/>
  <c r="AH36" i="5"/>
  <c r="AJ36" i="5" s="1"/>
  <c r="AJ35" i="5"/>
  <c r="AH35" i="5"/>
  <c r="AH34" i="5"/>
  <c r="AJ34" i="5" s="1"/>
  <c r="AH33" i="5"/>
  <c r="AJ33" i="5" s="1"/>
  <c r="AH32" i="5"/>
  <c r="AJ32" i="5" s="1"/>
  <c r="AH31" i="5"/>
  <c r="AJ31" i="5" s="1"/>
  <c r="AH30" i="5"/>
  <c r="AJ30" i="5" s="1"/>
  <c r="AI29" i="5"/>
  <c r="AH29" i="5"/>
  <c r="AI28" i="5"/>
  <c r="AH28" i="5"/>
  <c r="AJ28" i="5" s="1"/>
  <c r="AI27" i="5"/>
  <c r="AH27" i="5"/>
  <c r="AI26" i="5"/>
  <c r="AH26" i="5"/>
  <c r="AJ26" i="5" s="1"/>
  <c r="AJ25" i="5"/>
  <c r="AI25" i="5"/>
  <c r="AH25" i="5"/>
  <c r="AI24" i="5"/>
  <c r="AH24" i="5"/>
  <c r="AJ24" i="5" s="1"/>
  <c r="AI23" i="5"/>
  <c r="AH23" i="5"/>
  <c r="AI22" i="5"/>
  <c r="AH22" i="5"/>
  <c r="AJ22" i="5" s="1"/>
  <c r="AI21" i="5"/>
  <c r="AH21" i="5"/>
  <c r="AJ21" i="5" s="1"/>
  <c r="AI20" i="5"/>
  <c r="AJ20" i="5" s="1"/>
  <c r="AH20" i="5"/>
  <c r="AI19" i="5"/>
  <c r="AH19" i="5"/>
  <c r="AI18" i="5"/>
  <c r="AH18" i="5"/>
  <c r="AI17" i="5"/>
  <c r="AH17" i="5"/>
  <c r="AJ17" i="5" s="1"/>
  <c r="AI16" i="5"/>
  <c r="AI39" i="5" s="1"/>
  <c r="AH16" i="5"/>
  <c r="AG14" i="5"/>
  <c r="AG40" i="5" s="1"/>
  <c r="AF14" i="5"/>
  <c r="AF40" i="5" s="1"/>
  <c r="AE14" i="5"/>
  <c r="AD14" i="5"/>
  <c r="AC14" i="5"/>
  <c r="AC40" i="5" s="1"/>
  <c r="AB14" i="5"/>
  <c r="AA14" i="5"/>
  <c r="Z14" i="5"/>
  <c r="Y14" i="5"/>
  <c r="Y40" i="5" s="1"/>
  <c r="X14" i="5"/>
  <c r="X40" i="5" s="1"/>
  <c r="W14" i="5"/>
  <c r="W40" i="5" s="1"/>
  <c r="V14" i="5"/>
  <c r="U14" i="5"/>
  <c r="U40" i="5" s="1"/>
  <c r="T14" i="5"/>
  <c r="T40" i="5" s="1"/>
  <c r="S14" i="5"/>
  <c r="S40" i="5" s="1"/>
  <c r="R14" i="5"/>
  <c r="Q14" i="5"/>
  <c r="Q40" i="5" s="1"/>
  <c r="P14" i="5"/>
  <c r="P40" i="5" s="1"/>
  <c r="O14" i="5"/>
  <c r="O40" i="5" s="1"/>
  <c r="N14" i="5"/>
  <c r="M14" i="5"/>
  <c r="M40" i="5" s="1"/>
  <c r="L14" i="5"/>
  <c r="L40" i="5" s="1"/>
  <c r="K14" i="5"/>
  <c r="K40" i="5" s="1"/>
  <c r="J14" i="5"/>
  <c r="I14" i="5"/>
  <c r="I40" i="5" s="1"/>
  <c r="H14" i="5"/>
  <c r="H40" i="5" s="1"/>
  <c r="G14" i="5"/>
  <c r="G40" i="5" s="1"/>
  <c r="F14" i="5"/>
  <c r="E14" i="5"/>
  <c r="E40" i="5" s="1"/>
  <c r="D14" i="5"/>
  <c r="C14" i="5"/>
  <c r="AI13" i="5"/>
  <c r="AJ13" i="5" s="1"/>
  <c r="AH13" i="5"/>
  <c r="AI12" i="5"/>
  <c r="AH12" i="5"/>
  <c r="AI11" i="5"/>
  <c r="AH11" i="5"/>
  <c r="AI10" i="5"/>
  <c r="AH10" i="5"/>
  <c r="AI9" i="5"/>
  <c r="AH9" i="5"/>
  <c r="AJ9" i="5" s="1"/>
  <c r="AI8" i="5"/>
  <c r="AH8" i="5"/>
  <c r="AI7" i="5"/>
  <c r="AH7" i="5"/>
  <c r="AI6" i="5"/>
  <c r="AH6" i="5"/>
  <c r="C81" i="4"/>
  <c r="C87" i="4" s="1"/>
  <c r="H103" i="4"/>
  <c r="C103" i="4"/>
  <c r="AG98" i="4"/>
  <c r="AF98" i="4"/>
  <c r="AE98" i="4"/>
  <c r="AE101" i="4" s="1"/>
  <c r="AD98" i="4"/>
  <c r="AC98" i="4"/>
  <c r="AB98" i="4"/>
  <c r="AA98" i="4"/>
  <c r="Z98" i="4"/>
  <c r="Y98" i="4"/>
  <c r="X98" i="4"/>
  <c r="W98" i="4"/>
  <c r="V98" i="4"/>
  <c r="U98" i="4"/>
  <c r="T98" i="4"/>
  <c r="S98" i="4"/>
  <c r="R98" i="4"/>
  <c r="Q98" i="4"/>
  <c r="P98" i="4"/>
  <c r="O98" i="4"/>
  <c r="O99" i="4" s="1"/>
  <c r="N98" i="4"/>
  <c r="N99" i="4" s="1"/>
  <c r="M98" i="4"/>
  <c r="L98" i="4"/>
  <c r="K98" i="4"/>
  <c r="J98" i="4"/>
  <c r="H98" i="4"/>
  <c r="H101" i="4" s="1"/>
  <c r="G98" i="4"/>
  <c r="G101" i="4" s="1"/>
  <c r="F98" i="4"/>
  <c r="E98" i="4"/>
  <c r="D98" i="4"/>
  <c r="C98" i="4"/>
  <c r="AH97" i="4"/>
  <c r="AH96" i="4"/>
  <c r="AH95" i="4"/>
  <c r="AH94" i="4"/>
  <c r="AH93" i="4"/>
  <c r="AH92" i="4"/>
  <c r="AH91" i="4"/>
  <c r="AH90" i="4"/>
  <c r="AH89" i="4"/>
  <c r="AG88" i="4"/>
  <c r="AF88" i="4"/>
  <c r="AE88" i="4"/>
  <c r="AD88" i="4"/>
  <c r="AC88" i="4"/>
  <c r="AB88" i="4"/>
  <c r="AA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K88" i="4"/>
  <c r="J88" i="4"/>
  <c r="I88" i="4"/>
  <c r="H88" i="4"/>
  <c r="G88" i="4"/>
  <c r="F88" i="4"/>
  <c r="E88" i="4"/>
  <c r="D88" i="4"/>
  <c r="C88" i="4"/>
  <c r="AG101" i="4"/>
  <c r="AC101" i="4"/>
  <c r="AB101" i="4"/>
  <c r="AA101" i="4"/>
  <c r="Z101" i="4"/>
  <c r="Y101" i="4"/>
  <c r="X101" i="4"/>
  <c r="W101" i="4"/>
  <c r="V101" i="4"/>
  <c r="U101" i="4"/>
  <c r="T101" i="4"/>
  <c r="S101" i="4"/>
  <c r="R101" i="4"/>
  <c r="J101" i="4"/>
  <c r="I101" i="4"/>
  <c r="F87" i="4"/>
  <c r="E87" i="4"/>
  <c r="E101" i="4" s="1"/>
  <c r="D87" i="4"/>
  <c r="AM86" i="4"/>
  <c r="AH85" i="4"/>
  <c r="AI85" i="4" s="1"/>
  <c r="AM85" i="4" s="1"/>
  <c r="AM84" i="4"/>
  <c r="AH84" i="4"/>
  <c r="AK84" i="4" s="1"/>
  <c r="AH82" i="4"/>
  <c r="AF101" i="4"/>
  <c r="AD101" i="4"/>
  <c r="AH80" i="4"/>
  <c r="AI80" i="4" s="1"/>
  <c r="AH79" i="4"/>
  <c r="AI79" i="4" s="1"/>
  <c r="AG68" i="4"/>
  <c r="AF68" i="4"/>
  <c r="AE68" i="4"/>
  <c r="AD68" i="4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AH67" i="4"/>
  <c r="AK67" i="4" s="1"/>
  <c r="AM66" i="4"/>
  <c r="AH66" i="4"/>
  <c r="AK66" i="4" s="1"/>
  <c r="AH64" i="4"/>
  <c r="AK64" i="4" s="1"/>
  <c r="AI63" i="4"/>
  <c r="AM63" i="4" s="1"/>
  <c r="AH63" i="4"/>
  <c r="AK63" i="4" s="1"/>
  <c r="AH62" i="4"/>
  <c r="AK62" i="4" s="1"/>
  <c r="AH61" i="4"/>
  <c r="AK61" i="4" s="1"/>
  <c r="AG59" i="4"/>
  <c r="AF59" i="4"/>
  <c r="AE59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AH58" i="4"/>
  <c r="AM57" i="4"/>
  <c r="AH57" i="4"/>
  <c r="AK57" i="4" s="1"/>
  <c r="AH55" i="4"/>
  <c r="AK55" i="4" s="1"/>
  <c r="AH54" i="4"/>
  <c r="AK54" i="4" s="1"/>
  <c r="AH53" i="4"/>
  <c r="AK53" i="4" s="1"/>
  <c r="AH52" i="4"/>
  <c r="AK52" i="4" s="1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Q99" i="4" s="1"/>
  <c r="P50" i="4"/>
  <c r="O50" i="4"/>
  <c r="N50" i="4"/>
  <c r="M50" i="4"/>
  <c r="L50" i="4"/>
  <c r="K50" i="4"/>
  <c r="K99" i="4" s="1"/>
  <c r="J50" i="4"/>
  <c r="I50" i="4"/>
  <c r="H50" i="4"/>
  <c r="G50" i="4"/>
  <c r="F50" i="4"/>
  <c r="E50" i="4"/>
  <c r="D50" i="4"/>
  <c r="C50" i="4"/>
  <c r="AG50" i="4"/>
  <c r="AM48" i="4"/>
  <c r="AH48" i="4"/>
  <c r="AK48" i="4" s="1"/>
  <c r="AH46" i="4"/>
  <c r="AI46" i="4" s="1"/>
  <c r="AM46" i="4" s="1"/>
  <c r="AH45" i="4"/>
  <c r="AI45" i="4" s="1"/>
  <c r="AH44" i="4"/>
  <c r="AI44" i="4" s="1"/>
  <c r="AM44" i="4" s="1"/>
  <c r="AH43" i="4"/>
  <c r="AI43" i="4" s="1"/>
  <c r="AG42" i="4"/>
  <c r="AG51" i="4" s="1"/>
  <c r="AG78" i="4" s="1"/>
  <c r="AF42" i="4"/>
  <c r="AF60" i="4" s="1"/>
  <c r="AF69" i="4" s="1"/>
  <c r="AE42" i="4"/>
  <c r="AE60" i="4" s="1"/>
  <c r="AE69" i="4" s="1"/>
  <c r="AD42" i="4"/>
  <c r="AD60" i="4" s="1"/>
  <c r="AD69" i="4" s="1"/>
  <c r="AC42" i="4"/>
  <c r="AC51" i="4" s="1"/>
  <c r="AC78" i="4" s="1"/>
  <c r="AB42" i="4"/>
  <c r="AB60" i="4" s="1"/>
  <c r="AB69" i="4" s="1"/>
  <c r="AA42" i="4"/>
  <c r="AA60" i="4" s="1"/>
  <c r="AA69" i="4" s="1"/>
  <c r="Z42" i="4"/>
  <c r="Z60" i="4" s="1"/>
  <c r="Z69" i="4" s="1"/>
  <c r="Y42" i="4"/>
  <c r="Y51" i="4" s="1"/>
  <c r="Y78" i="4" s="1"/>
  <c r="X42" i="4"/>
  <c r="X60" i="4" s="1"/>
  <c r="X69" i="4" s="1"/>
  <c r="W42" i="4"/>
  <c r="W60" i="4" s="1"/>
  <c r="W69" i="4" s="1"/>
  <c r="V42" i="4"/>
  <c r="V60" i="4" s="1"/>
  <c r="V69" i="4" s="1"/>
  <c r="U42" i="4"/>
  <c r="U51" i="4" s="1"/>
  <c r="U78" i="4" s="1"/>
  <c r="T42" i="4"/>
  <c r="T60" i="4" s="1"/>
  <c r="T69" i="4" s="1"/>
  <c r="S42" i="4"/>
  <c r="S60" i="4" s="1"/>
  <c r="S69" i="4" s="1"/>
  <c r="R42" i="4"/>
  <c r="R60" i="4" s="1"/>
  <c r="R69" i="4" s="1"/>
  <c r="Q42" i="4"/>
  <c r="Q51" i="4" s="1"/>
  <c r="Q78" i="4" s="1"/>
  <c r="P42" i="4"/>
  <c r="P60" i="4" s="1"/>
  <c r="P69" i="4" s="1"/>
  <c r="O42" i="4"/>
  <c r="O60" i="4" s="1"/>
  <c r="O69" i="4" s="1"/>
  <c r="N42" i="4"/>
  <c r="N60" i="4" s="1"/>
  <c r="N69" i="4" s="1"/>
  <c r="M42" i="4"/>
  <c r="M51" i="4" s="1"/>
  <c r="M78" i="4" s="1"/>
  <c r="L42" i="4"/>
  <c r="L60" i="4" s="1"/>
  <c r="L69" i="4" s="1"/>
  <c r="K42" i="4"/>
  <c r="K60" i="4" s="1"/>
  <c r="K69" i="4" s="1"/>
  <c r="J42" i="4"/>
  <c r="J60" i="4" s="1"/>
  <c r="J69" i="4" s="1"/>
  <c r="I42" i="4"/>
  <c r="I51" i="4" s="1"/>
  <c r="I78" i="4" s="1"/>
  <c r="H42" i="4"/>
  <c r="H60" i="4" s="1"/>
  <c r="H69" i="4" s="1"/>
  <c r="G42" i="4"/>
  <c r="G60" i="4" s="1"/>
  <c r="G69" i="4" s="1"/>
  <c r="F42" i="4"/>
  <c r="F60" i="4" s="1"/>
  <c r="F69" i="4" s="1"/>
  <c r="E42" i="4"/>
  <c r="E51" i="4" s="1"/>
  <c r="E78" i="4" s="1"/>
  <c r="D42" i="4"/>
  <c r="D60" i="4" s="1"/>
  <c r="D69" i="4" s="1"/>
  <c r="C42" i="4"/>
  <c r="C60" i="4" s="1"/>
  <c r="C69" i="4" s="1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C38" i="4"/>
  <c r="AH37" i="4"/>
  <c r="AJ37" i="4" s="1"/>
  <c r="AI36" i="4"/>
  <c r="AH36" i="4"/>
  <c r="AH35" i="4"/>
  <c r="AJ35" i="4" s="1"/>
  <c r="AH34" i="4"/>
  <c r="AJ34" i="4" s="1"/>
  <c r="AH33" i="4"/>
  <c r="AJ33" i="4" s="1"/>
  <c r="AG38" i="4"/>
  <c r="AF38" i="4"/>
  <c r="AE38" i="4"/>
  <c r="AH31" i="4"/>
  <c r="AJ31" i="4" s="1"/>
  <c r="AH30" i="4"/>
  <c r="AJ30" i="4" s="1"/>
  <c r="AH29" i="4"/>
  <c r="AJ29" i="4" s="1"/>
  <c r="AI28" i="4"/>
  <c r="AH28" i="4"/>
  <c r="AI27" i="4"/>
  <c r="AH27" i="4"/>
  <c r="AI26" i="4"/>
  <c r="AH26" i="4"/>
  <c r="AI25" i="4"/>
  <c r="AH25" i="4"/>
  <c r="AI24" i="4"/>
  <c r="AH24" i="4"/>
  <c r="AI23" i="4"/>
  <c r="AH23" i="4"/>
  <c r="AI22" i="4"/>
  <c r="AH22" i="4"/>
  <c r="AI21" i="4"/>
  <c r="AH21" i="4"/>
  <c r="AI20" i="4"/>
  <c r="AH20" i="4"/>
  <c r="AI19" i="4"/>
  <c r="AH19" i="4"/>
  <c r="AI18" i="4"/>
  <c r="AH18" i="4"/>
  <c r="AI17" i="4"/>
  <c r="AH17" i="4"/>
  <c r="AI16" i="4"/>
  <c r="AH16" i="4"/>
  <c r="AI15" i="4"/>
  <c r="AH15" i="4"/>
  <c r="AG13" i="4"/>
  <c r="AF13" i="4"/>
  <c r="AE13" i="4"/>
  <c r="AE39" i="4" s="1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C13" i="4"/>
  <c r="AI12" i="4"/>
  <c r="AH12" i="4"/>
  <c r="AI11" i="4"/>
  <c r="AH11" i="4"/>
  <c r="AI10" i="4"/>
  <c r="AH10" i="4"/>
  <c r="AI9" i="4"/>
  <c r="AH9" i="4"/>
  <c r="AI8" i="4"/>
  <c r="AH8" i="4"/>
  <c r="AI7" i="4"/>
  <c r="AH7" i="4"/>
  <c r="AI6" i="4"/>
  <c r="AH6" i="4"/>
  <c r="AI5" i="4"/>
  <c r="AH5" i="4"/>
  <c r="AG32" i="2"/>
  <c r="AF32" i="2"/>
  <c r="AE32" i="2"/>
  <c r="AD69" i="2"/>
  <c r="Q101" i="4" l="1"/>
  <c r="D101" i="4"/>
  <c r="F101" i="4"/>
  <c r="AK58" i="4"/>
  <c r="AH68" i="4"/>
  <c r="I39" i="4"/>
  <c r="M39" i="4"/>
  <c r="M101" i="4" s="1"/>
  <c r="Q39" i="4"/>
  <c r="U39" i="4"/>
  <c r="Y39" i="4"/>
  <c r="AC39" i="4"/>
  <c r="J39" i="4"/>
  <c r="N39" i="4"/>
  <c r="N101" i="4" s="1"/>
  <c r="R39" i="4"/>
  <c r="V39" i="4"/>
  <c r="Z39" i="4"/>
  <c r="AD39" i="4"/>
  <c r="AI62" i="4"/>
  <c r="AM62" i="4" s="1"/>
  <c r="AI58" i="4"/>
  <c r="AM58" i="4" s="1"/>
  <c r="F39" i="4"/>
  <c r="AJ21" i="4"/>
  <c r="AJ10" i="4"/>
  <c r="AJ5" i="4"/>
  <c r="E39" i="4"/>
  <c r="AJ8" i="5"/>
  <c r="AJ12" i="5"/>
  <c r="AJ16" i="5"/>
  <c r="AJ18" i="5"/>
  <c r="AJ29" i="5"/>
  <c r="AE40" i="5"/>
  <c r="AD40" i="5"/>
  <c r="AK68" i="5"/>
  <c r="AI68" i="5"/>
  <c r="AM68" i="5" s="1"/>
  <c r="AJ7" i="5"/>
  <c r="AH75" i="5"/>
  <c r="AB40" i="5"/>
  <c r="AK69" i="5"/>
  <c r="AA40" i="5"/>
  <c r="AI70" i="5"/>
  <c r="AM70" i="5" s="1"/>
  <c r="AI49" i="5"/>
  <c r="AM49" i="5" s="1"/>
  <c r="AJ19" i="5"/>
  <c r="AJ27" i="5"/>
  <c r="D40" i="5"/>
  <c r="AJ23" i="5"/>
  <c r="AJ11" i="5"/>
  <c r="E51" i="5"/>
  <c r="E67" i="5" s="1"/>
  <c r="M51" i="5"/>
  <c r="M67" i="5" s="1"/>
  <c r="U51" i="5"/>
  <c r="U67" i="5" s="1"/>
  <c r="AC51" i="5"/>
  <c r="AC67" i="5" s="1"/>
  <c r="F51" i="5"/>
  <c r="F67" i="5" s="1"/>
  <c r="N51" i="5"/>
  <c r="N67" i="5" s="1"/>
  <c r="V51" i="5"/>
  <c r="V67" i="5" s="1"/>
  <c r="AD51" i="5"/>
  <c r="AD67" i="5" s="1"/>
  <c r="Q59" i="5"/>
  <c r="AJ10" i="5"/>
  <c r="AI14" i="5"/>
  <c r="AI40" i="5" s="1"/>
  <c r="AH39" i="5"/>
  <c r="AJ39" i="5" s="1"/>
  <c r="AK55" i="5"/>
  <c r="AI55" i="5"/>
  <c r="AM55" i="5" s="1"/>
  <c r="AK65" i="5"/>
  <c r="AI65" i="5"/>
  <c r="AH14" i="5"/>
  <c r="C40" i="5"/>
  <c r="D59" i="5"/>
  <c r="D51" i="5"/>
  <c r="D67" i="5" s="1"/>
  <c r="H59" i="5"/>
  <c r="H51" i="5"/>
  <c r="H67" i="5" s="1"/>
  <c r="L59" i="5"/>
  <c r="L51" i="5"/>
  <c r="L67" i="5" s="1"/>
  <c r="P59" i="5"/>
  <c r="P51" i="5"/>
  <c r="P67" i="5" s="1"/>
  <c r="T59" i="5"/>
  <c r="T51" i="5"/>
  <c r="T67" i="5" s="1"/>
  <c r="X59" i="5"/>
  <c r="X51" i="5"/>
  <c r="X67" i="5" s="1"/>
  <c r="AB59" i="5"/>
  <c r="AB51" i="5"/>
  <c r="AB67" i="5" s="1"/>
  <c r="AF59" i="5"/>
  <c r="AF51" i="5"/>
  <c r="AF67" i="5" s="1"/>
  <c r="AK52" i="5"/>
  <c r="AI52" i="5"/>
  <c r="AH58" i="5"/>
  <c r="AK66" i="5"/>
  <c r="AK54" i="5"/>
  <c r="AI54" i="5"/>
  <c r="AM54" i="5" s="1"/>
  <c r="AJ6" i="5"/>
  <c r="AK53" i="5"/>
  <c r="AI53" i="5"/>
  <c r="AM53" i="5" s="1"/>
  <c r="AM44" i="5"/>
  <c r="AH50" i="5"/>
  <c r="C51" i="5"/>
  <c r="C67" i="5" s="1"/>
  <c r="G51" i="5"/>
  <c r="G67" i="5" s="1"/>
  <c r="K51" i="5"/>
  <c r="K67" i="5" s="1"/>
  <c r="O51" i="5"/>
  <c r="O67" i="5" s="1"/>
  <c r="S51" i="5"/>
  <c r="S67" i="5" s="1"/>
  <c r="W51" i="5"/>
  <c r="W67" i="5" s="1"/>
  <c r="AA51" i="5"/>
  <c r="AA67" i="5" s="1"/>
  <c r="AE51" i="5"/>
  <c r="AE67" i="5" s="1"/>
  <c r="AJ25" i="4"/>
  <c r="AG39" i="4"/>
  <c r="AJ26" i="4"/>
  <c r="AJ16" i="4"/>
  <c r="AJ28" i="4"/>
  <c r="AJ17" i="4"/>
  <c r="AJ23" i="4"/>
  <c r="D39" i="4"/>
  <c r="H39" i="4"/>
  <c r="L39" i="4"/>
  <c r="L101" i="4" s="1"/>
  <c r="P39" i="4"/>
  <c r="P101" i="4" s="1"/>
  <c r="T39" i="4"/>
  <c r="X39" i="4"/>
  <c r="AB39" i="4"/>
  <c r="AJ19" i="4"/>
  <c r="AK44" i="4"/>
  <c r="E60" i="4"/>
  <c r="E69" i="4" s="1"/>
  <c r="AK43" i="4"/>
  <c r="AH81" i="4"/>
  <c r="AI81" i="4" s="1"/>
  <c r="AM81" i="4" s="1"/>
  <c r="AJ6" i="4"/>
  <c r="AI13" i="4"/>
  <c r="AJ18" i="4"/>
  <c r="AJ20" i="4"/>
  <c r="AJ27" i="4"/>
  <c r="AJ36" i="4"/>
  <c r="AK46" i="4"/>
  <c r="AH49" i="4"/>
  <c r="AI49" i="4" s="1"/>
  <c r="AM49" i="4" s="1"/>
  <c r="F51" i="4"/>
  <c r="F78" i="4" s="1"/>
  <c r="I60" i="4"/>
  <c r="I69" i="4" s="1"/>
  <c r="AI61" i="4"/>
  <c r="AM61" i="4" s="1"/>
  <c r="AJ9" i="4"/>
  <c r="C39" i="4"/>
  <c r="G39" i="4"/>
  <c r="K39" i="4"/>
  <c r="K101" i="4" s="1"/>
  <c r="O39" i="4"/>
  <c r="O101" i="4" s="1"/>
  <c r="S39" i="4"/>
  <c r="W39" i="4"/>
  <c r="AA39" i="4"/>
  <c r="AI38" i="4"/>
  <c r="AI39" i="4" s="1"/>
  <c r="AJ22" i="4"/>
  <c r="AJ24" i="4"/>
  <c r="R51" i="4"/>
  <c r="R78" i="4" s="1"/>
  <c r="AH59" i="4"/>
  <c r="AK59" i="4" s="1"/>
  <c r="U60" i="4"/>
  <c r="U69" i="4" s="1"/>
  <c r="AI64" i="4"/>
  <c r="AM64" i="4" s="1"/>
  <c r="V51" i="4"/>
  <c r="V78" i="4" s="1"/>
  <c r="Y60" i="4"/>
  <c r="Y69" i="4" s="1"/>
  <c r="AK85" i="4"/>
  <c r="AH98" i="4"/>
  <c r="AJ7" i="4"/>
  <c r="AJ12" i="4"/>
  <c r="AJ8" i="4"/>
  <c r="AJ11" i="4"/>
  <c r="J51" i="4"/>
  <c r="J78" i="4" s="1"/>
  <c r="Z51" i="4"/>
  <c r="Z78" i="4" s="1"/>
  <c r="M60" i="4"/>
  <c r="M69" i="4" s="1"/>
  <c r="AC60" i="4"/>
  <c r="AC69" i="4" s="1"/>
  <c r="N51" i="4"/>
  <c r="N78" i="4" s="1"/>
  <c r="AD51" i="4"/>
  <c r="AD78" i="4" s="1"/>
  <c r="Q60" i="4"/>
  <c r="Q69" i="4" s="1"/>
  <c r="AG60" i="4"/>
  <c r="AG69" i="4" s="1"/>
  <c r="AK68" i="4"/>
  <c r="AH38" i="4"/>
  <c r="AH87" i="4"/>
  <c r="AM80" i="4"/>
  <c r="AK80" i="4"/>
  <c r="AF39" i="4"/>
  <c r="AM43" i="4"/>
  <c r="AM45" i="4"/>
  <c r="AK45" i="4"/>
  <c r="AM79" i="4"/>
  <c r="AK79" i="4"/>
  <c r="AH13" i="4"/>
  <c r="AJ15" i="4"/>
  <c r="AH50" i="4"/>
  <c r="C51" i="4"/>
  <c r="C78" i="4" s="1"/>
  <c r="G51" i="4"/>
  <c r="G78" i="4" s="1"/>
  <c r="K51" i="4"/>
  <c r="K78" i="4" s="1"/>
  <c r="O51" i="4"/>
  <c r="O78" i="4" s="1"/>
  <c r="S51" i="4"/>
  <c r="S78" i="4" s="1"/>
  <c r="W51" i="4"/>
  <c r="W78" i="4" s="1"/>
  <c r="AA51" i="4"/>
  <c r="AA78" i="4" s="1"/>
  <c r="AE51" i="4"/>
  <c r="AE78" i="4" s="1"/>
  <c r="AI52" i="4"/>
  <c r="AI53" i="4"/>
  <c r="AM53" i="4" s="1"/>
  <c r="AI54" i="4"/>
  <c r="AM54" i="4" s="1"/>
  <c r="AI55" i="4"/>
  <c r="AM55" i="4" s="1"/>
  <c r="AI67" i="4"/>
  <c r="AI82" i="4"/>
  <c r="AM82" i="4" s="1"/>
  <c r="AH32" i="4"/>
  <c r="D51" i="4"/>
  <c r="D78" i="4" s="1"/>
  <c r="H51" i="4"/>
  <c r="H78" i="4" s="1"/>
  <c r="L51" i="4"/>
  <c r="L78" i="4" s="1"/>
  <c r="P51" i="4"/>
  <c r="P78" i="4" s="1"/>
  <c r="T51" i="4"/>
  <c r="T78" i="4" s="1"/>
  <c r="X51" i="4"/>
  <c r="X78" i="4" s="1"/>
  <c r="AB51" i="4"/>
  <c r="AB78" i="4" s="1"/>
  <c r="AF51" i="4"/>
  <c r="AF78" i="4" s="1"/>
  <c r="H89" i="2"/>
  <c r="C89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C75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Q66" i="2"/>
  <c r="P66" i="2"/>
  <c r="O66" i="2"/>
  <c r="N66" i="2"/>
  <c r="M66" i="2"/>
  <c r="L66" i="2"/>
  <c r="K66" i="2"/>
  <c r="J66" i="2"/>
  <c r="I66" i="2"/>
  <c r="H66" i="2"/>
  <c r="G66" i="2"/>
  <c r="F66" i="2"/>
  <c r="E66" i="2"/>
  <c r="D66" i="2"/>
  <c r="C66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C58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D50" i="2"/>
  <c r="E50" i="2"/>
  <c r="C50" i="2"/>
  <c r="AH99" i="4" l="1"/>
  <c r="AJ32" i="4"/>
  <c r="H115" i="4"/>
  <c r="AI50" i="4"/>
  <c r="AJ14" i="5"/>
  <c r="AJ40" i="5" s="1"/>
  <c r="AM50" i="5"/>
  <c r="AI50" i="5"/>
  <c r="AK49" i="5"/>
  <c r="AK50" i="5" s="1"/>
  <c r="AK70" i="5"/>
  <c r="AK75" i="5" s="1"/>
  <c r="AM75" i="5"/>
  <c r="AI75" i="5"/>
  <c r="AK58" i="5"/>
  <c r="AI58" i="5"/>
  <c r="AM52" i="5"/>
  <c r="AM58" i="5" s="1"/>
  <c r="AH40" i="5"/>
  <c r="C92" i="5" s="1"/>
  <c r="AH88" i="5"/>
  <c r="C91" i="5" s="1"/>
  <c r="K91" i="5" s="1"/>
  <c r="AM65" i="5"/>
  <c r="AM66" i="5" s="1"/>
  <c r="AI66" i="5"/>
  <c r="AK49" i="4"/>
  <c r="AK50" i="4" s="1"/>
  <c r="AJ38" i="4"/>
  <c r="AK82" i="4"/>
  <c r="AJ13" i="4"/>
  <c r="AM67" i="4"/>
  <c r="AM68" i="4" s="1"/>
  <c r="AI68" i="4"/>
  <c r="AI59" i="4"/>
  <c r="AM52" i="4"/>
  <c r="AM59" i="4" s="1"/>
  <c r="AH39" i="4"/>
  <c r="AH101" i="4" s="1"/>
  <c r="AI87" i="4"/>
  <c r="AM50" i="4"/>
  <c r="AM87" i="4"/>
  <c r="AK81" i="4"/>
  <c r="AH82" i="2"/>
  <c r="AH85" i="2"/>
  <c r="AF69" i="2"/>
  <c r="C105" i="4" l="1"/>
  <c r="K108" i="4" s="1"/>
  <c r="K107" i="4"/>
  <c r="AK87" i="4"/>
  <c r="C114" i="4"/>
  <c r="C116" i="4" s="1"/>
  <c r="H91" i="5"/>
  <c r="C94" i="5"/>
  <c r="C97" i="5"/>
  <c r="K93" i="5"/>
  <c r="K92" i="5"/>
  <c r="H92" i="5"/>
  <c r="K95" i="5"/>
  <c r="K94" i="5"/>
  <c r="AJ39" i="4"/>
  <c r="H104" i="4"/>
  <c r="E11" i="3"/>
  <c r="AI28" i="2"/>
  <c r="AH31" i="2"/>
  <c r="AJ31" i="2" s="1"/>
  <c r="AH32" i="2"/>
  <c r="AJ32" i="2" s="1"/>
  <c r="AH33" i="2"/>
  <c r="AJ33" i="2"/>
  <c r="AH34" i="2"/>
  <c r="AJ34" i="2" s="1"/>
  <c r="AH37" i="2"/>
  <c r="AJ37" i="2" s="1"/>
  <c r="H105" i="4" l="1"/>
  <c r="K106" i="4"/>
  <c r="C107" i="4"/>
  <c r="C110" i="4"/>
  <c r="K104" i="4"/>
  <c r="AH45" i="2"/>
  <c r="AM47" i="2"/>
  <c r="AM55" i="2"/>
  <c r="AM63" i="2"/>
  <c r="AM71" i="2"/>
  <c r="AM73" i="2"/>
  <c r="AK45" i="2" l="1"/>
  <c r="AI45" i="2"/>
  <c r="AM45" i="2" s="1"/>
  <c r="G38" i="1" l="1"/>
  <c r="C38" i="2"/>
  <c r="C49" i="2"/>
  <c r="C65" i="2"/>
  <c r="C85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AA74" i="2"/>
  <c r="AB74" i="2"/>
  <c r="AC74" i="2"/>
  <c r="AD74" i="2"/>
  <c r="AE74" i="2"/>
  <c r="AF74" i="2"/>
  <c r="AG74" i="2"/>
  <c r="C74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U13" i="2"/>
  <c r="U38" i="2"/>
  <c r="U39" i="2" l="1"/>
  <c r="AH83" i="2"/>
  <c r="AH84" i="2"/>
  <c r="AH81" i="2"/>
  <c r="AH80" i="2"/>
  <c r="AH79" i="2"/>
  <c r="AH78" i="2"/>
  <c r="AH77" i="2"/>
  <c r="AH76" i="2"/>
  <c r="AH72" i="2"/>
  <c r="AH70" i="2"/>
  <c r="AH69" i="2"/>
  <c r="AH68" i="2"/>
  <c r="AH67" i="2"/>
  <c r="AH61" i="2"/>
  <c r="AH64" i="2"/>
  <c r="AH63" i="2"/>
  <c r="AK63" i="2" s="1"/>
  <c r="AH62" i="2"/>
  <c r="AH60" i="2"/>
  <c r="AH59" i="2"/>
  <c r="AH53" i="2"/>
  <c r="AH56" i="2"/>
  <c r="AH55" i="2"/>
  <c r="AK55" i="2" s="1"/>
  <c r="AH54" i="2"/>
  <c r="AH52" i="2"/>
  <c r="AH51" i="2"/>
  <c r="AH44" i="2"/>
  <c r="AH46" i="2"/>
  <c r="AH47" i="2"/>
  <c r="AK47" i="2" s="1"/>
  <c r="AH48" i="2"/>
  <c r="AH43" i="2"/>
  <c r="AI52" i="2" l="1"/>
  <c r="AM52" i="2" s="1"/>
  <c r="AK52" i="2"/>
  <c r="AK53" i="2"/>
  <c r="AI53" i="2"/>
  <c r="AM53" i="2" s="1"/>
  <c r="AI68" i="2"/>
  <c r="AM68" i="2" s="1"/>
  <c r="AI72" i="2"/>
  <c r="AM72" i="2" s="1"/>
  <c r="AK54" i="2"/>
  <c r="AI54" i="2"/>
  <c r="AM54" i="2" s="1"/>
  <c r="AK59" i="2"/>
  <c r="AI59" i="2"/>
  <c r="AK64" i="2"/>
  <c r="AI64" i="2"/>
  <c r="AM64" i="2" s="1"/>
  <c r="AI69" i="2"/>
  <c r="AM69" i="2" s="1"/>
  <c r="AI51" i="2"/>
  <c r="AK51" i="2"/>
  <c r="AI43" i="2"/>
  <c r="AM43" i="2" s="1"/>
  <c r="AK43" i="2"/>
  <c r="AK44" i="2"/>
  <c r="AI44" i="2"/>
  <c r="AM44" i="2" s="1"/>
  <c r="AK60" i="2"/>
  <c r="AI60" i="2"/>
  <c r="AM60" i="2" s="1"/>
  <c r="AI61" i="2"/>
  <c r="AM61" i="2" s="1"/>
  <c r="AK61" i="2"/>
  <c r="AI56" i="2"/>
  <c r="AM56" i="2" s="1"/>
  <c r="AK56" i="2"/>
  <c r="AI62" i="2"/>
  <c r="AM62" i="2" s="1"/>
  <c r="AK62" i="2"/>
  <c r="AK67" i="2"/>
  <c r="AI67" i="2"/>
  <c r="AM67" i="2" s="1"/>
  <c r="AI70" i="2"/>
  <c r="AK70" i="2" s="1"/>
  <c r="AI46" i="2"/>
  <c r="AM46" i="2" s="1"/>
  <c r="AI48" i="2"/>
  <c r="AM48" i="2" s="1"/>
  <c r="AM49" i="2" s="1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H65" i="2"/>
  <c r="G65" i="2"/>
  <c r="F65" i="2"/>
  <c r="E65" i="2"/>
  <c r="D65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G87" i="2" s="1"/>
  <c r="AH65" i="2" l="1"/>
  <c r="AK65" i="2" s="1"/>
  <c r="AI65" i="2"/>
  <c r="AM59" i="2"/>
  <c r="AM65" i="2" s="1"/>
  <c r="AK69" i="2"/>
  <c r="AK72" i="2"/>
  <c r="AM51" i="2"/>
  <c r="AM57" i="2" s="1"/>
  <c r="AI57" i="2"/>
  <c r="AK68" i="2"/>
  <c r="AM70" i="2"/>
  <c r="AM74" i="2" s="1"/>
  <c r="AI74" i="2"/>
  <c r="AK46" i="2"/>
  <c r="AK48" i="2"/>
  <c r="AI49" i="2"/>
  <c r="AH49" i="2"/>
  <c r="AH57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C42" i="2"/>
  <c r="AK57" i="2" l="1"/>
  <c r="H90" i="2"/>
  <c r="AK49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9" i="2"/>
  <c r="AJ29" i="2" s="1"/>
  <c r="AH30" i="2"/>
  <c r="AJ30" i="2" s="1"/>
  <c r="AH35" i="2"/>
  <c r="AJ35" i="2" s="1"/>
  <c r="AH36" i="2"/>
  <c r="AH28" i="2"/>
  <c r="AH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36" i="2"/>
  <c r="AI15" i="2"/>
  <c r="AH5" i="2"/>
  <c r="AI6" i="2"/>
  <c r="AI7" i="2"/>
  <c r="AI8" i="2"/>
  <c r="AI9" i="2"/>
  <c r="AI10" i="2"/>
  <c r="AI11" i="2"/>
  <c r="AI12" i="2"/>
  <c r="AI5" i="2"/>
  <c r="F38" i="2"/>
  <c r="D38" i="2"/>
  <c r="AH6" i="2"/>
  <c r="AH7" i="2"/>
  <c r="AH8" i="2"/>
  <c r="AH9" i="2"/>
  <c r="AH10" i="2"/>
  <c r="AH11" i="2"/>
  <c r="AH12" i="2"/>
  <c r="E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V38" i="2"/>
  <c r="W38" i="2"/>
  <c r="X38" i="2"/>
  <c r="Y38" i="2"/>
  <c r="Z38" i="2"/>
  <c r="AA38" i="2"/>
  <c r="AB38" i="2"/>
  <c r="AC38" i="2"/>
  <c r="AD38" i="2"/>
  <c r="AE38" i="2"/>
  <c r="AF38" i="2"/>
  <c r="AG38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V13" i="2"/>
  <c r="W13" i="2"/>
  <c r="X13" i="2"/>
  <c r="Y13" i="2"/>
  <c r="Z13" i="2"/>
  <c r="AA13" i="2"/>
  <c r="AB13" i="2"/>
  <c r="AC13" i="2"/>
  <c r="AD13" i="2"/>
  <c r="AE13" i="2"/>
  <c r="AF13" i="2"/>
  <c r="AG13" i="2"/>
  <c r="C13" i="2"/>
  <c r="AJ24" i="2" l="1"/>
  <c r="AJ20" i="2"/>
  <c r="AG39" i="2"/>
  <c r="AJ25" i="2"/>
  <c r="AE39" i="2"/>
  <c r="AC39" i="2"/>
  <c r="Y39" i="2"/>
  <c r="P39" i="2"/>
  <c r="L39" i="2"/>
  <c r="AD39" i="2"/>
  <c r="M39" i="2"/>
  <c r="AJ18" i="2"/>
  <c r="AB39" i="2"/>
  <c r="AA39" i="2"/>
  <c r="Z39" i="2"/>
  <c r="X39" i="2"/>
  <c r="W39" i="2"/>
  <c r="V39" i="2"/>
  <c r="AJ21" i="2"/>
  <c r="T39" i="2"/>
  <c r="S39" i="2"/>
  <c r="R39" i="2"/>
  <c r="Q39" i="2"/>
  <c r="AJ17" i="2"/>
  <c r="O39" i="2"/>
  <c r="N39" i="2"/>
  <c r="K39" i="2"/>
  <c r="J39" i="2"/>
  <c r="I39" i="2"/>
  <c r="H39" i="2"/>
  <c r="G39" i="2"/>
  <c r="AJ16" i="2"/>
  <c r="F39" i="2"/>
  <c r="E39" i="2"/>
  <c r="AH38" i="2"/>
  <c r="AJ11" i="2"/>
  <c r="AJ26" i="2"/>
  <c r="AJ8" i="2"/>
  <c r="AJ28" i="2"/>
  <c r="AJ22" i="2"/>
  <c r="D39" i="2"/>
  <c r="AJ36" i="2"/>
  <c r="AJ27" i="2"/>
  <c r="AJ23" i="2"/>
  <c r="AJ19" i="2"/>
  <c r="AI38" i="2"/>
  <c r="AJ12" i="2"/>
  <c r="AJ15" i="2"/>
  <c r="AI13" i="2"/>
  <c r="AJ9" i="2"/>
  <c r="AJ6" i="2"/>
  <c r="AF39" i="2"/>
  <c r="AJ7" i="2"/>
  <c r="AJ10" i="2"/>
  <c r="AH13" i="2"/>
  <c r="C39" i="2"/>
  <c r="C25" i="1"/>
  <c r="C18" i="1"/>
  <c r="F15" i="1"/>
  <c r="AI39" i="2" l="1"/>
  <c r="AJ38" i="2"/>
  <c r="AH39" i="2"/>
  <c r="C91" i="2" s="1"/>
  <c r="K94" i="2" s="1"/>
  <c r="D9" i="1"/>
  <c r="F22" i="1"/>
  <c r="C32" i="1" s="1"/>
  <c r="D7" i="1"/>
  <c r="C6" i="1"/>
  <c r="D22" i="1" l="1"/>
  <c r="D10" i="1" l="1"/>
  <c r="D5" i="1"/>
  <c r="D25" i="1"/>
  <c r="D17" i="1"/>
  <c r="G39" i="1" l="1"/>
  <c r="G40" i="1" s="1"/>
  <c r="C37" i="1"/>
  <c r="C40" i="1" s="1"/>
  <c r="D18" i="1" s="1"/>
  <c r="C21" i="1" l="1"/>
  <c r="C15" i="1"/>
  <c r="C26" i="1"/>
  <c r="D26" i="1" s="1"/>
  <c r="D21" i="1" l="1"/>
  <c r="D6" i="1"/>
  <c r="D28" i="1"/>
  <c r="C28" i="1" s="1"/>
  <c r="C14" i="1"/>
  <c r="D27" i="1"/>
  <c r="D16" i="1"/>
  <c r="D19" i="1"/>
  <c r="D20" i="1"/>
  <c r="D23" i="1"/>
  <c r="D24" i="1"/>
  <c r="D4" i="1"/>
  <c r="D8" i="1"/>
  <c r="D3" i="1"/>
  <c r="C11" i="1" l="1"/>
  <c r="D11" i="1" s="1"/>
  <c r="F18" i="1"/>
  <c r="D32" i="1"/>
  <c r="C29" i="1"/>
  <c r="D15" i="1"/>
  <c r="D29" i="1" s="1"/>
  <c r="C31" i="1" l="1"/>
  <c r="C33" i="1" l="1"/>
  <c r="D33" i="1" s="1"/>
  <c r="F26" i="1" l="1"/>
  <c r="G26" i="1" s="1"/>
  <c r="AJ5" i="2" l="1"/>
  <c r="AJ13" i="2" s="1"/>
  <c r="AJ39" i="2" s="1"/>
  <c r="E12" i="3"/>
  <c r="E20" i="3" l="1"/>
  <c r="I20" i="3"/>
  <c r="M20" i="3"/>
  <c r="F20" i="3"/>
  <c r="J20" i="3"/>
  <c r="G20" i="3"/>
  <c r="K20" i="3"/>
  <c r="D20" i="3"/>
  <c r="H20" i="3"/>
  <c r="L20" i="3"/>
  <c r="H5" i="3"/>
  <c r="C96" i="2"/>
  <c r="K93" i="2"/>
  <c r="K90" i="2"/>
  <c r="K92" i="2"/>
  <c r="C117" i="4"/>
  <c r="K91" i="2"/>
  <c r="AK74" i="2"/>
  <c r="C112" i="4"/>
  <c r="C98" i="7"/>
  <c r="C103" i="7"/>
  <c r="Z87" i="2"/>
  <c r="D31" i="1"/>
  <c r="AH71" i="2"/>
  <c r="AK71" i="2"/>
  <c r="Z71" i="2"/>
  <c r="Z74" i="2"/>
  <c r="AH74" i="2"/>
  <c r="AH87" i="2"/>
  <c r="C90" i="2"/>
  <c r="C93" i="2"/>
  <c r="C98" i="2"/>
</calcChain>
</file>

<file path=xl/sharedStrings.xml><?xml version="1.0" encoding="utf-8"?>
<sst xmlns="http://schemas.openxmlformats.org/spreadsheetml/2006/main" count="664" uniqueCount="145">
  <si>
    <t>Dépenses de personnel</t>
  </si>
  <si>
    <t>capitaine</t>
  </si>
  <si>
    <t>secrétaire</t>
  </si>
  <si>
    <t>Dépenses de fonctionnement</t>
  </si>
  <si>
    <t>électricité</t>
  </si>
  <si>
    <t>eau</t>
  </si>
  <si>
    <t>site internet</t>
  </si>
  <si>
    <t>essence bateau</t>
  </si>
  <si>
    <t>cours Open Water</t>
  </si>
  <si>
    <t>cours Advanced</t>
  </si>
  <si>
    <t>mensuel</t>
  </si>
  <si>
    <t>Loyer du local</t>
  </si>
  <si>
    <t>Bénéfices</t>
  </si>
  <si>
    <t>annuel</t>
  </si>
  <si>
    <t>plongée habitués</t>
  </si>
  <si>
    <t>Prix unitaire</t>
  </si>
  <si>
    <t>gardiennage bateau</t>
  </si>
  <si>
    <t>camionette pour les bouteilles</t>
  </si>
  <si>
    <t>autorisation municipale</t>
  </si>
  <si>
    <t>zarpe (taxe portuaire)</t>
  </si>
  <si>
    <t>par sortie</t>
  </si>
  <si>
    <t>plongée discovery</t>
  </si>
  <si>
    <t>plongée ahorcados/salango</t>
  </si>
  <si>
    <t>internet</t>
  </si>
  <si>
    <t>impôts</t>
  </si>
  <si>
    <t>Recette mensuelle</t>
  </si>
  <si>
    <t>Recette anuuelle</t>
  </si>
  <si>
    <t>Prix d'achat</t>
  </si>
  <si>
    <t>Amortissement</t>
  </si>
  <si>
    <t>Total des charges fixes</t>
  </si>
  <si>
    <t>Résultat mensuel</t>
  </si>
  <si>
    <t>Résultat annuel</t>
  </si>
  <si>
    <t>pot de vin marine</t>
  </si>
  <si>
    <t>Total charge de personnel</t>
  </si>
  <si>
    <t>Total charge de fonctionnement</t>
  </si>
  <si>
    <t>Total charge de fonctionnement hors financier</t>
  </si>
  <si>
    <t>commissions agence par plongeur</t>
  </si>
  <si>
    <t>Investissement annuel matériel</t>
  </si>
  <si>
    <t>Cout des cours</t>
  </si>
  <si>
    <t>PISCINE</t>
  </si>
  <si>
    <t>Soit en nbre d'éléve an</t>
  </si>
  <si>
    <t>Soit en nbre d'élève 11 mois</t>
  </si>
  <si>
    <t>Soit par semaine</t>
  </si>
  <si>
    <t>Déclaration nbre cours Padi 2015</t>
  </si>
  <si>
    <t>COURS EN LIGNE</t>
  </si>
  <si>
    <t>Nourriture pour 5j</t>
  </si>
  <si>
    <t>Estimation des cours PADI</t>
  </si>
  <si>
    <t>Coût pédagique des cours</t>
  </si>
  <si>
    <t>Coût pédagogique cours PADI</t>
  </si>
  <si>
    <t>comptable</t>
  </si>
  <si>
    <t>Nourriture clients</t>
  </si>
  <si>
    <t>Remboursement actionnaires</t>
  </si>
  <si>
    <t xml:space="preserve">guide advanced d'appoint </t>
  </si>
  <si>
    <t>marin</t>
  </si>
  <si>
    <t xml:space="preserve">$5 </t>
  </si>
  <si>
    <t>A l'heure actuelle</t>
  </si>
  <si>
    <t>cours open water +advanced</t>
  </si>
  <si>
    <t>comissions</t>
  </si>
  <si>
    <t xml:space="preserve">instructeur </t>
  </si>
  <si>
    <t>jérôme</t>
  </si>
  <si>
    <t>dani</t>
  </si>
  <si>
    <t>Suivi mensuel</t>
  </si>
  <si>
    <t>Sous total charge personnel</t>
  </si>
  <si>
    <t>Total charge journalière</t>
  </si>
  <si>
    <t>Total</t>
  </si>
  <si>
    <t>intitulé des charges</t>
  </si>
  <si>
    <t>Budget</t>
  </si>
  <si>
    <t>Delta budget</t>
  </si>
  <si>
    <t>Sous total charge de fonctionnement</t>
  </si>
  <si>
    <t>Fournitures</t>
  </si>
  <si>
    <t>Panga</t>
  </si>
  <si>
    <t>Matériel</t>
  </si>
  <si>
    <t>Produit</t>
  </si>
  <si>
    <t>Itay</t>
  </si>
  <si>
    <t>Ishay</t>
  </si>
  <si>
    <t>Agence</t>
  </si>
  <si>
    <t>Sous total CA</t>
  </si>
  <si>
    <t>Total CA journalier</t>
  </si>
  <si>
    <t>Location bouteille à 5$</t>
  </si>
  <si>
    <t>Remplissage bouteille 3$</t>
  </si>
  <si>
    <t>Location masque 3$</t>
  </si>
  <si>
    <t>Location BCd 5$</t>
  </si>
  <si>
    <t>Location palme 3$</t>
  </si>
  <si>
    <t>Location botte 3$</t>
  </si>
  <si>
    <t>Location combinaison 5$</t>
  </si>
  <si>
    <t>Package complet 30$</t>
  </si>
  <si>
    <t>Résultat du mois</t>
  </si>
  <si>
    <t>Prescripteur</t>
  </si>
  <si>
    <t>Comm excursion</t>
  </si>
  <si>
    <t>Total charges mensuelles</t>
  </si>
  <si>
    <t>Total CA mensuel</t>
  </si>
  <si>
    <t>Budget mensuel prévis</t>
  </si>
  <si>
    <t>Delta vs budget</t>
  </si>
  <si>
    <t># élèves</t>
  </si>
  <si>
    <t># plongées</t>
  </si>
  <si>
    <t># unitaire</t>
  </si>
  <si>
    <t>S/Total</t>
  </si>
  <si>
    <t xml:space="preserve"># de plongée réelle </t>
  </si>
  <si>
    <t>Nbre ttl de plongée du mois</t>
  </si>
  <si>
    <t>Coût de revient d'une plongée</t>
  </si>
  <si>
    <t>% du CA par secteur de vente</t>
  </si>
  <si>
    <t>Location</t>
  </si>
  <si>
    <t>Location bateau</t>
  </si>
  <si>
    <t>Location Tank</t>
  </si>
  <si>
    <t>location équipement complêt</t>
  </si>
  <si>
    <t>location BCD</t>
  </si>
  <si>
    <t>plongée Fun Dive ahorcados/salango</t>
  </si>
  <si>
    <t>Essence bateau</t>
  </si>
  <si>
    <t>Pôt de vin</t>
  </si>
  <si>
    <t>Salaire Capt+Marin</t>
  </si>
  <si>
    <t>Nourriture</t>
  </si>
  <si>
    <t>Coût fixe unitaire d'une sortie bâteau</t>
  </si>
  <si>
    <t>Tank</t>
  </si>
  <si>
    <t>Diver master</t>
  </si>
  <si>
    <t>Prix suivant le nombre d'élève</t>
  </si>
  <si>
    <t>Nbre élève</t>
  </si>
  <si>
    <t>Coût par élève</t>
  </si>
  <si>
    <t>Loc matériel</t>
  </si>
  <si>
    <t>Location Dive Master</t>
  </si>
  <si>
    <t>Recap du mois de :</t>
  </si>
  <si>
    <t>Mois de :</t>
  </si>
  <si>
    <t>juillet</t>
  </si>
  <si>
    <t>Prix de revient d'une plongée mois de :</t>
  </si>
  <si>
    <t>Javier</t>
  </si>
  <si>
    <t>août</t>
  </si>
  <si>
    <t>Résultat cumulé</t>
  </si>
  <si>
    <t>juin</t>
  </si>
  <si>
    <t>Caisse</t>
  </si>
  <si>
    <t>Delta</t>
  </si>
  <si>
    <t>Septembre</t>
  </si>
  <si>
    <t>Location materiel par l'agence</t>
  </si>
  <si>
    <t>Delta location</t>
  </si>
  <si>
    <t>Paiement transfert client</t>
  </si>
  <si>
    <t>Total restant dû</t>
  </si>
  <si>
    <t>Reste dû par Ytai</t>
  </si>
  <si>
    <t>Location non perçue</t>
  </si>
  <si>
    <t>Perçu</t>
  </si>
  <si>
    <t>Location BCD 5$</t>
  </si>
  <si>
    <t>Reste dû par Itay</t>
  </si>
  <si>
    <t>plongée Isla de la Plata</t>
  </si>
  <si>
    <t>Million Service</t>
  </si>
  <si>
    <t>Sous total CA journalier</t>
  </si>
  <si>
    <t>transport</t>
  </si>
  <si>
    <t>Résultat journalier CA vs Charge</t>
  </si>
  <si>
    <t>% du CA mensuel vs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</si>
</sst>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$-300A]#,##0"/>
    <numFmt numFmtId="165" formatCode="_-* #,##0.0\ _€_-;\-* #,##0.0\ _€_-;_-* &quot;-&quot;??\ _€_-;_-@_-"/>
    <numFmt numFmtId="166" formatCode="_-[$$-409]* #,##0_ ;_-[$$-409]* \-#,##0\ ;_-[$$-409]* &quot;-&quot;??_ ;_-@_ "/>
    <numFmt numFmtId="167" formatCode="_-[$$-409]* #,##0.00_ ;_-[$$-409]* \-#,##0.00\ ;_-[$$-409]* &quot;-&quot;??_ ;_-@_ "/>
    <numFmt numFmtId="168" formatCode="0.00_ ;[Red]\-0.00\ "/>
    <numFmt numFmtId="169" formatCode="[$$-409]#,##0.00_ ;[Red]\-[$$-409]#,##0.00\ "/>
    <numFmt numFmtId="170" formatCode="[$$-300A]#,##0.00"/>
    <numFmt numFmtId="171" formatCode="#,##0.00_ ;\-#,##0.0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3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4" xfId="0" applyBorder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166" fontId="0" fillId="0" borderId="1" xfId="0" applyNumberFormat="1" applyBorder="1"/>
    <xf numFmtId="43" fontId="0" fillId="0" borderId="1" xfId="1" applyFont="1" applyBorder="1"/>
    <xf numFmtId="43" fontId="0" fillId="0" borderId="1" xfId="0" applyNumberFormat="1" applyBorder="1"/>
    <xf numFmtId="165" fontId="0" fillId="0" borderId="1" xfId="0" applyNumberFormat="1" applyBorder="1"/>
    <xf numFmtId="16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left" vertical="center"/>
    </xf>
    <xf numFmtId="0" fontId="1" fillId="7" borderId="1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14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167" fontId="0" fillId="0" borderId="1" xfId="2" applyNumberFormat="1" applyFont="1" applyBorder="1"/>
    <xf numFmtId="167" fontId="0" fillId="0" borderId="1" xfId="0" applyNumberFormat="1" applyBorder="1"/>
    <xf numFmtId="0" fontId="0" fillId="7" borderId="2" xfId="0" applyFill="1" applyBorder="1"/>
    <xf numFmtId="0" fontId="0" fillId="7" borderId="1" xfId="0" applyFill="1" applyBorder="1" applyAlignment="1">
      <alignment horizontal="center"/>
    </xf>
    <xf numFmtId="0" fontId="1" fillId="4" borderId="1" xfId="0" applyFont="1" applyFill="1" applyBorder="1"/>
    <xf numFmtId="167" fontId="0" fillId="0" borderId="6" xfId="0" applyNumberFormat="1" applyFill="1" applyBorder="1"/>
    <xf numFmtId="168" fontId="0" fillId="0" borderId="0" xfId="0" applyNumberFormat="1"/>
    <xf numFmtId="168" fontId="1" fillId="0" borderId="0" xfId="0" applyNumberFormat="1" applyFont="1"/>
    <xf numFmtId="14" fontId="0" fillId="7" borderId="1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167" fontId="0" fillId="7" borderId="1" xfId="2" applyNumberFormat="1" applyFont="1" applyFill="1" applyBorder="1"/>
    <xf numFmtId="167" fontId="0" fillId="7" borderId="1" xfId="0" applyNumberFormat="1" applyFill="1" applyBorder="1"/>
    <xf numFmtId="0" fontId="0" fillId="2" borderId="0" xfId="0" applyFill="1"/>
    <xf numFmtId="14" fontId="1" fillId="7" borderId="1" xfId="0" applyNumberFormat="1" applyFont="1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0" borderId="6" xfId="0" applyFill="1" applyBorder="1"/>
    <xf numFmtId="0" fontId="0" fillId="7" borderId="0" xfId="0" applyFill="1" applyBorder="1" applyAlignment="1">
      <alignment horizontal="center" vertical="center"/>
    </xf>
    <xf numFmtId="169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2" xfId="0" applyNumberFormat="1" applyBorder="1"/>
    <xf numFmtId="167" fontId="0" fillId="7" borderId="2" xfId="0" applyNumberFormat="1" applyFill="1" applyBorder="1"/>
    <xf numFmtId="1" fontId="0" fillId="0" borderId="1" xfId="0" applyNumberFormat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" fontId="0" fillId="9" borderId="1" xfId="0" applyNumberFormat="1" applyFill="1" applyBorder="1" applyAlignment="1">
      <alignment horizontal="center"/>
    </xf>
    <xf numFmtId="166" fontId="0" fillId="8" borderId="1" xfId="2" applyNumberFormat="1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1" fontId="0" fillId="0" borderId="1" xfId="0" applyNumberFormat="1" applyBorder="1"/>
    <xf numFmtId="0" fontId="0" fillId="0" borderId="0" xfId="0" applyAlignment="1">
      <alignment horizontal="center"/>
    </xf>
    <xf numFmtId="0" fontId="0" fillId="10" borderId="1" xfId="0" applyFill="1" applyBorder="1"/>
    <xf numFmtId="10" fontId="0" fillId="0" borderId="1" xfId="3" applyNumberFormat="1" applyFont="1" applyBorder="1"/>
    <xf numFmtId="0" fontId="0" fillId="7" borderId="0" xfId="0" applyFill="1"/>
    <xf numFmtId="0" fontId="0" fillId="0" borderId="0" xfId="0" applyAlignment="1">
      <alignment horizontal="center"/>
    </xf>
    <xf numFmtId="1" fontId="0" fillId="0" borderId="0" xfId="0" applyNumberFormat="1"/>
    <xf numFmtId="0" fontId="1" fillId="7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7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7" borderId="2" xfId="0" applyFill="1" applyBorder="1" applyAlignment="1">
      <alignment horizontal="left"/>
    </xf>
    <xf numFmtId="0" fontId="0" fillId="7" borderId="3" xfId="0" applyFill="1" applyBorder="1" applyAlignment="1">
      <alignment horizontal="left"/>
    </xf>
    <xf numFmtId="0" fontId="1" fillId="7" borderId="1" xfId="0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/>
    <xf numFmtId="0" fontId="1" fillId="7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7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7" fontId="5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167" fontId="0" fillId="0" borderId="0" xfId="2" applyNumberFormat="1" applyFont="1"/>
    <xf numFmtId="167" fontId="0" fillId="7" borderId="0" xfId="0" applyNumberFormat="1" applyFill="1"/>
    <xf numFmtId="167" fontId="0" fillId="11" borderId="1" xfId="0" applyNumberFormat="1" applyFill="1" applyBorder="1"/>
    <xf numFmtId="0" fontId="0" fillId="11" borderId="1" xfId="0" applyFill="1" applyBorder="1"/>
    <xf numFmtId="0" fontId="0" fillId="7" borderId="1" xfId="0" applyFill="1" applyBorder="1" applyAlignment="1"/>
    <xf numFmtId="0" fontId="0" fillId="0" borderId="0" xfId="0" applyAlignment="1">
      <alignment horizontal="center"/>
    </xf>
    <xf numFmtId="170" fontId="0" fillId="0" borderId="0" xfId="0" applyNumberFormat="1" applyAlignment="1">
      <alignment horizontal="center"/>
    </xf>
    <xf numFmtId="167" fontId="0" fillId="0" borderId="0" xfId="2" applyNumberFormat="1" applyFont="1" applyBorder="1"/>
    <xf numFmtId="9" fontId="0" fillId="0" borderId="0" xfId="3" applyFont="1" applyAlignment="1">
      <alignment horizontal="center"/>
    </xf>
    <xf numFmtId="171" fontId="0" fillId="0" borderId="1" xfId="0" applyNumberFormat="1" applyBorder="1"/>
    <xf numFmtId="171" fontId="0" fillId="0" borderId="0" xfId="0" applyNumberFormat="1"/>
    <xf numFmtId="0" fontId="0" fillId="0" borderId="0" xfId="0" applyNumberFormat="1"/>
    <xf numFmtId="0" fontId="0" fillId="2" borderId="3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7" borderId="0" xfId="0" applyFont="1" applyFill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0"/>
  <sheetViews>
    <sheetView zoomScale="80" zoomScaleNormal="80" workbookViewId="0">
      <selection activeCell="F15" sqref="F15:G15"/>
    </sheetView>
  </sheetViews>
  <sheetFormatPr baseColWidth="10" defaultRowHeight="14.4" x14ac:dyDescent="0.3"/>
  <cols>
    <col min="1" max="1" width="34.5546875" customWidth="1"/>
    <col min="2" max="2" width="16.109375" customWidth="1"/>
    <col min="5" max="5" width="3.88671875" customWidth="1"/>
    <col min="6" max="6" width="35.33203125" customWidth="1"/>
    <col min="7" max="7" width="18.109375" customWidth="1"/>
    <col min="8" max="8" width="18.6640625" customWidth="1"/>
    <col min="9" max="9" width="3.33203125" customWidth="1"/>
    <col min="10" max="10" width="26.5546875" customWidth="1"/>
    <col min="11" max="11" width="23.33203125" customWidth="1"/>
    <col min="12" max="12" width="3.6640625" customWidth="1"/>
  </cols>
  <sheetData>
    <row r="1" spans="1:12" ht="15.75" x14ac:dyDescent="0.25">
      <c r="A1" s="123">
        <v>0</v>
      </c>
      <c r="B1" s="123"/>
      <c r="C1" s="123"/>
      <c r="D1" s="123"/>
      <c r="E1" s="124"/>
      <c r="F1" s="123"/>
      <c r="G1" s="123"/>
      <c r="H1" s="124"/>
      <c r="I1" s="6"/>
      <c r="J1" s="6"/>
      <c r="K1" s="6"/>
      <c r="L1" s="6"/>
    </row>
    <row r="2" spans="1:12" x14ac:dyDescent="0.3">
      <c r="A2" s="20" t="s">
        <v>0</v>
      </c>
      <c r="B2" s="19" t="s">
        <v>20</v>
      </c>
      <c r="C2" s="19" t="s">
        <v>10</v>
      </c>
      <c r="D2" s="21" t="s">
        <v>13</v>
      </c>
      <c r="E2" s="125"/>
      <c r="F2" s="22" t="s">
        <v>12</v>
      </c>
      <c r="G2" s="19" t="s">
        <v>15</v>
      </c>
      <c r="H2" s="19" t="s">
        <v>55</v>
      </c>
      <c r="I2" s="6"/>
      <c r="J2" s="34"/>
      <c r="K2" s="34"/>
      <c r="L2" s="6"/>
    </row>
    <row r="3" spans="1:12" x14ac:dyDescent="0.3">
      <c r="A3" s="2" t="s">
        <v>1</v>
      </c>
      <c r="B3" s="4"/>
      <c r="C3" s="4">
        <v>500</v>
      </c>
      <c r="D3" s="5">
        <f>C3*12</f>
        <v>6000</v>
      </c>
      <c r="E3" s="126"/>
      <c r="F3" s="3" t="s">
        <v>9</v>
      </c>
      <c r="G3" s="4">
        <v>350</v>
      </c>
      <c r="H3" s="28"/>
      <c r="I3" s="6"/>
      <c r="J3" s="34"/>
      <c r="K3" s="34"/>
      <c r="L3" s="6"/>
    </row>
    <row r="4" spans="1:12" x14ac:dyDescent="0.3">
      <c r="A4" s="2" t="s">
        <v>59</v>
      </c>
      <c r="B4" s="4"/>
      <c r="C4" s="4">
        <v>800</v>
      </c>
      <c r="D4" s="5">
        <f t="shared" ref="D4:D11" si="0">C4*12</f>
        <v>9600</v>
      </c>
      <c r="E4" s="126"/>
      <c r="F4" s="3" t="s">
        <v>8</v>
      </c>
      <c r="G4" s="4">
        <v>350</v>
      </c>
      <c r="H4" s="28"/>
      <c r="I4" s="6"/>
      <c r="J4" s="34"/>
      <c r="K4" s="34"/>
      <c r="L4" s="6"/>
    </row>
    <row r="5" spans="1:12" x14ac:dyDescent="0.3">
      <c r="A5" s="2" t="s">
        <v>60</v>
      </c>
      <c r="B5" s="4"/>
      <c r="C5" s="4">
        <v>800</v>
      </c>
      <c r="D5" s="5">
        <f t="shared" si="0"/>
        <v>9600</v>
      </c>
      <c r="E5" s="126"/>
      <c r="F5" s="3" t="s">
        <v>22</v>
      </c>
      <c r="G5" s="4">
        <v>90</v>
      </c>
      <c r="H5" s="28">
        <v>5</v>
      </c>
      <c r="I5" s="6"/>
      <c r="J5" s="34"/>
      <c r="K5" s="34"/>
      <c r="L5" s="6"/>
    </row>
    <row r="6" spans="1:12" x14ac:dyDescent="0.3">
      <c r="A6" s="2" t="s">
        <v>52</v>
      </c>
      <c r="B6" s="4">
        <v>15</v>
      </c>
      <c r="C6" s="4">
        <f>B6*25</f>
        <v>375</v>
      </c>
      <c r="D6" s="5">
        <f t="shared" si="0"/>
        <v>4500</v>
      </c>
      <c r="E6" s="126"/>
      <c r="F6" s="3" t="s">
        <v>21</v>
      </c>
      <c r="G6" s="4">
        <v>70</v>
      </c>
      <c r="H6" s="28">
        <v>6</v>
      </c>
      <c r="I6" s="6"/>
      <c r="J6" s="34"/>
      <c r="K6" s="34"/>
      <c r="L6" s="6"/>
    </row>
    <row r="7" spans="1:12" x14ac:dyDescent="0.3">
      <c r="A7" s="2" t="s">
        <v>58</v>
      </c>
      <c r="B7" s="4"/>
      <c r="C7" s="4">
        <v>750</v>
      </c>
      <c r="D7" s="18">
        <f>C7*6</f>
        <v>4500</v>
      </c>
      <c r="E7" s="126"/>
      <c r="F7" s="2" t="s">
        <v>14</v>
      </c>
      <c r="G7" s="4">
        <v>60</v>
      </c>
      <c r="H7" s="28">
        <v>9</v>
      </c>
      <c r="I7" s="16"/>
      <c r="J7" s="34"/>
      <c r="K7" s="34"/>
      <c r="L7" s="16"/>
    </row>
    <row r="8" spans="1:12" x14ac:dyDescent="0.3">
      <c r="A8" s="2" t="s">
        <v>16</v>
      </c>
      <c r="B8" s="4"/>
      <c r="C8" s="4">
        <v>130</v>
      </c>
      <c r="D8" s="5">
        <f t="shared" si="0"/>
        <v>1560</v>
      </c>
      <c r="E8" s="111"/>
      <c r="F8" s="2" t="s">
        <v>56</v>
      </c>
      <c r="G8" s="4">
        <v>350</v>
      </c>
      <c r="H8" s="28">
        <v>17</v>
      </c>
      <c r="I8" s="6"/>
      <c r="J8" s="34"/>
      <c r="K8" s="34"/>
      <c r="L8" s="6"/>
    </row>
    <row r="9" spans="1:12" ht="15" x14ac:dyDescent="0.25">
      <c r="A9" s="2" t="s">
        <v>53</v>
      </c>
      <c r="B9" s="4"/>
      <c r="C9" s="4">
        <v>500</v>
      </c>
      <c r="D9" s="4">
        <f>C9*12</f>
        <v>6000</v>
      </c>
      <c r="E9" s="29"/>
      <c r="F9" s="2" t="s">
        <v>57</v>
      </c>
      <c r="G9" s="4"/>
      <c r="H9" s="28"/>
      <c r="I9" s="29"/>
      <c r="J9" s="34"/>
      <c r="K9" s="34"/>
      <c r="L9" s="29"/>
    </row>
    <row r="10" spans="1:12" x14ac:dyDescent="0.3">
      <c r="A10" s="2" t="s">
        <v>2</v>
      </c>
      <c r="B10" s="4"/>
      <c r="C10" s="4">
        <v>600</v>
      </c>
      <c r="D10" s="4">
        <f t="shared" si="0"/>
        <v>7200</v>
      </c>
      <c r="E10" s="6"/>
      <c r="F10" s="112"/>
      <c r="G10" s="112"/>
      <c r="H10" s="112"/>
      <c r="I10" s="6"/>
      <c r="J10" s="34"/>
      <c r="K10" s="34"/>
      <c r="L10" s="6"/>
    </row>
    <row r="11" spans="1:12" ht="15" x14ac:dyDescent="0.25">
      <c r="A11" s="113" t="s">
        <v>33</v>
      </c>
      <c r="B11" s="114"/>
      <c r="C11" s="13">
        <f>SUM(C3:C10)</f>
        <v>4455</v>
      </c>
      <c r="D11" s="13">
        <f t="shared" si="0"/>
        <v>53460</v>
      </c>
      <c r="E11" s="34"/>
      <c r="F11" s="34"/>
      <c r="G11" s="34"/>
      <c r="H11" s="34"/>
      <c r="I11" s="6"/>
      <c r="J11" s="34"/>
      <c r="K11" s="34"/>
      <c r="L11" s="6"/>
    </row>
    <row r="12" spans="1:12" ht="15" x14ac:dyDescent="0.25">
      <c r="A12" s="111"/>
      <c r="B12" s="112"/>
      <c r="C12" s="112"/>
      <c r="D12" s="112"/>
      <c r="E12" s="112"/>
      <c r="F12" s="112"/>
      <c r="G12" s="112"/>
      <c r="H12" s="112"/>
      <c r="I12" s="10"/>
      <c r="J12" s="34"/>
      <c r="K12" s="34"/>
      <c r="L12" s="6"/>
    </row>
    <row r="13" spans="1:12" x14ac:dyDescent="0.3">
      <c r="A13" s="20" t="s">
        <v>3</v>
      </c>
      <c r="B13" s="32" t="s">
        <v>20</v>
      </c>
      <c r="C13" s="32" t="s">
        <v>10</v>
      </c>
      <c r="D13" s="21" t="s">
        <v>13</v>
      </c>
      <c r="E13" s="111"/>
      <c r="F13" s="34"/>
      <c r="G13" s="34"/>
      <c r="H13" s="112"/>
      <c r="I13" s="6"/>
      <c r="J13" s="34"/>
      <c r="K13" s="34"/>
      <c r="L13" s="6"/>
    </row>
    <row r="14" spans="1:12" x14ac:dyDescent="0.3">
      <c r="A14" s="2" t="s">
        <v>18</v>
      </c>
      <c r="B14" s="4"/>
      <c r="C14" s="4">
        <f>D14/12</f>
        <v>25</v>
      </c>
      <c r="D14" s="33">
        <v>300</v>
      </c>
      <c r="E14" s="111"/>
      <c r="F14" s="109" t="s">
        <v>25</v>
      </c>
      <c r="G14" s="110"/>
      <c r="H14" s="112"/>
      <c r="I14" s="6"/>
      <c r="J14" s="34"/>
      <c r="K14" s="34"/>
      <c r="L14" s="6"/>
    </row>
    <row r="15" spans="1:12" x14ac:dyDescent="0.3">
      <c r="A15" s="2" t="s">
        <v>17</v>
      </c>
      <c r="B15" s="4">
        <v>7</v>
      </c>
      <c r="C15" s="4">
        <f>(B15*26)</f>
        <v>182</v>
      </c>
      <c r="D15" s="33">
        <f t="shared" ref="D15:D27" si="1">C15*12</f>
        <v>2184</v>
      </c>
      <c r="E15" s="111"/>
      <c r="F15" s="115">
        <f>(G8*H8+G6*H6+G5*H5+G7*H7)</f>
        <v>7360</v>
      </c>
      <c r="G15" s="116"/>
      <c r="H15" s="112"/>
      <c r="I15" s="6"/>
      <c r="J15" s="34"/>
      <c r="K15" s="34"/>
      <c r="L15" s="6"/>
    </row>
    <row r="16" spans="1:12" x14ac:dyDescent="0.3">
      <c r="A16" s="2" t="s">
        <v>36</v>
      </c>
      <c r="B16" s="4">
        <v>5</v>
      </c>
      <c r="C16" s="4"/>
      <c r="D16" s="33">
        <f t="shared" si="1"/>
        <v>0</v>
      </c>
      <c r="E16" s="111"/>
      <c r="F16" s="16"/>
      <c r="G16" s="16"/>
      <c r="H16" s="112"/>
      <c r="I16" s="6"/>
      <c r="J16" s="34"/>
      <c r="K16" s="34"/>
      <c r="L16" s="6"/>
    </row>
    <row r="17" spans="1:13" x14ac:dyDescent="0.3">
      <c r="A17" s="2" t="s">
        <v>49</v>
      </c>
      <c r="B17" s="4"/>
      <c r="C17" s="4">
        <v>90</v>
      </c>
      <c r="D17" s="33">
        <f t="shared" si="1"/>
        <v>1080</v>
      </c>
      <c r="E17" s="111"/>
      <c r="F17" s="117" t="s">
        <v>26</v>
      </c>
      <c r="G17" s="118"/>
      <c r="H17" s="112"/>
      <c r="I17" s="16"/>
      <c r="J17" s="34"/>
      <c r="K17" s="34"/>
      <c r="L17" s="16"/>
    </row>
    <row r="18" spans="1:13" x14ac:dyDescent="0.3">
      <c r="A18" s="2" t="s">
        <v>48</v>
      </c>
      <c r="B18" s="4">
        <v>39.25</v>
      </c>
      <c r="C18" s="4">
        <f>B18*H8</f>
        <v>667.25</v>
      </c>
      <c r="D18" s="33">
        <f t="shared" si="1"/>
        <v>8007</v>
      </c>
      <c r="E18" s="111"/>
      <c r="F18" s="115">
        <f>F15*12</f>
        <v>88320</v>
      </c>
      <c r="G18" s="116"/>
      <c r="H18" s="112"/>
      <c r="I18" s="15"/>
      <c r="J18" s="34"/>
      <c r="K18" s="34"/>
      <c r="L18" s="15"/>
    </row>
    <row r="19" spans="1:13" x14ac:dyDescent="0.3">
      <c r="A19" s="2" t="s">
        <v>5</v>
      </c>
      <c r="B19" s="4"/>
      <c r="C19" s="4">
        <v>10</v>
      </c>
      <c r="D19" s="33">
        <f t="shared" si="1"/>
        <v>120</v>
      </c>
      <c r="E19" s="111"/>
      <c r="F19" s="6"/>
      <c r="G19" s="6"/>
      <c r="H19" s="112"/>
      <c r="I19" s="6"/>
      <c r="J19" s="34"/>
      <c r="K19" s="34"/>
      <c r="L19" s="6"/>
    </row>
    <row r="20" spans="1:13" x14ac:dyDescent="0.3">
      <c r="A20" s="2" t="s">
        <v>4</v>
      </c>
      <c r="B20" s="4"/>
      <c r="C20" s="4">
        <v>130</v>
      </c>
      <c r="D20" s="33">
        <f t="shared" si="1"/>
        <v>1560</v>
      </c>
      <c r="E20" s="111"/>
      <c r="F20" s="12" t="s">
        <v>27</v>
      </c>
      <c r="G20" s="11" t="s">
        <v>28</v>
      </c>
      <c r="H20" s="112"/>
      <c r="I20" s="6"/>
      <c r="J20" s="34"/>
      <c r="K20" s="34"/>
      <c r="L20" s="6"/>
    </row>
    <row r="21" spans="1:13" x14ac:dyDescent="0.3">
      <c r="A21" s="2" t="s">
        <v>7</v>
      </c>
      <c r="B21" s="4">
        <v>45</v>
      </c>
      <c r="C21" s="4">
        <f>(B21*26)</f>
        <v>1170</v>
      </c>
      <c r="D21" s="33">
        <f t="shared" si="1"/>
        <v>14040</v>
      </c>
      <c r="E21" s="111"/>
      <c r="F21" s="4">
        <v>40000</v>
      </c>
      <c r="G21" s="7">
        <v>40</v>
      </c>
      <c r="H21" s="112"/>
      <c r="I21" s="6"/>
      <c r="J21" s="34"/>
      <c r="K21" s="34"/>
      <c r="L21" s="6"/>
    </row>
    <row r="22" spans="1:13" x14ac:dyDescent="0.3">
      <c r="A22" s="2" t="s">
        <v>24</v>
      </c>
      <c r="B22" s="4"/>
      <c r="C22" s="4">
        <v>170</v>
      </c>
      <c r="D22" s="33">
        <f>C22*12</f>
        <v>2040</v>
      </c>
      <c r="E22" s="111"/>
      <c r="F22" s="115">
        <f>F21/G21</f>
        <v>1000</v>
      </c>
      <c r="G22" s="116"/>
      <c r="H22" s="112"/>
      <c r="I22" s="6"/>
      <c r="J22" s="34"/>
      <c r="K22" s="34"/>
      <c r="L22" s="6"/>
    </row>
    <row r="23" spans="1:13" x14ac:dyDescent="0.3">
      <c r="A23" s="2" t="s">
        <v>23</v>
      </c>
      <c r="B23" s="4"/>
      <c r="C23" s="4">
        <v>40</v>
      </c>
      <c r="D23" s="33">
        <f t="shared" si="1"/>
        <v>480</v>
      </c>
      <c r="E23" s="111"/>
      <c r="F23" s="34"/>
      <c r="G23" s="34"/>
      <c r="H23" s="112"/>
      <c r="I23" s="6"/>
      <c r="J23" s="34"/>
      <c r="K23" s="34"/>
      <c r="L23" s="6"/>
      <c r="M23" s="30"/>
    </row>
    <row r="24" spans="1:13" x14ac:dyDescent="0.3">
      <c r="A24" s="2" t="s">
        <v>11</v>
      </c>
      <c r="B24" s="4"/>
      <c r="C24" s="4">
        <v>450</v>
      </c>
      <c r="D24" s="33">
        <f t="shared" si="1"/>
        <v>5400</v>
      </c>
      <c r="E24" s="111"/>
      <c r="F24" s="34"/>
      <c r="G24" s="34"/>
      <c r="H24" s="112"/>
      <c r="I24" s="10"/>
      <c r="J24" s="34"/>
      <c r="K24" s="34"/>
      <c r="L24" s="10"/>
    </row>
    <row r="25" spans="1:13" x14ac:dyDescent="0.3">
      <c r="A25" s="2" t="s">
        <v>50</v>
      </c>
      <c r="B25" s="4">
        <v>20</v>
      </c>
      <c r="C25" s="4">
        <f>B25*30</f>
        <v>600</v>
      </c>
      <c r="D25" s="33">
        <f t="shared" si="1"/>
        <v>7200</v>
      </c>
      <c r="E25" s="111"/>
      <c r="F25" s="17" t="s">
        <v>30</v>
      </c>
      <c r="G25" s="17" t="s">
        <v>31</v>
      </c>
      <c r="H25" s="112"/>
      <c r="I25" s="16"/>
      <c r="J25" s="16"/>
      <c r="K25" s="16"/>
      <c r="L25" s="16"/>
    </row>
    <row r="26" spans="1:13" x14ac:dyDescent="0.3">
      <c r="A26" s="2" t="s">
        <v>32</v>
      </c>
      <c r="B26" s="4">
        <v>20</v>
      </c>
      <c r="C26" s="4">
        <f>SUM(B26*26)</f>
        <v>520</v>
      </c>
      <c r="D26" s="33">
        <f t="shared" si="1"/>
        <v>6240</v>
      </c>
      <c r="E26" s="111"/>
      <c r="F26" s="9">
        <f>F15-C33</f>
        <v>-2179.0833333333339</v>
      </c>
      <c r="G26" s="9">
        <f>F26*12</f>
        <v>-26149.000000000007</v>
      </c>
      <c r="H26" s="112"/>
      <c r="I26" s="6"/>
      <c r="J26" s="34"/>
      <c r="K26" s="34"/>
      <c r="L26" s="6"/>
    </row>
    <row r="27" spans="1:13" x14ac:dyDescent="0.3">
      <c r="A27" s="2" t="s">
        <v>6</v>
      </c>
      <c r="B27" s="4"/>
      <c r="C27" s="4">
        <v>6</v>
      </c>
      <c r="D27" s="33">
        <f t="shared" si="1"/>
        <v>72</v>
      </c>
      <c r="E27" s="111"/>
      <c r="F27" s="34"/>
      <c r="G27" s="34"/>
      <c r="H27" s="112"/>
      <c r="I27" s="6"/>
      <c r="J27" s="34"/>
      <c r="K27" s="34"/>
      <c r="L27" s="6"/>
    </row>
    <row r="28" spans="1:13" x14ac:dyDescent="0.3">
      <c r="A28" s="31" t="s">
        <v>19</v>
      </c>
      <c r="B28" s="4" t="s">
        <v>54</v>
      </c>
      <c r="C28" s="4">
        <f>D28/12</f>
        <v>23.833333333333332</v>
      </c>
      <c r="D28" s="4">
        <f>5.5*52</f>
        <v>286</v>
      </c>
      <c r="E28" s="34"/>
      <c r="F28" s="34"/>
      <c r="G28" s="34"/>
      <c r="H28" s="34"/>
      <c r="I28" s="6"/>
      <c r="J28" s="16"/>
      <c r="K28" s="6"/>
      <c r="L28" s="6"/>
    </row>
    <row r="29" spans="1:13" x14ac:dyDescent="0.3">
      <c r="A29" s="113" t="s">
        <v>34</v>
      </c>
      <c r="B29" s="114"/>
      <c r="C29" s="13">
        <f>SUM(C14:C28)</f>
        <v>4084.0833333333335</v>
      </c>
      <c r="D29" s="13">
        <f>SUM(D14:D28)</f>
        <v>49009</v>
      </c>
      <c r="E29" s="34"/>
      <c r="F29" s="34"/>
      <c r="G29" s="34"/>
      <c r="H29" s="34"/>
      <c r="I29" s="6"/>
      <c r="J29" s="15"/>
      <c r="K29" s="15"/>
      <c r="L29" s="6"/>
    </row>
    <row r="30" spans="1:13" x14ac:dyDescent="0.3">
      <c r="A30" s="108"/>
      <c r="B30" s="108"/>
      <c r="C30" s="108"/>
      <c r="D30" s="108"/>
      <c r="E30" s="34"/>
      <c r="F30" s="34"/>
      <c r="G30" s="34"/>
      <c r="H30" s="34"/>
      <c r="I30" s="6"/>
      <c r="J30" s="15"/>
      <c r="K30" s="15"/>
      <c r="L30" s="6"/>
    </row>
    <row r="31" spans="1:13" x14ac:dyDescent="0.3">
      <c r="A31" s="113" t="s">
        <v>35</v>
      </c>
      <c r="B31" s="114"/>
      <c r="C31" s="13">
        <f>C11+C29</f>
        <v>8539.0833333333339</v>
      </c>
      <c r="D31" s="13">
        <f ca="1">SUM(D16:D31)</f>
        <v>62352</v>
      </c>
      <c r="E31" s="34"/>
      <c r="F31" s="112"/>
      <c r="G31" s="112"/>
      <c r="H31" s="34"/>
      <c r="I31" s="6"/>
      <c r="J31" s="6"/>
      <c r="K31" s="6"/>
      <c r="L31" s="6"/>
    </row>
    <row r="32" spans="1:13" x14ac:dyDescent="0.3">
      <c r="A32" s="113" t="s">
        <v>51</v>
      </c>
      <c r="B32" s="114"/>
      <c r="C32" s="13">
        <f>F22</f>
        <v>1000</v>
      </c>
      <c r="D32" s="13">
        <f>C32*12</f>
        <v>12000</v>
      </c>
      <c r="E32" s="34"/>
      <c r="F32" s="34"/>
      <c r="G32" s="34"/>
      <c r="H32" s="34"/>
      <c r="I32" s="10"/>
      <c r="J32" s="10"/>
      <c r="K32" s="10"/>
      <c r="L32" s="10"/>
    </row>
    <row r="33" spans="1:12" x14ac:dyDescent="0.3">
      <c r="A33" s="121" t="s">
        <v>29</v>
      </c>
      <c r="B33" s="122"/>
      <c r="C33" s="8">
        <f>C31+C32</f>
        <v>9539.0833333333339</v>
      </c>
      <c r="D33" s="14">
        <f>C33*12</f>
        <v>114469</v>
      </c>
      <c r="E33" s="34"/>
      <c r="F33" s="34"/>
      <c r="G33" s="34"/>
      <c r="H33" s="34"/>
      <c r="I33" s="10"/>
      <c r="J33" s="10"/>
      <c r="K33" s="10"/>
      <c r="L33" s="10"/>
    </row>
    <row r="36" spans="1:12" x14ac:dyDescent="0.3">
      <c r="A36" t="s">
        <v>37</v>
      </c>
      <c r="B36" s="119" t="s">
        <v>47</v>
      </c>
      <c r="C36" s="120"/>
      <c r="F36" s="119" t="s">
        <v>46</v>
      </c>
      <c r="G36" s="120"/>
    </row>
    <row r="37" spans="1:12" x14ac:dyDescent="0.3">
      <c r="B37" s="2" t="s">
        <v>45</v>
      </c>
      <c r="C37" s="4">
        <f>3*5</f>
        <v>15</v>
      </c>
      <c r="F37" s="2" t="s">
        <v>43</v>
      </c>
      <c r="G37" s="23">
        <v>90000</v>
      </c>
    </row>
    <row r="38" spans="1:12" x14ac:dyDescent="0.3">
      <c r="B38" s="2" t="s">
        <v>39</v>
      </c>
      <c r="C38" s="4">
        <v>3</v>
      </c>
      <c r="F38" s="2" t="s">
        <v>40</v>
      </c>
      <c r="G38" s="24" t="e">
        <f>G37/H3</f>
        <v>#DIV/0!</v>
      </c>
    </row>
    <row r="39" spans="1:12" x14ac:dyDescent="0.3">
      <c r="B39" s="2" t="s">
        <v>44</v>
      </c>
      <c r="C39" s="4">
        <v>23</v>
      </c>
      <c r="F39" s="2" t="s">
        <v>41</v>
      </c>
      <c r="G39" s="25" t="e">
        <f>G38/11</f>
        <v>#DIV/0!</v>
      </c>
    </row>
    <row r="40" spans="1:12" x14ac:dyDescent="0.3">
      <c r="B40" s="1" t="s">
        <v>38</v>
      </c>
      <c r="C40" s="27">
        <f>SUM(C37:C39)</f>
        <v>41</v>
      </c>
      <c r="F40" s="2" t="s">
        <v>42</v>
      </c>
      <c r="G40" s="26" t="e">
        <f>G39/4.5</f>
        <v>#DIV/0!</v>
      </c>
    </row>
  </sheetData>
  <sortState ref="F12:G26">
    <sortCondition ref="F12"/>
  </sortState>
  <mergeCells count="21">
    <mergeCell ref="A1:H1"/>
    <mergeCell ref="F10:H10"/>
    <mergeCell ref="E2:E8"/>
    <mergeCell ref="A11:B11"/>
    <mergeCell ref="A12:H12"/>
    <mergeCell ref="F36:G36"/>
    <mergeCell ref="B36:C36"/>
    <mergeCell ref="A32:B32"/>
    <mergeCell ref="A33:B33"/>
    <mergeCell ref="A31:B31"/>
    <mergeCell ref="F31:G31"/>
    <mergeCell ref="A30:B30"/>
    <mergeCell ref="F14:G14"/>
    <mergeCell ref="E13:E27"/>
    <mergeCell ref="H13:H27"/>
    <mergeCell ref="A29:B29"/>
    <mergeCell ref="F18:G18"/>
    <mergeCell ref="F17:G17"/>
    <mergeCell ref="F15:G15"/>
    <mergeCell ref="F22:G22"/>
    <mergeCell ref="C30:D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99"/>
  <sheetViews>
    <sheetView workbookViewId="0">
      <pane ySplit="1" topLeftCell="A79" activePane="bottomLeft" state="frozen"/>
      <selection pane="bottomLeft" activeCell="C99" sqref="C99"/>
    </sheetView>
  </sheetViews>
  <sheetFormatPr baseColWidth="10" defaultRowHeight="14.4" x14ac:dyDescent="0.3"/>
  <cols>
    <col min="2" max="2" width="34.109375" bestFit="1" customWidth="1"/>
    <col min="3" max="3" width="16.88671875" customWidth="1"/>
    <col min="4" max="26" width="11.44140625" customWidth="1"/>
    <col min="39" max="39" width="18.6640625" style="82" bestFit="1" customWidth="1"/>
  </cols>
  <sheetData>
    <row r="1" spans="1:39" ht="15.75" x14ac:dyDescent="0.25">
      <c r="B1" s="71" t="s">
        <v>120</v>
      </c>
      <c r="C1" s="83" t="s">
        <v>126</v>
      </c>
      <c r="D1">
        <v>2016</v>
      </c>
    </row>
    <row r="2" spans="1:39" ht="21" x14ac:dyDescent="0.35">
      <c r="B2" s="89" t="s">
        <v>61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</row>
    <row r="3" spans="1:39" ht="21" x14ac:dyDescent="0.35"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M3" s="88"/>
    </row>
    <row r="5" spans="1:39" s="82" customFormat="1" x14ac:dyDescent="0.3">
      <c r="B5" s="43" t="s">
        <v>65</v>
      </c>
      <c r="C5" s="48">
        <v>42522</v>
      </c>
      <c r="D5" s="48">
        <v>42523</v>
      </c>
      <c r="E5" s="48">
        <v>42524</v>
      </c>
      <c r="F5" s="48">
        <v>42525</v>
      </c>
      <c r="G5" s="48">
        <v>42526</v>
      </c>
      <c r="H5" s="48">
        <v>42527</v>
      </c>
      <c r="I5" s="48">
        <v>42528</v>
      </c>
      <c r="J5" s="48">
        <v>42529</v>
      </c>
      <c r="K5" s="48">
        <v>42530</v>
      </c>
      <c r="L5" s="48">
        <v>42531</v>
      </c>
      <c r="M5" s="48">
        <v>42532</v>
      </c>
      <c r="N5" s="48">
        <v>42533</v>
      </c>
      <c r="O5" s="48">
        <v>42534</v>
      </c>
      <c r="P5" s="48">
        <v>42535</v>
      </c>
      <c r="Q5" s="48">
        <v>42536</v>
      </c>
      <c r="R5" s="48">
        <v>42537</v>
      </c>
      <c r="S5" s="48">
        <v>42538</v>
      </c>
      <c r="T5" s="48">
        <v>42539</v>
      </c>
      <c r="U5" s="48">
        <v>42540</v>
      </c>
      <c r="V5" s="48">
        <v>42541</v>
      </c>
      <c r="W5" s="48">
        <v>42542</v>
      </c>
      <c r="X5" s="48">
        <v>42543</v>
      </c>
      <c r="Y5" s="48">
        <v>42544</v>
      </c>
      <c r="Z5" s="48">
        <v>42545</v>
      </c>
      <c r="AA5" s="48">
        <v>42546</v>
      </c>
      <c r="AB5" s="48">
        <v>42547</v>
      </c>
      <c r="AC5" s="48">
        <v>42548</v>
      </c>
      <c r="AD5" s="48">
        <v>42549</v>
      </c>
      <c r="AE5" s="48">
        <v>42550</v>
      </c>
      <c r="AF5" s="48">
        <v>42551</v>
      </c>
      <c r="AG5" s="48"/>
      <c r="AH5" s="43" t="s">
        <v>64</v>
      </c>
      <c r="AI5" s="49" t="s">
        <v>66</v>
      </c>
      <c r="AJ5" s="49" t="s">
        <v>67</v>
      </c>
    </row>
    <row r="6" spans="1:39" ht="15" x14ac:dyDescent="0.25">
      <c r="B6" s="39" t="s">
        <v>1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V6" s="41"/>
      <c r="W6" s="41"/>
      <c r="X6" s="41"/>
      <c r="Y6" s="41"/>
      <c r="Z6" s="41"/>
      <c r="AA6" s="41">
        <v>25</v>
      </c>
      <c r="AB6" s="41">
        <v>25</v>
      </c>
      <c r="AC6" s="41">
        <v>25</v>
      </c>
      <c r="AD6" s="41">
        <v>25</v>
      </c>
      <c r="AE6" s="41">
        <v>25</v>
      </c>
      <c r="AF6" s="41">
        <v>25</v>
      </c>
      <c r="AG6" s="41"/>
      <c r="AH6" s="51">
        <f>SUM(C6:AG6)</f>
        <v>150</v>
      </c>
      <c r="AI6" s="37">
        <f>'Budget 2016'!C3</f>
        <v>500</v>
      </c>
      <c r="AJ6" s="46">
        <f>AI6-AH6</f>
        <v>350</v>
      </c>
      <c r="AK6" s="37"/>
    </row>
    <row r="7" spans="1:39" x14ac:dyDescent="0.3">
      <c r="B7" s="39" t="s">
        <v>59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51">
        <f>SUM(C7:AG7)</f>
        <v>0</v>
      </c>
      <c r="AI7" s="37">
        <f>'Budget 2016'!C4</f>
        <v>800</v>
      </c>
      <c r="AJ7" s="46">
        <f>AI7-AH7</f>
        <v>800</v>
      </c>
    </row>
    <row r="8" spans="1:39" ht="15" x14ac:dyDescent="0.25">
      <c r="B8" s="39" t="s">
        <v>60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51">
        <f>SUM(C8:AG8)</f>
        <v>0</v>
      </c>
      <c r="AI8" s="37">
        <f>'Budget 2016'!C5</f>
        <v>800</v>
      </c>
      <c r="AJ8" s="46">
        <f t="shared" ref="AJ8:AJ13" si="0">AI8-AH8</f>
        <v>800</v>
      </c>
    </row>
    <row r="9" spans="1:39" ht="15" x14ac:dyDescent="0.25">
      <c r="B9" s="39" t="s">
        <v>52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V9" s="41"/>
      <c r="W9" s="41"/>
      <c r="X9" s="41"/>
      <c r="Y9" s="41"/>
      <c r="Z9" s="41"/>
      <c r="AA9" s="41">
        <v>15</v>
      </c>
      <c r="AB9" s="41">
        <v>15</v>
      </c>
      <c r="AC9" s="41">
        <v>15</v>
      </c>
      <c r="AD9" s="41">
        <v>15</v>
      </c>
      <c r="AE9" s="41">
        <v>15</v>
      </c>
      <c r="AF9" s="41">
        <v>15</v>
      </c>
      <c r="AG9" s="41"/>
      <c r="AH9" s="51">
        <f t="shared" ref="AH9:AH13" si="1">SUM(C9:AG9)</f>
        <v>90</v>
      </c>
      <c r="AI9" s="37">
        <f>'Budget 2016'!C6</f>
        <v>375</v>
      </c>
      <c r="AJ9" s="46">
        <f t="shared" si="0"/>
        <v>285</v>
      </c>
    </row>
    <row r="10" spans="1:39" ht="15" x14ac:dyDescent="0.25">
      <c r="B10" s="39" t="s">
        <v>58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V10" s="41"/>
      <c r="W10" s="41"/>
      <c r="X10" s="41"/>
      <c r="Y10" s="41"/>
      <c r="Z10" s="41"/>
      <c r="AA10" s="41">
        <v>30</v>
      </c>
      <c r="AB10" s="41">
        <v>30</v>
      </c>
      <c r="AC10" s="41">
        <v>30</v>
      </c>
      <c r="AD10" s="41">
        <v>30</v>
      </c>
      <c r="AE10" s="41"/>
      <c r="AF10" s="41"/>
      <c r="AG10" s="41"/>
      <c r="AH10" s="51">
        <f t="shared" si="1"/>
        <v>120</v>
      </c>
      <c r="AI10" s="37">
        <f>'Budget 2016'!C7</f>
        <v>750</v>
      </c>
      <c r="AJ10" s="46">
        <f t="shared" si="0"/>
        <v>630</v>
      </c>
    </row>
    <row r="11" spans="1:39" ht="15" x14ac:dyDescent="0.25">
      <c r="B11" s="39" t="s">
        <v>16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51">
        <f t="shared" si="1"/>
        <v>0</v>
      </c>
      <c r="AI11" s="37">
        <f>'Budget 2016'!C8</f>
        <v>130</v>
      </c>
      <c r="AJ11" s="46">
        <f t="shared" si="0"/>
        <v>130</v>
      </c>
    </row>
    <row r="12" spans="1:39" ht="15" x14ac:dyDescent="0.25">
      <c r="B12" s="39" t="s">
        <v>53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V12" s="41"/>
      <c r="W12" s="41"/>
      <c r="X12" s="41"/>
      <c r="Y12" s="41"/>
      <c r="Z12" s="41"/>
      <c r="AA12" s="41">
        <v>25</v>
      </c>
      <c r="AB12" s="41">
        <v>25</v>
      </c>
      <c r="AC12" s="41">
        <v>25</v>
      </c>
      <c r="AD12" s="41">
        <v>25</v>
      </c>
      <c r="AE12" s="41">
        <v>25</v>
      </c>
      <c r="AF12" s="41">
        <v>25</v>
      </c>
      <c r="AG12" s="41"/>
      <c r="AH12" s="51">
        <f t="shared" si="1"/>
        <v>150</v>
      </c>
      <c r="AI12" s="37">
        <f>'Budget 2016'!C9</f>
        <v>500</v>
      </c>
      <c r="AJ12" s="46">
        <f t="shared" si="0"/>
        <v>350</v>
      </c>
    </row>
    <row r="13" spans="1:39" x14ac:dyDescent="0.3">
      <c r="A13" s="36"/>
      <c r="B13" s="39" t="s">
        <v>2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51">
        <f t="shared" si="1"/>
        <v>0</v>
      </c>
      <c r="AI13" s="37">
        <f>'Budget 2016'!C10</f>
        <v>600</v>
      </c>
      <c r="AJ13" s="46">
        <f t="shared" si="0"/>
        <v>600</v>
      </c>
    </row>
    <row r="14" spans="1:39" ht="15" x14ac:dyDescent="0.25">
      <c r="B14" s="42" t="s">
        <v>62</v>
      </c>
      <c r="C14" s="50">
        <f>SUM(C6:C13)</f>
        <v>0</v>
      </c>
      <c r="D14" s="50">
        <f t="shared" ref="D14:AG14" si="2">SUM(D6:D13)</f>
        <v>0</v>
      </c>
      <c r="E14" s="50">
        <f t="shared" si="2"/>
        <v>0</v>
      </c>
      <c r="F14" s="50">
        <f t="shared" si="2"/>
        <v>0</v>
      </c>
      <c r="G14" s="50">
        <f t="shared" si="2"/>
        <v>0</v>
      </c>
      <c r="H14" s="50">
        <f t="shared" si="2"/>
        <v>0</v>
      </c>
      <c r="I14" s="50">
        <f t="shared" si="2"/>
        <v>0</v>
      </c>
      <c r="J14" s="50">
        <f t="shared" si="2"/>
        <v>0</v>
      </c>
      <c r="K14" s="50">
        <f t="shared" si="2"/>
        <v>0</v>
      </c>
      <c r="L14" s="50">
        <f t="shared" si="2"/>
        <v>0</v>
      </c>
      <c r="M14" s="50">
        <f t="shared" si="2"/>
        <v>0</v>
      </c>
      <c r="N14" s="50">
        <f t="shared" si="2"/>
        <v>0</v>
      </c>
      <c r="O14" s="50">
        <f t="shared" si="2"/>
        <v>0</v>
      </c>
      <c r="P14" s="50">
        <f t="shared" si="2"/>
        <v>0</v>
      </c>
      <c r="Q14" s="50">
        <f t="shared" si="2"/>
        <v>0</v>
      </c>
      <c r="R14" s="50">
        <f t="shared" si="2"/>
        <v>0</v>
      </c>
      <c r="S14" s="50">
        <f t="shared" si="2"/>
        <v>0</v>
      </c>
      <c r="T14" s="50">
        <f t="shared" si="2"/>
        <v>0</v>
      </c>
      <c r="U14" s="50">
        <f t="shared" si="2"/>
        <v>0</v>
      </c>
      <c r="V14" s="50">
        <f t="shared" si="2"/>
        <v>0</v>
      </c>
      <c r="W14" s="50">
        <f t="shared" si="2"/>
        <v>0</v>
      </c>
      <c r="X14" s="50">
        <f t="shared" si="2"/>
        <v>0</v>
      </c>
      <c r="Y14" s="50">
        <f t="shared" si="2"/>
        <v>0</v>
      </c>
      <c r="Z14" s="50">
        <f t="shared" si="2"/>
        <v>0</v>
      </c>
      <c r="AA14" s="50">
        <f t="shared" si="2"/>
        <v>95</v>
      </c>
      <c r="AB14" s="50">
        <f t="shared" si="2"/>
        <v>95</v>
      </c>
      <c r="AC14" s="50">
        <f t="shared" si="2"/>
        <v>95</v>
      </c>
      <c r="AD14" s="50">
        <f t="shared" si="2"/>
        <v>95</v>
      </c>
      <c r="AE14" s="50">
        <f t="shared" si="2"/>
        <v>65</v>
      </c>
      <c r="AF14" s="50">
        <f t="shared" si="2"/>
        <v>65</v>
      </c>
      <c r="AG14" s="50">
        <f t="shared" si="2"/>
        <v>0</v>
      </c>
      <c r="AH14" s="51">
        <f>SUM(C14:AG14)</f>
        <v>510</v>
      </c>
      <c r="AI14" s="45">
        <f>SUM(AI6:AI13)</f>
        <v>4455</v>
      </c>
      <c r="AJ14" s="47">
        <f>SUM(AJ6:AJ13)</f>
        <v>3945</v>
      </c>
    </row>
    <row r="15" spans="1:39" ht="6" customHeight="1" x14ac:dyDescent="0.25"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</row>
    <row r="16" spans="1:39" ht="15" x14ac:dyDescent="0.25">
      <c r="A16" s="36"/>
      <c r="B16" s="2" t="s">
        <v>18</v>
      </c>
      <c r="C16" s="4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1">
        <f>SUM(C16:AG16)</f>
        <v>0</v>
      </c>
      <c r="AI16" s="37">
        <f>'Budget 2016'!C14</f>
        <v>25</v>
      </c>
      <c r="AJ16" s="46">
        <f t="shared" ref="AJ16:AJ39" si="3">AI16-AH16</f>
        <v>25</v>
      </c>
    </row>
    <row r="17" spans="1:36" ht="15" x14ac:dyDescent="0.25">
      <c r="A17" s="36"/>
      <c r="B17" s="2" t="s">
        <v>17</v>
      </c>
      <c r="C17" s="4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V17" s="2"/>
      <c r="W17" s="2"/>
      <c r="X17" s="2"/>
      <c r="Y17" s="2"/>
      <c r="Z17" s="2"/>
      <c r="AA17" s="2"/>
      <c r="AB17" s="2"/>
      <c r="AC17" s="2"/>
      <c r="AD17" s="2">
        <v>38</v>
      </c>
      <c r="AE17" s="2"/>
      <c r="AF17" s="2"/>
      <c r="AG17" s="2"/>
      <c r="AH17" s="51">
        <f t="shared" ref="AH17:AH38" si="4">SUM(C17:AG17)</f>
        <v>38</v>
      </c>
      <c r="AI17" s="37">
        <f>'Budget 2016'!C15</f>
        <v>182</v>
      </c>
      <c r="AJ17" s="46">
        <f t="shared" si="3"/>
        <v>144</v>
      </c>
    </row>
    <row r="18" spans="1:36" ht="15" x14ac:dyDescent="0.25">
      <c r="A18" s="36"/>
      <c r="B18" s="2" t="s">
        <v>36</v>
      </c>
      <c r="C18" s="4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51">
        <f t="shared" si="4"/>
        <v>0</v>
      </c>
      <c r="AI18" s="37">
        <f>'Budget 2016'!C16</f>
        <v>0</v>
      </c>
      <c r="AJ18" s="46">
        <f t="shared" si="3"/>
        <v>0</v>
      </c>
    </row>
    <row r="19" spans="1:36" ht="15" x14ac:dyDescent="0.25">
      <c r="A19" s="36"/>
      <c r="B19" s="2" t="s">
        <v>49</v>
      </c>
      <c r="C19" s="4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51">
        <f t="shared" si="4"/>
        <v>0</v>
      </c>
      <c r="AI19" s="37">
        <f>'Budget 2016'!C17</f>
        <v>90</v>
      </c>
      <c r="AJ19" s="46">
        <f t="shared" si="3"/>
        <v>90</v>
      </c>
    </row>
    <row r="20" spans="1:36" x14ac:dyDescent="0.3">
      <c r="A20" s="36"/>
      <c r="B20" s="2" t="s">
        <v>48</v>
      </c>
      <c r="C20" s="4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>
        <f>2*19.75</f>
        <v>39.5</v>
      </c>
      <c r="AG20" s="2"/>
      <c r="AH20" s="51">
        <f t="shared" si="4"/>
        <v>39.5</v>
      </c>
      <c r="AI20" s="37">
        <f>'Budget 2016'!C18</f>
        <v>667.25</v>
      </c>
      <c r="AJ20" s="46">
        <f t="shared" si="3"/>
        <v>627.75</v>
      </c>
    </row>
    <row r="21" spans="1:36" ht="15" x14ac:dyDescent="0.25">
      <c r="A21" s="36"/>
      <c r="B21" s="2" t="s">
        <v>5</v>
      </c>
      <c r="C21" s="4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51">
        <f t="shared" si="4"/>
        <v>0</v>
      </c>
      <c r="AI21" s="37">
        <f>'Budget 2016'!C19</f>
        <v>10</v>
      </c>
      <c r="AJ21" s="46">
        <f t="shared" si="3"/>
        <v>10</v>
      </c>
    </row>
    <row r="22" spans="1:36" x14ac:dyDescent="0.3">
      <c r="A22" s="36"/>
      <c r="B22" s="2" t="s">
        <v>4</v>
      </c>
      <c r="C22" s="4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51">
        <f t="shared" si="4"/>
        <v>0</v>
      </c>
      <c r="AI22" s="37">
        <f>'Budget 2016'!C20</f>
        <v>130</v>
      </c>
      <c r="AJ22" s="46">
        <f t="shared" si="3"/>
        <v>130</v>
      </c>
    </row>
    <row r="23" spans="1:36" ht="15" x14ac:dyDescent="0.25">
      <c r="A23" s="36"/>
      <c r="B23" s="2" t="s">
        <v>7</v>
      </c>
      <c r="C23" s="4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V23" s="2"/>
      <c r="W23" s="2"/>
      <c r="X23" s="2"/>
      <c r="Y23" s="2"/>
      <c r="Z23" s="2"/>
      <c r="AA23" s="2">
        <v>45</v>
      </c>
      <c r="AB23" s="2">
        <v>45</v>
      </c>
      <c r="AC23" s="2">
        <v>45</v>
      </c>
      <c r="AD23" s="2">
        <v>35</v>
      </c>
      <c r="AE23" s="2">
        <v>53</v>
      </c>
      <c r="AF23" s="2">
        <v>35</v>
      </c>
      <c r="AG23" s="2"/>
      <c r="AH23" s="51">
        <f t="shared" si="4"/>
        <v>258</v>
      </c>
      <c r="AI23" s="37">
        <f>'Budget 2016'!C21</f>
        <v>1170</v>
      </c>
      <c r="AJ23" s="46">
        <f t="shared" si="3"/>
        <v>912</v>
      </c>
    </row>
    <row r="24" spans="1:36" x14ac:dyDescent="0.3">
      <c r="A24" s="36"/>
      <c r="B24" s="2" t="s">
        <v>24</v>
      </c>
      <c r="C24" s="4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51">
        <f t="shared" si="4"/>
        <v>0</v>
      </c>
      <c r="AI24" s="37">
        <f>'Budget 2016'!C22</f>
        <v>170</v>
      </c>
      <c r="AJ24" s="46">
        <f t="shared" si="3"/>
        <v>170</v>
      </c>
    </row>
    <row r="25" spans="1:36" ht="15" x14ac:dyDescent="0.25">
      <c r="A25" s="36"/>
      <c r="B25" s="2" t="s">
        <v>23</v>
      </c>
      <c r="C25" s="4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51">
        <f t="shared" si="4"/>
        <v>0</v>
      </c>
      <c r="AI25" s="37">
        <f>'Budget 2016'!C23</f>
        <v>40</v>
      </c>
      <c r="AJ25" s="46">
        <f t="shared" si="3"/>
        <v>40</v>
      </c>
    </row>
    <row r="26" spans="1:36" ht="15" x14ac:dyDescent="0.25">
      <c r="A26" s="36"/>
      <c r="B26" s="2" t="s">
        <v>11</v>
      </c>
      <c r="C26" s="4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51">
        <f t="shared" si="4"/>
        <v>0</v>
      </c>
      <c r="AI26" s="37">
        <f>'Budget 2016'!C24</f>
        <v>450</v>
      </c>
      <c r="AJ26" s="46">
        <f t="shared" si="3"/>
        <v>450</v>
      </c>
    </row>
    <row r="27" spans="1:36" ht="15" x14ac:dyDescent="0.25">
      <c r="A27" s="36"/>
      <c r="B27" s="2" t="s">
        <v>50</v>
      </c>
      <c r="C27" s="4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V27" s="2"/>
      <c r="W27" s="2"/>
      <c r="X27" s="2"/>
      <c r="Y27" s="2"/>
      <c r="Z27" s="2"/>
      <c r="AA27" s="2">
        <v>13.8</v>
      </c>
      <c r="AB27" s="2">
        <v>13.5</v>
      </c>
      <c r="AC27" s="2">
        <v>19.149999999999999</v>
      </c>
      <c r="AD27" s="2">
        <v>20</v>
      </c>
      <c r="AE27" s="2">
        <v>17</v>
      </c>
      <c r="AF27" s="2">
        <v>15</v>
      </c>
      <c r="AG27" s="2"/>
      <c r="AH27" s="51">
        <f t="shared" si="4"/>
        <v>98.45</v>
      </c>
      <c r="AI27" s="37">
        <f>'Budget 2016'!C25</f>
        <v>600</v>
      </c>
      <c r="AJ27" s="46">
        <f t="shared" si="3"/>
        <v>501.55</v>
      </c>
    </row>
    <row r="28" spans="1:36" ht="15" x14ac:dyDescent="0.25">
      <c r="A28" s="36"/>
      <c r="B28" s="2" t="s">
        <v>32</v>
      </c>
      <c r="C28" s="4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V28" s="2"/>
      <c r="W28" s="2"/>
      <c r="X28" s="2"/>
      <c r="Y28" s="2"/>
      <c r="Z28" s="2"/>
      <c r="AA28" s="2">
        <v>20</v>
      </c>
      <c r="AB28" s="2">
        <v>20</v>
      </c>
      <c r="AC28" s="2">
        <v>20</v>
      </c>
      <c r="AD28" s="2">
        <v>20</v>
      </c>
      <c r="AE28" s="2">
        <v>20</v>
      </c>
      <c r="AF28" s="2">
        <v>20</v>
      </c>
      <c r="AG28" s="2"/>
      <c r="AH28" s="51">
        <f t="shared" si="4"/>
        <v>120</v>
      </c>
      <c r="AI28" s="37">
        <f>'Budget 2016'!C26</f>
        <v>520</v>
      </c>
      <c r="AJ28" s="46">
        <f t="shared" si="3"/>
        <v>400</v>
      </c>
    </row>
    <row r="29" spans="1:36" ht="15" x14ac:dyDescent="0.25">
      <c r="A29" s="36"/>
      <c r="B29" s="31" t="s">
        <v>19</v>
      </c>
      <c r="C29" s="4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V29" s="2"/>
      <c r="W29" s="2"/>
      <c r="X29" s="2"/>
      <c r="Y29" s="2"/>
      <c r="Z29" s="2"/>
      <c r="AA29" s="2">
        <v>5</v>
      </c>
      <c r="AB29" s="2">
        <v>5</v>
      </c>
      <c r="AC29" s="2">
        <v>5</v>
      </c>
      <c r="AD29" s="2">
        <v>5</v>
      </c>
      <c r="AE29" s="2">
        <v>5</v>
      </c>
      <c r="AF29" s="2">
        <v>5</v>
      </c>
      <c r="AG29" s="2"/>
      <c r="AH29" s="51">
        <f>SUM(C29:AG29)</f>
        <v>30</v>
      </c>
      <c r="AI29" s="37">
        <f>'Budget 2016'!C28</f>
        <v>23.833333333333332</v>
      </c>
      <c r="AJ29" s="46">
        <f>AI29-AH29</f>
        <v>-6.1666666666666679</v>
      </c>
    </row>
    <row r="30" spans="1:36" ht="15" x14ac:dyDescent="0.25">
      <c r="A30" s="36"/>
      <c r="B30" s="2" t="s">
        <v>69</v>
      </c>
      <c r="C30" s="4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57"/>
      <c r="V30" s="2"/>
      <c r="W30" s="2"/>
      <c r="X30" s="2"/>
      <c r="Y30" s="2"/>
      <c r="Z30" s="2"/>
      <c r="AA30" s="2">
        <v>37</v>
      </c>
      <c r="AB30" s="2">
        <v>36</v>
      </c>
      <c r="AC30" s="2">
        <v>17</v>
      </c>
      <c r="AD30" s="2"/>
      <c r="AE30" s="2"/>
      <c r="AF30" s="2">
        <v>16</v>
      </c>
      <c r="AG30" s="2"/>
      <c r="AH30" s="51">
        <f>SUM(C30:AG30)</f>
        <v>106</v>
      </c>
      <c r="AI30" s="37">
        <v>0</v>
      </c>
      <c r="AJ30" s="46">
        <f>AI30-AH30</f>
        <v>-106</v>
      </c>
    </row>
    <row r="31" spans="1:36" x14ac:dyDescent="0.3">
      <c r="A31" s="36"/>
      <c r="B31" s="2" t="s">
        <v>71</v>
      </c>
      <c r="C31" s="4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V31" s="2"/>
      <c r="W31" s="2"/>
      <c r="X31" s="2"/>
      <c r="Y31" s="2"/>
      <c r="Z31" s="2"/>
      <c r="AA31" s="2"/>
      <c r="AB31" s="2"/>
      <c r="AC31" s="2"/>
      <c r="AD31" s="2">
        <v>96</v>
      </c>
      <c r="AE31" s="2"/>
      <c r="AF31" s="2">
        <v>60</v>
      </c>
      <c r="AG31" s="2"/>
      <c r="AH31" s="51">
        <f>SUM(C31:AG31)</f>
        <v>156</v>
      </c>
      <c r="AI31" s="37">
        <v>0</v>
      </c>
      <c r="AJ31" s="46">
        <f>AI31-AH31</f>
        <v>-156</v>
      </c>
    </row>
    <row r="32" spans="1:36" ht="15" x14ac:dyDescent="0.25">
      <c r="A32" s="36"/>
      <c r="B32" s="2" t="s">
        <v>102</v>
      </c>
      <c r="C32" s="4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51">
        <f t="shared" ref="AH32:AH35" si="5">SUM(C32:AG32)</f>
        <v>0</v>
      </c>
      <c r="AI32" s="37">
        <v>0</v>
      </c>
      <c r="AJ32" s="46">
        <f t="shared" ref="AJ32:AJ35" si="6">AI32-AH32</f>
        <v>0</v>
      </c>
    </row>
    <row r="33" spans="1:39" ht="15" x14ac:dyDescent="0.25">
      <c r="A33" s="36"/>
      <c r="B33" s="2" t="s">
        <v>103</v>
      </c>
      <c r="C33" s="4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51">
        <f t="shared" si="5"/>
        <v>0</v>
      </c>
      <c r="AI33" s="37">
        <v>0</v>
      </c>
      <c r="AJ33" s="46">
        <f t="shared" si="6"/>
        <v>0</v>
      </c>
    </row>
    <row r="34" spans="1:39" ht="15" x14ac:dyDescent="0.25">
      <c r="A34" s="36"/>
      <c r="B34" s="2" t="s">
        <v>105</v>
      </c>
      <c r="C34" s="4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51">
        <f t="shared" si="5"/>
        <v>0</v>
      </c>
      <c r="AI34" s="37">
        <v>0</v>
      </c>
      <c r="AJ34" s="46">
        <f t="shared" si="6"/>
        <v>0</v>
      </c>
    </row>
    <row r="35" spans="1:39" x14ac:dyDescent="0.3">
      <c r="A35" s="36"/>
      <c r="B35" s="2" t="s">
        <v>104</v>
      </c>
      <c r="C35" s="4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51">
        <f t="shared" si="5"/>
        <v>0</v>
      </c>
      <c r="AI35" s="37">
        <v>0</v>
      </c>
      <c r="AJ35" s="46">
        <f t="shared" si="6"/>
        <v>0</v>
      </c>
    </row>
    <row r="36" spans="1:39" ht="15" x14ac:dyDescent="0.25">
      <c r="A36" s="36"/>
      <c r="B36" s="2" t="s">
        <v>70</v>
      </c>
      <c r="C36" s="4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51">
        <f t="shared" si="4"/>
        <v>0</v>
      </c>
      <c r="AI36" s="37">
        <v>0</v>
      </c>
      <c r="AJ36" s="46">
        <f t="shared" si="3"/>
        <v>0</v>
      </c>
    </row>
    <row r="37" spans="1:39" ht="15" x14ac:dyDescent="0.25">
      <c r="A37" s="36"/>
      <c r="B37" s="2" t="s">
        <v>6</v>
      </c>
      <c r="C37" s="4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51">
        <f t="shared" si="4"/>
        <v>0</v>
      </c>
      <c r="AI37" s="37">
        <f>'Budget 2016'!C27</f>
        <v>6</v>
      </c>
      <c r="AJ37" s="46">
        <f t="shared" si="3"/>
        <v>6</v>
      </c>
    </row>
    <row r="38" spans="1:39" ht="15" x14ac:dyDescent="0.25">
      <c r="A38" s="36"/>
      <c r="B38" s="2" t="s">
        <v>70</v>
      </c>
      <c r="C38" s="4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51">
        <f t="shared" si="4"/>
        <v>0</v>
      </c>
      <c r="AI38" s="37">
        <v>1</v>
      </c>
      <c r="AJ38" s="46">
        <f t="shared" si="3"/>
        <v>1</v>
      </c>
    </row>
    <row r="39" spans="1:39" ht="15" x14ac:dyDescent="0.25">
      <c r="B39" s="20" t="s">
        <v>68</v>
      </c>
      <c r="C39" s="50">
        <f t="shared" ref="C39:AG39" si="7">SUM(C16:C37)</f>
        <v>0</v>
      </c>
      <c r="D39" s="50">
        <f t="shared" si="7"/>
        <v>0</v>
      </c>
      <c r="E39" s="50">
        <f t="shared" si="7"/>
        <v>0</v>
      </c>
      <c r="F39" s="50">
        <f t="shared" si="7"/>
        <v>0</v>
      </c>
      <c r="G39" s="50">
        <f t="shared" si="7"/>
        <v>0</v>
      </c>
      <c r="H39" s="50">
        <f t="shared" si="7"/>
        <v>0</v>
      </c>
      <c r="I39" s="50">
        <f t="shared" si="7"/>
        <v>0</v>
      </c>
      <c r="J39" s="50">
        <f t="shared" si="7"/>
        <v>0</v>
      </c>
      <c r="K39" s="50">
        <f t="shared" si="7"/>
        <v>0</v>
      </c>
      <c r="L39" s="50">
        <f t="shared" si="7"/>
        <v>0</v>
      </c>
      <c r="M39" s="50">
        <f t="shared" si="7"/>
        <v>0</v>
      </c>
      <c r="N39" s="50">
        <f t="shared" si="7"/>
        <v>0</v>
      </c>
      <c r="O39" s="50">
        <f t="shared" si="7"/>
        <v>0</v>
      </c>
      <c r="P39" s="50">
        <f t="shared" si="7"/>
        <v>0</v>
      </c>
      <c r="Q39" s="50">
        <f t="shared" si="7"/>
        <v>0</v>
      </c>
      <c r="R39" s="50">
        <f t="shared" si="7"/>
        <v>0</v>
      </c>
      <c r="S39" s="50">
        <f t="shared" si="7"/>
        <v>0</v>
      </c>
      <c r="T39" s="50">
        <f t="shared" si="7"/>
        <v>0</v>
      </c>
      <c r="U39" s="50">
        <f t="shared" si="7"/>
        <v>0</v>
      </c>
      <c r="V39" s="50">
        <f t="shared" si="7"/>
        <v>0</v>
      </c>
      <c r="W39" s="50">
        <f t="shared" si="7"/>
        <v>0</v>
      </c>
      <c r="X39" s="50">
        <f t="shared" si="7"/>
        <v>0</v>
      </c>
      <c r="Y39" s="50">
        <f t="shared" si="7"/>
        <v>0</v>
      </c>
      <c r="Z39" s="50">
        <f t="shared" si="7"/>
        <v>0</v>
      </c>
      <c r="AA39" s="50">
        <f t="shared" si="7"/>
        <v>120.8</v>
      </c>
      <c r="AB39" s="50">
        <f t="shared" si="7"/>
        <v>119.5</v>
      </c>
      <c r="AC39" s="50">
        <f t="shared" si="7"/>
        <v>106.15</v>
      </c>
      <c r="AD39" s="50">
        <f t="shared" si="7"/>
        <v>214</v>
      </c>
      <c r="AE39" s="50">
        <f t="shared" si="7"/>
        <v>95</v>
      </c>
      <c r="AF39" s="50">
        <f t="shared" si="7"/>
        <v>190.5</v>
      </c>
      <c r="AG39" s="50">
        <f t="shared" si="7"/>
        <v>0</v>
      </c>
      <c r="AH39" s="51">
        <f>SUM(C39:AG39)</f>
        <v>845.95</v>
      </c>
      <c r="AI39" s="37">
        <f>SUM(AI16:AI37)</f>
        <v>4084.0833333333335</v>
      </c>
      <c r="AJ39" s="46">
        <f t="shared" si="3"/>
        <v>3238.1333333333332</v>
      </c>
    </row>
    <row r="40" spans="1:39" x14ac:dyDescent="0.3">
      <c r="B40" s="44" t="s">
        <v>63</v>
      </c>
      <c r="C40" s="40">
        <f t="shared" ref="C40:AJ40" si="8">C14+C39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40">
        <f t="shared" si="8"/>
        <v>0</v>
      </c>
      <c r="Z40" s="40">
        <f t="shared" si="8"/>
        <v>0</v>
      </c>
      <c r="AA40" s="40">
        <f t="shared" si="8"/>
        <v>215.8</v>
      </c>
      <c r="AB40" s="40">
        <f t="shared" si="8"/>
        <v>214.5</v>
      </c>
      <c r="AC40" s="40">
        <f t="shared" si="8"/>
        <v>201.15</v>
      </c>
      <c r="AD40" s="40">
        <f t="shared" si="8"/>
        <v>309</v>
      </c>
      <c r="AE40" s="40">
        <f t="shared" si="8"/>
        <v>160</v>
      </c>
      <c r="AF40" s="40">
        <f t="shared" si="8"/>
        <v>255.5</v>
      </c>
      <c r="AG40" s="40">
        <f t="shared" si="8"/>
        <v>0</v>
      </c>
      <c r="AH40" s="40">
        <f t="shared" si="8"/>
        <v>1355.95</v>
      </c>
      <c r="AI40" s="40">
        <f t="shared" si="8"/>
        <v>8539.0833333333339</v>
      </c>
      <c r="AJ40" s="40">
        <f t="shared" si="8"/>
        <v>7183.1333333333332</v>
      </c>
    </row>
    <row r="43" spans="1:39" x14ac:dyDescent="0.3">
      <c r="A43" s="2" t="s">
        <v>87</v>
      </c>
      <c r="B43" s="81" t="s">
        <v>72</v>
      </c>
      <c r="C43" s="53">
        <f>C5</f>
        <v>42522</v>
      </c>
      <c r="D43" s="53">
        <f t="shared" ref="D43:AF43" si="9">D5</f>
        <v>42523</v>
      </c>
      <c r="E43" s="53">
        <f t="shared" si="9"/>
        <v>42524</v>
      </c>
      <c r="F43" s="53">
        <f t="shared" si="9"/>
        <v>42525</v>
      </c>
      <c r="G43" s="53">
        <f t="shared" si="9"/>
        <v>42526</v>
      </c>
      <c r="H43" s="53">
        <f t="shared" si="9"/>
        <v>42527</v>
      </c>
      <c r="I43" s="53">
        <f t="shared" si="9"/>
        <v>42528</v>
      </c>
      <c r="J43" s="53">
        <f t="shared" si="9"/>
        <v>42529</v>
      </c>
      <c r="K43" s="53">
        <f t="shared" si="9"/>
        <v>42530</v>
      </c>
      <c r="L43" s="53">
        <f t="shared" si="9"/>
        <v>42531</v>
      </c>
      <c r="M43" s="53">
        <f t="shared" si="9"/>
        <v>42532</v>
      </c>
      <c r="N43" s="53">
        <f t="shared" si="9"/>
        <v>42533</v>
      </c>
      <c r="O43" s="53">
        <f t="shared" si="9"/>
        <v>42534</v>
      </c>
      <c r="P43" s="53">
        <f t="shared" si="9"/>
        <v>42535</v>
      </c>
      <c r="Q43" s="53">
        <f t="shared" si="9"/>
        <v>42536</v>
      </c>
      <c r="R43" s="53">
        <f t="shared" si="9"/>
        <v>42537</v>
      </c>
      <c r="S43" s="53">
        <f t="shared" si="9"/>
        <v>42538</v>
      </c>
      <c r="T43" s="53">
        <f t="shared" si="9"/>
        <v>42539</v>
      </c>
      <c r="U43" s="53">
        <f t="shared" si="9"/>
        <v>42540</v>
      </c>
      <c r="V43" s="53">
        <f t="shared" si="9"/>
        <v>42541</v>
      </c>
      <c r="W43" s="53">
        <f t="shared" si="9"/>
        <v>42542</v>
      </c>
      <c r="X43" s="53">
        <f t="shared" si="9"/>
        <v>42543</v>
      </c>
      <c r="Y43" s="53">
        <f t="shared" si="9"/>
        <v>42544</v>
      </c>
      <c r="Z43" s="53">
        <f t="shared" si="9"/>
        <v>42545</v>
      </c>
      <c r="AA43" s="53">
        <f t="shared" si="9"/>
        <v>42546</v>
      </c>
      <c r="AB43" s="53">
        <f t="shared" si="9"/>
        <v>42547</v>
      </c>
      <c r="AC43" s="53">
        <f t="shared" si="9"/>
        <v>42548</v>
      </c>
      <c r="AD43" s="53">
        <f t="shared" si="9"/>
        <v>42549</v>
      </c>
      <c r="AE43" s="53">
        <f t="shared" si="9"/>
        <v>42550</v>
      </c>
      <c r="AF43" s="53">
        <f t="shared" si="9"/>
        <v>42551</v>
      </c>
      <c r="AG43" s="53"/>
      <c r="AH43" s="43" t="s">
        <v>64</v>
      </c>
      <c r="AI43" s="65" t="s">
        <v>93</v>
      </c>
      <c r="AJ43" s="65" t="s">
        <v>94</v>
      </c>
      <c r="AK43" s="65" t="s">
        <v>95</v>
      </c>
      <c r="AM43" s="69" t="s">
        <v>97</v>
      </c>
    </row>
    <row r="44" spans="1:39" x14ac:dyDescent="0.3">
      <c r="A44" s="128" t="s">
        <v>73</v>
      </c>
      <c r="B44" s="3" t="s">
        <v>9</v>
      </c>
      <c r="C44" s="4"/>
      <c r="D44" s="2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55">
        <f>SUM(C44:AG44)</f>
        <v>0</v>
      </c>
      <c r="AI44" s="63">
        <f>AH44/200</f>
        <v>0</v>
      </c>
      <c r="AJ44" s="7">
        <v>5</v>
      </c>
      <c r="AK44" s="4" t="str">
        <f t="shared" ref="AK44:AK48" si="10">IF(AH44=0,"0",(AH44/AI44)/AJ44)</f>
        <v>0</v>
      </c>
      <c r="AM44" s="60">
        <f>AI44*AJ44</f>
        <v>0</v>
      </c>
    </row>
    <row r="45" spans="1:39" x14ac:dyDescent="0.3">
      <c r="A45" s="129"/>
      <c r="B45" s="3" t="s">
        <v>8</v>
      </c>
      <c r="C45" s="4"/>
      <c r="D45" s="2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55">
        <f t="shared" ref="AH45:AH49" si="11">SUM(C45:AG45)</f>
        <v>0</v>
      </c>
      <c r="AI45" s="63">
        <f>AH45/300</f>
        <v>0</v>
      </c>
      <c r="AJ45" s="7">
        <v>4</v>
      </c>
      <c r="AK45" s="4" t="str">
        <f t="shared" si="10"/>
        <v>0</v>
      </c>
      <c r="AM45" s="60">
        <f t="shared" ref="AM45:AM48" si="12">AI45*AJ45</f>
        <v>0</v>
      </c>
    </row>
    <row r="46" spans="1:39" x14ac:dyDescent="0.3">
      <c r="A46" s="129"/>
      <c r="B46" s="3" t="s">
        <v>22</v>
      </c>
      <c r="C46" s="4"/>
      <c r="D46" s="2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55">
        <f>SUM(C46:AG46)</f>
        <v>0</v>
      </c>
      <c r="AI46" s="63">
        <f>AH46/55</f>
        <v>0</v>
      </c>
      <c r="AJ46" s="7">
        <v>2</v>
      </c>
      <c r="AK46" s="4" t="str">
        <f>IF(AH46=0,"0",(AH46/AI46)/AJ46)</f>
        <v>0</v>
      </c>
      <c r="AM46" s="60">
        <f>AI46*AJ46</f>
        <v>0</v>
      </c>
    </row>
    <row r="47" spans="1:39" x14ac:dyDescent="0.3">
      <c r="A47" s="129"/>
      <c r="B47" s="3" t="s">
        <v>21</v>
      </c>
      <c r="C47" s="4"/>
      <c r="D47" s="2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55">
        <f t="shared" si="11"/>
        <v>0</v>
      </c>
      <c r="AI47" s="63">
        <f>AH47/70</f>
        <v>0</v>
      </c>
      <c r="AJ47" s="7">
        <v>1</v>
      </c>
      <c r="AK47" s="4" t="str">
        <f t="shared" si="10"/>
        <v>0</v>
      </c>
      <c r="AM47" s="60">
        <f t="shared" si="12"/>
        <v>0</v>
      </c>
    </row>
    <row r="48" spans="1:39" x14ac:dyDescent="0.3">
      <c r="A48" s="129"/>
      <c r="B48" s="3" t="s">
        <v>14</v>
      </c>
      <c r="C48" s="4"/>
      <c r="D48" s="2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55">
        <f t="shared" si="11"/>
        <v>0</v>
      </c>
      <c r="AI48" s="63">
        <v>0</v>
      </c>
      <c r="AJ48" s="7">
        <v>1</v>
      </c>
      <c r="AK48" s="4" t="str">
        <f t="shared" si="10"/>
        <v>0</v>
      </c>
      <c r="AM48" s="60">
        <f t="shared" si="12"/>
        <v>0</v>
      </c>
    </row>
    <row r="49" spans="1:39" x14ac:dyDescent="0.3">
      <c r="A49" s="130"/>
      <c r="B49" s="3" t="s">
        <v>56</v>
      </c>
      <c r="C49" s="4"/>
      <c r="D49" s="28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>
        <f>2*265</f>
        <v>530</v>
      </c>
      <c r="AB49" s="2"/>
      <c r="AC49" s="2">
        <f>4*265</f>
        <v>1060</v>
      </c>
      <c r="AD49" s="74"/>
      <c r="AE49" s="74"/>
      <c r="AF49" s="74">
        <v>265</v>
      </c>
      <c r="AG49" s="74"/>
      <c r="AH49" s="55">
        <f t="shared" si="11"/>
        <v>1855</v>
      </c>
      <c r="AI49" s="63">
        <f>AH49/300</f>
        <v>6.1833333333333336</v>
      </c>
      <c r="AJ49" s="7">
        <v>9</v>
      </c>
      <c r="AK49" s="4">
        <f>IF(AH49=0,"0",(AH49/AI49)/AJ49)</f>
        <v>33.333333333333336</v>
      </c>
      <c r="AM49" s="60">
        <f>AI49*AJ49</f>
        <v>55.650000000000006</v>
      </c>
    </row>
    <row r="50" spans="1:39" ht="15" x14ac:dyDescent="0.25">
      <c r="B50" s="20" t="s">
        <v>76</v>
      </c>
      <c r="C50" s="50">
        <f>SUM(C44:C49)</f>
        <v>0</v>
      </c>
      <c r="D50" s="50">
        <f t="shared" ref="D50:AG50" si="13">SUM(D44:D49)</f>
        <v>0</v>
      </c>
      <c r="E50" s="50">
        <f t="shared" si="13"/>
        <v>0</v>
      </c>
      <c r="F50" s="50">
        <f t="shared" si="13"/>
        <v>0</v>
      </c>
      <c r="G50" s="50">
        <f t="shared" si="13"/>
        <v>0</v>
      </c>
      <c r="H50" s="50">
        <f t="shared" si="13"/>
        <v>0</v>
      </c>
      <c r="I50" s="50">
        <f t="shared" si="13"/>
        <v>0</v>
      </c>
      <c r="J50" s="50">
        <f t="shared" si="13"/>
        <v>0</v>
      </c>
      <c r="K50" s="50">
        <f t="shared" si="13"/>
        <v>0</v>
      </c>
      <c r="L50" s="50">
        <f t="shared" si="13"/>
        <v>0</v>
      </c>
      <c r="M50" s="50">
        <f t="shared" si="13"/>
        <v>0</v>
      </c>
      <c r="N50" s="50">
        <f t="shared" si="13"/>
        <v>0</v>
      </c>
      <c r="O50" s="50">
        <f t="shared" si="13"/>
        <v>0</v>
      </c>
      <c r="P50" s="50">
        <f t="shared" si="13"/>
        <v>0</v>
      </c>
      <c r="Q50" s="50">
        <f t="shared" si="13"/>
        <v>0</v>
      </c>
      <c r="R50" s="50">
        <f t="shared" si="13"/>
        <v>0</v>
      </c>
      <c r="S50" s="50">
        <f t="shared" si="13"/>
        <v>0</v>
      </c>
      <c r="T50" s="50">
        <f t="shared" si="13"/>
        <v>0</v>
      </c>
      <c r="U50" s="50">
        <f t="shared" si="13"/>
        <v>0</v>
      </c>
      <c r="V50" s="50">
        <f t="shared" si="13"/>
        <v>0</v>
      </c>
      <c r="W50" s="50">
        <f t="shared" si="13"/>
        <v>0</v>
      </c>
      <c r="X50" s="50">
        <f t="shared" si="13"/>
        <v>0</v>
      </c>
      <c r="Y50" s="50">
        <f t="shared" si="13"/>
        <v>0</v>
      </c>
      <c r="Z50" s="50">
        <f t="shared" si="13"/>
        <v>0</v>
      </c>
      <c r="AA50" s="50">
        <f t="shared" si="13"/>
        <v>530</v>
      </c>
      <c r="AB50" s="50">
        <f t="shared" si="13"/>
        <v>0</v>
      </c>
      <c r="AC50" s="50">
        <f t="shared" si="13"/>
        <v>1060</v>
      </c>
      <c r="AD50" s="50">
        <f t="shared" si="13"/>
        <v>0</v>
      </c>
      <c r="AE50" s="50">
        <f t="shared" si="13"/>
        <v>0</v>
      </c>
      <c r="AF50" s="50">
        <f t="shared" si="13"/>
        <v>265</v>
      </c>
      <c r="AG50" s="50">
        <f t="shared" si="13"/>
        <v>0</v>
      </c>
      <c r="AH50" s="51">
        <f>SUM(C50:AG50)</f>
        <v>1855</v>
      </c>
      <c r="AI50" s="64">
        <f>SUM(AI44:AI49)</f>
        <v>6.1833333333333336</v>
      </c>
      <c r="AJ50" s="66"/>
      <c r="AK50" s="64">
        <f>(AVERAGE(AK44:AK49))</f>
        <v>33.333333333333336</v>
      </c>
      <c r="AL50" s="71" t="s">
        <v>96</v>
      </c>
      <c r="AM50" s="70">
        <f>SUM(AM44:AM49)</f>
        <v>55.650000000000006</v>
      </c>
    </row>
    <row r="51" spans="1:39" x14ac:dyDescent="0.3">
      <c r="A51" s="2" t="s">
        <v>87</v>
      </c>
      <c r="B51" s="81" t="s">
        <v>72</v>
      </c>
      <c r="C51" s="53">
        <f>C43</f>
        <v>42522</v>
      </c>
      <c r="D51" s="53">
        <f t="shared" ref="D51:AF51" si="14">D43</f>
        <v>42523</v>
      </c>
      <c r="E51" s="53">
        <f t="shared" si="14"/>
        <v>42524</v>
      </c>
      <c r="F51" s="53">
        <f t="shared" si="14"/>
        <v>42525</v>
      </c>
      <c r="G51" s="53">
        <f t="shared" si="14"/>
        <v>42526</v>
      </c>
      <c r="H51" s="53">
        <f t="shared" si="14"/>
        <v>42527</v>
      </c>
      <c r="I51" s="53">
        <f t="shared" si="14"/>
        <v>42528</v>
      </c>
      <c r="J51" s="53">
        <f t="shared" si="14"/>
        <v>42529</v>
      </c>
      <c r="K51" s="53">
        <f t="shared" si="14"/>
        <v>42530</v>
      </c>
      <c r="L51" s="53">
        <f t="shared" si="14"/>
        <v>42531</v>
      </c>
      <c r="M51" s="53">
        <f t="shared" si="14"/>
        <v>42532</v>
      </c>
      <c r="N51" s="53">
        <f t="shared" si="14"/>
        <v>42533</v>
      </c>
      <c r="O51" s="53">
        <f t="shared" si="14"/>
        <v>42534</v>
      </c>
      <c r="P51" s="53">
        <f t="shared" si="14"/>
        <v>42535</v>
      </c>
      <c r="Q51" s="53">
        <f t="shared" si="14"/>
        <v>42536</v>
      </c>
      <c r="R51" s="53">
        <f t="shared" si="14"/>
        <v>42537</v>
      </c>
      <c r="S51" s="53">
        <f t="shared" si="14"/>
        <v>42538</v>
      </c>
      <c r="T51" s="53">
        <f t="shared" si="14"/>
        <v>42539</v>
      </c>
      <c r="U51" s="53">
        <f t="shared" si="14"/>
        <v>42540</v>
      </c>
      <c r="V51" s="53">
        <f t="shared" si="14"/>
        <v>42541</v>
      </c>
      <c r="W51" s="53">
        <f t="shared" si="14"/>
        <v>42542</v>
      </c>
      <c r="X51" s="53">
        <f t="shared" si="14"/>
        <v>42543</v>
      </c>
      <c r="Y51" s="53">
        <f t="shared" si="14"/>
        <v>42544</v>
      </c>
      <c r="Z51" s="53">
        <f t="shared" si="14"/>
        <v>42545</v>
      </c>
      <c r="AA51" s="53">
        <f t="shared" si="14"/>
        <v>42546</v>
      </c>
      <c r="AB51" s="53">
        <f t="shared" si="14"/>
        <v>42547</v>
      </c>
      <c r="AC51" s="53">
        <f t="shared" si="14"/>
        <v>42548</v>
      </c>
      <c r="AD51" s="53">
        <f t="shared" si="14"/>
        <v>42549</v>
      </c>
      <c r="AE51" s="53">
        <f t="shared" si="14"/>
        <v>42550</v>
      </c>
      <c r="AF51" s="53">
        <f t="shared" si="14"/>
        <v>42551</v>
      </c>
      <c r="AG51" s="53"/>
      <c r="AH51" s="43" t="s">
        <v>64</v>
      </c>
      <c r="AI51" s="65" t="s">
        <v>93</v>
      </c>
      <c r="AJ51" s="65" t="s">
        <v>94</v>
      </c>
      <c r="AK51" s="65" t="s">
        <v>95</v>
      </c>
      <c r="AM51" s="69" t="s">
        <v>97</v>
      </c>
    </row>
    <row r="52" spans="1:39" x14ac:dyDescent="0.3">
      <c r="A52" s="128" t="s">
        <v>74</v>
      </c>
      <c r="B52" s="3" t="s">
        <v>9</v>
      </c>
      <c r="C52" s="4"/>
      <c r="D52" s="2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55">
        <f>SUM(C52:AG52)</f>
        <v>0</v>
      </c>
      <c r="AI52" s="63">
        <f>AH52/200</f>
        <v>0</v>
      </c>
      <c r="AJ52" s="7">
        <v>5</v>
      </c>
      <c r="AK52" s="4" t="str">
        <f t="shared" ref="AK52:AK56" si="15">IF(AH52=0,"0",(AH52/AI52)/AJ52)</f>
        <v>0</v>
      </c>
      <c r="AM52" s="60">
        <f>AI52*AJ52</f>
        <v>0</v>
      </c>
    </row>
    <row r="53" spans="1:39" x14ac:dyDescent="0.3">
      <c r="A53" s="129"/>
      <c r="B53" s="3" t="s">
        <v>8</v>
      </c>
      <c r="C53" s="4"/>
      <c r="D53" s="28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55">
        <f t="shared" ref="AH53:AH57" si="16">SUM(C53:AG53)</f>
        <v>0</v>
      </c>
      <c r="AI53" s="63">
        <f>AH53/300</f>
        <v>0</v>
      </c>
      <c r="AJ53" s="7">
        <v>4</v>
      </c>
      <c r="AK53" s="4" t="str">
        <f t="shared" si="15"/>
        <v>0</v>
      </c>
      <c r="AM53" s="60">
        <f t="shared" ref="AM53:AM57" si="17">AI53*AJ53</f>
        <v>0</v>
      </c>
    </row>
    <row r="54" spans="1:39" x14ac:dyDescent="0.3">
      <c r="A54" s="129"/>
      <c r="B54" s="3" t="s">
        <v>22</v>
      </c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55">
        <f>SUM(C54:AG54)</f>
        <v>0</v>
      </c>
      <c r="AI54" s="63">
        <f>AH54/80</f>
        <v>0</v>
      </c>
      <c r="AJ54" s="7">
        <v>2</v>
      </c>
      <c r="AK54" s="4" t="str">
        <f t="shared" si="15"/>
        <v>0</v>
      </c>
      <c r="AM54" s="60">
        <f t="shared" si="17"/>
        <v>0</v>
      </c>
    </row>
    <row r="55" spans="1:39" x14ac:dyDescent="0.3">
      <c r="A55" s="129"/>
      <c r="B55" s="3" t="s">
        <v>21</v>
      </c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55">
        <f t="shared" si="16"/>
        <v>0</v>
      </c>
      <c r="AI55" s="63">
        <f>AH55/70</f>
        <v>0</v>
      </c>
      <c r="AJ55" s="7">
        <v>1</v>
      </c>
      <c r="AK55" s="4" t="str">
        <f t="shared" si="15"/>
        <v>0</v>
      </c>
      <c r="AM55" s="60">
        <f t="shared" si="17"/>
        <v>0</v>
      </c>
    </row>
    <row r="56" spans="1:39" x14ac:dyDescent="0.3">
      <c r="A56" s="129"/>
      <c r="B56" s="3" t="s">
        <v>14</v>
      </c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55">
        <f t="shared" si="16"/>
        <v>0</v>
      </c>
      <c r="AI56" s="63">
        <v>0</v>
      </c>
      <c r="AJ56" s="7">
        <v>1</v>
      </c>
      <c r="AK56" s="4" t="str">
        <f t="shared" si="15"/>
        <v>0</v>
      </c>
      <c r="AM56" s="60">
        <f t="shared" si="17"/>
        <v>0</v>
      </c>
    </row>
    <row r="57" spans="1:39" x14ac:dyDescent="0.3">
      <c r="A57" s="130"/>
      <c r="B57" s="3" t="s">
        <v>56</v>
      </c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55">
        <f t="shared" si="16"/>
        <v>0</v>
      </c>
      <c r="AI57" s="63">
        <f>AH57/450</f>
        <v>0</v>
      </c>
      <c r="AJ57" s="7">
        <v>9</v>
      </c>
      <c r="AK57" s="4" t="str">
        <f>IF(AH57=0,"0",(AH57/AI57)/AJ57)</f>
        <v>0</v>
      </c>
      <c r="AM57" s="60">
        <f t="shared" si="17"/>
        <v>0</v>
      </c>
    </row>
    <row r="58" spans="1:39" ht="15" x14ac:dyDescent="0.25">
      <c r="B58" s="20" t="s">
        <v>76</v>
      </c>
      <c r="C58" s="50">
        <f>SUM(C52:C57)</f>
        <v>0</v>
      </c>
      <c r="D58" s="50">
        <f t="shared" ref="D58:AG58" si="18">SUM(D52:D57)</f>
        <v>0</v>
      </c>
      <c r="E58" s="50">
        <f t="shared" si="18"/>
        <v>0</v>
      </c>
      <c r="F58" s="50">
        <f t="shared" si="18"/>
        <v>0</v>
      </c>
      <c r="G58" s="50">
        <f t="shared" si="18"/>
        <v>0</v>
      </c>
      <c r="H58" s="50">
        <f t="shared" si="18"/>
        <v>0</v>
      </c>
      <c r="I58" s="50">
        <f t="shared" si="18"/>
        <v>0</v>
      </c>
      <c r="J58" s="50">
        <f t="shared" si="18"/>
        <v>0</v>
      </c>
      <c r="K58" s="50">
        <f t="shared" si="18"/>
        <v>0</v>
      </c>
      <c r="L58" s="50">
        <f t="shared" si="18"/>
        <v>0</v>
      </c>
      <c r="M58" s="50">
        <f t="shared" si="18"/>
        <v>0</v>
      </c>
      <c r="N58" s="50">
        <f t="shared" si="18"/>
        <v>0</v>
      </c>
      <c r="O58" s="50">
        <f t="shared" si="18"/>
        <v>0</v>
      </c>
      <c r="P58" s="50">
        <f t="shared" si="18"/>
        <v>0</v>
      </c>
      <c r="Q58" s="50">
        <f t="shared" si="18"/>
        <v>0</v>
      </c>
      <c r="R58" s="50">
        <f t="shared" si="18"/>
        <v>0</v>
      </c>
      <c r="S58" s="50">
        <f t="shared" si="18"/>
        <v>0</v>
      </c>
      <c r="T58" s="50">
        <f t="shared" si="18"/>
        <v>0</v>
      </c>
      <c r="U58" s="50">
        <f t="shared" si="18"/>
        <v>0</v>
      </c>
      <c r="V58" s="50">
        <f t="shared" si="18"/>
        <v>0</v>
      </c>
      <c r="W58" s="50">
        <f t="shared" si="18"/>
        <v>0</v>
      </c>
      <c r="X58" s="50">
        <f t="shared" si="18"/>
        <v>0</v>
      </c>
      <c r="Y58" s="50">
        <f t="shared" si="18"/>
        <v>0</v>
      </c>
      <c r="Z58" s="50">
        <f t="shared" si="18"/>
        <v>0</v>
      </c>
      <c r="AA58" s="50">
        <f t="shared" si="18"/>
        <v>0</v>
      </c>
      <c r="AB58" s="50">
        <f t="shared" si="18"/>
        <v>0</v>
      </c>
      <c r="AC58" s="50">
        <f t="shared" si="18"/>
        <v>0</v>
      </c>
      <c r="AD58" s="50">
        <f t="shared" si="18"/>
        <v>0</v>
      </c>
      <c r="AE58" s="50">
        <f t="shared" si="18"/>
        <v>0</v>
      </c>
      <c r="AF58" s="50">
        <f t="shared" si="18"/>
        <v>0</v>
      </c>
      <c r="AG58" s="50">
        <f t="shared" si="18"/>
        <v>0</v>
      </c>
      <c r="AH58" s="51">
        <f>SUM(C58:AG58)</f>
        <v>0</v>
      </c>
      <c r="AI58" s="65">
        <f>SUM(AI52:AI57)</f>
        <v>0</v>
      </c>
      <c r="AJ58" s="66"/>
      <c r="AK58" s="65" t="str">
        <f>IF(AH58=0,"0",(AVERAGE(AK52:AK57)))</f>
        <v>0</v>
      </c>
      <c r="AL58" s="71" t="s">
        <v>96</v>
      </c>
      <c r="AM58" s="70">
        <f>SUM(AM52:AM57)</f>
        <v>0</v>
      </c>
    </row>
    <row r="59" spans="1:39" x14ac:dyDescent="0.3">
      <c r="A59" s="2" t="s">
        <v>87</v>
      </c>
      <c r="B59" s="81" t="s">
        <v>72</v>
      </c>
      <c r="C59" s="53">
        <f>C43</f>
        <v>42522</v>
      </c>
      <c r="D59" s="53">
        <f t="shared" ref="D59:AG59" si="19">D43</f>
        <v>42523</v>
      </c>
      <c r="E59" s="53">
        <f t="shared" si="19"/>
        <v>42524</v>
      </c>
      <c r="F59" s="53">
        <f t="shared" si="19"/>
        <v>42525</v>
      </c>
      <c r="G59" s="53">
        <f t="shared" si="19"/>
        <v>42526</v>
      </c>
      <c r="H59" s="53">
        <f t="shared" si="19"/>
        <v>42527</v>
      </c>
      <c r="I59" s="53">
        <f t="shared" si="19"/>
        <v>42528</v>
      </c>
      <c r="J59" s="53">
        <f t="shared" si="19"/>
        <v>42529</v>
      </c>
      <c r="K59" s="53">
        <f t="shared" si="19"/>
        <v>42530</v>
      </c>
      <c r="L59" s="53">
        <f t="shared" si="19"/>
        <v>42531</v>
      </c>
      <c r="M59" s="53">
        <f t="shared" si="19"/>
        <v>42532</v>
      </c>
      <c r="N59" s="53">
        <f t="shared" si="19"/>
        <v>42533</v>
      </c>
      <c r="O59" s="53">
        <f t="shared" si="19"/>
        <v>42534</v>
      </c>
      <c r="P59" s="53">
        <f t="shared" si="19"/>
        <v>42535</v>
      </c>
      <c r="Q59" s="53">
        <f t="shared" si="19"/>
        <v>42536</v>
      </c>
      <c r="R59" s="53">
        <f t="shared" si="19"/>
        <v>42537</v>
      </c>
      <c r="S59" s="53">
        <f t="shared" si="19"/>
        <v>42538</v>
      </c>
      <c r="T59" s="53">
        <f t="shared" si="19"/>
        <v>42539</v>
      </c>
      <c r="U59" s="53">
        <f t="shared" si="19"/>
        <v>42540</v>
      </c>
      <c r="V59" s="53">
        <f t="shared" si="19"/>
        <v>42541</v>
      </c>
      <c r="W59" s="53">
        <f t="shared" si="19"/>
        <v>42542</v>
      </c>
      <c r="X59" s="53">
        <f t="shared" si="19"/>
        <v>42543</v>
      </c>
      <c r="Y59" s="53">
        <f t="shared" si="19"/>
        <v>42544</v>
      </c>
      <c r="Z59" s="53">
        <f t="shared" si="19"/>
        <v>42545</v>
      </c>
      <c r="AA59" s="53">
        <f t="shared" si="19"/>
        <v>42546</v>
      </c>
      <c r="AB59" s="53">
        <f t="shared" si="19"/>
        <v>42547</v>
      </c>
      <c r="AC59" s="53">
        <f t="shared" si="19"/>
        <v>42548</v>
      </c>
      <c r="AD59" s="53">
        <f t="shared" si="19"/>
        <v>42549</v>
      </c>
      <c r="AE59" s="53">
        <f t="shared" si="19"/>
        <v>42550</v>
      </c>
      <c r="AF59" s="53">
        <f t="shared" si="19"/>
        <v>42551</v>
      </c>
      <c r="AG59" s="53">
        <f t="shared" si="19"/>
        <v>0</v>
      </c>
      <c r="AH59" s="43" t="s">
        <v>64</v>
      </c>
      <c r="AI59" s="65" t="s">
        <v>93</v>
      </c>
      <c r="AJ59" s="65" t="s">
        <v>94</v>
      </c>
      <c r="AK59" s="65" t="s">
        <v>95</v>
      </c>
      <c r="AM59" s="69" t="s">
        <v>97</v>
      </c>
    </row>
    <row r="60" spans="1:39" x14ac:dyDescent="0.3">
      <c r="A60" s="128" t="s">
        <v>123</v>
      </c>
      <c r="B60" s="3" t="s">
        <v>9</v>
      </c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55">
        <f>SUM(C60:AG60)</f>
        <v>0</v>
      </c>
      <c r="AI60" s="63">
        <f>AH60/200</f>
        <v>0</v>
      </c>
      <c r="AJ60" s="7">
        <v>5</v>
      </c>
      <c r="AK60" s="4" t="str">
        <f t="shared" ref="AK60:AK64" si="20">IF(AH60=0,"0",(AH60/AI60)/AJ60)</f>
        <v>0</v>
      </c>
      <c r="AM60" s="60">
        <f>AI60*AJ60</f>
        <v>0</v>
      </c>
    </row>
    <row r="61" spans="1:39" x14ac:dyDescent="0.3">
      <c r="A61" s="129"/>
      <c r="B61" s="3" t="s">
        <v>8</v>
      </c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>
        <f>255*3</f>
        <v>765</v>
      </c>
      <c r="AD61" s="2"/>
      <c r="AE61" s="2"/>
      <c r="AF61" s="2"/>
      <c r="AG61" s="2"/>
      <c r="AH61" s="55">
        <f t="shared" ref="AH61:AH65" si="21">SUM(C61:AG61)</f>
        <v>765</v>
      </c>
      <c r="AI61" s="63">
        <f>AH61/300</f>
        <v>2.5499999999999998</v>
      </c>
      <c r="AJ61" s="7">
        <v>4</v>
      </c>
      <c r="AK61" s="4">
        <f t="shared" si="20"/>
        <v>75</v>
      </c>
      <c r="AM61" s="60">
        <f t="shared" ref="AM61:AM65" si="22">AI61*AJ61</f>
        <v>10.199999999999999</v>
      </c>
    </row>
    <row r="62" spans="1:39" x14ac:dyDescent="0.3">
      <c r="A62" s="129"/>
      <c r="B62" s="3" t="s">
        <v>22</v>
      </c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55">
        <f>SUM(C62:AG62)</f>
        <v>0</v>
      </c>
      <c r="AI62" s="63">
        <f>AH62/80</f>
        <v>0</v>
      </c>
      <c r="AJ62" s="7">
        <v>2</v>
      </c>
      <c r="AK62" s="4" t="str">
        <f t="shared" si="20"/>
        <v>0</v>
      </c>
      <c r="AM62" s="60">
        <f t="shared" si="22"/>
        <v>0</v>
      </c>
    </row>
    <row r="63" spans="1:39" x14ac:dyDescent="0.3">
      <c r="A63" s="129"/>
      <c r="B63" s="3" t="s">
        <v>21</v>
      </c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55">
        <f t="shared" si="21"/>
        <v>0</v>
      </c>
      <c r="AI63" s="63">
        <f>AH63/70</f>
        <v>0</v>
      </c>
      <c r="AJ63" s="7">
        <v>1</v>
      </c>
      <c r="AK63" s="4" t="str">
        <f t="shared" si="20"/>
        <v>0</v>
      </c>
      <c r="AM63" s="60">
        <f t="shared" si="22"/>
        <v>0</v>
      </c>
    </row>
    <row r="64" spans="1:39" x14ac:dyDescent="0.3">
      <c r="A64" s="129"/>
      <c r="B64" s="3" t="s">
        <v>14</v>
      </c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55">
        <f t="shared" si="21"/>
        <v>0</v>
      </c>
      <c r="AI64" s="63">
        <v>0</v>
      </c>
      <c r="AJ64" s="7">
        <v>1</v>
      </c>
      <c r="AK64" s="4" t="str">
        <f t="shared" si="20"/>
        <v>0</v>
      </c>
      <c r="AM64" s="60">
        <f t="shared" si="22"/>
        <v>0</v>
      </c>
    </row>
    <row r="65" spans="1:39" x14ac:dyDescent="0.3">
      <c r="A65" s="130"/>
      <c r="B65" s="3" t="s">
        <v>56</v>
      </c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55">
        <f t="shared" si="21"/>
        <v>0</v>
      </c>
      <c r="AI65" s="63">
        <f>AH65/450</f>
        <v>0</v>
      </c>
      <c r="AJ65" s="7">
        <v>9</v>
      </c>
      <c r="AK65" s="4" t="str">
        <f>IF(AH65=0,"0",(AH65/AI65)/AJ65)</f>
        <v>0</v>
      </c>
      <c r="AM65" s="60">
        <f t="shared" si="22"/>
        <v>0</v>
      </c>
    </row>
    <row r="66" spans="1:39" ht="15" x14ac:dyDescent="0.25">
      <c r="B66" s="20" t="s">
        <v>76</v>
      </c>
      <c r="C66" s="50">
        <f>SUM(C60:C65)</f>
        <v>0</v>
      </c>
      <c r="D66" s="50">
        <f t="shared" ref="D66:AG66" si="23">SUM(D60:D65)</f>
        <v>0</v>
      </c>
      <c r="E66" s="50">
        <f t="shared" si="23"/>
        <v>0</v>
      </c>
      <c r="F66" s="50">
        <f t="shared" si="23"/>
        <v>0</v>
      </c>
      <c r="G66" s="50">
        <f t="shared" si="23"/>
        <v>0</v>
      </c>
      <c r="H66" s="50">
        <f t="shared" si="23"/>
        <v>0</v>
      </c>
      <c r="I66" s="50">
        <f t="shared" si="23"/>
        <v>0</v>
      </c>
      <c r="J66" s="50">
        <f t="shared" si="23"/>
        <v>0</v>
      </c>
      <c r="K66" s="50">
        <f t="shared" si="23"/>
        <v>0</v>
      </c>
      <c r="L66" s="50">
        <f t="shared" si="23"/>
        <v>0</v>
      </c>
      <c r="M66" s="50">
        <f t="shared" si="23"/>
        <v>0</v>
      </c>
      <c r="N66" s="50">
        <f t="shared" si="23"/>
        <v>0</v>
      </c>
      <c r="O66" s="50">
        <f t="shared" si="23"/>
        <v>0</v>
      </c>
      <c r="P66" s="50">
        <f t="shared" si="23"/>
        <v>0</v>
      </c>
      <c r="Q66" s="50">
        <f t="shared" si="23"/>
        <v>0</v>
      </c>
      <c r="R66" s="50">
        <f t="shared" si="23"/>
        <v>0</v>
      </c>
      <c r="S66" s="50">
        <f t="shared" si="23"/>
        <v>0</v>
      </c>
      <c r="T66" s="50">
        <f t="shared" si="23"/>
        <v>0</v>
      </c>
      <c r="U66" s="50">
        <f t="shared" si="23"/>
        <v>0</v>
      </c>
      <c r="V66" s="50">
        <f t="shared" si="23"/>
        <v>0</v>
      </c>
      <c r="W66" s="50">
        <f t="shared" si="23"/>
        <v>0</v>
      </c>
      <c r="X66" s="50">
        <f t="shared" si="23"/>
        <v>0</v>
      </c>
      <c r="Y66" s="50">
        <f t="shared" si="23"/>
        <v>0</v>
      </c>
      <c r="Z66" s="50">
        <f t="shared" si="23"/>
        <v>0</v>
      </c>
      <c r="AA66" s="50">
        <f t="shared" si="23"/>
        <v>0</v>
      </c>
      <c r="AB66" s="50">
        <f t="shared" si="23"/>
        <v>0</v>
      </c>
      <c r="AC66" s="50">
        <f t="shared" si="23"/>
        <v>765</v>
      </c>
      <c r="AD66" s="50">
        <f t="shared" si="23"/>
        <v>0</v>
      </c>
      <c r="AE66" s="50">
        <f t="shared" si="23"/>
        <v>0</v>
      </c>
      <c r="AF66" s="50">
        <f t="shared" si="23"/>
        <v>0</v>
      </c>
      <c r="AG66" s="50">
        <f t="shared" si="23"/>
        <v>0</v>
      </c>
      <c r="AH66" s="51">
        <f>SUM(C66:AG66)</f>
        <v>765</v>
      </c>
      <c r="AI66" s="65">
        <f>SUM(AI60:AI65)</f>
        <v>2.5499999999999998</v>
      </c>
      <c r="AJ66" s="66"/>
      <c r="AK66" s="65">
        <f>IF(AH66=0,"0",(AVERAGE(AK60:AK65)))</f>
        <v>75</v>
      </c>
      <c r="AL66" s="71" t="s">
        <v>96</v>
      </c>
      <c r="AM66" s="70">
        <f>SUM(AM60:AM65)</f>
        <v>10.199999999999999</v>
      </c>
    </row>
    <row r="67" spans="1:39" x14ac:dyDescent="0.3">
      <c r="A67" s="2" t="s">
        <v>87</v>
      </c>
      <c r="B67" s="81" t="s">
        <v>72</v>
      </c>
      <c r="C67" s="53">
        <f>C51</f>
        <v>42522</v>
      </c>
      <c r="D67" s="53">
        <f t="shared" ref="D67:AF67" si="24">D51</f>
        <v>42523</v>
      </c>
      <c r="E67" s="53">
        <f t="shared" si="24"/>
        <v>42524</v>
      </c>
      <c r="F67" s="53">
        <f t="shared" si="24"/>
        <v>42525</v>
      </c>
      <c r="G67" s="53">
        <f t="shared" si="24"/>
        <v>42526</v>
      </c>
      <c r="H67" s="53">
        <f t="shared" si="24"/>
        <v>42527</v>
      </c>
      <c r="I67" s="53">
        <f t="shared" si="24"/>
        <v>42528</v>
      </c>
      <c r="J67" s="53">
        <f t="shared" si="24"/>
        <v>42529</v>
      </c>
      <c r="K67" s="53">
        <f t="shared" si="24"/>
        <v>42530</v>
      </c>
      <c r="L67" s="53">
        <f t="shared" si="24"/>
        <v>42531</v>
      </c>
      <c r="M67" s="53">
        <f t="shared" si="24"/>
        <v>42532</v>
      </c>
      <c r="N67" s="53">
        <f t="shared" si="24"/>
        <v>42533</v>
      </c>
      <c r="O67" s="53">
        <f t="shared" si="24"/>
        <v>42534</v>
      </c>
      <c r="P67" s="53">
        <f t="shared" si="24"/>
        <v>42535</v>
      </c>
      <c r="Q67" s="53">
        <f t="shared" si="24"/>
        <v>42536</v>
      </c>
      <c r="R67" s="53">
        <f t="shared" si="24"/>
        <v>42537</v>
      </c>
      <c r="S67" s="53">
        <f t="shared" si="24"/>
        <v>42538</v>
      </c>
      <c r="T67" s="53">
        <f t="shared" si="24"/>
        <v>42539</v>
      </c>
      <c r="U67" s="53">
        <f t="shared" si="24"/>
        <v>42540</v>
      </c>
      <c r="V67" s="53">
        <f t="shared" si="24"/>
        <v>42541</v>
      </c>
      <c r="W67" s="53">
        <f t="shared" si="24"/>
        <v>42542</v>
      </c>
      <c r="X67" s="53">
        <f t="shared" si="24"/>
        <v>42543</v>
      </c>
      <c r="Y67" s="53">
        <f t="shared" si="24"/>
        <v>42544</v>
      </c>
      <c r="Z67" s="53">
        <f t="shared" si="24"/>
        <v>42545</v>
      </c>
      <c r="AA67" s="53">
        <f t="shared" si="24"/>
        <v>42546</v>
      </c>
      <c r="AB67" s="53">
        <f t="shared" si="24"/>
        <v>42547</v>
      </c>
      <c r="AC67" s="53">
        <f t="shared" si="24"/>
        <v>42548</v>
      </c>
      <c r="AD67" s="53">
        <f t="shared" si="24"/>
        <v>42549</v>
      </c>
      <c r="AE67" s="53">
        <f t="shared" si="24"/>
        <v>42550</v>
      </c>
      <c r="AF67" s="53">
        <f t="shared" si="24"/>
        <v>42551</v>
      </c>
      <c r="AG67" s="53"/>
      <c r="AH67" s="43" t="s">
        <v>64</v>
      </c>
      <c r="AI67" s="65" t="s">
        <v>93</v>
      </c>
      <c r="AJ67" s="65" t="s">
        <v>94</v>
      </c>
      <c r="AK67" s="65" t="s">
        <v>95</v>
      </c>
      <c r="AM67" s="69" t="s">
        <v>97</v>
      </c>
    </row>
    <row r="68" spans="1:39" x14ac:dyDescent="0.3">
      <c r="A68" s="128" t="s">
        <v>75</v>
      </c>
      <c r="B68" s="3" t="s">
        <v>9</v>
      </c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>
        <f>3*130</f>
        <v>390</v>
      </c>
      <c r="AD68" s="2"/>
      <c r="AE68" s="2"/>
      <c r="AF68" s="2"/>
      <c r="AG68" s="2"/>
      <c r="AH68" s="61">
        <f>SUM(C68:AG68)</f>
        <v>390</v>
      </c>
      <c r="AI68" s="63">
        <f>AH68/200</f>
        <v>1.95</v>
      </c>
      <c r="AJ68" s="2">
        <v>5</v>
      </c>
      <c r="AK68" s="4">
        <f>IF(AH68=0,"0",(AH68/AI68)/AJ68)</f>
        <v>40</v>
      </c>
      <c r="AM68" s="60">
        <f>AI68*AJ68</f>
        <v>9.75</v>
      </c>
    </row>
    <row r="69" spans="1:39" x14ac:dyDescent="0.3">
      <c r="A69" s="129"/>
      <c r="B69" s="3" t="s">
        <v>8</v>
      </c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>
        <f>3*250</f>
        <v>750</v>
      </c>
      <c r="AB69" s="2">
        <f>2*300</f>
        <v>600</v>
      </c>
      <c r="AC69" s="2"/>
      <c r="AD69" s="2"/>
      <c r="AE69" s="2"/>
      <c r="AF69" s="2"/>
      <c r="AG69" s="2"/>
      <c r="AH69" s="61">
        <f t="shared" ref="AH69:AH73" si="25">SUM(C69:AG69)</f>
        <v>1350</v>
      </c>
      <c r="AI69" s="63">
        <f>AH69/300</f>
        <v>4.5</v>
      </c>
      <c r="AJ69" s="2">
        <v>4</v>
      </c>
      <c r="AK69" s="4">
        <f t="shared" ref="AK69:AK72" si="26">IF(AH69=0,"0",(AH69/AI69)/AJ69)</f>
        <v>75</v>
      </c>
      <c r="AM69" s="60">
        <f t="shared" ref="AM69:AM74" si="27">AI69*AJ69</f>
        <v>18</v>
      </c>
    </row>
    <row r="70" spans="1:39" x14ac:dyDescent="0.3">
      <c r="A70" s="129"/>
      <c r="B70" s="3" t="s">
        <v>106</v>
      </c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>
        <v>80</v>
      </c>
      <c r="AB70" s="2"/>
      <c r="AC70" s="2"/>
      <c r="AD70" s="2"/>
      <c r="AE70" s="2"/>
      <c r="AF70" s="2"/>
      <c r="AG70" s="2"/>
      <c r="AH70" s="61">
        <f>SUM(C70:AG70)</f>
        <v>80</v>
      </c>
      <c r="AI70" s="63">
        <f>AH70/80</f>
        <v>1</v>
      </c>
      <c r="AJ70" s="2">
        <v>2</v>
      </c>
      <c r="AK70" s="4">
        <f t="shared" si="26"/>
        <v>40</v>
      </c>
      <c r="AM70" s="60">
        <f>AI70*AJ70</f>
        <v>2</v>
      </c>
    </row>
    <row r="71" spans="1:39" x14ac:dyDescent="0.3">
      <c r="A71" s="129"/>
      <c r="B71" s="3" t="s">
        <v>21</v>
      </c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61">
        <f t="shared" si="25"/>
        <v>0</v>
      </c>
      <c r="AI71" s="63">
        <f>AH71/70</f>
        <v>0</v>
      </c>
      <c r="AJ71" s="2">
        <v>1</v>
      </c>
      <c r="AK71" s="4" t="str">
        <f t="shared" si="26"/>
        <v>0</v>
      </c>
      <c r="AM71" s="60">
        <f t="shared" si="27"/>
        <v>0</v>
      </c>
    </row>
    <row r="72" spans="1:39" x14ac:dyDescent="0.3">
      <c r="A72" s="129"/>
      <c r="B72" s="3" t="s">
        <v>14</v>
      </c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61">
        <f t="shared" si="25"/>
        <v>0</v>
      </c>
      <c r="AI72" s="63">
        <v>0</v>
      </c>
      <c r="AJ72" s="2">
        <v>1</v>
      </c>
      <c r="AK72" s="4" t="str">
        <f t="shared" si="26"/>
        <v>0</v>
      </c>
      <c r="AM72" s="60">
        <f t="shared" si="27"/>
        <v>0</v>
      </c>
    </row>
    <row r="73" spans="1:39" x14ac:dyDescent="0.3">
      <c r="A73" s="130"/>
      <c r="B73" s="3" t="s">
        <v>56</v>
      </c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61">
        <f t="shared" si="25"/>
        <v>0</v>
      </c>
      <c r="AI73" s="63">
        <f>AH73/450</f>
        <v>0</v>
      </c>
      <c r="AJ73" s="2">
        <v>9</v>
      </c>
      <c r="AK73" s="4" t="str">
        <f>IF(AH73=0,"0",(AH73/AI73)/AJ73)</f>
        <v>0</v>
      </c>
      <c r="AM73" s="60">
        <f t="shared" si="27"/>
        <v>0</v>
      </c>
    </row>
    <row r="74" spans="1:39" ht="15" x14ac:dyDescent="0.25">
      <c r="A74" s="58"/>
      <c r="B74" s="3" t="s">
        <v>88</v>
      </c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61"/>
      <c r="AI74" s="2"/>
      <c r="AJ74" s="2"/>
      <c r="AK74" s="2"/>
      <c r="AM74" s="60">
        <f t="shared" si="27"/>
        <v>0</v>
      </c>
    </row>
    <row r="75" spans="1:39" ht="15" x14ac:dyDescent="0.25">
      <c r="B75" s="20" t="s">
        <v>76</v>
      </c>
      <c r="C75" s="50">
        <f>SUM(C68:C74)</f>
        <v>0</v>
      </c>
      <c r="D75" s="50">
        <f t="shared" ref="D75:AG75" si="28">SUM(D68:D74)</f>
        <v>0</v>
      </c>
      <c r="E75" s="50">
        <f t="shared" si="28"/>
        <v>0</v>
      </c>
      <c r="F75" s="50">
        <f t="shared" si="28"/>
        <v>0</v>
      </c>
      <c r="G75" s="50">
        <f t="shared" si="28"/>
        <v>0</v>
      </c>
      <c r="H75" s="50">
        <f t="shared" si="28"/>
        <v>0</v>
      </c>
      <c r="I75" s="50">
        <f t="shared" si="28"/>
        <v>0</v>
      </c>
      <c r="J75" s="50">
        <f t="shared" si="28"/>
        <v>0</v>
      </c>
      <c r="K75" s="50">
        <f t="shared" si="28"/>
        <v>0</v>
      </c>
      <c r="L75" s="50">
        <f t="shared" si="28"/>
        <v>0</v>
      </c>
      <c r="M75" s="50">
        <f t="shared" si="28"/>
        <v>0</v>
      </c>
      <c r="N75" s="50">
        <f t="shared" si="28"/>
        <v>0</v>
      </c>
      <c r="O75" s="50">
        <f t="shared" si="28"/>
        <v>0</v>
      </c>
      <c r="P75" s="50">
        <f t="shared" si="28"/>
        <v>0</v>
      </c>
      <c r="Q75" s="50">
        <f t="shared" si="28"/>
        <v>0</v>
      </c>
      <c r="R75" s="50">
        <f t="shared" si="28"/>
        <v>0</v>
      </c>
      <c r="S75" s="50">
        <f t="shared" si="28"/>
        <v>0</v>
      </c>
      <c r="T75" s="50">
        <f t="shared" si="28"/>
        <v>0</v>
      </c>
      <c r="U75" s="50">
        <f t="shared" si="28"/>
        <v>0</v>
      </c>
      <c r="V75" s="50">
        <f t="shared" si="28"/>
        <v>0</v>
      </c>
      <c r="W75" s="50">
        <f t="shared" si="28"/>
        <v>0</v>
      </c>
      <c r="X75" s="50">
        <f t="shared" si="28"/>
        <v>0</v>
      </c>
      <c r="Y75" s="50">
        <f t="shared" si="28"/>
        <v>0</v>
      </c>
      <c r="Z75" s="50">
        <f t="shared" si="28"/>
        <v>0</v>
      </c>
      <c r="AA75" s="50">
        <f t="shared" si="28"/>
        <v>830</v>
      </c>
      <c r="AB75" s="50">
        <f t="shared" si="28"/>
        <v>600</v>
      </c>
      <c r="AC75" s="50">
        <f t="shared" si="28"/>
        <v>390</v>
      </c>
      <c r="AD75" s="50">
        <f t="shared" si="28"/>
        <v>0</v>
      </c>
      <c r="AE75" s="50">
        <f t="shared" si="28"/>
        <v>0</v>
      </c>
      <c r="AF75" s="50">
        <f t="shared" si="28"/>
        <v>0</v>
      </c>
      <c r="AG75" s="50">
        <f t="shared" si="28"/>
        <v>0</v>
      </c>
      <c r="AH75" s="62">
        <f>SUM(C75:AG75)</f>
        <v>1820</v>
      </c>
      <c r="AI75" s="64">
        <f>SUM(AI68:AI73)</f>
        <v>7.45</v>
      </c>
      <c r="AJ75" s="67"/>
      <c r="AK75" s="68">
        <f>IF(AH75=0,"0",(AVERAGE(AK68:AK73)))</f>
        <v>51.666666666666664</v>
      </c>
      <c r="AL75" s="71" t="s">
        <v>96</v>
      </c>
      <c r="AM75" s="70">
        <f>SUM(AM68:AM74)</f>
        <v>29.75</v>
      </c>
    </row>
    <row r="76" spans="1:39" ht="15" x14ac:dyDescent="0.25">
      <c r="A76" s="2"/>
      <c r="B76" s="81" t="s">
        <v>72</v>
      </c>
      <c r="C76" s="53">
        <f>C5</f>
        <v>42522</v>
      </c>
      <c r="D76" s="53">
        <f t="shared" ref="D76:AF76" si="29">D5</f>
        <v>42523</v>
      </c>
      <c r="E76" s="53">
        <f t="shared" si="29"/>
        <v>42524</v>
      </c>
      <c r="F76" s="53">
        <f t="shared" si="29"/>
        <v>42525</v>
      </c>
      <c r="G76" s="53">
        <f t="shared" si="29"/>
        <v>42526</v>
      </c>
      <c r="H76" s="53">
        <f t="shared" si="29"/>
        <v>42527</v>
      </c>
      <c r="I76" s="53">
        <f t="shared" si="29"/>
        <v>42528</v>
      </c>
      <c r="J76" s="53">
        <f t="shared" si="29"/>
        <v>42529</v>
      </c>
      <c r="K76" s="53">
        <f t="shared" si="29"/>
        <v>42530</v>
      </c>
      <c r="L76" s="53">
        <f t="shared" si="29"/>
        <v>42531</v>
      </c>
      <c r="M76" s="53">
        <f t="shared" si="29"/>
        <v>42532</v>
      </c>
      <c r="N76" s="53">
        <f t="shared" si="29"/>
        <v>42533</v>
      </c>
      <c r="O76" s="53">
        <f t="shared" si="29"/>
        <v>42534</v>
      </c>
      <c r="P76" s="53">
        <f t="shared" si="29"/>
        <v>42535</v>
      </c>
      <c r="Q76" s="53">
        <f t="shared" si="29"/>
        <v>42536</v>
      </c>
      <c r="R76" s="53">
        <f t="shared" si="29"/>
        <v>42537</v>
      </c>
      <c r="S76" s="53">
        <f t="shared" si="29"/>
        <v>42538</v>
      </c>
      <c r="T76" s="53">
        <f t="shared" si="29"/>
        <v>42539</v>
      </c>
      <c r="U76" s="53">
        <f t="shared" si="29"/>
        <v>42540</v>
      </c>
      <c r="V76" s="53">
        <f t="shared" si="29"/>
        <v>42541</v>
      </c>
      <c r="W76" s="53">
        <f t="shared" si="29"/>
        <v>42542</v>
      </c>
      <c r="X76" s="53">
        <f t="shared" si="29"/>
        <v>42543</v>
      </c>
      <c r="Y76" s="53">
        <f t="shared" si="29"/>
        <v>42544</v>
      </c>
      <c r="Z76" s="53">
        <f t="shared" si="29"/>
        <v>42545</v>
      </c>
      <c r="AA76" s="53">
        <f t="shared" si="29"/>
        <v>42546</v>
      </c>
      <c r="AB76" s="53">
        <f t="shared" si="29"/>
        <v>42547</v>
      </c>
      <c r="AC76" s="53">
        <f t="shared" si="29"/>
        <v>42548</v>
      </c>
      <c r="AD76" s="53">
        <f t="shared" si="29"/>
        <v>42549</v>
      </c>
      <c r="AE76" s="53">
        <f t="shared" si="29"/>
        <v>42550</v>
      </c>
      <c r="AF76" s="53">
        <f t="shared" si="29"/>
        <v>42551</v>
      </c>
      <c r="AG76" s="53"/>
      <c r="AH76" s="43" t="s">
        <v>64</v>
      </c>
    </row>
    <row r="77" spans="1:39" x14ac:dyDescent="0.3">
      <c r="A77" s="131" t="s">
        <v>75</v>
      </c>
      <c r="B77" s="2" t="s">
        <v>78</v>
      </c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55">
        <f>SUM(C77:AG77)</f>
        <v>0</v>
      </c>
    </row>
    <row r="78" spans="1:39" x14ac:dyDescent="0.3">
      <c r="A78" s="131"/>
      <c r="B78" s="2" t="s">
        <v>79</v>
      </c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55">
        <f t="shared" ref="AH78:AH85" si="30">SUM(C78:AG78)</f>
        <v>0</v>
      </c>
    </row>
    <row r="79" spans="1:39" x14ac:dyDescent="0.3">
      <c r="A79" s="131"/>
      <c r="B79" s="2" t="s">
        <v>80</v>
      </c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55">
        <f>SUM(C79:AG79)</f>
        <v>0</v>
      </c>
    </row>
    <row r="80" spans="1:39" x14ac:dyDescent="0.3">
      <c r="A80" s="131"/>
      <c r="B80" s="2" t="s">
        <v>81</v>
      </c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55">
        <f t="shared" si="30"/>
        <v>0</v>
      </c>
    </row>
    <row r="81" spans="1:34" x14ac:dyDescent="0.3">
      <c r="A81" s="131"/>
      <c r="B81" s="2" t="s">
        <v>82</v>
      </c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55">
        <f t="shared" si="30"/>
        <v>0</v>
      </c>
    </row>
    <row r="82" spans="1:34" x14ac:dyDescent="0.3">
      <c r="A82" s="131"/>
      <c r="B82" s="2" t="s">
        <v>83</v>
      </c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55">
        <f t="shared" si="30"/>
        <v>0</v>
      </c>
    </row>
    <row r="83" spans="1:34" x14ac:dyDescent="0.3">
      <c r="A83" s="131"/>
      <c r="B83" s="2" t="s">
        <v>118</v>
      </c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55">
        <f t="shared" si="30"/>
        <v>0</v>
      </c>
    </row>
    <row r="84" spans="1:34" x14ac:dyDescent="0.3">
      <c r="A84" s="131"/>
      <c r="B84" s="54" t="s">
        <v>84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55">
        <f t="shared" si="30"/>
        <v>0</v>
      </c>
    </row>
    <row r="85" spans="1:34" x14ac:dyDescent="0.3">
      <c r="A85" s="131"/>
      <c r="B85" s="54" t="s">
        <v>85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55">
        <f t="shared" si="30"/>
        <v>0</v>
      </c>
    </row>
    <row r="86" spans="1:34" ht="15" x14ac:dyDescent="0.25">
      <c r="B86" s="20" t="s">
        <v>76</v>
      </c>
      <c r="C86" s="50">
        <f>SUM(C77:C85)</f>
        <v>0</v>
      </c>
      <c r="D86" s="50">
        <f t="shared" ref="D86:AG86" si="31">SUM(D77:D85)</f>
        <v>0</v>
      </c>
      <c r="E86" s="50">
        <f t="shared" si="31"/>
        <v>0</v>
      </c>
      <c r="F86" s="50">
        <f t="shared" si="31"/>
        <v>0</v>
      </c>
      <c r="G86" s="50">
        <f t="shared" si="31"/>
        <v>0</v>
      </c>
      <c r="H86" s="50">
        <f t="shared" si="31"/>
        <v>0</v>
      </c>
      <c r="I86" s="50">
        <f t="shared" si="31"/>
        <v>0</v>
      </c>
      <c r="J86" s="50">
        <f t="shared" si="31"/>
        <v>0</v>
      </c>
      <c r="K86" s="50">
        <f t="shared" si="31"/>
        <v>0</v>
      </c>
      <c r="L86" s="50">
        <f t="shared" si="31"/>
        <v>0</v>
      </c>
      <c r="M86" s="50">
        <f t="shared" si="31"/>
        <v>0</v>
      </c>
      <c r="N86" s="50">
        <f t="shared" si="31"/>
        <v>0</v>
      </c>
      <c r="O86" s="50">
        <f t="shared" si="31"/>
        <v>0</v>
      </c>
      <c r="P86" s="50">
        <f t="shared" si="31"/>
        <v>0</v>
      </c>
      <c r="Q86" s="50">
        <f t="shared" si="31"/>
        <v>0</v>
      </c>
      <c r="R86" s="50">
        <f t="shared" si="31"/>
        <v>0</v>
      </c>
      <c r="S86" s="50">
        <f t="shared" si="31"/>
        <v>0</v>
      </c>
      <c r="T86" s="50">
        <f t="shared" si="31"/>
        <v>0</v>
      </c>
      <c r="U86" s="50">
        <f t="shared" si="31"/>
        <v>0</v>
      </c>
      <c r="V86" s="50">
        <f t="shared" si="31"/>
        <v>0</v>
      </c>
      <c r="W86" s="50">
        <f t="shared" si="31"/>
        <v>0</v>
      </c>
      <c r="X86" s="50">
        <f t="shared" si="31"/>
        <v>0</v>
      </c>
      <c r="Y86" s="50">
        <f t="shared" si="31"/>
        <v>0</v>
      </c>
      <c r="Z86" s="50">
        <f t="shared" si="31"/>
        <v>0</v>
      </c>
      <c r="AA86" s="50">
        <f t="shared" si="31"/>
        <v>0</v>
      </c>
      <c r="AB86" s="50">
        <f t="shared" si="31"/>
        <v>0</v>
      </c>
      <c r="AC86" s="50">
        <f t="shared" si="31"/>
        <v>0</v>
      </c>
      <c r="AD86" s="50">
        <f t="shared" si="31"/>
        <v>0</v>
      </c>
      <c r="AE86" s="50">
        <f t="shared" si="31"/>
        <v>0</v>
      </c>
      <c r="AF86" s="50">
        <f t="shared" si="31"/>
        <v>0</v>
      </c>
      <c r="AG86" s="50">
        <f t="shared" si="31"/>
        <v>0</v>
      </c>
      <c r="AH86" s="51">
        <f>SUM(C86:AG86)</f>
        <v>0</v>
      </c>
    </row>
    <row r="88" spans="1:34" ht="15" x14ac:dyDescent="0.25">
      <c r="B88" s="44" t="s">
        <v>77</v>
      </c>
      <c r="C88" s="40">
        <f>C50+C58+C66+C75+C86</f>
        <v>0</v>
      </c>
      <c r="D88" s="40">
        <f t="shared" ref="D88:AG88" si="32">D50+D58+D66+D75+D86</f>
        <v>0</v>
      </c>
      <c r="E88" s="40">
        <f t="shared" si="32"/>
        <v>0</v>
      </c>
      <c r="F88" s="40">
        <f t="shared" si="32"/>
        <v>0</v>
      </c>
      <c r="G88" s="40">
        <f t="shared" si="32"/>
        <v>0</v>
      </c>
      <c r="H88" s="40">
        <f t="shared" si="32"/>
        <v>0</v>
      </c>
      <c r="I88" s="40">
        <f t="shared" si="32"/>
        <v>0</v>
      </c>
      <c r="J88" s="40">
        <f t="shared" si="32"/>
        <v>0</v>
      </c>
      <c r="K88" s="40">
        <f t="shared" si="32"/>
        <v>0</v>
      </c>
      <c r="L88" s="40">
        <f t="shared" si="32"/>
        <v>0</v>
      </c>
      <c r="M88" s="40">
        <f t="shared" si="32"/>
        <v>0</v>
      </c>
      <c r="N88" s="40">
        <f t="shared" si="32"/>
        <v>0</v>
      </c>
      <c r="O88" s="40">
        <f t="shared" si="32"/>
        <v>0</v>
      </c>
      <c r="P88" s="40">
        <f t="shared" si="32"/>
        <v>0</v>
      </c>
      <c r="Q88" s="40">
        <f t="shared" si="32"/>
        <v>0</v>
      </c>
      <c r="R88" s="40">
        <f t="shared" si="32"/>
        <v>0</v>
      </c>
      <c r="S88" s="40">
        <f t="shared" si="32"/>
        <v>0</v>
      </c>
      <c r="T88" s="40">
        <f t="shared" si="32"/>
        <v>0</v>
      </c>
      <c r="U88" s="40">
        <f t="shared" si="32"/>
        <v>0</v>
      </c>
      <c r="V88" s="40">
        <f t="shared" si="32"/>
        <v>0</v>
      </c>
      <c r="W88" s="40">
        <f t="shared" si="32"/>
        <v>0</v>
      </c>
      <c r="X88" s="40">
        <f t="shared" si="32"/>
        <v>0</v>
      </c>
      <c r="Y88" s="40">
        <f t="shared" si="32"/>
        <v>0</v>
      </c>
      <c r="Z88" s="40">
        <f t="shared" si="32"/>
        <v>0</v>
      </c>
      <c r="AA88" s="40">
        <f t="shared" si="32"/>
        <v>1360</v>
      </c>
      <c r="AB88" s="40">
        <f t="shared" si="32"/>
        <v>600</v>
      </c>
      <c r="AC88" s="40">
        <f t="shared" si="32"/>
        <v>2215</v>
      </c>
      <c r="AD88" s="40">
        <f t="shared" si="32"/>
        <v>0</v>
      </c>
      <c r="AE88" s="40">
        <f t="shared" si="32"/>
        <v>0</v>
      </c>
      <c r="AF88" s="40">
        <f t="shared" si="32"/>
        <v>265</v>
      </c>
      <c r="AG88" s="40">
        <f t="shared" si="32"/>
        <v>0</v>
      </c>
      <c r="AH88" s="40">
        <f>AH50+AH58+AH66+AH75+AH86</f>
        <v>4440</v>
      </c>
    </row>
    <row r="90" spans="1:34" x14ac:dyDescent="0.3">
      <c r="B90" s="86" t="s">
        <v>119</v>
      </c>
      <c r="C90" s="32" t="str">
        <f>C1</f>
        <v>juin</v>
      </c>
      <c r="E90" s="84" t="s">
        <v>122</v>
      </c>
      <c r="F90" s="85"/>
      <c r="G90" s="85"/>
      <c r="H90" s="43" t="str">
        <f>C1</f>
        <v>juin</v>
      </c>
      <c r="J90" s="76" t="s">
        <v>100</v>
      </c>
      <c r="K90" s="76"/>
    </row>
    <row r="91" spans="1:34" x14ac:dyDescent="0.3">
      <c r="B91" s="44" t="s">
        <v>90</v>
      </c>
      <c r="C91" s="41">
        <f>AH88</f>
        <v>4440</v>
      </c>
      <c r="E91" s="127" t="s">
        <v>98</v>
      </c>
      <c r="F91" s="127"/>
      <c r="G91" s="127"/>
      <c r="H91" s="72">
        <f>AM50+AM58+AM66+AM75</f>
        <v>95.600000000000009</v>
      </c>
      <c r="J91" s="2" t="s">
        <v>73</v>
      </c>
      <c r="K91" s="75">
        <f>AH50/C91</f>
        <v>0.4177927927927928</v>
      </c>
    </row>
    <row r="92" spans="1:34" x14ac:dyDescent="0.3">
      <c r="B92" s="44" t="s">
        <v>89</v>
      </c>
      <c r="C92" s="41">
        <f>AH40</f>
        <v>1355.95</v>
      </c>
      <c r="E92" s="127" t="s">
        <v>99</v>
      </c>
      <c r="F92" s="127"/>
      <c r="G92" s="127"/>
      <c r="H92" s="41">
        <f>C92/H91</f>
        <v>14.18357740585774</v>
      </c>
      <c r="J92" s="2" t="s">
        <v>75</v>
      </c>
      <c r="K92" s="75">
        <f>AH75/C91</f>
        <v>0.40990990990990989</v>
      </c>
    </row>
    <row r="93" spans="1:34" ht="15" x14ac:dyDescent="0.25">
      <c r="J93" s="2" t="s">
        <v>101</v>
      </c>
      <c r="K93" s="75">
        <f>AH86/C91</f>
        <v>0</v>
      </c>
    </row>
    <row r="94" spans="1:34" x14ac:dyDescent="0.3">
      <c r="B94" s="20" t="s">
        <v>86</v>
      </c>
      <c r="C94" s="41">
        <f>C91-C92</f>
        <v>3084.05</v>
      </c>
      <c r="J94" s="2" t="s">
        <v>74</v>
      </c>
      <c r="K94" s="75">
        <f>AH58/C91</f>
        <v>0</v>
      </c>
    </row>
    <row r="95" spans="1:34" x14ac:dyDescent="0.3">
      <c r="J95" s="2" t="s">
        <v>123</v>
      </c>
      <c r="K95" s="75">
        <f>AH66/C92</f>
        <v>0.56418009513625134</v>
      </c>
    </row>
    <row r="96" spans="1:34" x14ac:dyDescent="0.3">
      <c r="B96" t="s">
        <v>91</v>
      </c>
      <c r="C96" s="37">
        <v>10500</v>
      </c>
    </row>
    <row r="97" spans="2:3" x14ac:dyDescent="0.3">
      <c r="B97" t="s">
        <v>92</v>
      </c>
      <c r="C97" s="59">
        <f>C91-C96</f>
        <v>-6060</v>
      </c>
    </row>
    <row r="99" spans="2:3" x14ac:dyDescent="0.3">
      <c r="B99" s="20" t="s">
        <v>125</v>
      </c>
      <c r="C99" s="41">
        <f>C94</f>
        <v>3084.05</v>
      </c>
    </row>
  </sheetData>
  <mergeCells count="7">
    <mergeCell ref="E91:G91"/>
    <mergeCell ref="E92:G92"/>
    <mergeCell ref="A44:A49"/>
    <mergeCell ref="A52:A57"/>
    <mergeCell ref="A60:A65"/>
    <mergeCell ref="A68:A73"/>
    <mergeCell ref="A77:A85"/>
  </mergeCells>
  <dataValidations count="1">
    <dataValidation type="list" allowBlank="1" showInputMessage="1" showErrorMessage="1" sqref="C1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100"/>
  <sheetViews>
    <sheetView tabSelected="1" topLeftCell="A77" workbookViewId="0">
      <pane xSplit="2" topLeftCell="C1" activePane="topRight" state="frozen"/>
      <selection activeCell="A46" sqref="A46"/>
      <selection pane="topRight" activeCell="C99" sqref="C99"/>
    </sheetView>
  </sheetViews>
  <sheetFormatPr baseColWidth="10" defaultRowHeight="14.4" x14ac:dyDescent="0.3"/>
  <cols>
    <col min="2" max="2" width="34.109375" bestFit="1" customWidth="1"/>
    <col min="3" max="3" width="16.88671875" bestFit="1" customWidth="1"/>
    <col min="39" max="39" width="18.6640625" style="56" bestFit="1" customWidth="1"/>
  </cols>
  <sheetData>
    <row r="1" spans="1:39" ht="15.75" x14ac:dyDescent="0.25">
      <c r="B1" s="71" t="s">
        <v>120</v>
      </c>
      <c r="C1" s="83" t="s">
        <v>121</v>
      </c>
    </row>
    <row r="2" spans="1:39" ht="21" x14ac:dyDescent="0.35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</row>
    <row r="4" spans="1:39" s="38" customFormat="1" x14ac:dyDescent="0.3">
      <c r="B4" s="43" t="s">
        <v>65</v>
      </c>
      <c r="C4" s="48">
        <v>42552</v>
      </c>
      <c r="D4" s="48">
        <v>42553</v>
      </c>
      <c r="E4" s="48">
        <v>42554</v>
      </c>
      <c r="F4" s="48">
        <v>42555</v>
      </c>
      <c r="G4" s="48">
        <v>42556</v>
      </c>
      <c r="H4" s="48">
        <v>42557</v>
      </c>
      <c r="I4" s="48">
        <v>42558</v>
      </c>
      <c r="J4" s="48">
        <v>42559</v>
      </c>
      <c r="K4" s="48">
        <v>42560</v>
      </c>
      <c r="L4" s="48">
        <v>42561</v>
      </c>
      <c r="M4" s="48">
        <v>42562</v>
      </c>
      <c r="N4" s="48">
        <v>42563</v>
      </c>
      <c r="O4" s="48">
        <v>42564</v>
      </c>
      <c r="P4" s="48">
        <v>42565</v>
      </c>
      <c r="Q4" s="48">
        <v>42566</v>
      </c>
      <c r="R4" s="48">
        <v>42567</v>
      </c>
      <c r="S4" s="48">
        <v>42568</v>
      </c>
      <c r="T4" s="48">
        <v>42569</v>
      </c>
      <c r="U4" s="48">
        <v>42570</v>
      </c>
      <c r="V4" s="48">
        <v>42571</v>
      </c>
      <c r="W4" s="48">
        <v>42572</v>
      </c>
      <c r="X4" s="48">
        <v>42573</v>
      </c>
      <c r="Y4" s="48">
        <v>42574</v>
      </c>
      <c r="Z4" s="48">
        <v>42575</v>
      </c>
      <c r="AA4" s="48">
        <v>42576</v>
      </c>
      <c r="AB4" s="48">
        <v>42577</v>
      </c>
      <c r="AC4" s="48">
        <v>42578</v>
      </c>
      <c r="AD4" s="48">
        <v>42579</v>
      </c>
      <c r="AE4" s="48">
        <v>42580</v>
      </c>
      <c r="AF4" s="48">
        <v>42581</v>
      </c>
      <c r="AG4" s="48">
        <v>42582</v>
      </c>
      <c r="AH4" s="43" t="s">
        <v>64</v>
      </c>
      <c r="AI4" s="49" t="s">
        <v>66</v>
      </c>
      <c r="AJ4" s="49" t="s">
        <v>67</v>
      </c>
      <c r="AM4" s="56"/>
    </row>
    <row r="5" spans="1:39" ht="15" x14ac:dyDescent="0.25">
      <c r="B5" s="39" t="s">
        <v>1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>
        <v>100</v>
      </c>
      <c r="N5" s="41"/>
      <c r="O5" s="41"/>
      <c r="P5" s="41"/>
      <c r="Q5" s="41">
        <v>150</v>
      </c>
      <c r="R5" s="41"/>
      <c r="S5" s="41"/>
      <c r="T5" s="41">
        <v>300</v>
      </c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51">
        <f>SUM(C5:AG5)</f>
        <v>550</v>
      </c>
      <c r="AI5" s="37">
        <f>'Budget 2016'!C3</f>
        <v>500</v>
      </c>
      <c r="AJ5" s="46">
        <f>AI5-AH5</f>
        <v>-50</v>
      </c>
      <c r="AK5" s="37"/>
    </row>
    <row r="6" spans="1:39" x14ac:dyDescent="0.3">
      <c r="B6" s="39" t="s">
        <v>59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V6" s="41"/>
      <c r="W6" s="41"/>
      <c r="X6" s="41"/>
      <c r="Y6" s="41"/>
      <c r="Z6" s="41"/>
      <c r="AA6" s="41">
        <v>400</v>
      </c>
      <c r="AB6" s="41"/>
      <c r="AC6" s="41"/>
      <c r="AD6" s="41"/>
      <c r="AE6" s="41"/>
      <c r="AF6" s="41">
        <v>0</v>
      </c>
      <c r="AG6" s="41"/>
      <c r="AH6" s="51">
        <f>SUM(C6:AG6)</f>
        <v>400</v>
      </c>
      <c r="AI6" s="37">
        <f>'Budget 2016'!C4</f>
        <v>800</v>
      </c>
      <c r="AJ6" s="46">
        <f>AI6-AH6</f>
        <v>400</v>
      </c>
    </row>
    <row r="7" spans="1:39" ht="15" x14ac:dyDescent="0.25">
      <c r="B7" s="39" t="s">
        <v>60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V7" s="41"/>
      <c r="W7" s="41"/>
      <c r="X7" s="41"/>
      <c r="Y7" s="41"/>
      <c r="Z7" s="41"/>
      <c r="AA7" s="41">
        <v>400</v>
      </c>
      <c r="AB7" s="41"/>
      <c r="AC7" s="41"/>
      <c r="AD7" s="41"/>
      <c r="AE7" s="41"/>
      <c r="AF7" s="41">
        <v>0</v>
      </c>
      <c r="AG7" s="41"/>
      <c r="AH7" s="51">
        <f t="shared" ref="AH7:AH12" si="0">SUM(C7:AG7)</f>
        <v>400</v>
      </c>
      <c r="AI7" s="37">
        <f>'Budget 2016'!C5</f>
        <v>800</v>
      </c>
      <c r="AJ7" s="46">
        <f t="shared" ref="AJ7:AJ12" si="1">AI7-AH7</f>
        <v>400</v>
      </c>
    </row>
    <row r="8" spans="1:39" ht="15" x14ac:dyDescent="0.25">
      <c r="B8" s="39" t="s">
        <v>52</v>
      </c>
      <c r="C8" s="41">
        <v>15</v>
      </c>
      <c r="D8" s="41"/>
      <c r="E8" s="41">
        <v>15</v>
      </c>
      <c r="F8" s="41">
        <v>30</v>
      </c>
      <c r="G8" s="41">
        <v>30</v>
      </c>
      <c r="H8" s="41">
        <v>50</v>
      </c>
      <c r="I8" s="41">
        <v>30</v>
      </c>
      <c r="J8" s="41">
        <v>60</v>
      </c>
      <c r="K8" s="41"/>
      <c r="L8" s="41">
        <v>10</v>
      </c>
      <c r="M8" s="41"/>
      <c r="N8" s="41"/>
      <c r="O8" s="41"/>
      <c r="P8" s="41"/>
      <c r="Q8" s="41"/>
      <c r="R8" s="41"/>
      <c r="S8" s="41">
        <v>15</v>
      </c>
      <c r="T8" s="41"/>
      <c r="V8" s="41"/>
      <c r="W8" s="41"/>
      <c r="X8" s="41"/>
      <c r="Y8" s="41"/>
      <c r="Z8" s="41"/>
      <c r="AA8" s="41">
        <v>15</v>
      </c>
      <c r="AB8" s="41"/>
      <c r="AC8" s="41"/>
      <c r="AD8" s="41"/>
      <c r="AE8" s="41"/>
      <c r="AF8" s="41">
        <v>0</v>
      </c>
      <c r="AG8" s="41">
        <v>15</v>
      </c>
      <c r="AH8" s="51">
        <f t="shared" si="0"/>
        <v>285</v>
      </c>
      <c r="AI8" s="37">
        <f>'Budget 2016'!C6</f>
        <v>375</v>
      </c>
      <c r="AJ8" s="46">
        <f t="shared" si="1"/>
        <v>90</v>
      </c>
    </row>
    <row r="9" spans="1:39" ht="15" x14ac:dyDescent="0.25">
      <c r="B9" s="39" t="s">
        <v>58</v>
      </c>
      <c r="C9" s="41"/>
      <c r="D9" s="41">
        <v>15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>
        <v>100</v>
      </c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>
        <v>0</v>
      </c>
      <c r="AG9" s="41"/>
      <c r="AH9" s="51">
        <f t="shared" si="0"/>
        <v>115</v>
      </c>
      <c r="AI9" s="37">
        <f>'Budget 2016'!C7</f>
        <v>750</v>
      </c>
      <c r="AJ9" s="46">
        <f t="shared" si="1"/>
        <v>635</v>
      </c>
    </row>
    <row r="10" spans="1:39" ht="15" x14ac:dyDescent="0.25">
      <c r="B10" s="39" t="s">
        <v>16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>
        <v>50</v>
      </c>
      <c r="R10" s="41"/>
      <c r="S10" s="41"/>
      <c r="T10" s="41"/>
      <c r="V10" s="41"/>
      <c r="W10" s="41">
        <v>100</v>
      </c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51">
        <f t="shared" si="0"/>
        <v>150</v>
      </c>
      <c r="AI10" s="37">
        <f>'Budget 2016'!C8</f>
        <v>130</v>
      </c>
      <c r="AJ10" s="46">
        <f t="shared" si="1"/>
        <v>-20</v>
      </c>
    </row>
    <row r="11" spans="1:39" ht="15" x14ac:dyDescent="0.25">
      <c r="B11" s="39" t="s">
        <v>53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>
        <v>50</v>
      </c>
      <c r="N11" s="41"/>
      <c r="O11" s="41"/>
      <c r="P11" s="41"/>
      <c r="Q11" s="41">
        <v>200</v>
      </c>
      <c r="R11" s="41"/>
      <c r="S11" s="41"/>
      <c r="T11" s="41">
        <v>100</v>
      </c>
      <c r="V11" s="41"/>
      <c r="W11" s="41"/>
      <c r="X11" s="41">
        <v>15</v>
      </c>
      <c r="Y11" s="41"/>
      <c r="Z11" s="41"/>
      <c r="AA11" s="41"/>
      <c r="AB11" s="41"/>
      <c r="AC11" s="41"/>
      <c r="AD11" s="41"/>
      <c r="AE11" s="41">
        <v>20</v>
      </c>
      <c r="AF11" s="41"/>
      <c r="AG11" s="41"/>
      <c r="AH11" s="51">
        <f t="shared" si="0"/>
        <v>385</v>
      </c>
      <c r="AI11" s="37">
        <f>'Budget 2016'!C9</f>
        <v>500</v>
      </c>
      <c r="AJ11" s="46">
        <f t="shared" si="1"/>
        <v>115</v>
      </c>
    </row>
    <row r="12" spans="1:39" x14ac:dyDescent="0.3">
      <c r="A12" s="36"/>
      <c r="B12" s="39" t="s">
        <v>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V12" s="41"/>
      <c r="W12" s="41"/>
      <c r="X12" s="41"/>
      <c r="Y12" s="41"/>
      <c r="Z12" s="41"/>
      <c r="AA12" s="41">
        <v>300</v>
      </c>
      <c r="AB12" s="41"/>
      <c r="AC12" s="41"/>
      <c r="AD12" s="41"/>
      <c r="AE12" s="41"/>
      <c r="AF12" s="41">
        <v>0</v>
      </c>
      <c r="AG12" s="41"/>
      <c r="AH12" s="51">
        <f t="shared" si="0"/>
        <v>300</v>
      </c>
      <c r="AI12" s="37">
        <f>'Budget 2016'!C10</f>
        <v>600</v>
      </c>
      <c r="AJ12" s="46">
        <f t="shared" si="1"/>
        <v>300</v>
      </c>
    </row>
    <row r="13" spans="1:39" ht="15" x14ac:dyDescent="0.25">
      <c r="B13" s="42" t="s">
        <v>62</v>
      </c>
      <c r="C13" s="50">
        <f>SUM(C5:C12)</f>
        <v>15</v>
      </c>
      <c r="D13" s="50">
        <f t="shared" ref="D13:AG13" si="2">SUM(D5:D12)</f>
        <v>15</v>
      </c>
      <c r="E13" s="50">
        <f t="shared" si="2"/>
        <v>15</v>
      </c>
      <c r="F13" s="50">
        <f t="shared" si="2"/>
        <v>30</v>
      </c>
      <c r="G13" s="50">
        <f t="shared" si="2"/>
        <v>30</v>
      </c>
      <c r="H13" s="50">
        <f t="shared" si="2"/>
        <v>50</v>
      </c>
      <c r="I13" s="50">
        <f t="shared" si="2"/>
        <v>30</v>
      </c>
      <c r="J13" s="50">
        <f t="shared" si="2"/>
        <v>60</v>
      </c>
      <c r="K13" s="50">
        <f t="shared" si="2"/>
        <v>0</v>
      </c>
      <c r="L13" s="50">
        <f t="shared" si="2"/>
        <v>10</v>
      </c>
      <c r="M13" s="50">
        <f t="shared" si="2"/>
        <v>150</v>
      </c>
      <c r="N13" s="50">
        <f t="shared" si="2"/>
        <v>0</v>
      </c>
      <c r="O13" s="50">
        <f t="shared" si="2"/>
        <v>0</v>
      </c>
      <c r="P13" s="50">
        <f t="shared" si="2"/>
        <v>0</v>
      </c>
      <c r="Q13" s="50">
        <f t="shared" si="2"/>
        <v>400</v>
      </c>
      <c r="R13" s="50">
        <f t="shared" si="2"/>
        <v>0</v>
      </c>
      <c r="S13" s="50">
        <f t="shared" si="2"/>
        <v>15</v>
      </c>
      <c r="T13" s="50">
        <f t="shared" si="2"/>
        <v>500</v>
      </c>
      <c r="U13" s="50">
        <f t="shared" si="2"/>
        <v>0</v>
      </c>
      <c r="V13" s="50">
        <f t="shared" ref="V13:AB13" si="3">SUM(V5:V12)</f>
        <v>0</v>
      </c>
      <c r="W13" s="50">
        <f t="shared" si="3"/>
        <v>100</v>
      </c>
      <c r="X13" s="50">
        <f t="shared" si="3"/>
        <v>15</v>
      </c>
      <c r="Y13" s="50">
        <f t="shared" si="3"/>
        <v>0</v>
      </c>
      <c r="Z13" s="50">
        <f t="shared" si="3"/>
        <v>0</v>
      </c>
      <c r="AA13" s="50">
        <f t="shared" si="3"/>
        <v>1115</v>
      </c>
      <c r="AB13" s="50">
        <f t="shared" si="3"/>
        <v>0</v>
      </c>
      <c r="AC13" s="50">
        <f t="shared" si="2"/>
        <v>0</v>
      </c>
      <c r="AD13" s="50">
        <f t="shared" si="2"/>
        <v>0</v>
      </c>
      <c r="AE13" s="50">
        <f t="shared" si="2"/>
        <v>20</v>
      </c>
      <c r="AF13" s="50">
        <f t="shared" si="2"/>
        <v>0</v>
      </c>
      <c r="AG13" s="50">
        <f t="shared" si="2"/>
        <v>15</v>
      </c>
      <c r="AH13" s="51">
        <f>SUM(C13:AG13)</f>
        <v>2585</v>
      </c>
      <c r="AI13" s="45">
        <f>SUM(AI5:AI12)</f>
        <v>4455</v>
      </c>
      <c r="AJ13" s="47">
        <f>SUM(AJ5:AJ12)</f>
        <v>1870</v>
      </c>
    </row>
    <row r="14" spans="1:39" ht="6" customHeight="1" x14ac:dyDescent="0.25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39" ht="15" x14ac:dyDescent="0.25">
      <c r="A15" s="36"/>
      <c r="B15" s="2" t="s">
        <v>18</v>
      </c>
      <c r="C15" s="4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51">
        <f>SUM(C15:AG15)</f>
        <v>0</v>
      </c>
      <c r="AI15" s="37">
        <f>'Budget 2016'!C14</f>
        <v>25</v>
      </c>
      <c r="AJ15" s="46">
        <f t="shared" ref="AJ15:AJ38" si="4">AI15-AH15</f>
        <v>25</v>
      </c>
    </row>
    <row r="16" spans="1:39" ht="15" x14ac:dyDescent="0.25">
      <c r="A16" s="36"/>
      <c r="B16" s="2" t="s">
        <v>17</v>
      </c>
      <c r="C16" s="41"/>
      <c r="D16" s="2"/>
      <c r="E16" s="2"/>
      <c r="F16" s="2">
        <v>40</v>
      </c>
      <c r="G16" s="2">
        <v>7</v>
      </c>
      <c r="H16" s="2"/>
      <c r="I16" s="2"/>
      <c r="J16" s="2"/>
      <c r="K16" s="2"/>
      <c r="L16" s="2"/>
      <c r="M16" s="2"/>
      <c r="N16" s="2"/>
      <c r="O16" s="2">
        <v>15</v>
      </c>
      <c r="P16" s="2"/>
      <c r="Q16" s="2"/>
      <c r="R16" s="2">
        <v>1</v>
      </c>
      <c r="S16" s="2"/>
      <c r="T16" s="2"/>
      <c r="V16" s="2"/>
      <c r="W16" s="2">
        <v>45</v>
      </c>
      <c r="X16" s="2"/>
      <c r="Y16" s="2"/>
      <c r="Z16" s="2"/>
      <c r="AA16" s="2">
        <v>100</v>
      </c>
      <c r="AB16" s="2">
        <v>40</v>
      </c>
      <c r="AC16" s="2"/>
      <c r="AD16" s="2"/>
      <c r="AE16" s="2"/>
      <c r="AF16" s="2"/>
      <c r="AG16" s="2"/>
      <c r="AH16" s="51">
        <f t="shared" ref="AH16:AH36" si="5">SUM(C16:AG16)</f>
        <v>248</v>
      </c>
      <c r="AI16" s="37">
        <f>'Budget 2016'!C15</f>
        <v>182</v>
      </c>
      <c r="AJ16" s="46">
        <f t="shared" si="4"/>
        <v>-66</v>
      </c>
    </row>
    <row r="17" spans="1:39" ht="15" x14ac:dyDescent="0.25">
      <c r="A17" s="36"/>
      <c r="B17" s="2" t="s">
        <v>36</v>
      </c>
      <c r="C17" s="4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>
        <v>20</v>
      </c>
      <c r="P17" s="2"/>
      <c r="Q17" s="2"/>
      <c r="R17" s="2">
        <v>10</v>
      </c>
      <c r="S17" s="2"/>
      <c r="T17" s="2"/>
      <c r="V17" s="2"/>
      <c r="W17" s="2"/>
      <c r="X17" s="2"/>
      <c r="Y17" s="2"/>
      <c r="Z17" s="2"/>
      <c r="AA17" s="2"/>
      <c r="AB17" s="2"/>
      <c r="AC17" s="2"/>
      <c r="AD17" s="2">
        <v>10</v>
      </c>
      <c r="AE17" s="2"/>
      <c r="AF17" s="2"/>
      <c r="AG17" s="2"/>
      <c r="AH17" s="51">
        <f t="shared" si="5"/>
        <v>40</v>
      </c>
      <c r="AI17" s="37">
        <f>'Budget 2016'!C16</f>
        <v>0</v>
      </c>
      <c r="AJ17" s="46">
        <f t="shared" si="4"/>
        <v>-40</v>
      </c>
    </row>
    <row r="18" spans="1:39" ht="15" x14ac:dyDescent="0.25">
      <c r="A18" s="36"/>
      <c r="B18" s="2" t="s">
        <v>49</v>
      </c>
      <c r="C18" s="4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51">
        <f t="shared" si="5"/>
        <v>0</v>
      </c>
      <c r="AI18" s="37">
        <f>'Budget 2016'!C17</f>
        <v>90</v>
      </c>
      <c r="AJ18" s="46">
        <f t="shared" si="4"/>
        <v>90</v>
      </c>
    </row>
    <row r="19" spans="1:39" x14ac:dyDescent="0.3">
      <c r="A19" s="36"/>
      <c r="B19" s="2" t="s">
        <v>48</v>
      </c>
      <c r="C19" s="41"/>
      <c r="D19" s="2">
        <v>59.25</v>
      </c>
      <c r="E19" s="2"/>
      <c r="F19" s="2"/>
      <c r="G19" s="2">
        <v>217.25</v>
      </c>
      <c r="H19" s="2"/>
      <c r="I19" s="2"/>
      <c r="J19" s="2"/>
      <c r="K19" s="2">
        <v>57</v>
      </c>
      <c r="L19" s="2"/>
      <c r="M19" s="2"/>
      <c r="N19" s="2"/>
      <c r="O19" s="2"/>
      <c r="P19" s="2">
        <v>39.5</v>
      </c>
      <c r="Q19" s="2"/>
      <c r="R19" s="2">
        <v>394.5</v>
      </c>
      <c r="S19" s="2"/>
      <c r="T19" s="2"/>
      <c r="V19" s="2"/>
      <c r="W19" s="2">
        <v>78.900000000000006</v>
      </c>
      <c r="X19" s="2"/>
      <c r="Y19" s="2"/>
      <c r="Z19" s="2"/>
      <c r="AA19" s="2"/>
      <c r="AB19" s="2"/>
      <c r="AC19" s="2">
        <v>355</v>
      </c>
      <c r="AD19" s="2"/>
      <c r="AE19" s="2"/>
      <c r="AF19" s="2">
        <v>0</v>
      </c>
      <c r="AG19" s="2"/>
      <c r="AH19" s="51">
        <f t="shared" si="5"/>
        <v>1201.4000000000001</v>
      </c>
      <c r="AI19" s="37">
        <f>'Budget 2016'!C18</f>
        <v>667.25</v>
      </c>
      <c r="AJ19" s="46">
        <f t="shared" si="4"/>
        <v>-534.15000000000009</v>
      </c>
    </row>
    <row r="20" spans="1:39" ht="15" x14ac:dyDescent="0.25">
      <c r="A20" s="36"/>
      <c r="B20" s="2" t="s">
        <v>5</v>
      </c>
      <c r="C20" s="4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V20" s="2"/>
      <c r="W20" s="2"/>
      <c r="X20" s="2"/>
      <c r="Y20" s="2"/>
      <c r="Z20" s="2"/>
      <c r="AA20" s="2"/>
      <c r="AB20" s="2"/>
      <c r="AC20" s="2"/>
      <c r="AD20" s="2"/>
      <c r="AE20" s="2">
        <v>1.25</v>
      </c>
      <c r="AF20" s="2"/>
      <c r="AG20" s="2"/>
      <c r="AH20" s="51">
        <f t="shared" si="5"/>
        <v>1.25</v>
      </c>
      <c r="AI20" s="37">
        <f>'Budget 2016'!C19</f>
        <v>10</v>
      </c>
      <c r="AJ20" s="46">
        <f t="shared" si="4"/>
        <v>8.75</v>
      </c>
    </row>
    <row r="21" spans="1:39" x14ac:dyDescent="0.3">
      <c r="A21" s="36"/>
      <c r="B21" s="2" t="s">
        <v>4</v>
      </c>
      <c r="C21" s="4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>
        <v>35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51">
        <f t="shared" si="5"/>
        <v>35</v>
      </c>
      <c r="AI21" s="37">
        <f>'Budget 2016'!C20</f>
        <v>130</v>
      </c>
      <c r="AJ21" s="46">
        <f t="shared" si="4"/>
        <v>95</v>
      </c>
    </row>
    <row r="22" spans="1:39" ht="15" x14ac:dyDescent="0.25">
      <c r="A22" s="36"/>
      <c r="B22" s="2" t="s">
        <v>7</v>
      </c>
      <c r="C22" s="41"/>
      <c r="D22" s="2">
        <v>35</v>
      </c>
      <c r="E22" s="2">
        <v>45</v>
      </c>
      <c r="F22" s="2"/>
      <c r="G22" s="2">
        <v>35</v>
      </c>
      <c r="H22" s="2">
        <v>35</v>
      </c>
      <c r="I22" s="2">
        <v>35</v>
      </c>
      <c r="J22" s="2">
        <v>35</v>
      </c>
      <c r="K22" s="2">
        <v>53</v>
      </c>
      <c r="L22" s="2">
        <v>35</v>
      </c>
      <c r="M22" s="2"/>
      <c r="N22" s="2">
        <v>35</v>
      </c>
      <c r="O22" s="2"/>
      <c r="P22" s="2"/>
      <c r="Q22" s="2">
        <v>20</v>
      </c>
      <c r="R22" s="2"/>
      <c r="S22" s="2">
        <v>70</v>
      </c>
      <c r="T22" s="2"/>
      <c r="V22" s="2">
        <v>35</v>
      </c>
      <c r="W22" s="2">
        <v>53</v>
      </c>
      <c r="X22" s="2">
        <v>35</v>
      </c>
      <c r="Y22" s="2">
        <v>35</v>
      </c>
      <c r="Z22" s="2">
        <v>45</v>
      </c>
      <c r="AA22" s="2"/>
      <c r="AB22" s="2">
        <v>35</v>
      </c>
      <c r="AC22" s="2">
        <v>53</v>
      </c>
      <c r="AD22" s="2">
        <v>35</v>
      </c>
      <c r="AE22" s="2">
        <v>35</v>
      </c>
      <c r="AF22" s="2"/>
      <c r="AG22" s="2">
        <v>35</v>
      </c>
      <c r="AH22" s="51">
        <f t="shared" si="5"/>
        <v>829</v>
      </c>
      <c r="AI22" s="37">
        <f>'Budget 2016'!C21</f>
        <v>1170</v>
      </c>
      <c r="AJ22" s="46">
        <f t="shared" si="4"/>
        <v>341</v>
      </c>
    </row>
    <row r="23" spans="1:39" x14ac:dyDescent="0.3">
      <c r="A23" s="36"/>
      <c r="B23" s="2" t="s">
        <v>24</v>
      </c>
      <c r="C23" s="4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51">
        <f t="shared" si="5"/>
        <v>0</v>
      </c>
      <c r="AI23" s="37">
        <f>'Budget 2016'!C22</f>
        <v>170</v>
      </c>
      <c r="AJ23" s="46">
        <f t="shared" si="4"/>
        <v>170</v>
      </c>
    </row>
    <row r="24" spans="1:39" ht="15" x14ac:dyDescent="0.25">
      <c r="A24" s="36"/>
      <c r="B24" s="2" t="s">
        <v>23</v>
      </c>
      <c r="C24" s="4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51">
        <f t="shared" si="5"/>
        <v>0</v>
      </c>
      <c r="AI24" s="37">
        <f>'Budget 2016'!C23</f>
        <v>40</v>
      </c>
      <c r="AJ24" s="46">
        <f t="shared" si="4"/>
        <v>40</v>
      </c>
    </row>
    <row r="25" spans="1:39" ht="15" x14ac:dyDescent="0.25">
      <c r="A25" s="36"/>
      <c r="B25" s="2" t="s">
        <v>11</v>
      </c>
      <c r="C25" s="41"/>
      <c r="D25" s="2"/>
      <c r="E25" s="2"/>
      <c r="F25" s="2">
        <v>450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V25" s="2"/>
      <c r="W25" s="2">
        <v>594</v>
      </c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51">
        <f t="shared" si="5"/>
        <v>1044</v>
      </c>
      <c r="AI25" s="37">
        <f>'Budget 2016'!C24</f>
        <v>450</v>
      </c>
      <c r="AJ25" s="46">
        <f t="shared" si="4"/>
        <v>-594</v>
      </c>
    </row>
    <row r="26" spans="1:39" ht="15" x14ac:dyDescent="0.25">
      <c r="A26" s="36"/>
      <c r="B26" s="2" t="s">
        <v>50</v>
      </c>
      <c r="C26" s="41">
        <v>10</v>
      </c>
      <c r="D26" s="2">
        <v>25</v>
      </c>
      <c r="E26" s="2">
        <v>15</v>
      </c>
      <c r="F26" s="2">
        <v>6</v>
      </c>
      <c r="G26" s="2">
        <v>20</v>
      </c>
      <c r="H26" s="2">
        <v>19.7</v>
      </c>
      <c r="I26" s="2">
        <v>18</v>
      </c>
      <c r="J26" s="2">
        <v>35</v>
      </c>
      <c r="K26" s="2">
        <v>16</v>
      </c>
      <c r="L26" s="2">
        <v>17</v>
      </c>
      <c r="M26" s="2"/>
      <c r="N26" s="2">
        <v>17</v>
      </c>
      <c r="O26" s="2"/>
      <c r="P26" s="2">
        <v>11</v>
      </c>
      <c r="Q26" s="2">
        <v>5</v>
      </c>
      <c r="R26" s="2">
        <v>17</v>
      </c>
      <c r="S26" s="2">
        <v>22.45</v>
      </c>
      <c r="T26" s="2"/>
      <c r="V26" s="2">
        <v>11</v>
      </c>
      <c r="W26" s="2">
        <v>11.09</v>
      </c>
      <c r="X26" s="2">
        <v>11</v>
      </c>
      <c r="Y26" s="2">
        <v>20.5</v>
      </c>
      <c r="Z26" s="2">
        <v>9.7899999999999991</v>
      </c>
      <c r="AA26" s="2">
        <v>15</v>
      </c>
      <c r="AB26" s="2">
        <v>9.5299999999999994</v>
      </c>
      <c r="AC26" s="2">
        <v>7</v>
      </c>
      <c r="AD26" s="2">
        <v>15</v>
      </c>
      <c r="AE26" s="2">
        <v>23.89</v>
      </c>
      <c r="AF26" s="2"/>
      <c r="AG26" s="2">
        <v>16</v>
      </c>
      <c r="AH26" s="51">
        <f t="shared" si="5"/>
        <v>403.94999999999993</v>
      </c>
      <c r="AI26" s="37">
        <f>'Budget 2016'!C25</f>
        <v>600</v>
      </c>
      <c r="AJ26" s="46">
        <f t="shared" si="4"/>
        <v>196.05000000000007</v>
      </c>
    </row>
    <row r="27" spans="1:39" ht="15" x14ac:dyDescent="0.25">
      <c r="A27" s="36"/>
      <c r="B27" s="2" t="s">
        <v>32</v>
      </c>
      <c r="C27" s="41"/>
      <c r="D27" s="2">
        <v>20</v>
      </c>
      <c r="E27" s="2">
        <v>20</v>
      </c>
      <c r="F27" s="2"/>
      <c r="G27" s="2">
        <v>20</v>
      </c>
      <c r="H27" s="2">
        <v>20</v>
      </c>
      <c r="I27" s="2">
        <v>20</v>
      </c>
      <c r="J27" s="2">
        <v>20</v>
      </c>
      <c r="K27" s="2">
        <v>20</v>
      </c>
      <c r="L27" s="2">
        <v>20</v>
      </c>
      <c r="M27" s="2"/>
      <c r="N27" s="2">
        <v>20</v>
      </c>
      <c r="O27" s="2"/>
      <c r="P27" s="2"/>
      <c r="Q27" s="2"/>
      <c r="R27" s="2">
        <v>20</v>
      </c>
      <c r="S27" s="2">
        <v>20</v>
      </c>
      <c r="T27" s="2"/>
      <c r="V27" s="2">
        <v>20</v>
      </c>
      <c r="W27" s="2">
        <v>20</v>
      </c>
      <c r="X27" s="2">
        <v>20</v>
      </c>
      <c r="Y27" s="2">
        <v>20</v>
      </c>
      <c r="Z27" s="2">
        <v>20</v>
      </c>
      <c r="AA27" s="2"/>
      <c r="AB27" s="2">
        <v>20</v>
      </c>
      <c r="AC27" s="2">
        <v>20</v>
      </c>
      <c r="AD27" s="2">
        <v>20</v>
      </c>
      <c r="AE27" s="2">
        <v>20</v>
      </c>
      <c r="AF27" s="2"/>
      <c r="AG27" s="2">
        <v>20</v>
      </c>
      <c r="AH27" s="51">
        <f t="shared" si="5"/>
        <v>420</v>
      </c>
      <c r="AI27" s="37">
        <f>'Budget 2016'!C26</f>
        <v>520</v>
      </c>
      <c r="AJ27" s="46">
        <f t="shared" si="4"/>
        <v>100</v>
      </c>
    </row>
    <row r="28" spans="1:39" ht="15" x14ac:dyDescent="0.25">
      <c r="A28" s="36"/>
      <c r="B28" s="31" t="s">
        <v>19</v>
      </c>
      <c r="C28" s="41"/>
      <c r="D28" s="2">
        <v>5</v>
      </c>
      <c r="E28" s="2">
        <v>5</v>
      </c>
      <c r="F28" s="2"/>
      <c r="G28" s="2">
        <v>5</v>
      </c>
      <c r="H28" s="2">
        <v>5</v>
      </c>
      <c r="I28" s="2">
        <v>5</v>
      </c>
      <c r="J28" s="2">
        <v>5</v>
      </c>
      <c r="K28" s="2">
        <v>5</v>
      </c>
      <c r="L28" s="2">
        <v>5</v>
      </c>
      <c r="M28" s="2"/>
      <c r="N28" s="2">
        <v>5</v>
      </c>
      <c r="O28" s="2"/>
      <c r="P28" s="2"/>
      <c r="Q28" s="2"/>
      <c r="R28" s="2">
        <v>5</v>
      </c>
      <c r="S28" s="2">
        <v>5</v>
      </c>
      <c r="T28" s="2"/>
      <c r="V28" s="2">
        <v>5</v>
      </c>
      <c r="W28" s="2">
        <v>5</v>
      </c>
      <c r="X28" s="2">
        <v>5</v>
      </c>
      <c r="Y28" s="2">
        <v>5</v>
      </c>
      <c r="Z28" s="2">
        <v>5</v>
      </c>
      <c r="AA28" s="2"/>
      <c r="AB28" s="2">
        <v>5</v>
      </c>
      <c r="AC28" s="2">
        <v>5</v>
      </c>
      <c r="AD28" s="2">
        <v>5</v>
      </c>
      <c r="AE28" s="2">
        <v>5</v>
      </c>
      <c r="AF28" s="2"/>
      <c r="AG28" s="2">
        <v>5</v>
      </c>
      <c r="AH28" s="51">
        <f>SUM(C28:AG28)</f>
        <v>105</v>
      </c>
      <c r="AI28" s="37">
        <f>'Budget 2016'!C28</f>
        <v>23.833333333333332</v>
      </c>
      <c r="AJ28" s="46">
        <f>AI28-AH28</f>
        <v>-81.166666666666671</v>
      </c>
    </row>
    <row r="29" spans="1:39" ht="15" x14ac:dyDescent="0.25">
      <c r="A29" s="36"/>
      <c r="B29" s="2" t="s">
        <v>69</v>
      </c>
      <c r="C29" s="41">
        <v>10</v>
      </c>
      <c r="D29" s="2">
        <v>83.5</v>
      </c>
      <c r="E29" s="2">
        <v>92</v>
      </c>
      <c r="F29" s="2">
        <v>48.4</v>
      </c>
      <c r="G29" s="2">
        <v>25.15</v>
      </c>
      <c r="H29" s="2">
        <v>14</v>
      </c>
      <c r="I29" s="2"/>
      <c r="J29" s="2">
        <v>12.25</v>
      </c>
      <c r="K29" s="2">
        <v>2</v>
      </c>
      <c r="L29" s="2"/>
      <c r="M29" s="2"/>
      <c r="N29" s="2"/>
      <c r="O29" s="2">
        <v>6</v>
      </c>
      <c r="P29" s="2">
        <v>4</v>
      </c>
      <c r="Q29" s="2">
        <v>16</v>
      </c>
      <c r="R29" s="2">
        <v>3.57</v>
      </c>
      <c r="S29" s="2"/>
      <c r="T29" s="2"/>
      <c r="U29" s="57">
        <v>38</v>
      </c>
      <c r="V29" s="2"/>
      <c r="W29" s="2">
        <v>2.15</v>
      </c>
      <c r="X29" s="2"/>
      <c r="Y29" s="2"/>
      <c r="Z29" s="2">
        <v>14.65</v>
      </c>
      <c r="AA29" s="2">
        <v>20</v>
      </c>
      <c r="AB29" s="2"/>
      <c r="AC29" s="2">
        <v>5</v>
      </c>
      <c r="AD29" s="2"/>
      <c r="AE29" s="2"/>
      <c r="AF29" s="2">
        <v>10</v>
      </c>
      <c r="AG29" s="2"/>
      <c r="AH29" s="51">
        <f>SUM(C29:AG29)</f>
        <v>406.66999999999996</v>
      </c>
      <c r="AI29" s="37">
        <v>0</v>
      </c>
      <c r="AJ29" s="46">
        <f>AI29-AH29</f>
        <v>-406.66999999999996</v>
      </c>
    </row>
    <row r="30" spans="1:39" x14ac:dyDescent="0.3">
      <c r="A30" s="36"/>
      <c r="B30" s="2" t="s">
        <v>71</v>
      </c>
      <c r="C30" s="41">
        <v>80</v>
      </c>
      <c r="D30" s="2"/>
      <c r="E30" s="2"/>
      <c r="F30" s="2">
        <v>455</v>
      </c>
      <c r="G30" s="2"/>
      <c r="H30" s="2"/>
      <c r="I30" s="2"/>
      <c r="J30" s="2"/>
      <c r="K30" s="2"/>
      <c r="L30" s="2"/>
      <c r="M30" s="2"/>
      <c r="N30" s="2"/>
      <c r="O30" s="2">
        <v>20</v>
      </c>
      <c r="P30" s="2"/>
      <c r="Q30" s="2"/>
      <c r="R30" s="2"/>
      <c r="S30" s="2">
        <v>74</v>
      </c>
      <c r="T30" s="2"/>
      <c r="V30" s="2"/>
      <c r="W30" s="2"/>
      <c r="X30" s="2"/>
      <c r="Y30" s="2"/>
      <c r="Z30" s="2"/>
      <c r="AA30" s="2"/>
      <c r="AB30" s="2">
        <v>10</v>
      </c>
      <c r="AC30" s="2"/>
      <c r="AD30" s="2"/>
      <c r="AE30" s="2"/>
      <c r="AF30" s="2">
        <v>48.75</v>
      </c>
      <c r="AG30" s="2"/>
      <c r="AH30" s="51">
        <f>SUM(C30:AG30)</f>
        <v>687.75</v>
      </c>
      <c r="AI30" s="37">
        <v>0</v>
      </c>
      <c r="AJ30" s="46">
        <f>AI30-AH30</f>
        <v>-687.75</v>
      </c>
    </row>
    <row r="31" spans="1:39" ht="15" x14ac:dyDescent="0.25">
      <c r="A31" s="36"/>
      <c r="B31" s="2" t="s">
        <v>102</v>
      </c>
      <c r="C31" s="4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V31" s="2"/>
      <c r="W31" s="2"/>
      <c r="X31" s="2"/>
      <c r="Y31" s="2"/>
      <c r="Z31" s="2"/>
      <c r="AA31" s="2"/>
      <c r="AB31" s="2"/>
      <c r="AC31" s="2"/>
      <c r="AD31" s="2">
        <v>460</v>
      </c>
      <c r="AE31" s="2">
        <v>440</v>
      </c>
      <c r="AF31" s="2"/>
      <c r="AG31" s="2"/>
      <c r="AH31" s="51">
        <f t="shared" ref="AH31:AH34" si="6">SUM(C31:AG31)</f>
        <v>900</v>
      </c>
      <c r="AI31" s="37">
        <v>0</v>
      </c>
      <c r="AJ31" s="46">
        <f t="shared" ref="AJ31:AJ34" si="7">AI31-AH31</f>
        <v>-900</v>
      </c>
      <c r="AM31" s="73"/>
    </row>
    <row r="32" spans="1:39" ht="15" x14ac:dyDescent="0.25">
      <c r="A32" s="36"/>
      <c r="B32" s="2" t="s">
        <v>103</v>
      </c>
      <c r="C32" s="4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V32" s="2"/>
      <c r="W32" s="2"/>
      <c r="X32" s="2"/>
      <c r="Y32" s="2"/>
      <c r="Z32" s="2"/>
      <c r="AA32" s="2"/>
      <c r="AB32" s="2"/>
      <c r="AC32" s="2"/>
      <c r="AD32" s="2"/>
      <c r="AE32" s="2">
        <f>4*5</f>
        <v>20</v>
      </c>
      <c r="AF32" s="2">
        <f>4*5</f>
        <v>20</v>
      </c>
      <c r="AG32" s="2">
        <f>4*5</f>
        <v>20</v>
      </c>
      <c r="AH32" s="51">
        <f t="shared" si="6"/>
        <v>60</v>
      </c>
      <c r="AI32" s="37">
        <v>0</v>
      </c>
      <c r="AJ32" s="46">
        <f t="shared" si="7"/>
        <v>-60</v>
      </c>
      <c r="AM32" s="73"/>
    </row>
    <row r="33" spans="1:39" ht="15" x14ac:dyDescent="0.25">
      <c r="A33" s="36"/>
      <c r="B33" s="2" t="s">
        <v>105</v>
      </c>
      <c r="C33" s="4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V33" s="2"/>
      <c r="W33" s="2"/>
      <c r="X33" s="2"/>
      <c r="Y33" s="2"/>
      <c r="Z33" s="2"/>
      <c r="AA33" s="2"/>
      <c r="AB33" s="2"/>
      <c r="AC33" s="2"/>
      <c r="AD33" s="2"/>
      <c r="AE33" s="2">
        <v>13</v>
      </c>
      <c r="AF33" s="2"/>
      <c r="AG33" s="2"/>
      <c r="AH33" s="51">
        <f t="shared" si="6"/>
        <v>13</v>
      </c>
      <c r="AI33" s="37">
        <v>0</v>
      </c>
      <c r="AJ33" s="46">
        <f t="shared" si="7"/>
        <v>-13</v>
      </c>
      <c r="AM33" s="73"/>
    </row>
    <row r="34" spans="1:39" x14ac:dyDescent="0.3">
      <c r="A34" s="36"/>
      <c r="B34" s="2" t="s">
        <v>104</v>
      </c>
      <c r="C34" s="4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51">
        <f t="shared" si="6"/>
        <v>0</v>
      </c>
      <c r="AI34" s="37">
        <v>0</v>
      </c>
      <c r="AJ34" s="46">
        <f t="shared" si="7"/>
        <v>0</v>
      </c>
      <c r="AM34" s="73"/>
    </row>
    <row r="35" spans="1:39" ht="15" x14ac:dyDescent="0.25">
      <c r="A35" s="36"/>
      <c r="B35" s="2" t="s">
        <v>132</v>
      </c>
      <c r="C35" s="4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51">
        <f t="shared" si="5"/>
        <v>0</v>
      </c>
      <c r="AI35" s="37">
        <v>0</v>
      </c>
      <c r="AJ35" s="46">
        <f t="shared" si="4"/>
        <v>0</v>
      </c>
    </row>
    <row r="36" spans="1:39" ht="15" x14ac:dyDescent="0.25">
      <c r="A36" s="36"/>
      <c r="B36" s="2" t="s">
        <v>6</v>
      </c>
      <c r="C36" s="4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>
        <v>39.200000000000003</v>
      </c>
      <c r="R36" s="2"/>
      <c r="S36" s="2"/>
      <c r="T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51">
        <f t="shared" si="5"/>
        <v>39.200000000000003</v>
      </c>
      <c r="AI36" s="37">
        <f>'Budget 2016'!C27</f>
        <v>6</v>
      </c>
      <c r="AJ36" s="46">
        <f t="shared" si="4"/>
        <v>-33.200000000000003</v>
      </c>
    </row>
    <row r="37" spans="1:39" ht="15" x14ac:dyDescent="0.25">
      <c r="A37" s="36"/>
      <c r="B37" s="2" t="s">
        <v>70</v>
      </c>
      <c r="C37" s="41">
        <v>50</v>
      </c>
      <c r="D37" s="2"/>
      <c r="E37" s="2"/>
      <c r="F37" s="2">
        <v>50</v>
      </c>
      <c r="G37" s="2"/>
      <c r="H37" s="2"/>
      <c r="I37" s="2"/>
      <c r="J37" s="2"/>
      <c r="K37" s="2"/>
      <c r="L37" s="2"/>
      <c r="M37" s="2"/>
      <c r="N37" s="2"/>
      <c r="O37" s="2"/>
      <c r="P37" s="2">
        <v>50</v>
      </c>
      <c r="Q37" s="2">
        <v>50</v>
      </c>
      <c r="R37" s="2"/>
      <c r="S37" s="2"/>
      <c r="T37" s="2"/>
      <c r="V37" s="2"/>
      <c r="W37" s="2"/>
      <c r="X37" s="2"/>
      <c r="Y37" s="2"/>
      <c r="Z37" s="2"/>
      <c r="AA37" s="2">
        <v>70</v>
      </c>
      <c r="AB37" s="2"/>
      <c r="AC37" s="2"/>
      <c r="AD37" s="2"/>
      <c r="AE37" s="2"/>
      <c r="AF37" s="2"/>
      <c r="AG37" s="2"/>
      <c r="AH37" s="51">
        <f t="shared" ref="AH37" si="8">SUM(C37:AG37)</f>
        <v>270</v>
      </c>
      <c r="AI37" s="37">
        <v>1</v>
      </c>
      <c r="AJ37" s="46">
        <f t="shared" ref="AJ37" si="9">AI37-AH37</f>
        <v>-269</v>
      </c>
      <c r="AM37" s="73"/>
    </row>
    <row r="38" spans="1:39" ht="15" x14ac:dyDescent="0.25">
      <c r="B38" s="20" t="s">
        <v>68</v>
      </c>
      <c r="C38" s="50">
        <f t="shared" ref="C38:AG38" si="10">SUM(C15:C36)</f>
        <v>100</v>
      </c>
      <c r="D38" s="50">
        <f t="shared" si="10"/>
        <v>227.75</v>
      </c>
      <c r="E38" s="50">
        <f t="shared" si="10"/>
        <v>177</v>
      </c>
      <c r="F38" s="50">
        <f t="shared" si="10"/>
        <v>999.4</v>
      </c>
      <c r="G38" s="50">
        <f t="shared" si="10"/>
        <v>329.4</v>
      </c>
      <c r="H38" s="50">
        <f t="shared" si="10"/>
        <v>93.7</v>
      </c>
      <c r="I38" s="50">
        <f t="shared" si="10"/>
        <v>78</v>
      </c>
      <c r="J38" s="50">
        <f t="shared" si="10"/>
        <v>107.25</v>
      </c>
      <c r="K38" s="50">
        <f t="shared" si="10"/>
        <v>153</v>
      </c>
      <c r="L38" s="50">
        <f t="shared" si="10"/>
        <v>77</v>
      </c>
      <c r="M38" s="50">
        <f t="shared" si="10"/>
        <v>0</v>
      </c>
      <c r="N38" s="50">
        <f t="shared" si="10"/>
        <v>77</v>
      </c>
      <c r="O38" s="50">
        <f t="shared" si="10"/>
        <v>61</v>
      </c>
      <c r="P38" s="50">
        <f t="shared" si="10"/>
        <v>54.5</v>
      </c>
      <c r="Q38" s="50">
        <f t="shared" si="10"/>
        <v>80.2</v>
      </c>
      <c r="R38" s="50">
        <f t="shared" si="10"/>
        <v>451.07</v>
      </c>
      <c r="S38" s="50">
        <f t="shared" si="10"/>
        <v>191.45</v>
      </c>
      <c r="T38" s="50">
        <f t="shared" si="10"/>
        <v>35</v>
      </c>
      <c r="U38" s="50">
        <f t="shared" si="10"/>
        <v>38</v>
      </c>
      <c r="V38" s="50">
        <f t="shared" si="10"/>
        <v>71</v>
      </c>
      <c r="W38" s="50">
        <f t="shared" si="10"/>
        <v>809.14</v>
      </c>
      <c r="X38" s="50">
        <f t="shared" si="10"/>
        <v>71</v>
      </c>
      <c r="Y38" s="50">
        <f t="shared" si="10"/>
        <v>80.5</v>
      </c>
      <c r="Z38" s="50">
        <f t="shared" si="10"/>
        <v>94.44</v>
      </c>
      <c r="AA38" s="50">
        <f t="shared" si="10"/>
        <v>135</v>
      </c>
      <c r="AB38" s="50">
        <f t="shared" si="10"/>
        <v>119.53</v>
      </c>
      <c r="AC38" s="50">
        <f t="shared" si="10"/>
        <v>445</v>
      </c>
      <c r="AD38" s="50">
        <f t="shared" si="10"/>
        <v>545</v>
      </c>
      <c r="AE38" s="50">
        <f t="shared" si="10"/>
        <v>558.14</v>
      </c>
      <c r="AF38" s="50">
        <f t="shared" si="10"/>
        <v>78.75</v>
      </c>
      <c r="AG38" s="50">
        <f t="shared" si="10"/>
        <v>96</v>
      </c>
      <c r="AH38" s="51">
        <f>SUM(C38:AG38)</f>
        <v>6434.2199999999993</v>
      </c>
      <c r="AI38" s="37">
        <f>SUM(AI15:AI36)</f>
        <v>4084.0833333333335</v>
      </c>
      <c r="AJ38" s="46">
        <f t="shared" si="4"/>
        <v>-2350.1366666666659</v>
      </c>
    </row>
    <row r="39" spans="1:39" x14ac:dyDescent="0.3">
      <c r="B39" s="44" t="s">
        <v>63</v>
      </c>
      <c r="C39" s="40">
        <f t="shared" ref="C39:AJ39" si="11">C13+C38</f>
        <v>115</v>
      </c>
      <c r="D39" s="40">
        <f t="shared" si="11"/>
        <v>242.75</v>
      </c>
      <c r="E39" s="40">
        <f t="shared" si="11"/>
        <v>192</v>
      </c>
      <c r="F39" s="40">
        <f t="shared" si="11"/>
        <v>1029.4000000000001</v>
      </c>
      <c r="G39" s="40">
        <f t="shared" si="11"/>
        <v>359.4</v>
      </c>
      <c r="H39" s="40">
        <f t="shared" si="11"/>
        <v>143.69999999999999</v>
      </c>
      <c r="I39" s="40">
        <f t="shared" si="11"/>
        <v>108</v>
      </c>
      <c r="J39" s="40">
        <f t="shared" si="11"/>
        <v>167.25</v>
      </c>
      <c r="K39" s="40">
        <f t="shared" si="11"/>
        <v>153</v>
      </c>
      <c r="L39" s="40">
        <f t="shared" si="11"/>
        <v>87</v>
      </c>
      <c r="M39" s="40">
        <f t="shared" si="11"/>
        <v>150</v>
      </c>
      <c r="N39" s="40">
        <f t="shared" si="11"/>
        <v>77</v>
      </c>
      <c r="O39" s="40">
        <f t="shared" si="11"/>
        <v>61</v>
      </c>
      <c r="P39" s="40">
        <f t="shared" si="11"/>
        <v>54.5</v>
      </c>
      <c r="Q39" s="40">
        <f t="shared" si="11"/>
        <v>480.2</v>
      </c>
      <c r="R39" s="40">
        <f t="shared" si="11"/>
        <v>451.07</v>
      </c>
      <c r="S39" s="40">
        <f t="shared" si="11"/>
        <v>206.45</v>
      </c>
      <c r="T39" s="40">
        <f t="shared" si="11"/>
        <v>535</v>
      </c>
      <c r="U39" s="40">
        <f t="shared" ref="U39" si="12">U13+U38</f>
        <v>38</v>
      </c>
      <c r="V39" s="40">
        <f t="shared" ref="V39:AB39" si="13">V13+V38</f>
        <v>71</v>
      </c>
      <c r="W39" s="40">
        <f t="shared" si="13"/>
        <v>909.14</v>
      </c>
      <c r="X39" s="40">
        <f t="shared" si="13"/>
        <v>86</v>
      </c>
      <c r="Y39" s="40">
        <f t="shared" si="13"/>
        <v>80.5</v>
      </c>
      <c r="Z39" s="40">
        <f t="shared" si="13"/>
        <v>94.44</v>
      </c>
      <c r="AA39" s="40">
        <f t="shared" si="13"/>
        <v>1250</v>
      </c>
      <c r="AB39" s="40">
        <f t="shared" si="13"/>
        <v>119.53</v>
      </c>
      <c r="AC39" s="40">
        <f t="shared" si="11"/>
        <v>445</v>
      </c>
      <c r="AD39" s="40">
        <f t="shared" si="11"/>
        <v>545</v>
      </c>
      <c r="AE39" s="40">
        <f t="shared" si="11"/>
        <v>578.14</v>
      </c>
      <c r="AF39" s="40">
        <f t="shared" si="11"/>
        <v>78.75</v>
      </c>
      <c r="AG39" s="40">
        <f t="shared" si="11"/>
        <v>111</v>
      </c>
      <c r="AH39" s="40">
        <f t="shared" si="11"/>
        <v>9019.2199999999993</v>
      </c>
      <c r="AI39" s="40">
        <f t="shared" si="11"/>
        <v>8539.0833333333339</v>
      </c>
      <c r="AJ39" s="40">
        <f t="shared" si="11"/>
        <v>-480.13666666666586</v>
      </c>
    </row>
    <row r="42" spans="1:39" x14ac:dyDescent="0.3">
      <c r="A42" s="2" t="s">
        <v>87</v>
      </c>
      <c r="B42" s="35" t="s">
        <v>72</v>
      </c>
      <c r="C42" s="53">
        <f>C4</f>
        <v>42552</v>
      </c>
      <c r="D42" s="53">
        <f t="shared" ref="D42:AG42" si="14">D4</f>
        <v>42553</v>
      </c>
      <c r="E42" s="53">
        <f t="shared" si="14"/>
        <v>42554</v>
      </c>
      <c r="F42" s="53">
        <f t="shared" si="14"/>
        <v>42555</v>
      </c>
      <c r="G42" s="53">
        <f t="shared" si="14"/>
        <v>42556</v>
      </c>
      <c r="H42" s="53">
        <f t="shared" si="14"/>
        <v>42557</v>
      </c>
      <c r="I42" s="53">
        <f t="shared" si="14"/>
        <v>42558</v>
      </c>
      <c r="J42" s="53">
        <f t="shared" si="14"/>
        <v>42559</v>
      </c>
      <c r="K42" s="53">
        <f t="shared" si="14"/>
        <v>42560</v>
      </c>
      <c r="L42" s="53">
        <f t="shared" si="14"/>
        <v>42561</v>
      </c>
      <c r="M42" s="53">
        <f t="shared" si="14"/>
        <v>42562</v>
      </c>
      <c r="N42" s="53">
        <f t="shared" si="14"/>
        <v>42563</v>
      </c>
      <c r="O42" s="53">
        <f t="shared" si="14"/>
        <v>42564</v>
      </c>
      <c r="P42" s="53">
        <f t="shared" si="14"/>
        <v>42565</v>
      </c>
      <c r="Q42" s="53">
        <f t="shared" si="14"/>
        <v>42566</v>
      </c>
      <c r="R42" s="53">
        <f t="shared" si="14"/>
        <v>42567</v>
      </c>
      <c r="S42" s="53">
        <f t="shared" si="14"/>
        <v>42568</v>
      </c>
      <c r="T42" s="53">
        <f t="shared" si="14"/>
        <v>42569</v>
      </c>
      <c r="U42" s="53">
        <f t="shared" si="14"/>
        <v>42570</v>
      </c>
      <c r="V42" s="53">
        <f t="shared" si="14"/>
        <v>42571</v>
      </c>
      <c r="W42" s="53">
        <f t="shared" si="14"/>
        <v>42572</v>
      </c>
      <c r="X42" s="53">
        <f t="shared" si="14"/>
        <v>42573</v>
      </c>
      <c r="Y42" s="53">
        <f t="shared" si="14"/>
        <v>42574</v>
      </c>
      <c r="Z42" s="53">
        <f t="shared" si="14"/>
        <v>42575</v>
      </c>
      <c r="AA42" s="53">
        <f t="shared" si="14"/>
        <v>42576</v>
      </c>
      <c r="AB42" s="53">
        <f t="shared" si="14"/>
        <v>42577</v>
      </c>
      <c r="AC42" s="53">
        <f t="shared" si="14"/>
        <v>42578</v>
      </c>
      <c r="AD42" s="53">
        <f t="shared" si="14"/>
        <v>42579</v>
      </c>
      <c r="AE42" s="53">
        <f t="shared" si="14"/>
        <v>42580</v>
      </c>
      <c r="AF42" s="53">
        <f t="shared" si="14"/>
        <v>42581</v>
      </c>
      <c r="AG42" s="53">
        <f t="shared" si="14"/>
        <v>42582</v>
      </c>
      <c r="AH42" s="43" t="s">
        <v>64</v>
      </c>
      <c r="AI42" s="65" t="s">
        <v>93</v>
      </c>
      <c r="AJ42" s="65" t="s">
        <v>94</v>
      </c>
      <c r="AK42" s="65" t="s">
        <v>95</v>
      </c>
      <c r="AM42" s="69" t="s">
        <v>97</v>
      </c>
    </row>
    <row r="43" spans="1:39" x14ac:dyDescent="0.3">
      <c r="A43" s="128" t="s">
        <v>73</v>
      </c>
      <c r="B43" s="3" t="s">
        <v>9</v>
      </c>
      <c r="C43" s="4"/>
      <c r="D43" s="28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55">
        <f>SUM(C43:AG43)</f>
        <v>0</v>
      </c>
      <c r="AI43" s="63">
        <f>AH43/200</f>
        <v>0</v>
      </c>
      <c r="AJ43" s="7">
        <v>5</v>
      </c>
      <c r="AK43" s="4" t="str">
        <f t="shared" ref="AK43:AK47" si="15">IF(AH43=0,"0",(AH43/AI43)/AJ43)</f>
        <v>0</v>
      </c>
      <c r="AM43" s="60">
        <f>AI43*AJ43</f>
        <v>0</v>
      </c>
    </row>
    <row r="44" spans="1:39" x14ac:dyDescent="0.3">
      <c r="A44" s="129"/>
      <c r="B44" s="3" t="s">
        <v>8</v>
      </c>
      <c r="C44" s="4"/>
      <c r="D44" s="2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55">
        <f t="shared" ref="AH44:AH48" si="16">SUM(C44:AG44)</f>
        <v>0</v>
      </c>
      <c r="AI44" s="63">
        <f>AH44/300</f>
        <v>0</v>
      </c>
      <c r="AJ44" s="7">
        <v>4</v>
      </c>
      <c r="AK44" s="4" t="str">
        <f t="shared" si="15"/>
        <v>0</v>
      </c>
      <c r="AM44" s="60">
        <f t="shared" ref="AM44:AM47" si="17">AI44*AJ44</f>
        <v>0</v>
      </c>
    </row>
    <row r="45" spans="1:39" x14ac:dyDescent="0.3">
      <c r="A45" s="129"/>
      <c r="B45" s="3" t="s">
        <v>22</v>
      </c>
      <c r="C45" s="4"/>
      <c r="D45" s="28"/>
      <c r="E45" s="2"/>
      <c r="F45" s="2">
        <v>55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55">
        <f>SUM(C45:AG45)</f>
        <v>55</v>
      </c>
      <c r="AI45" s="63">
        <f>AH45/55</f>
        <v>1</v>
      </c>
      <c r="AJ45" s="7">
        <v>2</v>
      </c>
      <c r="AK45" s="4">
        <f>IF(AH45=0,"0",(AH45/AI45)/AJ45)</f>
        <v>27.5</v>
      </c>
      <c r="AM45" s="60">
        <f>AI45*AJ45</f>
        <v>2</v>
      </c>
    </row>
    <row r="46" spans="1:39" x14ac:dyDescent="0.3">
      <c r="A46" s="129"/>
      <c r="B46" s="3" t="s">
        <v>21</v>
      </c>
      <c r="C46" s="4"/>
      <c r="D46" s="2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55">
        <f t="shared" si="16"/>
        <v>0</v>
      </c>
      <c r="AI46" s="63">
        <f>AH46/70</f>
        <v>0</v>
      </c>
      <c r="AJ46" s="7">
        <v>1</v>
      </c>
      <c r="AK46" s="4" t="str">
        <f t="shared" si="15"/>
        <v>0</v>
      </c>
      <c r="AM46" s="60">
        <f t="shared" si="17"/>
        <v>0</v>
      </c>
    </row>
    <row r="47" spans="1:39" x14ac:dyDescent="0.3">
      <c r="A47" s="129"/>
      <c r="B47" s="3" t="s">
        <v>14</v>
      </c>
      <c r="C47" s="4"/>
      <c r="D47" s="2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55">
        <f t="shared" si="16"/>
        <v>0</v>
      </c>
      <c r="AI47" s="63">
        <v>0</v>
      </c>
      <c r="AJ47" s="7">
        <v>1</v>
      </c>
      <c r="AK47" s="4" t="str">
        <f t="shared" si="15"/>
        <v>0</v>
      </c>
      <c r="AM47" s="60">
        <f t="shared" si="17"/>
        <v>0</v>
      </c>
    </row>
    <row r="48" spans="1:39" x14ac:dyDescent="0.3">
      <c r="A48" s="130"/>
      <c r="B48" s="3" t="s">
        <v>56</v>
      </c>
      <c r="C48" s="4"/>
      <c r="D48" s="28"/>
      <c r="E48" s="2"/>
      <c r="F48" s="2">
        <v>530</v>
      </c>
      <c r="G48" s="2">
        <v>530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>
        <v>300</v>
      </c>
      <c r="AB48" s="2"/>
      <c r="AC48" s="2">
        <v>300</v>
      </c>
      <c r="AD48" s="74"/>
      <c r="AE48" s="74">
        <v>300</v>
      </c>
      <c r="AF48" s="74">
        <v>0</v>
      </c>
      <c r="AG48" s="74"/>
      <c r="AH48" s="55">
        <f t="shared" si="16"/>
        <v>1960</v>
      </c>
      <c r="AI48" s="63">
        <f>AH48/300</f>
        <v>6.5333333333333332</v>
      </c>
      <c r="AJ48" s="7">
        <v>9</v>
      </c>
      <c r="AK48" s="4">
        <f>IF(AH48=0,"0",(AH48/AI48)/AJ48)</f>
        <v>33.333333333333336</v>
      </c>
      <c r="AM48" s="60">
        <f>AI48*AJ48</f>
        <v>58.8</v>
      </c>
    </row>
    <row r="49" spans="1:39" ht="15" x14ac:dyDescent="0.25">
      <c r="B49" s="20" t="s">
        <v>76</v>
      </c>
      <c r="C49" s="50">
        <f>SUM(C43:C48)</f>
        <v>0</v>
      </c>
      <c r="D49" s="50">
        <f t="shared" ref="D49:AG49" si="18">SUM(D43:D48)</f>
        <v>0</v>
      </c>
      <c r="E49" s="50">
        <f t="shared" si="18"/>
        <v>0</v>
      </c>
      <c r="F49" s="50">
        <f t="shared" si="18"/>
        <v>585</v>
      </c>
      <c r="G49" s="50">
        <f t="shared" si="18"/>
        <v>530</v>
      </c>
      <c r="H49" s="50">
        <f t="shared" si="18"/>
        <v>0</v>
      </c>
      <c r="I49" s="50">
        <f t="shared" si="18"/>
        <v>0</v>
      </c>
      <c r="J49" s="50">
        <f t="shared" si="18"/>
        <v>0</v>
      </c>
      <c r="K49" s="50">
        <f t="shared" si="18"/>
        <v>0</v>
      </c>
      <c r="L49" s="50">
        <f t="shared" si="18"/>
        <v>0</v>
      </c>
      <c r="M49" s="50">
        <f t="shared" si="18"/>
        <v>0</v>
      </c>
      <c r="N49" s="50">
        <f t="shared" si="18"/>
        <v>0</v>
      </c>
      <c r="O49" s="50">
        <f t="shared" si="18"/>
        <v>0</v>
      </c>
      <c r="P49" s="50">
        <f t="shared" si="18"/>
        <v>0</v>
      </c>
      <c r="Q49" s="50">
        <f t="shared" si="18"/>
        <v>0</v>
      </c>
      <c r="R49" s="50">
        <f t="shared" si="18"/>
        <v>0</v>
      </c>
      <c r="S49" s="50">
        <f t="shared" si="18"/>
        <v>0</v>
      </c>
      <c r="T49" s="50">
        <f t="shared" si="18"/>
        <v>0</v>
      </c>
      <c r="U49" s="50">
        <f t="shared" si="18"/>
        <v>0</v>
      </c>
      <c r="V49" s="50">
        <f t="shared" si="18"/>
        <v>0</v>
      </c>
      <c r="W49" s="50">
        <f t="shared" si="18"/>
        <v>0</v>
      </c>
      <c r="X49" s="50">
        <f t="shared" si="18"/>
        <v>0</v>
      </c>
      <c r="Y49" s="50">
        <f t="shared" si="18"/>
        <v>0</v>
      </c>
      <c r="Z49" s="50">
        <f t="shared" si="18"/>
        <v>0</v>
      </c>
      <c r="AA49" s="50">
        <f t="shared" si="18"/>
        <v>300</v>
      </c>
      <c r="AB49" s="50">
        <f t="shared" si="18"/>
        <v>0</v>
      </c>
      <c r="AC49" s="50">
        <f t="shared" si="18"/>
        <v>300</v>
      </c>
      <c r="AD49" s="50">
        <f t="shared" si="18"/>
        <v>0</v>
      </c>
      <c r="AE49" s="50">
        <f t="shared" si="18"/>
        <v>300</v>
      </c>
      <c r="AF49" s="50">
        <f t="shared" si="18"/>
        <v>0</v>
      </c>
      <c r="AG49" s="50">
        <f t="shared" si="18"/>
        <v>0</v>
      </c>
      <c r="AH49" s="51">
        <f>SUM(C49:AG49)</f>
        <v>2015</v>
      </c>
      <c r="AI49" s="64">
        <f>SUM(AI43:AI48)</f>
        <v>7.5333333333333332</v>
      </c>
      <c r="AJ49" s="66"/>
      <c r="AK49" s="64">
        <f>(AVERAGE(AK43:AK48))</f>
        <v>30.416666666666668</v>
      </c>
      <c r="AL49" s="71" t="s">
        <v>96</v>
      </c>
      <c r="AM49" s="70">
        <f>SUM(AM43:AM48)</f>
        <v>60.8</v>
      </c>
    </row>
    <row r="50" spans="1:39" x14ac:dyDescent="0.3">
      <c r="A50" s="2" t="s">
        <v>87</v>
      </c>
      <c r="B50" s="79" t="s">
        <v>72</v>
      </c>
      <c r="C50" s="53">
        <f>C42</f>
        <v>42552</v>
      </c>
      <c r="D50" s="53">
        <f t="shared" ref="D50:AG50" si="19">D42</f>
        <v>42553</v>
      </c>
      <c r="E50" s="53">
        <f t="shared" si="19"/>
        <v>42554</v>
      </c>
      <c r="F50" s="53">
        <f t="shared" si="19"/>
        <v>42555</v>
      </c>
      <c r="G50" s="53">
        <f t="shared" si="19"/>
        <v>42556</v>
      </c>
      <c r="H50" s="53">
        <f t="shared" si="19"/>
        <v>42557</v>
      </c>
      <c r="I50" s="53">
        <f t="shared" si="19"/>
        <v>42558</v>
      </c>
      <c r="J50" s="53">
        <f t="shared" si="19"/>
        <v>42559</v>
      </c>
      <c r="K50" s="53">
        <f t="shared" si="19"/>
        <v>42560</v>
      </c>
      <c r="L50" s="53">
        <f t="shared" si="19"/>
        <v>42561</v>
      </c>
      <c r="M50" s="53">
        <f t="shared" si="19"/>
        <v>42562</v>
      </c>
      <c r="N50" s="53">
        <f t="shared" si="19"/>
        <v>42563</v>
      </c>
      <c r="O50" s="53">
        <f t="shared" si="19"/>
        <v>42564</v>
      </c>
      <c r="P50" s="53">
        <f t="shared" si="19"/>
        <v>42565</v>
      </c>
      <c r="Q50" s="53">
        <f t="shared" si="19"/>
        <v>42566</v>
      </c>
      <c r="R50" s="53">
        <f t="shared" si="19"/>
        <v>42567</v>
      </c>
      <c r="S50" s="53">
        <f t="shared" si="19"/>
        <v>42568</v>
      </c>
      <c r="T50" s="53">
        <f t="shared" si="19"/>
        <v>42569</v>
      </c>
      <c r="U50" s="53">
        <f t="shared" si="19"/>
        <v>42570</v>
      </c>
      <c r="V50" s="53">
        <f t="shared" si="19"/>
        <v>42571</v>
      </c>
      <c r="W50" s="53">
        <f t="shared" si="19"/>
        <v>42572</v>
      </c>
      <c r="X50" s="53">
        <f t="shared" si="19"/>
        <v>42573</v>
      </c>
      <c r="Y50" s="53">
        <f t="shared" si="19"/>
        <v>42574</v>
      </c>
      <c r="Z50" s="53">
        <f t="shared" si="19"/>
        <v>42575</v>
      </c>
      <c r="AA50" s="53">
        <f t="shared" si="19"/>
        <v>42576</v>
      </c>
      <c r="AB50" s="53">
        <f t="shared" si="19"/>
        <v>42577</v>
      </c>
      <c r="AC50" s="53">
        <f t="shared" si="19"/>
        <v>42578</v>
      </c>
      <c r="AD50" s="53">
        <f t="shared" si="19"/>
        <v>42579</v>
      </c>
      <c r="AE50" s="53">
        <f t="shared" si="19"/>
        <v>42580</v>
      </c>
      <c r="AF50" s="53">
        <f t="shared" si="19"/>
        <v>42581</v>
      </c>
      <c r="AG50" s="53">
        <f t="shared" si="19"/>
        <v>42582</v>
      </c>
      <c r="AH50" s="43" t="s">
        <v>64</v>
      </c>
      <c r="AI50" s="65" t="s">
        <v>93</v>
      </c>
      <c r="AJ50" s="65" t="s">
        <v>94</v>
      </c>
      <c r="AK50" s="65" t="s">
        <v>95</v>
      </c>
      <c r="AM50" s="69" t="s">
        <v>97</v>
      </c>
    </row>
    <row r="51" spans="1:39" x14ac:dyDescent="0.3">
      <c r="A51" s="128" t="s">
        <v>74</v>
      </c>
      <c r="B51" s="3" t="s">
        <v>9</v>
      </c>
      <c r="C51" s="4"/>
      <c r="D51" s="2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55">
        <f>SUM(C51:AG51)</f>
        <v>0</v>
      </c>
      <c r="AI51" s="63">
        <f>AH51/200</f>
        <v>0</v>
      </c>
      <c r="AJ51" s="7">
        <v>5</v>
      </c>
      <c r="AK51" s="4" t="str">
        <f t="shared" ref="AK51:AK55" si="20">IF(AH51=0,"0",(AH51/AI51)/AJ51)</f>
        <v>0</v>
      </c>
      <c r="AM51" s="60">
        <f>AI51*AJ51</f>
        <v>0</v>
      </c>
    </row>
    <row r="52" spans="1:39" x14ac:dyDescent="0.3">
      <c r="A52" s="129"/>
      <c r="B52" s="3" t="s">
        <v>8</v>
      </c>
      <c r="C52" s="4"/>
      <c r="D52" s="2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55">
        <f t="shared" ref="AH52:AH56" si="21">SUM(C52:AG52)</f>
        <v>0</v>
      </c>
      <c r="AI52" s="63">
        <f>AH52/300</f>
        <v>0</v>
      </c>
      <c r="AJ52" s="7">
        <v>4</v>
      </c>
      <c r="AK52" s="4" t="str">
        <f t="shared" si="20"/>
        <v>0</v>
      </c>
      <c r="AM52" s="60">
        <f t="shared" ref="AM52:AM56" si="22">AI52*AJ52</f>
        <v>0</v>
      </c>
    </row>
    <row r="53" spans="1:39" x14ac:dyDescent="0.3">
      <c r="A53" s="129"/>
      <c r="B53" s="3" t="s">
        <v>22</v>
      </c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55">
        <f>SUM(C53:AG53)</f>
        <v>0</v>
      </c>
      <c r="AI53" s="63">
        <f>AH53/80</f>
        <v>0</v>
      </c>
      <c r="AJ53" s="7">
        <v>2</v>
      </c>
      <c r="AK53" s="4" t="str">
        <f t="shared" si="20"/>
        <v>0</v>
      </c>
      <c r="AM53" s="60">
        <f t="shared" si="22"/>
        <v>0</v>
      </c>
    </row>
    <row r="54" spans="1:39" x14ac:dyDescent="0.3">
      <c r="A54" s="129"/>
      <c r="B54" s="3" t="s">
        <v>21</v>
      </c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55">
        <f t="shared" si="21"/>
        <v>0</v>
      </c>
      <c r="AI54" s="63">
        <f>AH54/70</f>
        <v>0</v>
      </c>
      <c r="AJ54" s="7">
        <v>1</v>
      </c>
      <c r="AK54" s="4" t="str">
        <f t="shared" si="20"/>
        <v>0</v>
      </c>
      <c r="AM54" s="60">
        <f t="shared" si="22"/>
        <v>0</v>
      </c>
    </row>
    <row r="55" spans="1:39" x14ac:dyDescent="0.3">
      <c r="A55" s="129"/>
      <c r="B55" s="3" t="s">
        <v>14</v>
      </c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55">
        <f t="shared" si="21"/>
        <v>0</v>
      </c>
      <c r="AI55" s="63">
        <v>0</v>
      </c>
      <c r="AJ55" s="7">
        <v>1</v>
      </c>
      <c r="AK55" s="4" t="str">
        <f t="shared" si="20"/>
        <v>0</v>
      </c>
      <c r="AM55" s="60">
        <f t="shared" si="22"/>
        <v>0</v>
      </c>
    </row>
    <row r="56" spans="1:39" x14ac:dyDescent="0.3">
      <c r="A56" s="130"/>
      <c r="B56" s="3" t="s">
        <v>56</v>
      </c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55">
        <f t="shared" si="21"/>
        <v>0</v>
      </c>
      <c r="AI56" s="63">
        <f>AH56/450</f>
        <v>0</v>
      </c>
      <c r="AJ56" s="7">
        <v>9</v>
      </c>
      <c r="AK56" s="4" t="str">
        <f>IF(AH56=0,"0",(AH56/AI56)/AJ56)</f>
        <v>0</v>
      </c>
      <c r="AM56" s="60">
        <f t="shared" si="22"/>
        <v>0</v>
      </c>
    </row>
    <row r="57" spans="1:39" ht="15" x14ac:dyDescent="0.25">
      <c r="B57" s="20" t="s">
        <v>76</v>
      </c>
      <c r="C57" s="50">
        <f>SUM(C51:C56)</f>
        <v>0</v>
      </c>
      <c r="D57" s="50">
        <f t="shared" ref="D57" si="23">SUM(D51:D56)</f>
        <v>0</v>
      </c>
      <c r="E57" s="50">
        <f t="shared" ref="E57" si="24">SUM(E51:E56)</f>
        <v>0</v>
      </c>
      <c r="F57" s="50">
        <f t="shared" ref="F57" si="25">SUM(F51:F56)</f>
        <v>0</v>
      </c>
      <c r="G57" s="50">
        <f t="shared" ref="G57" si="26">SUM(G51:G56)</f>
        <v>0</v>
      </c>
      <c r="H57" s="50">
        <f t="shared" ref="H57" si="27">SUM(H51:H56)</f>
        <v>0</v>
      </c>
      <c r="I57" s="50">
        <f t="shared" ref="I57" si="28">SUM(I51:I56)</f>
        <v>0</v>
      </c>
      <c r="J57" s="50">
        <f t="shared" ref="J57" si="29">SUM(J51:J56)</f>
        <v>0</v>
      </c>
      <c r="K57" s="50">
        <f t="shared" ref="K57" si="30">SUM(K51:K56)</f>
        <v>0</v>
      </c>
      <c r="L57" s="50">
        <f t="shared" ref="L57" si="31">SUM(L51:L56)</f>
        <v>0</v>
      </c>
      <c r="M57" s="50">
        <f t="shared" ref="M57" si="32">SUM(M51:M56)</f>
        <v>0</v>
      </c>
      <c r="N57" s="50">
        <f t="shared" ref="N57" si="33">SUM(N51:N56)</f>
        <v>0</v>
      </c>
      <c r="O57" s="50">
        <f t="shared" ref="O57" si="34">SUM(O51:O56)</f>
        <v>0</v>
      </c>
      <c r="P57" s="50">
        <f t="shared" ref="P57" si="35">SUM(P51:P56)</f>
        <v>0</v>
      </c>
      <c r="Q57" s="50">
        <f t="shared" ref="Q57" si="36">SUM(Q51:Q56)</f>
        <v>0</v>
      </c>
      <c r="R57" s="50">
        <f t="shared" ref="R57" si="37">SUM(R51:R56)</f>
        <v>0</v>
      </c>
      <c r="S57" s="50">
        <f t="shared" ref="S57" si="38">SUM(S51:S56)</f>
        <v>0</v>
      </c>
      <c r="T57" s="50">
        <f t="shared" ref="T57" si="39">SUM(T51:T56)</f>
        <v>0</v>
      </c>
      <c r="U57" s="50">
        <f t="shared" ref="U57" si="40">SUM(U51:U56)</f>
        <v>0</v>
      </c>
      <c r="V57" s="50">
        <f t="shared" ref="V57" si="41">SUM(V51:V56)</f>
        <v>0</v>
      </c>
      <c r="W57" s="50">
        <f t="shared" ref="W57" si="42">SUM(W51:W56)</f>
        <v>0</v>
      </c>
      <c r="X57" s="50">
        <f t="shared" ref="X57" si="43">SUM(X51:X56)</f>
        <v>0</v>
      </c>
      <c r="Y57" s="50">
        <f t="shared" ref="Y57" si="44">SUM(Y51:Y56)</f>
        <v>0</v>
      </c>
      <c r="Z57" s="50">
        <f t="shared" ref="Z57" si="45">SUM(Z51:Z56)</f>
        <v>0</v>
      </c>
      <c r="AA57" s="50">
        <f t="shared" ref="AA57" si="46">SUM(AA51:AA56)</f>
        <v>0</v>
      </c>
      <c r="AB57" s="50">
        <f t="shared" ref="AB57" si="47">SUM(AB51:AB56)</f>
        <v>0</v>
      </c>
      <c r="AC57" s="50">
        <f t="shared" ref="AC57" si="48">SUM(AC51:AC56)</f>
        <v>0</v>
      </c>
      <c r="AD57" s="50">
        <f t="shared" ref="AD57" si="49">SUM(AD51:AD56)</f>
        <v>0</v>
      </c>
      <c r="AE57" s="50">
        <f t="shared" ref="AE57" si="50">SUM(AE51:AE56)</f>
        <v>0</v>
      </c>
      <c r="AF57" s="50">
        <f t="shared" ref="AF57" si="51">SUM(AF51:AF56)</f>
        <v>0</v>
      </c>
      <c r="AG57" s="50">
        <f t="shared" ref="AG57" si="52">SUM(AG51:AG56)</f>
        <v>0</v>
      </c>
      <c r="AH57" s="51">
        <f>SUM(C57:AG57)</f>
        <v>0</v>
      </c>
      <c r="AI57" s="65">
        <f>SUM(AI51:AI56)</f>
        <v>0</v>
      </c>
      <c r="AJ57" s="66"/>
      <c r="AK57" s="65" t="str">
        <f>IF(AH57=0,"0",(AVERAGE(AK51:AK56)))</f>
        <v>0</v>
      </c>
      <c r="AL57" s="71" t="s">
        <v>96</v>
      </c>
      <c r="AM57" s="70">
        <f>SUM(AM51:AM56)</f>
        <v>0</v>
      </c>
    </row>
    <row r="58" spans="1:39" x14ac:dyDescent="0.3">
      <c r="A58" s="2" t="s">
        <v>87</v>
      </c>
      <c r="B58" s="79" t="s">
        <v>72</v>
      </c>
      <c r="C58" s="53">
        <f>C42</f>
        <v>42552</v>
      </c>
      <c r="D58" s="53">
        <f t="shared" ref="D58:AG58" si="53">D42</f>
        <v>42553</v>
      </c>
      <c r="E58" s="53">
        <f t="shared" si="53"/>
        <v>42554</v>
      </c>
      <c r="F58" s="53">
        <f t="shared" si="53"/>
        <v>42555</v>
      </c>
      <c r="G58" s="53">
        <f t="shared" si="53"/>
        <v>42556</v>
      </c>
      <c r="H58" s="53">
        <f t="shared" si="53"/>
        <v>42557</v>
      </c>
      <c r="I58" s="53">
        <f t="shared" si="53"/>
        <v>42558</v>
      </c>
      <c r="J58" s="53">
        <f t="shared" si="53"/>
        <v>42559</v>
      </c>
      <c r="K58" s="53">
        <f t="shared" si="53"/>
        <v>42560</v>
      </c>
      <c r="L58" s="53">
        <f t="shared" si="53"/>
        <v>42561</v>
      </c>
      <c r="M58" s="53">
        <f t="shared" si="53"/>
        <v>42562</v>
      </c>
      <c r="N58" s="53">
        <f t="shared" si="53"/>
        <v>42563</v>
      </c>
      <c r="O58" s="53">
        <f t="shared" si="53"/>
        <v>42564</v>
      </c>
      <c r="P58" s="53">
        <f t="shared" si="53"/>
        <v>42565</v>
      </c>
      <c r="Q58" s="53">
        <f t="shared" si="53"/>
        <v>42566</v>
      </c>
      <c r="R58" s="53">
        <f t="shared" si="53"/>
        <v>42567</v>
      </c>
      <c r="S58" s="53">
        <f t="shared" si="53"/>
        <v>42568</v>
      </c>
      <c r="T58" s="53">
        <f t="shared" si="53"/>
        <v>42569</v>
      </c>
      <c r="U58" s="53">
        <f t="shared" si="53"/>
        <v>42570</v>
      </c>
      <c r="V58" s="53">
        <f t="shared" si="53"/>
        <v>42571</v>
      </c>
      <c r="W58" s="53">
        <f t="shared" si="53"/>
        <v>42572</v>
      </c>
      <c r="X58" s="53">
        <f t="shared" si="53"/>
        <v>42573</v>
      </c>
      <c r="Y58" s="53">
        <f t="shared" si="53"/>
        <v>42574</v>
      </c>
      <c r="Z58" s="53">
        <f t="shared" si="53"/>
        <v>42575</v>
      </c>
      <c r="AA58" s="53">
        <f t="shared" si="53"/>
        <v>42576</v>
      </c>
      <c r="AB58" s="53">
        <f t="shared" si="53"/>
        <v>42577</v>
      </c>
      <c r="AC58" s="53">
        <f t="shared" si="53"/>
        <v>42578</v>
      </c>
      <c r="AD58" s="53">
        <f t="shared" si="53"/>
        <v>42579</v>
      </c>
      <c r="AE58" s="53">
        <f t="shared" si="53"/>
        <v>42580</v>
      </c>
      <c r="AF58" s="53">
        <f t="shared" si="53"/>
        <v>42581</v>
      </c>
      <c r="AG58" s="53">
        <f t="shared" si="53"/>
        <v>42582</v>
      </c>
      <c r="AH58" s="43" t="s">
        <v>64</v>
      </c>
      <c r="AI58" s="65" t="s">
        <v>93</v>
      </c>
      <c r="AJ58" s="65" t="s">
        <v>94</v>
      </c>
      <c r="AK58" s="65" t="s">
        <v>95</v>
      </c>
      <c r="AM58" s="69" t="s">
        <v>97</v>
      </c>
    </row>
    <row r="59" spans="1:39" x14ac:dyDescent="0.3">
      <c r="A59" s="128" t="s">
        <v>123</v>
      </c>
      <c r="B59" s="3" t="s">
        <v>9</v>
      </c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55">
        <f>SUM(C59:AG59)</f>
        <v>0</v>
      </c>
      <c r="AI59" s="63">
        <f>AH59/200</f>
        <v>0</v>
      </c>
      <c r="AJ59" s="7">
        <v>5</v>
      </c>
      <c r="AK59" s="4" t="str">
        <f t="shared" ref="AK59:AK63" si="54">IF(AH59=0,"0",(AH59/AI59)/AJ59)</f>
        <v>0</v>
      </c>
      <c r="AM59" s="60">
        <f>AI59*AJ59</f>
        <v>0</v>
      </c>
    </row>
    <row r="60" spans="1:39" x14ac:dyDescent="0.3">
      <c r="A60" s="129"/>
      <c r="B60" s="3" t="s">
        <v>8</v>
      </c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55">
        <f t="shared" ref="AH60:AH64" si="55">SUM(C60:AG60)</f>
        <v>0</v>
      </c>
      <c r="AI60" s="63">
        <f>AH60/300</f>
        <v>0</v>
      </c>
      <c r="AJ60" s="7">
        <v>4</v>
      </c>
      <c r="AK60" s="4" t="str">
        <f t="shared" si="54"/>
        <v>0</v>
      </c>
      <c r="AM60" s="60">
        <f t="shared" ref="AM60:AM64" si="56">AI60*AJ60</f>
        <v>0</v>
      </c>
    </row>
    <row r="61" spans="1:39" x14ac:dyDescent="0.3">
      <c r="A61" s="129"/>
      <c r="B61" s="3" t="s">
        <v>22</v>
      </c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55">
        <f>SUM(C61:AG61)</f>
        <v>0</v>
      </c>
      <c r="AI61" s="63">
        <f>AH61/80</f>
        <v>0</v>
      </c>
      <c r="AJ61" s="7">
        <v>2</v>
      </c>
      <c r="AK61" s="4" t="str">
        <f t="shared" si="54"/>
        <v>0</v>
      </c>
      <c r="AM61" s="60">
        <f t="shared" si="56"/>
        <v>0</v>
      </c>
    </row>
    <row r="62" spans="1:39" x14ac:dyDescent="0.3">
      <c r="A62" s="129"/>
      <c r="B62" s="3" t="s">
        <v>21</v>
      </c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55">
        <f t="shared" si="55"/>
        <v>0</v>
      </c>
      <c r="AI62" s="63">
        <f>AH62/70</f>
        <v>0</v>
      </c>
      <c r="AJ62" s="7">
        <v>1</v>
      </c>
      <c r="AK62" s="4" t="str">
        <f t="shared" si="54"/>
        <v>0</v>
      </c>
      <c r="AM62" s="60">
        <f t="shared" si="56"/>
        <v>0</v>
      </c>
    </row>
    <row r="63" spans="1:39" x14ac:dyDescent="0.3">
      <c r="A63" s="129"/>
      <c r="B63" s="3" t="s">
        <v>14</v>
      </c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55">
        <f t="shared" si="55"/>
        <v>0</v>
      </c>
      <c r="AI63" s="63">
        <v>0</v>
      </c>
      <c r="AJ63" s="7">
        <v>1</v>
      </c>
      <c r="AK63" s="4" t="str">
        <f t="shared" si="54"/>
        <v>0</v>
      </c>
      <c r="AM63" s="60">
        <f t="shared" si="56"/>
        <v>0</v>
      </c>
    </row>
    <row r="64" spans="1:39" x14ac:dyDescent="0.3">
      <c r="A64" s="130"/>
      <c r="B64" s="3" t="s">
        <v>56</v>
      </c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55">
        <f t="shared" si="55"/>
        <v>0</v>
      </c>
      <c r="AI64" s="63">
        <f>AH64/450</f>
        <v>0</v>
      </c>
      <c r="AJ64" s="7">
        <v>9</v>
      </c>
      <c r="AK64" s="4" t="str">
        <f>IF(AH64=0,"0",(AH64/AI64)/AJ64)</f>
        <v>0</v>
      </c>
      <c r="AM64" s="60">
        <f t="shared" si="56"/>
        <v>0</v>
      </c>
    </row>
    <row r="65" spans="1:39" ht="15" x14ac:dyDescent="0.25">
      <c r="B65" s="20" t="s">
        <v>76</v>
      </c>
      <c r="C65" s="50">
        <f>SUM(C59:C64)</f>
        <v>0</v>
      </c>
      <c r="D65" s="50">
        <f t="shared" ref="D65" si="57">SUM(D59:D64)</f>
        <v>0</v>
      </c>
      <c r="E65" s="50">
        <f t="shared" ref="E65" si="58">SUM(E59:E64)</f>
        <v>0</v>
      </c>
      <c r="F65" s="50">
        <f t="shared" ref="F65" si="59">SUM(F59:F64)</f>
        <v>0</v>
      </c>
      <c r="G65" s="50">
        <f t="shared" ref="G65" si="60">SUM(G59:G64)</f>
        <v>0</v>
      </c>
      <c r="H65" s="50">
        <f t="shared" ref="H65" si="61">SUM(H59:H64)</f>
        <v>0</v>
      </c>
      <c r="I65" s="50">
        <f t="shared" ref="I65" si="62">SUM(I59:I64)</f>
        <v>0</v>
      </c>
      <c r="J65" s="50">
        <f t="shared" ref="J65" si="63">SUM(J59:J64)</f>
        <v>0</v>
      </c>
      <c r="K65" s="50">
        <f t="shared" ref="K65" si="64">SUM(K59:K64)</f>
        <v>0</v>
      </c>
      <c r="L65" s="50">
        <f t="shared" ref="L65" si="65">SUM(L59:L64)</f>
        <v>0</v>
      </c>
      <c r="M65" s="50">
        <f t="shared" ref="M65" si="66">SUM(M59:M64)</f>
        <v>0</v>
      </c>
      <c r="N65" s="50">
        <f t="shared" ref="N65" si="67">SUM(N59:N64)</f>
        <v>0</v>
      </c>
      <c r="O65" s="50">
        <f t="shared" ref="O65" si="68">SUM(O59:O64)</f>
        <v>0</v>
      </c>
      <c r="P65" s="50">
        <f t="shared" ref="P65" si="69">SUM(P59:P64)</f>
        <v>0</v>
      </c>
      <c r="Q65" s="50">
        <f t="shared" ref="Q65" si="70">SUM(Q59:Q64)</f>
        <v>0</v>
      </c>
      <c r="R65" s="50">
        <f t="shared" ref="R65" si="71">SUM(R59:R64)</f>
        <v>0</v>
      </c>
      <c r="S65" s="50">
        <f t="shared" ref="S65" si="72">SUM(S59:S64)</f>
        <v>0</v>
      </c>
      <c r="T65" s="50">
        <f t="shared" ref="T65" si="73">SUM(T59:T64)</f>
        <v>0</v>
      </c>
      <c r="U65" s="50">
        <f t="shared" ref="U65" si="74">SUM(U59:U64)</f>
        <v>0</v>
      </c>
      <c r="V65" s="50">
        <f t="shared" ref="V65" si="75">SUM(V59:V64)</f>
        <v>0</v>
      </c>
      <c r="W65" s="50">
        <f t="shared" ref="W65" si="76">SUM(W59:W64)</f>
        <v>0</v>
      </c>
      <c r="X65" s="50">
        <f t="shared" ref="X65" si="77">SUM(X59:X64)</f>
        <v>0</v>
      </c>
      <c r="Y65" s="50">
        <f t="shared" ref="Y65" si="78">SUM(Y59:Y64)</f>
        <v>0</v>
      </c>
      <c r="Z65" s="50">
        <f t="shared" ref="Z65" si="79">SUM(Z59:Z64)</f>
        <v>0</v>
      </c>
      <c r="AA65" s="50">
        <f t="shared" ref="AA65" si="80">SUM(AA59:AA64)</f>
        <v>0</v>
      </c>
      <c r="AB65" s="50">
        <f t="shared" ref="AB65" si="81">SUM(AB59:AB64)</f>
        <v>0</v>
      </c>
      <c r="AC65" s="50">
        <f t="shared" ref="AC65" si="82">SUM(AC59:AC64)</f>
        <v>0</v>
      </c>
      <c r="AD65" s="50">
        <f t="shared" ref="AD65" si="83">SUM(AD59:AD64)</f>
        <v>0</v>
      </c>
      <c r="AE65" s="50">
        <f t="shared" ref="AE65" si="84">SUM(AE59:AE64)</f>
        <v>0</v>
      </c>
      <c r="AF65" s="50">
        <f t="shared" ref="AF65" si="85">SUM(AF59:AF64)</f>
        <v>0</v>
      </c>
      <c r="AG65" s="50">
        <f t="shared" ref="AG65" si="86">SUM(AG59:AG64)</f>
        <v>0</v>
      </c>
      <c r="AH65" s="51">
        <f>SUM(C65:AG65)</f>
        <v>0</v>
      </c>
      <c r="AI65" s="65">
        <f>SUM(AI59:AI64)</f>
        <v>0</v>
      </c>
      <c r="AJ65" s="66"/>
      <c r="AK65" s="65" t="str">
        <f>IF(AH65=0,"0",(AVERAGE(AK59:AK64)))</f>
        <v>0</v>
      </c>
      <c r="AL65" s="71" t="s">
        <v>96</v>
      </c>
      <c r="AM65" s="70">
        <f>SUM(AM59:AM64)</f>
        <v>0</v>
      </c>
    </row>
    <row r="66" spans="1:39" x14ac:dyDescent="0.3">
      <c r="A66" s="2" t="s">
        <v>87</v>
      </c>
      <c r="B66" s="79" t="s">
        <v>72</v>
      </c>
      <c r="C66" s="53">
        <f>C50</f>
        <v>42552</v>
      </c>
      <c r="D66" s="53">
        <f t="shared" ref="D66:AG66" si="87">D50</f>
        <v>42553</v>
      </c>
      <c r="E66" s="53">
        <f t="shared" si="87"/>
        <v>42554</v>
      </c>
      <c r="F66" s="53">
        <f t="shared" si="87"/>
        <v>42555</v>
      </c>
      <c r="G66" s="53">
        <f t="shared" si="87"/>
        <v>42556</v>
      </c>
      <c r="H66" s="53">
        <f t="shared" si="87"/>
        <v>42557</v>
      </c>
      <c r="I66" s="53">
        <f t="shared" si="87"/>
        <v>42558</v>
      </c>
      <c r="J66" s="53">
        <f t="shared" si="87"/>
        <v>42559</v>
      </c>
      <c r="K66" s="53">
        <f t="shared" si="87"/>
        <v>42560</v>
      </c>
      <c r="L66" s="53">
        <f t="shared" si="87"/>
        <v>42561</v>
      </c>
      <c r="M66" s="53">
        <f t="shared" si="87"/>
        <v>42562</v>
      </c>
      <c r="N66" s="53">
        <f t="shared" si="87"/>
        <v>42563</v>
      </c>
      <c r="O66" s="53">
        <f t="shared" si="87"/>
        <v>42564</v>
      </c>
      <c r="P66" s="53">
        <f t="shared" si="87"/>
        <v>42565</v>
      </c>
      <c r="Q66" s="53">
        <f t="shared" si="87"/>
        <v>42566</v>
      </c>
      <c r="R66" s="53">
        <f t="shared" si="87"/>
        <v>42567</v>
      </c>
      <c r="S66" s="53">
        <f t="shared" si="87"/>
        <v>42568</v>
      </c>
      <c r="T66" s="53">
        <f t="shared" si="87"/>
        <v>42569</v>
      </c>
      <c r="U66" s="53">
        <f t="shared" si="87"/>
        <v>42570</v>
      </c>
      <c r="V66" s="53">
        <f t="shared" si="87"/>
        <v>42571</v>
      </c>
      <c r="W66" s="53">
        <f t="shared" si="87"/>
        <v>42572</v>
      </c>
      <c r="X66" s="53">
        <f t="shared" si="87"/>
        <v>42573</v>
      </c>
      <c r="Y66" s="53">
        <f t="shared" si="87"/>
        <v>42574</v>
      </c>
      <c r="Z66" s="53">
        <f t="shared" si="87"/>
        <v>42575</v>
      </c>
      <c r="AA66" s="53">
        <f t="shared" si="87"/>
        <v>42576</v>
      </c>
      <c r="AB66" s="53">
        <f t="shared" si="87"/>
        <v>42577</v>
      </c>
      <c r="AC66" s="53">
        <f t="shared" si="87"/>
        <v>42578</v>
      </c>
      <c r="AD66" s="53">
        <f t="shared" si="87"/>
        <v>42579</v>
      </c>
      <c r="AE66" s="53">
        <f t="shared" si="87"/>
        <v>42580</v>
      </c>
      <c r="AF66" s="53">
        <f t="shared" si="87"/>
        <v>42581</v>
      </c>
      <c r="AG66" s="53">
        <f t="shared" si="87"/>
        <v>42582</v>
      </c>
      <c r="AH66" s="43" t="s">
        <v>64</v>
      </c>
      <c r="AI66" s="65" t="s">
        <v>93</v>
      </c>
      <c r="AJ66" s="65" t="s">
        <v>94</v>
      </c>
      <c r="AK66" s="65" t="s">
        <v>95</v>
      </c>
      <c r="AM66" s="69" t="s">
        <v>97</v>
      </c>
    </row>
    <row r="67" spans="1:39" x14ac:dyDescent="0.3">
      <c r="A67" s="128" t="s">
        <v>75</v>
      </c>
      <c r="B67" s="3" t="s">
        <v>9</v>
      </c>
      <c r="C67" s="4"/>
      <c r="D67" s="2">
        <v>200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>
        <v>200</v>
      </c>
      <c r="Z67" s="2"/>
      <c r="AA67" s="2"/>
      <c r="AB67" s="2"/>
      <c r="AC67" s="2"/>
      <c r="AD67" s="2"/>
      <c r="AE67" s="2"/>
      <c r="AF67" s="2"/>
      <c r="AG67" s="2"/>
      <c r="AH67" s="61">
        <f>SUM(C67:AG67)</f>
        <v>400</v>
      </c>
      <c r="AI67" s="63">
        <f>AH67/200</f>
        <v>2</v>
      </c>
      <c r="AJ67" s="2">
        <v>5</v>
      </c>
      <c r="AK67" s="4">
        <f>IF(AH67=0,"0",(AH67/AI67)/AJ67)</f>
        <v>40</v>
      </c>
      <c r="AM67" s="60">
        <f>AI67*AJ67</f>
        <v>10</v>
      </c>
    </row>
    <row r="68" spans="1:39" x14ac:dyDescent="0.3">
      <c r="A68" s="129"/>
      <c r="B68" s="3" t="s">
        <v>8</v>
      </c>
      <c r="C68" s="4">
        <v>500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>
        <v>300</v>
      </c>
      <c r="P68" s="2"/>
      <c r="Q68" s="2">
        <v>600</v>
      </c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61">
        <f t="shared" ref="AH68:AH73" si="88">SUM(C68:AG68)</f>
        <v>1400</v>
      </c>
      <c r="AI68" s="63">
        <f>AH68/300</f>
        <v>4.666666666666667</v>
      </c>
      <c r="AJ68" s="2">
        <v>4</v>
      </c>
      <c r="AK68" s="4">
        <f t="shared" ref="AK68:AK71" si="89">IF(AH68=0,"0",(AH68/AI68)/AJ68)</f>
        <v>75</v>
      </c>
      <c r="AM68" s="60">
        <f t="shared" ref="AM68:AM73" si="90">AI68*AJ68</f>
        <v>18.666666666666668</v>
      </c>
    </row>
    <row r="69" spans="1:39" x14ac:dyDescent="0.3">
      <c r="A69" s="129"/>
      <c r="B69" s="3" t="s">
        <v>106</v>
      </c>
      <c r="C69" s="4"/>
      <c r="D69" s="2">
        <v>80</v>
      </c>
      <c r="E69" s="2"/>
      <c r="F69" s="2"/>
      <c r="G69" s="2">
        <v>60</v>
      </c>
      <c r="H69" s="2"/>
      <c r="I69" s="2">
        <v>160</v>
      </c>
      <c r="J69" s="2">
        <v>470</v>
      </c>
      <c r="K69" s="2"/>
      <c r="L69" s="2">
        <v>245</v>
      </c>
      <c r="M69" s="2"/>
      <c r="N69" s="2">
        <v>180</v>
      </c>
      <c r="O69" s="2"/>
      <c r="P69" s="2"/>
      <c r="Q69" s="2">
        <v>80</v>
      </c>
      <c r="R69" s="2">
        <v>180</v>
      </c>
      <c r="S69" s="2">
        <v>90</v>
      </c>
      <c r="T69" s="2"/>
      <c r="U69" s="2"/>
      <c r="V69" s="2">
        <v>90</v>
      </c>
      <c r="W69" s="2">
        <v>170</v>
      </c>
      <c r="X69" s="2"/>
      <c r="Y69" s="2">
        <v>310</v>
      </c>
      <c r="Z69" s="2"/>
      <c r="AA69" s="2"/>
      <c r="AB69" s="2">
        <v>70</v>
      </c>
      <c r="AC69" s="2"/>
      <c r="AD69" s="2">
        <f>210+290</f>
        <v>500</v>
      </c>
      <c r="AE69" s="2">
        <v>110</v>
      </c>
      <c r="AF69" s="2">
        <f>390+180</f>
        <v>570</v>
      </c>
      <c r="AG69" s="2"/>
      <c r="AH69" s="61">
        <f>SUM(C69:AG69)</f>
        <v>3365</v>
      </c>
      <c r="AI69" s="63">
        <f>AH69/80</f>
        <v>42.0625</v>
      </c>
      <c r="AJ69" s="2">
        <v>2</v>
      </c>
      <c r="AK69" s="4">
        <f t="shared" si="89"/>
        <v>40</v>
      </c>
      <c r="AM69" s="60">
        <f>AI69*AJ69</f>
        <v>84.125</v>
      </c>
    </row>
    <row r="70" spans="1:39" x14ac:dyDescent="0.3">
      <c r="A70" s="129"/>
      <c r="B70" s="3" t="s">
        <v>21</v>
      </c>
      <c r="C70" s="4"/>
      <c r="D70" s="2">
        <v>123.95</v>
      </c>
      <c r="E70" s="2">
        <v>100</v>
      </c>
      <c r="F70" s="2"/>
      <c r="G70" s="2"/>
      <c r="H70" s="2"/>
      <c r="I70" s="2"/>
      <c r="J70" s="2">
        <v>300</v>
      </c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>
        <v>75</v>
      </c>
      <c r="AH70" s="61">
        <f t="shared" si="88"/>
        <v>598.95000000000005</v>
      </c>
      <c r="AI70" s="63">
        <f>AH70/70</f>
        <v>8.5564285714285724</v>
      </c>
      <c r="AJ70" s="2">
        <v>1</v>
      </c>
      <c r="AK70" s="4">
        <f t="shared" si="89"/>
        <v>70</v>
      </c>
      <c r="AM70" s="60">
        <f t="shared" si="90"/>
        <v>8.5564285714285724</v>
      </c>
    </row>
    <row r="71" spans="1:39" x14ac:dyDescent="0.3">
      <c r="A71" s="129"/>
      <c r="B71" s="3" t="s">
        <v>14</v>
      </c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40">
        <f ca="1">Z49+Z57+Z65+Z74+Z85</f>
        <v>0</v>
      </c>
      <c r="AA71" s="2"/>
      <c r="AB71" s="2"/>
      <c r="AC71" s="2"/>
      <c r="AD71" s="2"/>
      <c r="AE71" s="2"/>
      <c r="AF71" s="2"/>
      <c r="AG71" s="2"/>
      <c r="AH71" s="61">
        <f t="shared" ca="1" si="88"/>
        <v>0</v>
      </c>
      <c r="AI71" s="63">
        <v>0</v>
      </c>
      <c r="AJ71" s="2">
        <v>1</v>
      </c>
      <c r="AK71" s="4" t="str">
        <f t="shared" ca="1" si="89"/>
        <v>0</v>
      </c>
      <c r="AM71" s="60">
        <f t="shared" si="90"/>
        <v>0</v>
      </c>
    </row>
    <row r="72" spans="1:39" x14ac:dyDescent="0.3">
      <c r="A72" s="130"/>
      <c r="B72" s="3" t="s">
        <v>56</v>
      </c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>
        <v>900</v>
      </c>
      <c r="X72" s="2"/>
      <c r="Y72" s="2">
        <v>450</v>
      </c>
      <c r="Z72" s="2"/>
      <c r="AA72" s="2"/>
      <c r="AB72" s="2"/>
      <c r="AC72" s="2"/>
      <c r="AD72" s="2"/>
      <c r="AE72" s="2"/>
      <c r="AF72" s="2"/>
      <c r="AG72" s="2"/>
      <c r="AH72" s="61">
        <f t="shared" si="88"/>
        <v>1350</v>
      </c>
      <c r="AI72" s="63">
        <f>AH72/450</f>
        <v>3</v>
      </c>
      <c r="AJ72" s="2">
        <v>9</v>
      </c>
      <c r="AK72" s="4">
        <f>IF(AH72=0,"0",(AH72/AI72)/AJ72)</f>
        <v>50</v>
      </c>
      <c r="AM72" s="60">
        <f t="shared" si="90"/>
        <v>27</v>
      </c>
    </row>
    <row r="73" spans="1:39" ht="15" x14ac:dyDescent="0.25">
      <c r="A73" s="58"/>
      <c r="B73" s="3" t="s">
        <v>88</v>
      </c>
      <c r="C73" s="4"/>
      <c r="D73" s="2">
        <v>30</v>
      </c>
      <c r="E73" s="2"/>
      <c r="F73" s="2">
        <v>20</v>
      </c>
      <c r="G73" s="2"/>
      <c r="H73" s="2">
        <v>10</v>
      </c>
      <c r="I73" s="2"/>
      <c r="J73" s="2"/>
      <c r="K73" s="2"/>
      <c r="L73" s="2"/>
      <c r="M73" s="2"/>
      <c r="N73" s="2"/>
      <c r="O73" s="2"/>
      <c r="P73" s="2"/>
      <c r="Q73" s="2"/>
      <c r="R73" s="2">
        <v>20</v>
      </c>
      <c r="S73" s="2"/>
      <c r="T73" s="2"/>
      <c r="U73" s="2"/>
      <c r="V73" s="2"/>
      <c r="W73" s="2">
        <v>15</v>
      </c>
      <c r="X73" s="2"/>
      <c r="Y73" s="2"/>
      <c r="Z73" s="2"/>
      <c r="AA73" s="2"/>
      <c r="AB73" s="2"/>
      <c r="AC73" s="2">
        <v>20</v>
      </c>
      <c r="AD73" s="2"/>
      <c r="AE73" s="2"/>
      <c r="AF73" s="2">
        <v>48.75</v>
      </c>
      <c r="AG73" s="2"/>
      <c r="AH73" s="61">
        <f t="shared" si="88"/>
        <v>163.75</v>
      </c>
      <c r="AI73" s="2"/>
      <c r="AJ73" s="2"/>
      <c r="AK73" s="2"/>
      <c r="AM73" s="60">
        <f t="shared" si="90"/>
        <v>0</v>
      </c>
    </row>
    <row r="74" spans="1:39" ht="15" x14ac:dyDescent="0.25">
      <c r="B74" s="20" t="s">
        <v>76</v>
      </c>
      <c r="C74" s="50">
        <f>SUM(C67:C73)</f>
        <v>500</v>
      </c>
      <c r="D74" s="50">
        <f t="shared" ref="D74:AG74" si="91">SUM(D67:D73)</f>
        <v>433.95</v>
      </c>
      <c r="E74" s="50">
        <f t="shared" si="91"/>
        <v>100</v>
      </c>
      <c r="F74" s="50">
        <f t="shared" si="91"/>
        <v>20</v>
      </c>
      <c r="G74" s="50">
        <f t="shared" si="91"/>
        <v>60</v>
      </c>
      <c r="H74" s="50">
        <f t="shared" si="91"/>
        <v>10</v>
      </c>
      <c r="I74" s="50">
        <f t="shared" si="91"/>
        <v>160</v>
      </c>
      <c r="J74" s="50">
        <f t="shared" si="91"/>
        <v>770</v>
      </c>
      <c r="K74" s="50">
        <f t="shared" si="91"/>
        <v>0</v>
      </c>
      <c r="L74" s="50">
        <f t="shared" si="91"/>
        <v>245</v>
      </c>
      <c r="M74" s="50">
        <f t="shared" si="91"/>
        <v>0</v>
      </c>
      <c r="N74" s="50">
        <f t="shared" si="91"/>
        <v>180</v>
      </c>
      <c r="O74" s="50">
        <f t="shared" si="91"/>
        <v>300</v>
      </c>
      <c r="P74" s="50">
        <f t="shared" si="91"/>
        <v>0</v>
      </c>
      <c r="Q74" s="50">
        <f t="shared" si="91"/>
        <v>680</v>
      </c>
      <c r="R74" s="50">
        <f t="shared" si="91"/>
        <v>200</v>
      </c>
      <c r="S74" s="50">
        <f t="shared" si="91"/>
        <v>90</v>
      </c>
      <c r="T74" s="50">
        <f t="shared" si="91"/>
        <v>0</v>
      </c>
      <c r="U74" s="50">
        <f t="shared" si="91"/>
        <v>0</v>
      </c>
      <c r="V74" s="50">
        <f t="shared" si="91"/>
        <v>90</v>
      </c>
      <c r="W74" s="50">
        <f t="shared" si="91"/>
        <v>1085</v>
      </c>
      <c r="X74" s="50">
        <f t="shared" si="91"/>
        <v>0</v>
      </c>
      <c r="Y74" s="50">
        <f t="shared" si="91"/>
        <v>960</v>
      </c>
      <c r="Z74" s="50">
        <f t="shared" ca="1" si="91"/>
        <v>0</v>
      </c>
      <c r="AA74" s="50">
        <f t="shared" si="91"/>
        <v>0</v>
      </c>
      <c r="AB74" s="50">
        <f t="shared" si="91"/>
        <v>70</v>
      </c>
      <c r="AC74" s="50">
        <f t="shared" si="91"/>
        <v>20</v>
      </c>
      <c r="AD74" s="50">
        <f t="shared" si="91"/>
        <v>500</v>
      </c>
      <c r="AE74" s="50">
        <f t="shared" si="91"/>
        <v>110</v>
      </c>
      <c r="AF74" s="50">
        <f t="shared" si="91"/>
        <v>618.75</v>
      </c>
      <c r="AG74" s="50">
        <f t="shared" si="91"/>
        <v>75</v>
      </c>
      <c r="AH74" s="62">
        <f ca="1">SUM(C74:AG74)</f>
        <v>7292.7</v>
      </c>
      <c r="AI74" s="64">
        <f>SUM(AI67:AI72)</f>
        <v>60.28559523809524</v>
      </c>
      <c r="AJ74" s="67"/>
      <c r="AK74" s="68">
        <f ca="1">IF(AH74=0,"0",(AVERAGE(AK67:AK72)))</f>
        <v>55</v>
      </c>
      <c r="AL74" s="71" t="s">
        <v>96</v>
      </c>
      <c r="AM74" s="70">
        <f>SUM(AM67:AM73)</f>
        <v>148.34809523809525</v>
      </c>
    </row>
    <row r="75" spans="1:39" x14ac:dyDescent="0.3">
      <c r="A75" s="2"/>
      <c r="B75" s="79" t="s">
        <v>72</v>
      </c>
      <c r="C75" s="53">
        <f>C4</f>
        <v>42552</v>
      </c>
      <c r="D75" s="53">
        <f t="shared" ref="D75:AG75" si="92">D4</f>
        <v>42553</v>
      </c>
      <c r="E75" s="53">
        <f t="shared" si="92"/>
        <v>42554</v>
      </c>
      <c r="F75" s="53">
        <f t="shared" si="92"/>
        <v>42555</v>
      </c>
      <c r="G75" s="53">
        <f t="shared" si="92"/>
        <v>42556</v>
      </c>
      <c r="H75" s="53">
        <f t="shared" si="92"/>
        <v>42557</v>
      </c>
      <c r="I75" s="53">
        <f t="shared" si="92"/>
        <v>42558</v>
      </c>
      <c r="J75" s="53">
        <f t="shared" si="92"/>
        <v>42559</v>
      </c>
      <c r="K75" s="53">
        <f t="shared" si="92"/>
        <v>42560</v>
      </c>
      <c r="L75" s="53">
        <f t="shared" si="92"/>
        <v>42561</v>
      </c>
      <c r="M75" s="53">
        <f t="shared" si="92"/>
        <v>42562</v>
      </c>
      <c r="N75" s="53">
        <f t="shared" si="92"/>
        <v>42563</v>
      </c>
      <c r="O75" s="53">
        <f t="shared" si="92"/>
        <v>42564</v>
      </c>
      <c r="P75" s="53">
        <f t="shared" si="92"/>
        <v>42565</v>
      </c>
      <c r="Q75" s="53">
        <f t="shared" si="92"/>
        <v>42566</v>
      </c>
      <c r="R75" s="53">
        <f t="shared" si="92"/>
        <v>42567</v>
      </c>
      <c r="S75" s="53">
        <f t="shared" si="92"/>
        <v>42568</v>
      </c>
      <c r="T75" s="53">
        <f t="shared" si="92"/>
        <v>42569</v>
      </c>
      <c r="U75" s="53">
        <f t="shared" si="92"/>
        <v>42570</v>
      </c>
      <c r="V75" s="53">
        <f t="shared" si="92"/>
        <v>42571</v>
      </c>
      <c r="W75" s="53">
        <f t="shared" si="92"/>
        <v>42572</v>
      </c>
      <c r="X75" s="53">
        <f t="shared" si="92"/>
        <v>42573</v>
      </c>
      <c r="Y75" s="53">
        <f t="shared" si="92"/>
        <v>42574</v>
      </c>
      <c r="Z75" s="53">
        <f t="shared" si="92"/>
        <v>42575</v>
      </c>
      <c r="AA75" s="53">
        <f t="shared" si="92"/>
        <v>42576</v>
      </c>
      <c r="AB75" s="53">
        <f t="shared" si="92"/>
        <v>42577</v>
      </c>
      <c r="AC75" s="53">
        <f t="shared" si="92"/>
        <v>42578</v>
      </c>
      <c r="AD75" s="53">
        <f t="shared" si="92"/>
        <v>42579</v>
      </c>
      <c r="AE75" s="53">
        <f t="shared" si="92"/>
        <v>42580</v>
      </c>
      <c r="AF75" s="53">
        <f t="shared" si="92"/>
        <v>42581</v>
      </c>
      <c r="AG75" s="53">
        <f t="shared" si="92"/>
        <v>42582</v>
      </c>
      <c r="AH75" s="43" t="s">
        <v>64</v>
      </c>
      <c r="AI75" s="49" t="s">
        <v>136</v>
      </c>
      <c r="AM75" s="80"/>
    </row>
    <row r="76" spans="1:39" x14ac:dyDescent="0.3">
      <c r="A76" s="131" t="s">
        <v>75</v>
      </c>
      <c r="B76" s="2" t="s">
        <v>78</v>
      </c>
      <c r="C76" s="4"/>
      <c r="D76" s="2"/>
      <c r="E76" s="2"/>
      <c r="F76" s="2">
        <v>10</v>
      </c>
      <c r="G76" s="2"/>
      <c r="H76" s="2"/>
      <c r="I76" s="2"/>
      <c r="J76" s="2">
        <v>20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>
        <v>35</v>
      </c>
      <c r="X76" s="2"/>
      <c r="Y76" s="2"/>
      <c r="Z76" s="2">
        <v>20</v>
      </c>
      <c r="AA76" s="2">
        <v>10</v>
      </c>
      <c r="AB76" s="2"/>
      <c r="AC76" s="2"/>
      <c r="AD76" s="2"/>
      <c r="AE76" s="2"/>
      <c r="AF76" s="2">
        <v>5</v>
      </c>
      <c r="AG76" s="2"/>
      <c r="AH76" s="55">
        <f>SUM(C76:AG76)</f>
        <v>100</v>
      </c>
      <c r="AI76" s="37">
        <v>90</v>
      </c>
    </row>
    <row r="77" spans="1:39" x14ac:dyDescent="0.3">
      <c r="A77" s="131"/>
      <c r="B77" s="2" t="s">
        <v>79</v>
      </c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>
        <v>24</v>
      </c>
      <c r="AA77" s="2">
        <v>36</v>
      </c>
      <c r="AB77" s="2">
        <v>9</v>
      </c>
      <c r="AC77" s="2"/>
      <c r="AD77" s="2"/>
      <c r="AE77" s="2"/>
      <c r="AF77" s="2"/>
      <c r="AG77" s="2"/>
      <c r="AH77" s="55">
        <f t="shared" ref="AH77:AH84" si="93">SUM(C77:AG77)</f>
        <v>69</v>
      </c>
      <c r="AI77" s="96"/>
    </row>
    <row r="78" spans="1:39" x14ac:dyDescent="0.3">
      <c r="A78" s="131"/>
      <c r="B78" s="2" t="s">
        <v>80</v>
      </c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55">
        <f>SUM(C78:AG78)</f>
        <v>0</v>
      </c>
      <c r="AI78" s="96"/>
    </row>
    <row r="79" spans="1:39" x14ac:dyDescent="0.3">
      <c r="A79" s="131"/>
      <c r="B79" s="2" t="s">
        <v>137</v>
      </c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>
        <v>10</v>
      </c>
      <c r="AA79" s="2"/>
      <c r="AB79" s="2"/>
      <c r="AC79" s="2"/>
      <c r="AD79" s="2"/>
      <c r="AE79" s="2"/>
      <c r="AF79" s="2"/>
      <c r="AG79" s="2"/>
      <c r="AH79" s="55">
        <f t="shared" si="93"/>
        <v>10</v>
      </c>
      <c r="AI79" s="96">
        <v>10</v>
      </c>
    </row>
    <row r="80" spans="1:39" x14ac:dyDescent="0.3">
      <c r="A80" s="131"/>
      <c r="B80" s="2" t="s">
        <v>82</v>
      </c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>
        <v>35</v>
      </c>
      <c r="AA80" s="2"/>
      <c r="AB80" s="2"/>
      <c r="AC80" s="2"/>
      <c r="AD80" s="2"/>
      <c r="AE80" s="2"/>
      <c r="AF80" s="2"/>
      <c r="AG80" s="2"/>
      <c r="AH80" s="55">
        <f t="shared" si="93"/>
        <v>35</v>
      </c>
      <c r="AI80" s="96"/>
    </row>
    <row r="81" spans="1:39" x14ac:dyDescent="0.3">
      <c r="A81" s="131"/>
      <c r="B81" s="2" t="s">
        <v>83</v>
      </c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>
        <v>6</v>
      </c>
      <c r="AA81" s="2"/>
      <c r="AB81" s="2"/>
      <c r="AC81" s="2"/>
      <c r="AD81" s="2"/>
      <c r="AE81" s="2"/>
      <c r="AF81" s="2">
        <v>3</v>
      </c>
      <c r="AG81" s="2"/>
      <c r="AH81" s="55">
        <f t="shared" si="93"/>
        <v>9</v>
      </c>
      <c r="AI81" s="96"/>
    </row>
    <row r="82" spans="1:39" x14ac:dyDescent="0.3">
      <c r="A82" s="131"/>
      <c r="B82" s="2" t="s">
        <v>118</v>
      </c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>
        <v>15</v>
      </c>
      <c r="AH82" s="55">
        <f t="shared" si="93"/>
        <v>15</v>
      </c>
      <c r="AI82" s="96"/>
      <c r="AM82" s="77"/>
    </row>
    <row r="83" spans="1:39" x14ac:dyDescent="0.3">
      <c r="A83" s="131"/>
      <c r="B83" s="54" t="s">
        <v>84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>
        <v>5</v>
      </c>
      <c r="AB83" s="2"/>
      <c r="AC83" s="2"/>
      <c r="AD83" s="2"/>
      <c r="AE83" s="2"/>
      <c r="AF83" s="2"/>
      <c r="AG83" s="2"/>
      <c r="AH83" s="55">
        <f t="shared" si="93"/>
        <v>5</v>
      </c>
      <c r="AI83" s="96"/>
    </row>
    <row r="84" spans="1:39" x14ac:dyDescent="0.3">
      <c r="A84" s="131"/>
      <c r="B84" s="54" t="s">
        <v>85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>
        <v>30</v>
      </c>
      <c r="AB84" s="2"/>
      <c r="AC84" s="2"/>
      <c r="AD84" s="2"/>
      <c r="AE84" s="2"/>
      <c r="AF84" s="2"/>
      <c r="AG84" s="2"/>
      <c r="AH84" s="55">
        <f t="shared" si="93"/>
        <v>30</v>
      </c>
      <c r="AI84" s="96">
        <v>20</v>
      </c>
    </row>
    <row r="85" spans="1:39" ht="15" x14ac:dyDescent="0.25">
      <c r="B85" s="20" t="s">
        <v>76</v>
      </c>
      <c r="C85" s="50">
        <f>SUM(C76:C84)</f>
        <v>0</v>
      </c>
      <c r="D85" s="50">
        <f t="shared" ref="D85:AG85" si="94">SUM(D76:D84)</f>
        <v>0</v>
      </c>
      <c r="E85" s="50">
        <f t="shared" si="94"/>
        <v>0</v>
      </c>
      <c r="F85" s="50">
        <f t="shared" si="94"/>
        <v>10</v>
      </c>
      <c r="G85" s="50">
        <f t="shared" si="94"/>
        <v>0</v>
      </c>
      <c r="H85" s="50">
        <f t="shared" si="94"/>
        <v>0</v>
      </c>
      <c r="I85" s="50">
        <f t="shared" si="94"/>
        <v>0</v>
      </c>
      <c r="J85" s="50">
        <f t="shared" si="94"/>
        <v>20</v>
      </c>
      <c r="K85" s="50">
        <f t="shared" si="94"/>
        <v>0</v>
      </c>
      <c r="L85" s="50">
        <f t="shared" si="94"/>
        <v>0</v>
      </c>
      <c r="M85" s="50">
        <f t="shared" si="94"/>
        <v>0</v>
      </c>
      <c r="N85" s="50">
        <f t="shared" si="94"/>
        <v>0</v>
      </c>
      <c r="O85" s="50">
        <f t="shared" si="94"/>
        <v>0</v>
      </c>
      <c r="P85" s="50">
        <f t="shared" si="94"/>
        <v>0</v>
      </c>
      <c r="Q85" s="50">
        <f t="shared" si="94"/>
        <v>0</v>
      </c>
      <c r="R85" s="50">
        <f t="shared" si="94"/>
        <v>0</v>
      </c>
      <c r="S85" s="50">
        <f t="shared" si="94"/>
        <v>0</v>
      </c>
      <c r="T85" s="50">
        <f t="shared" si="94"/>
        <v>0</v>
      </c>
      <c r="U85" s="50">
        <f t="shared" si="94"/>
        <v>0</v>
      </c>
      <c r="V85" s="50">
        <f t="shared" si="94"/>
        <v>0</v>
      </c>
      <c r="W85" s="50">
        <f t="shared" si="94"/>
        <v>35</v>
      </c>
      <c r="X85" s="50">
        <f t="shared" si="94"/>
        <v>0</v>
      </c>
      <c r="Y85" s="50">
        <f t="shared" si="94"/>
        <v>0</v>
      </c>
      <c r="Z85" s="50">
        <f t="shared" si="94"/>
        <v>95</v>
      </c>
      <c r="AA85" s="50">
        <f t="shared" si="94"/>
        <v>81</v>
      </c>
      <c r="AB85" s="50">
        <f t="shared" si="94"/>
        <v>9</v>
      </c>
      <c r="AC85" s="50">
        <f t="shared" si="94"/>
        <v>0</v>
      </c>
      <c r="AD85" s="50">
        <f t="shared" si="94"/>
        <v>0</v>
      </c>
      <c r="AE85" s="50">
        <f t="shared" si="94"/>
        <v>0</v>
      </c>
      <c r="AF85" s="50">
        <f t="shared" si="94"/>
        <v>8</v>
      </c>
      <c r="AG85" s="50">
        <f t="shared" si="94"/>
        <v>15</v>
      </c>
      <c r="AH85" s="51">
        <f>SUM(C85:AG85)</f>
        <v>273</v>
      </c>
      <c r="AI85" s="97">
        <f>SUM(AI76:AI84)</f>
        <v>120</v>
      </c>
    </row>
    <row r="87" spans="1:39" ht="15" x14ac:dyDescent="0.25">
      <c r="B87" s="44" t="s">
        <v>77</v>
      </c>
      <c r="C87" s="40">
        <f>C57+C65+C74+C85-C49</f>
        <v>500</v>
      </c>
      <c r="D87" s="40">
        <f t="shared" ref="D87:AH87" si="95">D57+D65+D74+D85-D49</f>
        <v>433.95</v>
      </c>
      <c r="E87" s="40">
        <f t="shared" si="95"/>
        <v>100</v>
      </c>
      <c r="F87" s="40">
        <f t="shared" si="95"/>
        <v>-555</v>
      </c>
      <c r="G87" s="40">
        <f t="shared" si="95"/>
        <v>-470</v>
      </c>
      <c r="H87" s="40">
        <f t="shared" si="95"/>
        <v>10</v>
      </c>
      <c r="I87" s="40">
        <f t="shared" si="95"/>
        <v>160</v>
      </c>
      <c r="J87" s="40">
        <f t="shared" si="95"/>
        <v>790</v>
      </c>
      <c r="K87" s="40">
        <f t="shared" si="95"/>
        <v>0</v>
      </c>
      <c r="L87" s="40">
        <f t="shared" si="95"/>
        <v>245</v>
      </c>
      <c r="M87" s="40">
        <f t="shared" si="95"/>
        <v>0</v>
      </c>
      <c r="N87" s="40">
        <f t="shared" si="95"/>
        <v>180</v>
      </c>
      <c r="O87" s="40">
        <f t="shared" si="95"/>
        <v>300</v>
      </c>
      <c r="P87" s="40">
        <f t="shared" si="95"/>
        <v>0</v>
      </c>
      <c r="Q87" s="40">
        <f t="shared" si="95"/>
        <v>680</v>
      </c>
      <c r="R87" s="40">
        <f t="shared" si="95"/>
        <v>200</v>
      </c>
      <c r="S87" s="40">
        <f t="shared" si="95"/>
        <v>90</v>
      </c>
      <c r="T87" s="40">
        <f t="shared" si="95"/>
        <v>0</v>
      </c>
      <c r="U87" s="40">
        <f t="shared" si="95"/>
        <v>0</v>
      </c>
      <c r="V87" s="40">
        <f t="shared" si="95"/>
        <v>90</v>
      </c>
      <c r="W87" s="40">
        <f t="shared" si="95"/>
        <v>1120</v>
      </c>
      <c r="X87" s="40">
        <f t="shared" si="95"/>
        <v>0</v>
      </c>
      <c r="Y87" s="40">
        <f t="shared" si="95"/>
        <v>960</v>
      </c>
      <c r="Z87" s="40">
        <f t="shared" ca="1" si="95"/>
        <v>500</v>
      </c>
      <c r="AA87" s="40">
        <f t="shared" si="95"/>
        <v>-219</v>
      </c>
      <c r="AB87" s="40">
        <f t="shared" si="95"/>
        <v>79</v>
      </c>
      <c r="AC87" s="40">
        <f t="shared" si="95"/>
        <v>-280</v>
      </c>
      <c r="AD87" s="40">
        <f t="shared" si="95"/>
        <v>500</v>
      </c>
      <c r="AE87" s="40">
        <f t="shared" si="95"/>
        <v>-190</v>
      </c>
      <c r="AF87" s="40">
        <f t="shared" si="95"/>
        <v>626.75</v>
      </c>
      <c r="AG87" s="40">
        <f t="shared" si="95"/>
        <v>90</v>
      </c>
      <c r="AH87" s="40">
        <f t="shared" ca="1" si="95"/>
        <v>500</v>
      </c>
    </row>
    <row r="89" spans="1:39" x14ac:dyDescent="0.3">
      <c r="B89" s="86" t="s">
        <v>119</v>
      </c>
      <c r="C89" s="32" t="str">
        <f>C1</f>
        <v>juillet</v>
      </c>
      <c r="E89" s="84" t="s">
        <v>122</v>
      </c>
      <c r="F89" s="85"/>
      <c r="G89" s="85"/>
      <c r="H89" s="43" t="str">
        <f>C1</f>
        <v>juillet</v>
      </c>
      <c r="J89" s="76" t="s">
        <v>100</v>
      </c>
      <c r="K89" s="76"/>
    </row>
    <row r="90" spans="1:39" x14ac:dyDescent="0.3">
      <c r="B90" s="44" t="s">
        <v>90</v>
      </c>
      <c r="C90" s="41">
        <f ca="1">AH87</f>
        <v>10180.700000000001</v>
      </c>
      <c r="E90" s="127" t="s">
        <v>98</v>
      </c>
      <c r="F90" s="127"/>
      <c r="G90" s="127"/>
      <c r="H90" s="72">
        <f>AM49+AM57+AM65+AM74</f>
        <v>209.14809523809527</v>
      </c>
      <c r="J90" s="2" t="s">
        <v>73</v>
      </c>
      <c r="K90" s="75">
        <f ca="1">AH49/C90</f>
        <v>0.25685856571748505</v>
      </c>
    </row>
    <row r="91" spans="1:39" x14ac:dyDescent="0.3">
      <c r="B91" s="44" t="s">
        <v>89</v>
      </c>
      <c r="C91" s="41">
        <f>AH39</f>
        <v>9019.2199999999993</v>
      </c>
      <c r="E91" s="127" t="s">
        <v>99</v>
      </c>
      <c r="F91" s="127"/>
      <c r="G91" s="127"/>
      <c r="H91" s="41">
        <f>C91/H90</f>
        <v>43.12360573847193</v>
      </c>
      <c r="J91" s="2" t="s">
        <v>75</v>
      </c>
      <c r="K91" s="75">
        <f ca="1">AH74/C90</f>
        <v>0.71632598937204706</v>
      </c>
    </row>
    <row r="92" spans="1:39" x14ac:dyDescent="0.3">
      <c r="J92" s="2" t="s">
        <v>101</v>
      </c>
      <c r="K92" s="75">
        <f ca="1">AH85/C90</f>
        <v>2.6815444910467844E-2</v>
      </c>
    </row>
    <row r="93" spans="1:39" x14ac:dyDescent="0.3">
      <c r="B93" s="20" t="s">
        <v>86</v>
      </c>
      <c r="C93" s="41">
        <f ca="1">C90-C91</f>
        <v>1161.4800000000014</v>
      </c>
      <c r="J93" s="2" t="s">
        <v>74</v>
      </c>
      <c r="K93" s="75">
        <f ca="1">AH57/C90</f>
        <v>0</v>
      </c>
    </row>
    <row r="94" spans="1:39" x14ac:dyDescent="0.3">
      <c r="J94" s="2" t="s">
        <v>123</v>
      </c>
      <c r="K94" s="75">
        <f>AH65/C91</f>
        <v>0</v>
      </c>
    </row>
    <row r="95" spans="1:39" x14ac:dyDescent="0.3">
      <c r="B95" t="s">
        <v>91</v>
      </c>
      <c r="C95" s="37">
        <v>10500</v>
      </c>
    </row>
    <row r="96" spans="1:39" x14ac:dyDescent="0.3">
      <c r="B96" t="s">
        <v>92</v>
      </c>
      <c r="C96" s="59">
        <f ca="1">C90-C95</f>
        <v>-319.29999999999927</v>
      </c>
    </row>
    <row r="98" spans="2:5" x14ac:dyDescent="0.3">
      <c r="B98" s="20" t="s">
        <v>125</v>
      </c>
      <c r="C98" s="41">
        <f ca="1">'Juin 2016'!C94+C93</f>
        <v>4245.5300000000016</v>
      </c>
      <c r="D98" s="106"/>
      <c r="E98" s="106"/>
    </row>
    <row r="99" spans="2:5" x14ac:dyDescent="0.3">
      <c r="C99" s="37"/>
    </row>
    <row r="100" spans="2:5" x14ac:dyDescent="0.3">
      <c r="C100" s="37"/>
    </row>
  </sheetData>
  <mergeCells count="8">
    <mergeCell ref="E90:G90"/>
    <mergeCell ref="E91:G91"/>
    <mergeCell ref="A76:A84"/>
    <mergeCell ref="B2:AJ2"/>
    <mergeCell ref="A43:A48"/>
    <mergeCell ref="A51:A56"/>
    <mergeCell ref="A59:A64"/>
    <mergeCell ref="A67:A7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120"/>
  <sheetViews>
    <sheetView topLeftCell="A101" zoomScale="98" zoomScaleNormal="98" workbookViewId="0">
      <selection activeCell="C112" sqref="C112"/>
    </sheetView>
  </sheetViews>
  <sheetFormatPr baseColWidth="10" defaultRowHeight="14.4" x14ac:dyDescent="0.3"/>
  <cols>
    <col min="2" max="2" width="34.109375" bestFit="1" customWidth="1"/>
    <col min="3" max="3" width="16.88671875" bestFit="1" customWidth="1"/>
    <col min="39" max="39" width="18.6640625" style="82" bestFit="1" customWidth="1"/>
  </cols>
  <sheetData>
    <row r="1" spans="1:37" ht="15.6" x14ac:dyDescent="0.3">
      <c r="B1" s="71" t="s">
        <v>120</v>
      </c>
      <c r="C1" s="83" t="s">
        <v>124</v>
      </c>
    </row>
    <row r="2" spans="1:37" ht="21" x14ac:dyDescent="0.35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</row>
    <row r="4" spans="1:37" s="82" customFormat="1" x14ac:dyDescent="0.3">
      <c r="B4" s="43" t="s">
        <v>65</v>
      </c>
      <c r="C4" s="48">
        <v>42583</v>
      </c>
      <c r="D4" s="48">
        <v>42584</v>
      </c>
      <c r="E4" s="48">
        <v>42585</v>
      </c>
      <c r="F4" s="48">
        <v>42586</v>
      </c>
      <c r="G4" s="48">
        <v>42587</v>
      </c>
      <c r="H4" s="48">
        <v>42588</v>
      </c>
      <c r="I4" s="48">
        <v>42589</v>
      </c>
      <c r="J4" s="48">
        <v>42590</v>
      </c>
      <c r="K4" s="48">
        <v>42591</v>
      </c>
      <c r="L4" s="48">
        <v>42592</v>
      </c>
      <c r="M4" s="48">
        <v>42593</v>
      </c>
      <c r="N4" s="48">
        <v>42594</v>
      </c>
      <c r="O4" s="48">
        <v>42595</v>
      </c>
      <c r="P4" s="48">
        <v>42596</v>
      </c>
      <c r="Q4" s="48">
        <v>42597</v>
      </c>
      <c r="R4" s="48">
        <v>42598</v>
      </c>
      <c r="S4" s="48">
        <v>42599</v>
      </c>
      <c r="T4" s="48">
        <v>42600</v>
      </c>
      <c r="U4" s="48">
        <v>42601</v>
      </c>
      <c r="V4" s="48">
        <v>42602</v>
      </c>
      <c r="W4" s="48">
        <v>42603</v>
      </c>
      <c r="X4" s="48">
        <v>42604</v>
      </c>
      <c r="Y4" s="48">
        <v>42605</v>
      </c>
      <c r="Z4" s="48">
        <v>42606</v>
      </c>
      <c r="AA4" s="48">
        <v>42607</v>
      </c>
      <c r="AB4" s="48">
        <v>42608</v>
      </c>
      <c r="AC4" s="48">
        <v>42609</v>
      </c>
      <c r="AD4" s="48">
        <v>42610</v>
      </c>
      <c r="AE4" s="48">
        <v>42611</v>
      </c>
      <c r="AF4" s="48">
        <v>42612</v>
      </c>
      <c r="AG4" s="48">
        <v>42613</v>
      </c>
      <c r="AH4" s="43" t="s">
        <v>64</v>
      </c>
      <c r="AI4" s="49" t="s">
        <v>66</v>
      </c>
      <c r="AJ4" s="49" t="s">
        <v>67</v>
      </c>
    </row>
    <row r="5" spans="1:37" ht="15" x14ac:dyDescent="0.25">
      <c r="B5" s="39" t="s">
        <v>1</v>
      </c>
      <c r="C5" s="41"/>
      <c r="D5" s="41">
        <v>150</v>
      </c>
      <c r="E5" s="41"/>
      <c r="F5" s="41"/>
      <c r="G5" s="41"/>
      <c r="H5" s="41"/>
      <c r="I5" s="98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51">
        <f>SUM(C5:AG5)</f>
        <v>150</v>
      </c>
      <c r="AI5" s="37">
        <f>'Budget 2016'!C3</f>
        <v>500</v>
      </c>
      <c r="AJ5" s="46">
        <f>AI5-AH5</f>
        <v>350</v>
      </c>
      <c r="AK5" s="37"/>
    </row>
    <row r="6" spans="1:37" x14ac:dyDescent="0.3">
      <c r="B6" s="39" t="s">
        <v>59</v>
      </c>
      <c r="C6" s="41"/>
      <c r="D6" s="41"/>
      <c r="E6" s="41"/>
      <c r="F6" s="41"/>
      <c r="G6" s="41"/>
      <c r="H6" s="41"/>
      <c r="I6" s="98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51">
        <f>SUM(C6:AG6)</f>
        <v>0</v>
      </c>
      <c r="AI6" s="37">
        <f>'Budget 2016'!C4</f>
        <v>800</v>
      </c>
      <c r="AJ6" s="46">
        <f>AI6-AH6</f>
        <v>800</v>
      </c>
    </row>
    <row r="7" spans="1:37" ht="15" x14ac:dyDescent="0.25">
      <c r="B7" s="39" t="s">
        <v>60</v>
      </c>
      <c r="C7" s="41"/>
      <c r="D7" s="41"/>
      <c r="E7" s="41"/>
      <c r="F7" s="41"/>
      <c r="G7" s="41"/>
      <c r="H7" s="41"/>
      <c r="I7" s="98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51">
        <f>SUM(C7:AG7)</f>
        <v>0</v>
      </c>
      <c r="AI7" s="37">
        <f>'Budget 2016'!C5</f>
        <v>800</v>
      </c>
      <c r="AJ7" s="46">
        <f t="shared" ref="AJ7:AJ12" si="0">AI7-AH7</f>
        <v>800</v>
      </c>
    </row>
    <row r="8" spans="1:37" ht="15" x14ac:dyDescent="0.25">
      <c r="B8" s="39" t="s">
        <v>52</v>
      </c>
      <c r="C8" s="41"/>
      <c r="D8" s="41"/>
      <c r="E8" s="41">
        <v>15</v>
      </c>
      <c r="F8" s="41"/>
      <c r="G8" s="41">
        <v>15</v>
      </c>
      <c r="H8" s="41"/>
      <c r="I8" s="98"/>
      <c r="J8" s="41"/>
      <c r="K8" s="41"/>
      <c r="L8" s="41"/>
      <c r="M8" s="41">
        <v>15</v>
      </c>
      <c r="N8" s="41"/>
      <c r="O8" s="41"/>
      <c r="P8" s="41"/>
      <c r="Q8" s="41"/>
      <c r="R8" s="41"/>
      <c r="S8" s="41"/>
      <c r="T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51">
        <f t="shared" ref="AH8:AH12" si="1">SUM(C8:AG8)</f>
        <v>45</v>
      </c>
      <c r="AI8" s="37">
        <f>'Budget 2016'!C6</f>
        <v>375</v>
      </c>
      <c r="AJ8" s="46">
        <f t="shared" si="0"/>
        <v>330</v>
      </c>
    </row>
    <row r="9" spans="1:37" ht="15" x14ac:dyDescent="0.25">
      <c r="B9" s="39" t="s">
        <v>58</v>
      </c>
      <c r="C9" s="41"/>
      <c r="D9" s="41">
        <v>300</v>
      </c>
      <c r="E9" s="41"/>
      <c r="F9" s="41">
        <v>90</v>
      </c>
      <c r="G9" s="41"/>
      <c r="H9" s="41"/>
      <c r="I9" s="98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51">
        <f t="shared" si="1"/>
        <v>390</v>
      </c>
      <c r="AI9" s="37">
        <f>'Budget 2016'!C7</f>
        <v>750</v>
      </c>
      <c r="AJ9" s="46">
        <f t="shared" si="0"/>
        <v>360</v>
      </c>
    </row>
    <row r="10" spans="1:37" ht="15" x14ac:dyDescent="0.25">
      <c r="B10" s="39" t="s">
        <v>16</v>
      </c>
      <c r="C10" s="41">
        <v>80</v>
      </c>
      <c r="D10" s="41"/>
      <c r="E10" s="41"/>
      <c r="F10" s="41"/>
      <c r="G10" s="41"/>
      <c r="H10" s="41"/>
      <c r="I10" s="98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51">
        <f t="shared" si="1"/>
        <v>80</v>
      </c>
      <c r="AI10" s="37">
        <f>'Budget 2016'!C8</f>
        <v>130</v>
      </c>
      <c r="AJ10" s="46">
        <f t="shared" si="0"/>
        <v>50</v>
      </c>
    </row>
    <row r="11" spans="1:37" ht="15" x14ac:dyDescent="0.25">
      <c r="B11" s="39" t="s">
        <v>53</v>
      </c>
      <c r="C11" s="41"/>
      <c r="D11" s="41">
        <v>130</v>
      </c>
      <c r="E11" s="41"/>
      <c r="F11" s="41"/>
      <c r="G11" s="41"/>
      <c r="H11" s="41"/>
      <c r="I11" s="98"/>
      <c r="J11" s="41"/>
      <c r="K11" s="41"/>
      <c r="L11" s="41">
        <v>20</v>
      </c>
      <c r="M11" s="41"/>
      <c r="N11" s="41"/>
      <c r="O11" s="41"/>
      <c r="P11" s="41"/>
      <c r="Q11" s="41"/>
      <c r="R11" s="41"/>
      <c r="S11" s="41"/>
      <c r="T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51">
        <f t="shared" si="1"/>
        <v>150</v>
      </c>
      <c r="AI11" s="37">
        <f>'Budget 2016'!C9</f>
        <v>500</v>
      </c>
      <c r="AJ11" s="46">
        <f t="shared" si="0"/>
        <v>350</v>
      </c>
    </row>
    <row r="12" spans="1:37" x14ac:dyDescent="0.3">
      <c r="A12" s="36"/>
      <c r="B12" s="39" t="s">
        <v>2</v>
      </c>
      <c r="C12" s="41"/>
      <c r="D12" s="41"/>
      <c r="E12" s="41"/>
      <c r="F12" s="41"/>
      <c r="G12" s="41"/>
      <c r="H12" s="41"/>
      <c r="I12" s="98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51">
        <f t="shared" si="1"/>
        <v>0</v>
      </c>
      <c r="AI12" s="37">
        <f>'Budget 2016'!C10</f>
        <v>600</v>
      </c>
      <c r="AJ12" s="46">
        <f t="shared" si="0"/>
        <v>600</v>
      </c>
    </row>
    <row r="13" spans="1:37" ht="15" x14ac:dyDescent="0.25">
      <c r="B13" s="42" t="s">
        <v>62</v>
      </c>
      <c r="C13" s="50">
        <f>SUM(C5:C12)</f>
        <v>80</v>
      </c>
      <c r="D13" s="50">
        <f>SUM(D5:D12)</f>
        <v>580</v>
      </c>
      <c r="E13" s="50">
        <f t="shared" ref="E13:AG13" si="2">SUM(E5:E12)</f>
        <v>15</v>
      </c>
      <c r="F13" s="50">
        <f t="shared" si="2"/>
        <v>90</v>
      </c>
      <c r="G13" s="50">
        <f t="shared" si="2"/>
        <v>15</v>
      </c>
      <c r="H13" s="50">
        <f t="shared" si="2"/>
        <v>0</v>
      </c>
      <c r="I13" s="50">
        <f t="shared" si="2"/>
        <v>0</v>
      </c>
      <c r="J13" s="50">
        <f t="shared" si="2"/>
        <v>0</v>
      </c>
      <c r="K13" s="50">
        <f t="shared" si="2"/>
        <v>0</v>
      </c>
      <c r="L13" s="50">
        <f t="shared" si="2"/>
        <v>20</v>
      </c>
      <c r="M13" s="50">
        <f t="shared" si="2"/>
        <v>15</v>
      </c>
      <c r="N13" s="50">
        <f t="shared" si="2"/>
        <v>0</v>
      </c>
      <c r="O13" s="50">
        <f t="shared" si="2"/>
        <v>0</v>
      </c>
      <c r="P13" s="50">
        <f t="shared" si="2"/>
        <v>0</v>
      </c>
      <c r="Q13" s="50">
        <f t="shared" si="2"/>
        <v>0</v>
      </c>
      <c r="R13" s="50">
        <f t="shared" si="2"/>
        <v>0</v>
      </c>
      <c r="S13" s="50">
        <f t="shared" si="2"/>
        <v>0</v>
      </c>
      <c r="T13" s="50">
        <f t="shared" si="2"/>
        <v>0</v>
      </c>
      <c r="U13" s="50">
        <f t="shared" si="2"/>
        <v>0</v>
      </c>
      <c r="V13" s="50">
        <f t="shared" si="2"/>
        <v>0</v>
      </c>
      <c r="W13" s="50">
        <f t="shared" si="2"/>
        <v>0</v>
      </c>
      <c r="X13" s="50">
        <f t="shared" si="2"/>
        <v>0</v>
      </c>
      <c r="Y13" s="50">
        <f t="shared" si="2"/>
        <v>0</v>
      </c>
      <c r="Z13" s="50">
        <f t="shared" si="2"/>
        <v>0</v>
      </c>
      <c r="AA13" s="50">
        <f t="shared" si="2"/>
        <v>0</v>
      </c>
      <c r="AB13" s="50">
        <f t="shared" si="2"/>
        <v>0</v>
      </c>
      <c r="AC13" s="50">
        <f t="shared" si="2"/>
        <v>0</v>
      </c>
      <c r="AD13" s="50">
        <f t="shared" si="2"/>
        <v>0</v>
      </c>
      <c r="AE13" s="50">
        <f t="shared" si="2"/>
        <v>0</v>
      </c>
      <c r="AF13" s="50">
        <f t="shared" si="2"/>
        <v>0</v>
      </c>
      <c r="AG13" s="50">
        <f t="shared" si="2"/>
        <v>0</v>
      </c>
      <c r="AH13" s="51">
        <f>SUM(C13:AG13)</f>
        <v>815</v>
      </c>
      <c r="AI13" s="45">
        <f>SUM(AI5:AI12)</f>
        <v>4455</v>
      </c>
      <c r="AJ13" s="47">
        <f>SUM(AJ5:AJ12)</f>
        <v>3640</v>
      </c>
    </row>
    <row r="14" spans="1:37" ht="6" customHeight="1" x14ac:dyDescent="0.25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37" ht="15" x14ac:dyDescent="0.25">
      <c r="A15" s="36"/>
      <c r="B15" s="2" t="s">
        <v>18</v>
      </c>
      <c r="C15" s="41"/>
      <c r="D15" s="2"/>
      <c r="E15" s="2"/>
      <c r="F15" s="2"/>
      <c r="G15" s="2"/>
      <c r="H15" s="2"/>
      <c r="I15" s="99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51">
        <f>SUM(C15:AG15)</f>
        <v>0</v>
      </c>
      <c r="AI15" s="37">
        <f>'Budget 2016'!C14</f>
        <v>25</v>
      </c>
      <c r="AJ15" s="46">
        <f t="shared" ref="AJ15:AJ38" si="3">AI15-AH15</f>
        <v>25</v>
      </c>
    </row>
    <row r="16" spans="1:37" ht="15" x14ac:dyDescent="0.25">
      <c r="A16" s="36"/>
      <c r="B16" s="2" t="s">
        <v>17</v>
      </c>
      <c r="C16" s="41"/>
      <c r="D16" s="2"/>
      <c r="E16" s="2"/>
      <c r="F16" s="2"/>
      <c r="G16" s="2"/>
      <c r="H16" s="2"/>
      <c r="I16" s="99"/>
      <c r="J16" s="2"/>
      <c r="K16" s="2"/>
      <c r="L16" s="2">
        <v>20</v>
      </c>
      <c r="M16" s="2"/>
      <c r="N16" s="2"/>
      <c r="O16" s="2"/>
      <c r="P16" s="2"/>
      <c r="Q16" s="2"/>
      <c r="R16" s="2"/>
      <c r="S16" s="2"/>
      <c r="T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1">
        <f t="shared" ref="AH16:AH37" si="4">SUM(C16:AG16)</f>
        <v>20</v>
      </c>
      <c r="AI16" s="37">
        <f>'Budget 2016'!C15</f>
        <v>182</v>
      </c>
      <c r="AJ16" s="46">
        <f t="shared" si="3"/>
        <v>162</v>
      </c>
    </row>
    <row r="17" spans="1:36" ht="15" x14ac:dyDescent="0.25">
      <c r="A17" s="36"/>
      <c r="B17" s="2" t="s">
        <v>36</v>
      </c>
      <c r="C17" s="41"/>
      <c r="D17" s="2"/>
      <c r="E17" s="2"/>
      <c r="F17" s="2"/>
      <c r="G17" s="2"/>
      <c r="H17" s="2"/>
      <c r="I17" s="99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51">
        <f t="shared" si="4"/>
        <v>0</v>
      </c>
      <c r="AI17" s="37">
        <f>'Budget 2016'!C16</f>
        <v>0</v>
      </c>
      <c r="AJ17" s="46">
        <f t="shared" si="3"/>
        <v>0</v>
      </c>
    </row>
    <row r="18" spans="1:36" x14ac:dyDescent="0.3">
      <c r="A18" s="36"/>
      <c r="B18" s="2" t="s">
        <v>49</v>
      </c>
      <c r="C18" s="41"/>
      <c r="D18" s="2"/>
      <c r="E18" s="2"/>
      <c r="F18" s="2"/>
      <c r="G18" s="2"/>
      <c r="H18" s="2"/>
      <c r="I18" s="99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51">
        <f t="shared" si="4"/>
        <v>0</v>
      </c>
      <c r="AI18" s="37">
        <f>'Budget 2016'!C17</f>
        <v>90</v>
      </c>
      <c r="AJ18" s="46">
        <f t="shared" si="3"/>
        <v>90</v>
      </c>
    </row>
    <row r="19" spans="1:36" x14ac:dyDescent="0.3">
      <c r="A19" s="36"/>
      <c r="B19" s="2" t="s">
        <v>48</v>
      </c>
      <c r="C19" s="41"/>
      <c r="D19" s="2"/>
      <c r="E19" s="2"/>
      <c r="F19" s="2"/>
      <c r="G19" s="2"/>
      <c r="H19" s="2"/>
      <c r="I19" s="9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51">
        <f t="shared" si="4"/>
        <v>0</v>
      </c>
      <c r="AI19" s="37">
        <f>'Budget 2016'!C18</f>
        <v>667.25</v>
      </c>
      <c r="AJ19" s="46">
        <f t="shared" si="3"/>
        <v>667.25</v>
      </c>
    </row>
    <row r="20" spans="1:36" x14ac:dyDescent="0.3">
      <c r="A20" s="36"/>
      <c r="B20" s="2" t="s">
        <v>5</v>
      </c>
      <c r="C20" s="41"/>
      <c r="D20" s="2"/>
      <c r="E20" s="2"/>
      <c r="F20" s="2"/>
      <c r="G20" s="2"/>
      <c r="H20" s="2">
        <v>1.25</v>
      </c>
      <c r="I20" s="99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51">
        <f t="shared" si="4"/>
        <v>1.25</v>
      </c>
      <c r="AI20" s="37">
        <f>'Budget 2016'!C19</f>
        <v>10</v>
      </c>
      <c r="AJ20" s="46">
        <f t="shared" si="3"/>
        <v>8.75</v>
      </c>
    </row>
    <row r="21" spans="1:36" x14ac:dyDescent="0.3">
      <c r="A21" s="36"/>
      <c r="B21" s="2" t="s">
        <v>4</v>
      </c>
      <c r="C21" s="41"/>
      <c r="D21" s="2"/>
      <c r="E21" s="2"/>
      <c r="F21" s="2"/>
      <c r="G21" s="2"/>
      <c r="H21" s="2"/>
      <c r="I21" s="99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51">
        <f t="shared" si="4"/>
        <v>0</v>
      </c>
      <c r="AI21" s="37">
        <f>'Budget 2016'!C20</f>
        <v>130</v>
      </c>
      <c r="AJ21" s="46">
        <f t="shared" si="3"/>
        <v>130</v>
      </c>
    </row>
    <row r="22" spans="1:36" x14ac:dyDescent="0.3">
      <c r="A22" s="36"/>
      <c r="B22" s="2" t="s">
        <v>7</v>
      </c>
      <c r="C22" s="41">
        <v>53</v>
      </c>
      <c r="D22" s="2">
        <v>35</v>
      </c>
      <c r="E22" s="2">
        <f>35+18</f>
        <v>53</v>
      </c>
      <c r="F22" s="2">
        <v>35</v>
      </c>
      <c r="G22" s="2">
        <v>35</v>
      </c>
      <c r="H22" s="2">
        <v>53</v>
      </c>
      <c r="I22" s="99"/>
      <c r="J22" s="2"/>
      <c r="K22" s="2"/>
      <c r="L22" s="2"/>
      <c r="M22" s="2">
        <v>35</v>
      </c>
      <c r="N22" s="2">
        <v>105</v>
      </c>
      <c r="O22" s="2">
        <v>70</v>
      </c>
      <c r="P22" s="2"/>
      <c r="Q22" s="2"/>
      <c r="R22" s="2"/>
      <c r="S22" s="2"/>
      <c r="T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51">
        <f t="shared" si="4"/>
        <v>474</v>
      </c>
      <c r="AI22" s="37">
        <f>'Budget 2016'!C21</f>
        <v>1170</v>
      </c>
      <c r="AJ22" s="46">
        <f t="shared" si="3"/>
        <v>696</v>
      </c>
    </row>
    <row r="23" spans="1:36" x14ac:dyDescent="0.3">
      <c r="A23" s="36"/>
      <c r="B23" s="2" t="s">
        <v>24</v>
      </c>
      <c r="C23" s="41"/>
      <c r="D23" s="2"/>
      <c r="E23" s="2"/>
      <c r="F23" s="2"/>
      <c r="G23" s="2"/>
      <c r="H23" s="2"/>
      <c r="I23" s="99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51">
        <f t="shared" si="4"/>
        <v>0</v>
      </c>
      <c r="AI23" s="37">
        <f>'Budget 2016'!C22</f>
        <v>170</v>
      </c>
      <c r="AJ23" s="46">
        <f t="shared" si="3"/>
        <v>170</v>
      </c>
    </row>
    <row r="24" spans="1:36" x14ac:dyDescent="0.3">
      <c r="A24" s="36"/>
      <c r="B24" s="2" t="s">
        <v>23</v>
      </c>
      <c r="C24" s="41"/>
      <c r="D24" s="2"/>
      <c r="E24" s="2"/>
      <c r="F24" s="2"/>
      <c r="G24" s="2"/>
      <c r="H24" s="2"/>
      <c r="I24" s="99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51">
        <f t="shared" si="4"/>
        <v>0</v>
      </c>
      <c r="AI24" s="37">
        <f>'Budget 2016'!C23</f>
        <v>40</v>
      </c>
      <c r="AJ24" s="46">
        <f t="shared" si="3"/>
        <v>40</v>
      </c>
    </row>
    <row r="25" spans="1:36" x14ac:dyDescent="0.3">
      <c r="A25" s="36"/>
      <c r="B25" s="2" t="s">
        <v>11</v>
      </c>
      <c r="C25" s="41"/>
      <c r="D25" s="2">
        <v>450</v>
      </c>
      <c r="E25" s="2"/>
      <c r="F25" s="2"/>
      <c r="G25" s="2"/>
      <c r="H25" s="2"/>
      <c r="I25" s="9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51">
        <f t="shared" si="4"/>
        <v>450</v>
      </c>
      <c r="AI25" s="37">
        <f>'Budget 2016'!C24</f>
        <v>450</v>
      </c>
      <c r="AJ25" s="46">
        <f t="shared" si="3"/>
        <v>0</v>
      </c>
    </row>
    <row r="26" spans="1:36" x14ac:dyDescent="0.3">
      <c r="A26" s="36"/>
      <c r="B26" s="2" t="s">
        <v>50</v>
      </c>
      <c r="C26" s="41">
        <v>6.5</v>
      </c>
      <c r="D26" s="2">
        <v>20</v>
      </c>
      <c r="E26" s="2">
        <v>17</v>
      </c>
      <c r="F26" s="2">
        <v>4.53</v>
      </c>
      <c r="G26" s="2">
        <v>16.25</v>
      </c>
      <c r="H26" s="2">
        <v>22</v>
      </c>
      <c r="I26" s="99"/>
      <c r="J26" s="2"/>
      <c r="K26" s="2"/>
      <c r="L26" s="2"/>
      <c r="M26" s="2"/>
      <c r="N26" s="2"/>
      <c r="O26" s="2">
        <v>22</v>
      </c>
      <c r="P26" s="2"/>
      <c r="Q26" s="2"/>
      <c r="R26" s="2"/>
      <c r="S26" s="2"/>
      <c r="T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51">
        <f t="shared" si="4"/>
        <v>108.28</v>
      </c>
      <c r="AI26" s="37">
        <f>'Budget 2016'!C25</f>
        <v>600</v>
      </c>
      <c r="AJ26" s="46">
        <f t="shared" si="3"/>
        <v>491.72</v>
      </c>
    </row>
    <row r="27" spans="1:36" x14ac:dyDescent="0.3">
      <c r="A27" s="36"/>
      <c r="B27" s="2" t="s">
        <v>32</v>
      </c>
      <c r="C27" s="41">
        <v>20</v>
      </c>
      <c r="D27" s="2">
        <v>20</v>
      </c>
      <c r="E27" s="2">
        <v>20</v>
      </c>
      <c r="F27" s="2">
        <v>20</v>
      </c>
      <c r="G27" s="2">
        <v>20</v>
      </c>
      <c r="H27" s="2">
        <v>20</v>
      </c>
      <c r="I27" s="99"/>
      <c r="J27" s="2"/>
      <c r="K27" s="2"/>
      <c r="L27" s="2"/>
      <c r="M27" s="2">
        <v>20</v>
      </c>
      <c r="N27" s="2">
        <v>20</v>
      </c>
      <c r="O27" s="2">
        <v>20</v>
      </c>
      <c r="P27" s="2"/>
      <c r="Q27" s="2"/>
      <c r="R27" s="2"/>
      <c r="S27" s="2"/>
      <c r="T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51">
        <f t="shared" si="4"/>
        <v>180</v>
      </c>
      <c r="AI27" s="37">
        <f>'Budget 2016'!C26</f>
        <v>520</v>
      </c>
      <c r="AJ27" s="46">
        <f t="shared" si="3"/>
        <v>340</v>
      </c>
    </row>
    <row r="28" spans="1:36" x14ac:dyDescent="0.3">
      <c r="A28" s="36"/>
      <c r="B28" s="31" t="s">
        <v>19</v>
      </c>
      <c r="C28" s="41">
        <v>5</v>
      </c>
      <c r="D28" s="2">
        <v>5</v>
      </c>
      <c r="E28" s="2">
        <v>5</v>
      </c>
      <c r="F28" s="2">
        <v>5</v>
      </c>
      <c r="G28" s="2">
        <v>5</v>
      </c>
      <c r="H28" s="2">
        <v>5</v>
      </c>
      <c r="I28" s="99"/>
      <c r="J28" s="2"/>
      <c r="K28" s="2"/>
      <c r="L28" s="2"/>
      <c r="M28" s="2">
        <v>5</v>
      </c>
      <c r="N28" s="2">
        <v>5</v>
      </c>
      <c r="O28" s="2">
        <v>5</v>
      </c>
      <c r="P28" s="2"/>
      <c r="Q28" s="2"/>
      <c r="R28" s="2"/>
      <c r="S28" s="2"/>
      <c r="T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51">
        <f>SUM(C28:AG28)</f>
        <v>45</v>
      </c>
      <c r="AI28" s="37">
        <f>'Budget 2016'!C28</f>
        <v>23.833333333333332</v>
      </c>
      <c r="AJ28" s="46">
        <f>AI28-AH28</f>
        <v>-21.166666666666668</v>
      </c>
    </row>
    <row r="29" spans="1:36" x14ac:dyDescent="0.3">
      <c r="A29" s="36"/>
      <c r="B29" s="2" t="s">
        <v>69</v>
      </c>
      <c r="C29" s="41">
        <v>5</v>
      </c>
      <c r="D29" s="2">
        <v>15.5</v>
      </c>
      <c r="E29" s="2">
        <v>1.25</v>
      </c>
      <c r="F29" s="2">
        <v>26.95</v>
      </c>
      <c r="G29" s="2"/>
      <c r="H29" s="2">
        <v>1</v>
      </c>
      <c r="I29" s="99"/>
      <c r="J29" s="2"/>
      <c r="K29" s="2">
        <v>61.9</v>
      </c>
      <c r="L29" s="2"/>
      <c r="M29" s="2"/>
      <c r="N29" s="2">
        <v>3</v>
      </c>
      <c r="O29" s="2"/>
      <c r="P29" s="2"/>
      <c r="Q29" s="2"/>
      <c r="R29" s="2"/>
      <c r="S29" s="2"/>
      <c r="T29" s="2"/>
      <c r="U29" s="57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51">
        <f>SUM(C29:AG29)</f>
        <v>114.6</v>
      </c>
      <c r="AI29" s="37">
        <v>0</v>
      </c>
      <c r="AJ29" s="46">
        <f>AI29-AH29</f>
        <v>-114.6</v>
      </c>
    </row>
    <row r="30" spans="1:36" x14ac:dyDescent="0.3">
      <c r="A30" s="36"/>
      <c r="B30" s="2" t="s">
        <v>71</v>
      </c>
      <c r="C30" s="41"/>
      <c r="D30" s="2">
        <v>100</v>
      </c>
      <c r="E30" s="2"/>
      <c r="F30" s="2">
        <v>20</v>
      </c>
      <c r="G30" s="2"/>
      <c r="H30" s="2"/>
      <c r="I30" s="99"/>
      <c r="J30" s="2"/>
      <c r="K30" s="2">
        <v>25</v>
      </c>
      <c r="L30" s="2">
        <v>40</v>
      </c>
      <c r="M30" s="2"/>
      <c r="N30" s="2">
        <v>90</v>
      </c>
      <c r="O30" s="2">
        <v>50</v>
      </c>
      <c r="P30" s="2"/>
      <c r="Q30" s="2"/>
      <c r="R30" s="2"/>
      <c r="S30" s="2"/>
      <c r="T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51">
        <f>SUM(C30:AG30)</f>
        <v>325</v>
      </c>
      <c r="AI30" s="37">
        <v>0</v>
      </c>
      <c r="AJ30" s="46">
        <f>AI30-AH30</f>
        <v>-325</v>
      </c>
    </row>
    <row r="31" spans="1:36" x14ac:dyDescent="0.3">
      <c r="A31" s="36"/>
      <c r="B31" s="2" t="s">
        <v>102</v>
      </c>
      <c r="C31" s="41"/>
      <c r="D31" s="2"/>
      <c r="E31" s="2"/>
      <c r="F31" s="2"/>
      <c r="G31" s="2"/>
      <c r="H31" s="2"/>
      <c r="I31" s="99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51">
        <f t="shared" ref="AH31:AH34" si="5">SUM(C31:AG31)</f>
        <v>0</v>
      </c>
      <c r="AI31" s="37">
        <v>0</v>
      </c>
      <c r="AJ31" s="46">
        <f t="shared" ref="AJ31:AJ34" si="6">AI31-AH31</f>
        <v>0</v>
      </c>
    </row>
    <row r="32" spans="1:36" x14ac:dyDescent="0.3">
      <c r="A32" s="36"/>
      <c r="B32" s="2" t="s">
        <v>103</v>
      </c>
      <c r="C32" s="41"/>
      <c r="D32" s="2"/>
      <c r="E32" s="2"/>
      <c r="F32" s="2"/>
      <c r="G32" s="2">
        <v>15</v>
      </c>
      <c r="H32" s="2">
        <v>30</v>
      </c>
      <c r="I32" s="99"/>
      <c r="J32" s="2"/>
      <c r="K32" s="2"/>
      <c r="L32" s="2"/>
      <c r="M32" s="2"/>
      <c r="N32" s="2"/>
      <c r="O32" s="2">
        <v>10</v>
      </c>
      <c r="P32" s="2"/>
      <c r="Q32" s="2"/>
      <c r="R32" s="2"/>
      <c r="S32" s="2"/>
      <c r="T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51">
        <f t="shared" si="5"/>
        <v>55</v>
      </c>
      <c r="AI32" s="37">
        <v>0</v>
      </c>
      <c r="AJ32" s="46">
        <f t="shared" si="6"/>
        <v>-55</v>
      </c>
    </row>
    <row r="33" spans="1:39" x14ac:dyDescent="0.3">
      <c r="A33" s="36"/>
      <c r="B33" s="2" t="s">
        <v>105</v>
      </c>
      <c r="C33" s="41"/>
      <c r="D33" s="2"/>
      <c r="E33" s="2"/>
      <c r="F33" s="2"/>
      <c r="G33" s="2"/>
      <c r="H33" s="2"/>
      <c r="I33" s="99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51">
        <f t="shared" si="5"/>
        <v>0</v>
      </c>
      <c r="AI33" s="37">
        <v>0</v>
      </c>
      <c r="AJ33" s="46">
        <f t="shared" si="6"/>
        <v>0</v>
      </c>
    </row>
    <row r="34" spans="1:39" x14ac:dyDescent="0.3">
      <c r="A34" s="36"/>
      <c r="B34" s="2" t="s">
        <v>104</v>
      </c>
      <c r="C34" s="41"/>
      <c r="D34" s="2"/>
      <c r="E34" s="2"/>
      <c r="F34" s="2"/>
      <c r="G34" s="2">
        <v>60</v>
      </c>
      <c r="H34" s="2"/>
      <c r="I34" s="99"/>
      <c r="J34" s="2"/>
      <c r="K34" s="2"/>
      <c r="L34" s="2"/>
      <c r="M34" s="2"/>
      <c r="N34" s="2"/>
      <c r="O34" s="2">
        <v>24</v>
      </c>
      <c r="P34" s="2"/>
      <c r="Q34" s="2"/>
      <c r="R34" s="2"/>
      <c r="S34" s="2"/>
      <c r="T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51">
        <f t="shared" si="5"/>
        <v>84</v>
      </c>
      <c r="AI34" s="37">
        <v>0</v>
      </c>
      <c r="AJ34" s="46">
        <f t="shared" si="6"/>
        <v>-84</v>
      </c>
    </row>
    <row r="35" spans="1:39" x14ac:dyDescent="0.3">
      <c r="A35" s="36"/>
      <c r="B35" s="2" t="s">
        <v>132</v>
      </c>
      <c r="C35" s="41"/>
      <c r="D35" s="2"/>
      <c r="E35" s="2"/>
      <c r="F35" s="2">
        <f>120*4</f>
        <v>480</v>
      </c>
      <c r="G35" s="2">
        <v>210</v>
      </c>
      <c r="H35" s="2">
        <v>240</v>
      </c>
      <c r="I35" s="9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51">
        <f t="shared" si="4"/>
        <v>930</v>
      </c>
      <c r="AI35" s="37">
        <v>0</v>
      </c>
      <c r="AJ35" s="46">
        <f t="shared" si="3"/>
        <v>-930</v>
      </c>
    </row>
    <row r="36" spans="1:39" x14ac:dyDescent="0.3">
      <c r="A36" s="36"/>
      <c r="B36" s="2" t="s">
        <v>6</v>
      </c>
      <c r="C36" s="41"/>
      <c r="D36" s="2"/>
      <c r="E36" s="2"/>
      <c r="F36" s="2"/>
      <c r="G36" s="2"/>
      <c r="H36" s="2"/>
      <c r="I36" s="99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51">
        <f t="shared" si="4"/>
        <v>0</v>
      </c>
      <c r="AI36" s="37">
        <f>'Budget 2016'!C27</f>
        <v>6</v>
      </c>
      <c r="AJ36" s="46">
        <f t="shared" si="3"/>
        <v>6</v>
      </c>
    </row>
    <row r="37" spans="1:39" x14ac:dyDescent="0.3">
      <c r="A37" s="36"/>
      <c r="B37" s="2" t="s">
        <v>70</v>
      </c>
      <c r="C37" s="41"/>
      <c r="D37" s="2"/>
      <c r="E37" s="2"/>
      <c r="F37" s="2"/>
      <c r="G37" s="2"/>
      <c r="H37" s="2"/>
      <c r="I37" s="99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51">
        <f t="shared" si="4"/>
        <v>0</v>
      </c>
      <c r="AI37" s="37">
        <v>1</v>
      </c>
      <c r="AJ37" s="46">
        <f t="shared" si="3"/>
        <v>1</v>
      </c>
    </row>
    <row r="38" spans="1:39" x14ac:dyDescent="0.3">
      <c r="B38" s="20" t="s">
        <v>68</v>
      </c>
      <c r="C38" s="50">
        <f t="shared" ref="C38:AG38" si="7">SUM(C15:C36)</f>
        <v>89.5</v>
      </c>
      <c r="D38" s="50">
        <f>SUM(D15:D37)</f>
        <v>645.5</v>
      </c>
      <c r="E38" s="50">
        <f t="shared" si="7"/>
        <v>96.25</v>
      </c>
      <c r="F38" s="50">
        <f t="shared" si="7"/>
        <v>591.48</v>
      </c>
      <c r="G38" s="50">
        <f t="shared" si="7"/>
        <v>361.25</v>
      </c>
      <c r="H38" s="50">
        <f t="shared" si="7"/>
        <v>372.25</v>
      </c>
      <c r="I38" s="50">
        <f t="shared" si="7"/>
        <v>0</v>
      </c>
      <c r="J38" s="50">
        <f t="shared" si="7"/>
        <v>0</v>
      </c>
      <c r="K38" s="50">
        <f t="shared" si="7"/>
        <v>86.9</v>
      </c>
      <c r="L38" s="50">
        <f t="shared" si="7"/>
        <v>60</v>
      </c>
      <c r="M38" s="50">
        <f t="shared" si="7"/>
        <v>60</v>
      </c>
      <c r="N38" s="50">
        <f t="shared" si="7"/>
        <v>223</v>
      </c>
      <c r="O38" s="50">
        <f t="shared" si="7"/>
        <v>201</v>
      </c>
      <c r="P38" s="50">
        <f t="shared" si="7"/>
        <v>0</v>
      </c>
      <c r="Q38" s="50">
        <f t="shared" si="7"/>
        <v>0</v>
      </c>
      <c r="R38" s="50">
        <f t="shared" si="7"/>
        <v>0</v>
      </c>
      <c r="S38" s="50">
        <f t="shared" si="7"/>
        <v>0</v>
      </c>
      <c r="T38" s="50">
        <f t="shared" si="7"/>
        <v>0</v>
      </c>
      <c r="U38" s="50">
        <f t="shared" si="7"/>
        <v>0</v>
      </c>
      <c r="V38" s="50">
        <f t="shared" si="7"/>
        <v>0</v>
      </c>
      <c r="W38" s="50">
        <f t="shared" si="7"/>
        <v>0</v>
      </c>
      <c r="X38" s="50">
        <f t="shared" si="7"/>
        <v>0</v>
      </c>
      <c r="Y38" s="50">
        <f t="shared" si="7"/>
        <v>0</v>
      </c>
      <c r="Z38" s="50">
        <f t="shared" si="7"/>
        <v>0</v>
      </c>
      <c r="AA38" s="50">
        <f t="shared" si="7"/>
        <v>0</v>
      </c>
      <c r="AB38" s="50">
        <f t="shared" si="7"/>
        <v>0</v>
      </c>
      <c r="AC38" s="50">
        <f t="shared" si="7"/>
        <v>0</v>
      </c>
      <c r="AD38" s="50">
        <f t="shared" si="7"/>
        <v>0</v>
      </c>
      <c r="AE38" s="50">
        <f t="shared" si="7"/>
        <v>0</v>
      </c>
      <c r="AF38" s="50">
        <f t="shared" si="7"/>
        <v>0</v>
      </c>
      <c r="AG38" s="50">
        <f t="shared" si="7"/>
        <v>0</v>
      </c>
      <c r="AH38" s="51">
        <f>SUM(C38:AG38)</f>
        <v>2787.13</v>
      </c>
      <c r="AI38" s="37">
        <f>SUM(AI15:AI36)</f>
        <v>4084.0833333333335</v>
      </c>
      <c r="AJ38" s="46">
        <f t="shared" si="3"/>
        <v>1296.9533333333334</v>
      </c>
    </row>
    <row r="39" spans="1:39" x14ac:dyDescent="0.3">
      <c r="B39" s="44" t="s">
        <v>63</v>
      </c>
      <c r="C39" s="40">
        <f t="shared" ref="C39:AJ39" si="8">C13+C38</f>
        <v>169.5</v>
      </c>
      <c r="D39" s="40">
        <f t="shared" si="8"/>
        <v>1225.5</v>
      </c>
      <c r="E39" s="40">
        <f t="shared" si="8"/>
        <v>111.25</v>
      </c>
      <c r="F39" s="40">
        <f t="shared" si="8"/>
        <v>681.48</v>
      </c>
      <c r="G39" s="40">
        <f t="shared" si="8"/>
        <v>376.25</v>
      </c>
      <c r="H39" s="40">
        <f t="shared" si="8"/>
        <v>372.25</v>
      </c>
      <c r="I39" s="40">
        <f t="shared" si="8"/>
        <v>0</v>
      </c>
      <c r="J39" s="40">
        <f t="shared" si="8"/>
        <v>0</v>
      </c>
      <c r="K39" s="40">
        <f t="shared" si="8"/>
        <v>86.9</v>
      </c>
      <c r="L39" s="40">
        <f t="shared" si="8"/>
        <v>80</v>
      </c>
      <c r="M39" s="40">
        <f t="shared" si="8"/>
        <v>75</v>
      </c>
      <c r="N39" s="40">
        <f t="shared" si="8"/>
        <v>223</v>
      </c>
      <c r="O39" s="40">
        <f t="shared" si="8"/>
        <v>201</v>
      </c>
      <c r="P39" s="40">
        <f t="shared" si="8"/>
        <v>0</v>
      </c>
      <c r="Q39" s="40">
        <f t="shared" si="8"/>
        <v>0</v>
      </c>
      <c r="R39" s="40">
        <f t="shared" si="8"/>
        <v>0</v>
      </c>
      <c r="S39" s="40">
        <f t="shared" si="8"/>
        <v>0</v>
      </c>
      <c r="T39" s="40">
        <f t="shared" si="8"/>
        <v>0</v>
      </c>
      <c r="U39" s="40">
        <f t="shared" si="8"/>
        <v>0</v>
      </c>
      <c r="V39" s="40">
        <f t="shared" si="8"/>
        <v>0</v>
      </c>
      <c r="W39" s="40">
        <f t="shared" si="8"/>
        <v>0</v>
      </c>
      <c r="X39" s="40">
        <f t="shared" si="8"/>
        <v>0</v>
      </c>
      <c r="Y39" s="40">
        <f t="shared" si="8"/>
        <v>0</v>
      </c>
      <c r="Z39" s="40">
        <f t="shared" si="8"/>
        <v>0</v>
      </c>
      <c r="AA39" s="40">
        <f t="shared" si="8"/>
        <v>0</v>
      </c>
      <c r="AB39" s="40">
        <f t="shared" si="8"/>
        <v>0</v>
      </c>
      <c r="AC39" s="40">
        <f t="shared" si="8"/>
        <v>0</v>
      </c>
      <c r="AD39" s="40">
        <f t="shared" si="8"/>
        <v>0</v>
      </c>
      <c r="AE39" s="40">
        <f t="shared" si="8"/>
        <v>0</v>
      </c>
      <c r="AF39" s="40">
        <f t="shared" si="8"/>
        <v>0</v>
      </c>
      <c r="AG39" s="40">
        <f t="shared" si="8"/>
        <v>0</v>
      </c>
      <c r="AH39" s="40">
        <f t="shared" si="8"/>
        <v>3602.13</v>
      </c>
      <c r="AI39" s="40">
        <f t="shared" si="8"/>
        <v>8539.0833333333339</v>
      </c>
      <c r="AJ39" s="40">
        <f t="shared" si="8"/>
        <v>4936.9533333333329</v>
      </c>
    </row>
    <row r="42" spans="1:39" x14ac:dyDescent="0.3">
      <c r="A42" s="2" t="s">
        <v>87</v>
      </c>
      <c r="B42" s="81" t="s">
        <v>72</v>
      </c>
      <c r="C42" s="53">
        <f>C4</f>
        <v>42583</v>
      </c>
      <c r="D42" s="53">
        <f t="shared" ref="D42:AG42" si="9">D4</f>
        <v>42584</v>
      </c>
      <c r="E42" s="53">
        <f t="shared" si="9"/>
        <v>42585</v>
      </c>
      <c r="F42" s="53">
        <f t="shared" si="9"/>
        <v>42586</v>
      </c>
      <c r="G42" s="53">
        <f t="shared" si="9"/>
        <v>42587</v>
      </c>
      <c r="H42" s="53">
        <f t="shared" si="9"/>
        <v>42588</v>
      </c>
      <c r="I42" s="53">
        <f t="shared" si="9"/>
        <v>42589</v>
      </c>
      <c r="J42" s="53">
        <f t="shared" si="9"/>
        <v>42590</v>
      </c>
      <c r="K42" s="53">
        <f t="shared" si="9"/>
        <v>42591</v>
      </c>
      <c r="L42" s="53">
        <f t="shared" si="9"/>
        <v>42592</v>
      </c>
      <c r="M42" s="53">
        <f t="shared" si="9"/>
        <v>42593</v>
      </c>
      <c r="N42" s="53">
        <f t="shared" si="9"/>
        <v>42594</v>
      </c>
      <c r="O42" s="53">
        <f t="shared" si="9"/>
        <v>42595</v>
      </c>
      <c r="P42" s="53">
        <f t="shared" si="9"/>
        <v>42596</v>
      </c>
      <c r="Q42" s="53">
        <f t="shared" si="9"/>
        <v>42597</v>
      </c>
      <c r="R42" s="53">
        <f t="shared" si="9"/>
        <v>42598</v>
      </c>
      <c r="S42" s="53">
        <f t="shared" si="9"/>
        <v>42599</v>
      </c>
      <c r="T42" s="53">
        <f t="shared" si="9"/>
        <v>42600</v>
      </c>
      <c r="U42" s="53">
        <f t="shared" si="9"/>
        <v>42601</v>
      </c>
      <c r="V42" s="53">
        <f t="shared" si="9"/>
        <v>42602</v>
      </c>
      <c r="W42" s="53">
        <f t="shared" si="9"/>
        <v>42603</v>
      </c>
      <c r="X42" s="53">
        <f t="shared" si="9"/>
        <v>42604</v>
      </c>
      <c r="Y42" s="53">
        <f t="shared" si="9"/>
        <v>42605</v>
      </c>
      <c r="Z42" s="53">
        <f t="shared" si="9"/>
        <v>42606</v>
      </c>
      <c r="AA42" s="53">
        <f t="shared" si="9"/>
        <v>42607</v>
      </c>
      <c r="AB42" s="53">
        <f t="shared" si="9"/>
        <v>42608</v>
      </c>
      <c r="AC42" s="53">
        <f t="shared" si="9"/>
        <v>42609</v>
      </c>
      <c r="AD42" s="53">
        <f t="shared" si="9"/>
        <v>42610</v>
      </c>
      <c r="AE42" s="53">
        <f t="shared" si="9"/>
        <v>42611</v>
      </c>
      <c r="AF42" s="53">
        <f t="shared" si="9"/>
        <v>42612</v>
      </c>
      <c r="AG42" s="53">
        <f t="shared" si="9"/>
        <v>42613</v>
      </c>
      <c r="AH42" s="43" t="s">
        <v>64</v>
      </c>
      <c r="AI42" s="65" t="s">
        <v>93</v>
      </c>
      <c r="AJ42" s="65" t="s">
        <v>94</v>
      </c>
      <c r="AK42" s="65" t="s">
        <v>95</v>
      </c>
      <c r="AM42" s="69" t="s">
        <v>97</v>
      </c>
    </row>
    <row r="43" spans="1:39" x14ac:dyDescent="0.3">
      <c r="A43" s="128" t="s">
        <v>73</v>
      </c>
      <c r="B43" s="3" t="s">
        <v>9</v>
      </c>
      <c r="C43" s="4"/>
      <c r="D43" s="28"/>
      <c r="E43" s="2"/>
      <c r="F43" s="2"/>
      <c r="G43" s="2"/>
      <c r="H43" s="2"/>
      <c r="I43" s="99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55">
        <f>SUM(C43:AG43)</f>
        <v>0</v>
      </c>
      <c r="AI43" s="63">
        <f>AH43/200</f>
        <v>0</v>
      </c>
      <c r="AJ43" s="7">
        <v>5</v>
      </c>
      <c r="AK43" s="4" t="str">
        <f t="shared" ref="AK43:AK48" si="10">IF(AH43=0,"0",(AH43/AI43)/AJ43)</f>
        <v>0</v>
      </c>
      <c r="AM43" s="60">
        <f>AI43*AJ43</f>
        <v>0</v>
      </c>
    </row>
    <row r="44" spans="1:39" x14ac:dyDescent="0.3">
      <c r="A44" s="129"/>
      <c r="B44" s="3" t="s">
        <v>8</v>
      </c>
      <c r="C44" s="4"/>
      <c r="D44" s="28"/>
      <c r="E44" s="2"/>
      <c r="F44" s="2"/>
      <c r="G44" s="2"/>
      <c r="H44" s="2"/>
      <c r="I44" s="99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55">
        <f t="shared" ref="AH44:AH49" si="11">SUM(C44:AG44)</f>
        <v>0</v>
      </c>
      <c r="AI44" s="63">
        <f>AH44/300</f>
        <v>0</v>
      </c>
      <c r="AJ44" s="7">
        <v>4</v>
      </c>
      <c r="AK44" s="4" t="str">
        <f t="shared" si="10"/>
        <v>0</v>
      </c>
      <c r="AM44" s="60">
        <f t="shared" ref="AM44:AM48" si="12">AI44*AJ44</f>
        <v>0</v>
      </c>
    </row>
    <row r="45" spans="1:39" x14ac:dyDescent="0.3">
      <c r="A45" s="129"/>
      <c r="B45" s="3" t="s">
        <v>22</v>
      </c>
      <c r="C45" s="4"/>
      <c r="D45" s="28"/>
      <c r="E45" s="2"/>
      <c r="F45" s="2"/>
      <c r="G45" s="2"/>
      <c r="H45" s="2"/>
      <c r="I45" s="9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55">
        <f>SUM(C45:AG45)</f>
        <v>0</v>
      </c>
      <c r="AI45" s="63">
        <f>AH45/55</f>
        <v>0</v>
      </c>
      <c r="AJ45" s="7">
        <v>2</v>
      </c>
      <c r="AK45" s="4" t="str">
        <f>IF(AH45=0,"0",(AH45/AI45)/AJ45)</f>
        <v>0</v>
      </c>
      <c r="AM45" s="60">
        <f>AI45*AJ45</f>
        <v>0</v>
      </c>
    </row>
    <row r="46" spans="1:39" x14ac:dyDescent="0.3">
      <c r="A46" s="129"/>
      <c r="B46" s="3" t="s">
        <v>21</v>
      </c>
      <c r="C46" s="4"/>
      <c r="D46" s="28"/>
      <c r="E46" s="2">
        <v>55</v>
      </c>
      <c r="F46" s="2"/>
      <c r="G46" s="2"/>
      <c r="H46" s="2"/>
      <c r="I46" s="99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55">
        <f t="shared" si="11"/>
        <v>55</v>
      </c>
      <c r="AI46" s="63">
        <f>AH46/70</f>
        <v>0.7857142857142857</v>
      </c>
      <c r="AJ46" s="7">
        <v>1</v>
      </c>
      <c r="AK46" s="4">
        <f t="shared" si="10"/>
        <v>70</v>
      </c>
      <c r="AM46" s="60">
        <f t="shared" si="12"/>
        <v>0.7857142857142857</v>
      </c>
    </row>
    <row r="47" spans="1:39" x14ac:dyDescent="0.3">
      <c r="A47" s="129"/>
      <c r="B47" s="3" t="s">
        <v>139</v>
      </c>
      <c r="C47" s="4"/>
      <c r="D47" s="28"/>
      <c r="E47" s="2"/>
      <c r="F47" s="2"/>
      <c r="G47" s="2">
        <v>240</v>
      </c>
      <c r="H47" s="2"/>
      <c r="I47" s="99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55"/>
      <c r="AI47" s="63"/>
      <c r="AJ47" s="7"/>
      <c r="AK47" s="4"/>
      <c r="AM47" s="60"/>
    </row>
    <row r="48" spans="1:39" x14ac:dyDescent="0.3">
      <c r="A48" s="129"/>
      <c r="B48" s="3" t="s">
        <v>14</v>
      </c>
      <c r="C48" s="4"/>
      <c r="D48" s="28"/>
      <c r="E48" s="2"/>
      <c r="F48" s="2"/>
      <c r="G48" s="2"/>
      <c r="H48" s="2"/>
      <c r="I48" s="99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55">
        <f t="shared" si="11"/>
        <v>0</v>
      </c>
      <c r="AI48" s="63">
        <v>0</v>
      </c>
      <c r="AJ48" s="7">
        <v>1</v>
      </c>
      <c r="AK48" s="4" t="str">
        <f t="shared" si="10"/>
        <v>0</v>
      </c>
      <c r="AM48" s="60">
        <f t="shared" si="12"/>
        <v>0</v>
      </c>
    </row>
    <row r="49" spans="1:39" x14ac:dyDescent="0.3">
      <c r="A49" s="130"/>
      <c r="B49" s="3" t="s">
        <v>56</v>
      </c>
      <c r="C49" s="4">
        <f>300+150+150</f>
        <v>600</v>
      </c>
      <c r="D49" s="28"/>
      <c r="E49" s="2"/>
      <c r="F49" s="2"/>
      <c r="G49" s="2"/>
      <c r="H49" s="2"/>
      <c r="I49" s="99"/>
      <c r="J49" s="2"/>
      <c r="K49" s="2">
        <f>300</f>
        <v>300</v>
      </c>
      <c r="L49" s="2"/>
      <c r="M49" s="2"/>
      <c r="N49" s="2"/>
      <c r="O49" s="2"/>
      <c r="P49" s="2"/>
      <c r="Q49" s="2">
        <f>3*300</f>
        <v>900</v>
      </c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74"/>
      <c r="AE49" s="74"/>
      <c r="AF49" s="74"/>
      <c r="AG49" s="74"/>
      <c r="AH49" s="55">
        <f t="shared" si="11"/>
        <v>1800</v>
      </c>
      <c r="AI49" s="63">
        <f>AH49/300</f>
        <v>6</v>
      </c>
      <c r="AJ49" s="7">
        <v>9</v>
      </c>
      <c r="AK49" s="4">
        <f>IF(AH49=0,"0",(AH49/AI49)/AJ49)</f>
        <v>33.333333333333336</v>
      </c>
      <c r="AM49" s="60">
        <f>AI49*AJ49</f>
        <v>54</v>
      </c>
    </row>
    <row r="50" spans="1:39" x14ac:dyDescent="0.3">
      <c r="B50" s="20" t="s">
        <v>76</v>
      </c>
      <c r="C50" s="50">
        <f>SUM(C43:C49)</f>
        <v>600</v>
      </c>
      <c r="D50" s="50">
        <f t="shared" ref="D50:AG50" si="13">SUM(D43:D49)</f>
        <v>0</v>
      </c>
      <c r="E50" s="50">
        <f t="shared" si="13"/>
        <v>55</v>
      </c>
      <c r="F50" s="50">
        <f t="shared" si="13"/>
        <v>0</v>
      </c>
      <c r="G50" s="50">
        <f t="shared" si="13"/>
        <v>240</v>
      </c>
      <c r="H50" s="50">
        <f t="shared" si="13"/>
        <v>0</v>
      </c>
      <c r="I50" s="50">
        <f t="shared" si="13"/>
        <v>0</v>
      </c>
      <c r="J50" s="50">
        <f t="shared" si="13"/>
        <v>0</v>
      </c>
      <c r="K50" s="50">
        <f t="shared" si="13"/>
        <v>300</v>
      </c>
      <c r="L50" s="50">
        <f t="shared" si="13"/>
        <v>0</v>
      </c>
      <c r="M50" s="50">
        <f t="shared" si="13"/>
        <v>0</v>
      </c>
      <c r="N50" s="50">
        <f t="shared" si="13"/>
        <v>0</v>
      </c>
      <c r="O50" s="50">
        <f t="shared" si="13"/>
        <v>0</v>
      </c>
      <c r="P50" s="50">
        <f t="shared" si="13"/>
        <v>0</v>
      </c>
      <c r="Q50" s="50">
        <f t="shared" si="13"/>
        <v>900</v>
      </c>
      <c r="R50" s="50">
        <f t="shared" si="13"/>
        <v>0</v>
      </c>
      <c r="S50" s="50">
        <f t="shared" si="13"/>
        <v>0</v>
      </c>
      <c r="T50" s="50">
        <f t="shared" si="13"/>
        <v>0</v>
      </c>
      <c r="U50" s="50">
        <f t="shared" si="13"/>
        <v>0</v>
      </c>
      <c r="V50" s="50">
        <f t="shared" si="13"/>
        <v>0</v>
      </c>
      <c r="W50" s="50">
        <f t="shared" si="13"/>
        <v>0</v>
      </c>
      <c r="X50" s="50">
        <f t="shared" si="13"/>
        <v>0</v>
      </c>
      <c r="Y50" s="50">
        <f t="shared" si="13"/>
        <v>0</v>
      </c>
      <c r="Z50" s="50">
        <f t="shared" si="13"/>
        <v>0</v>
      </c>
      <c r="AA50" s="50">
        <f t="shared" si="13"/>
        <v>0</v>
      </c>
      <c r="AB50" s="50">
        <f t="shared" si="13"/>
        <v>0</v>
      </c>
      <c r="AC50" s="50">
        <f t="shared" si="13"/>
        <v>0</v>
      </c>
      <c r="AD50" s="50">
        <f t="shared" si="13"/>
        <v>0</v>
      </c>
      <c r="AE50" s="50">
        <f t="shared" si="13"/>
        <v>0</v>
      </c>
      <c r="AF50" s="50">
        <f t="shared" si="13"/>
        <v>0</v>
      </c>
      <c r="AG50" s="50">
        <f t="shared" si="13"/>
        <v>0</v>
      </c>
      <c r="AH50" s="51">
        <f>SUM(C50:AG50)</f>
        <v>2095</v>
      </c>
      <c r="AI50" s="64">
        <f>SUM(AI43:AI49)</f>
        <v>6.7857142857142856</v>
      </c>
      <c r="AJ50" s="66"/>
      <c r="AK50" s="64">
        <f>(AVERAGE(AK43:AK49))</f>
        <v>51.666666666666671</v>
      </c>
      <c r="AL50" s="71" t="s">
        <v>96</v>
      </c>
      <c r="AM50" s="70">
        <f>SUM(AM43:AM49)</f>
        <v>54.785714285714285</v>
      </c>
    </row>
    <row r="51" spans="1:39" x14ac:dyDescent="0.3">
      <c r="A51" s="2" t="s">
        <v>87</v>
      </c>
      <c r="B51" s="81" t="s">
        <v>72</v>
      </c>
      <c r="C51" s="53">
        <f>C42</f>
        <v>42583</v>
      </c>
      <c r="D51" s="53">
        <f t="shared" ref="D51:AG51" si="14">D42</f>
        <v>42584</v>
      </c>
      <c r="E51" s="53">
        <f t="shared" si="14"/>
        <v>42585</v>
      </c>
      <c r="F51" s="53">
        <f t="shared" si="14"/>
        <v>42586</v>
      </c>
      <c r="G51" s="53">
        <f t="shared" si="14"/>
        <v>42587</v>
      </c>
      <c r="H51" s="53">
        <f t="shared" si="14"/>
        <v>42588</v>
      </c>
      <c r="I51" s="53">
        <f t="shared" si="14"/>
        <v>42589</v>
      </c>
      <c r="J51" s="53">
        <f t="shared" si="14"/>
        <v>42590</v>
      </c>
      <c r="K51" s="53">
        <f t="shared" si="14"/>
        <v>42591</v>
      </c>
      <c r="L51" s="53">
        <f t="shared" si="14"/>
        <v>42592</v>
      </c>
      <c r="M51" s="53">
        <f t="shared" si="14"/>
        <v>42593</v>
      </c>
      <c r="N51" s="53">
        <f t="shared" si="14"/>
        <v>42594</v>
      </c>
      <c r="O51" s="53">
        <f t="shared" si="14"/>
        <v>42595</v>
      </c>
      <c r="P51" s="53">
        <f t="shared" si="14"/>
        <v>42596</v>
      </c>
      <c r="Q51" s="53">
        <f t="shared" si="14"/>
        <v>42597</v>
      </c>
      <c r="R51" s="53">
        <f t="shared" si="14"/>
        <v>42598</v>
      </c>
      <c r="S51" s="53">
        <f t="shared" si="14"/>
        <v>42599</v>
      </c>
      <c r="T51" s="53">
        <f t="shared" si="14"/>
        <v>42600</v>
      </c>
      <c r="U51" s="53">
        <f t="shared" si="14"/>
        <v>42601</v>
      </c>
      <c r="V51" s="53">
        <f t="shared" si="14"/>
        <v>42602</v>
      </c>
      <c r="W51" s="53">
        <f t="shared" si="14"/>
        <v>42603</v>
      </c>
      <c r="X51" s="53">
        <f t="shared" si="14"/>
        <v>42604</v>
      </c>
      <c r="Y51" s="53">
        <f t="shared" si="14"/>
        <v>42605</v>
      </c>
      <c r="Z51" s="53">
        <f t="shared" si="14"/>
        <v>42606</v>
      </c>
      <c r="AA51" s="53">
        <f t="shared" si="14"/>
        <v>42607</v>
      </c>
      <c r="AB51" s="53">
        <f t="shared" si="14"/>
        <v>42608</v>
      </c>
      <c r="AC51" s="53">
        <f t="shared" si="14"/>
        <v>42609</v>
      </c>
      <c r="AD51" s="53">
        <f t="shared" si="14"/>
        <v>42610</v>
      </c>
      <c r="AE51" s="53">
        <f t="shared" si="14"/>
        <v>42611</v>
      </c>
      <c r="AF51" s="53">
        <f t="shared" si="14"/>
        <v>42612</v>
      </c>
      <c r="AG51" s="53">
        <f t="shared" si="14"/>
        <v>42613</v>
      </c>
      <c r="AH51" s="43" t="s">
        <v>64</v>
      </c>
      <c r="AI51" s="65" t="s">
        <v>93</v>
      </c>
      <c r="AJ51" s="65" t="s">
        <v>94</v>
      </c>
      <c r="AK51" s="65" t="s">
        <v>95</v>
      </c>
      <c r="AM51" s="69" t="s">
        <v>97</v>
      </c>
    </row>
    <row r="52" spans="1:39" x14ac:dyDescent="0.3">
      <c r="A52" s="128" t="s">
        <v>74</v>
      </c>
      <c r="B52" s="3" t="s">
        <v>9</v>
      </c>
      <c r="C52" s="4"/>
      <c r="D52" s="28"/>
      <c r="E52" s="2"/>
      <c r="F52" s="2"/>
      <c r="G52" s="2"/>
      <c r="H52" s="2"/>
      <c r="I52" s="99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55">
        <f>SUM(C52:AG52)</f>
        <v>0</v>
      </c>
      <c r="AI52" s="63">
        <f>AH52/200</f>
        <v>0</v>
      </c>
      <c r="AJ52" s="7">
        <v>5</v>
      </c>
      <c r="AK52" s="4" t="str">
        <f t="shared" ref="AK52:AK57" si="15">IF(AH52=0,"0",(AH52/AI52)/AJ52)</f>
        <v>0</v>
      </c>
      <c r="AM52" s="60">
        <f>AI52*AJ52</f>
        <v>0</v>
      </c>
    </row>
    <row r="53" spans="1:39" x14ac:dyDescent="0.3">
      <c r="A53" s="129"/>
      <c r="B53" s="3" t="s">
        <v>8</v>
      </c>
      <c r="C53" s="4"/>
      <c r="D53" s="28"/>
      <c r="E53" s="2"/>
      <c r="F53" s="2"/>
      <c r="G53" s="2"/>
      <c r="H53" s="2"/>
      <c r="I53" s="99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55">
        <f t="shared" ref="AH53:AH58" si="16">SUM(C53:AG53)</f>
        <v>0</v>
      </c>
      <c r="AI53" s="63">
        <f>AH53/300</f>
        <v>0</v>
      </c>
      <c r="AJ53" s="7">
        <v>4</v>
      </c>
      <c r="AK53" s="4" t="str">
        <f t="shared" si="15"/>
        <v>0</v>
      </c>
      <c r="AM53" s="60">
        <f t="shared" ref="AM53:AM58" si="17">AI53*AJ53</f>
        <v>0</v>
      </c>
    </row>
    <row r="54" spans="1:39" x14ac:dyDescent="0.3">
      <c r="A54" s="129"/>
      <c r="B54" s="3" t="s">
        <v>22</v>
      </c>
      <c r="C54" s="4"/>
      <c r="D54" s="2"/>
      <c r="E54" s="2"/>
      <c r="F54" s="2"/>
      <c r="G54" s="2"/>
      <c r="H54" s="2"/>
      <c r="I54" s="99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55">
        <f>SUM(C54:AG54)</f>
        <v>0</v>
      </c>
      <c r="AI54" s="63">
        <f>AH54/80</f>
        <v>0</v>
      </c>
      <c r="AJ54" s="7">
        <v>2</v>
      </c>
      <c r="AK54" s="4" t="str">
        <f t="shared" si="15"/>
        <v>0</v>
      </c>
      <c r="AM54" s="60">
        <f t="shared" si="17"/>
        <v>0</v>
      </c>
    </row>
    <row r="55" spans="1:39" x14ac:dyDescent="0.3">
      <c r="A55" s="129"/>
      <c r="B55" s="3" t="s">
        <v>21</v>
      </c>
      <c r="C55" s="4"/>
      <c r="D55" s="2"/>
      <c r="E55" s="2"/>
      <c r="F55" s="2"/>
      <c r="G55" s="2"/>
      <c r="H55" s="2"/>
      <c r="I55" s="99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55">
        <f t="shared" si="16"/>
        <v>0</v>
      </c>
      <c r="AI55" s="63">
        <f>AH55/70</f>
        <v>0</v>
      </c>
      <c r="AJ55" s="7">
        <v>1</v>
      </c>
      <c r="AK55" s="4" t="str">
        <f t="shared" si="15"/>
        <v>0</v>
      </c>
      <c r="AM55" s="60">
        <f t="shared" si="17"/>
        <v>0</v>
      </c>
    </row>
    <row r="56" spans="1:39" x14ac:dyDescent="0.3">
      <c r="A56" s="129"/>
      <c r="B56" s="3" t="s">
        <v>139</v>
      </c>
      <c r="C56" s="4"/>
      <c r="D56" s="2"/>
      <c r="E56" s="2"/>
      <c r="F56" s="2"/>
      <c r="G56" s="2"/>
      <c r="H56" s="2"/>
      <c r="I56" s="99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55"/>
      <c r="AI56" s="63"/>
      <c r="AJ56" s="7"/>
      <c r="AK56" s="4"/>
      <c r="AM56" s="60"/>
    </row>
    <row r="57" spans="1:39" x14ac:dyDescent="0.3">
      <c r="A57" s="129"/>
      <c r="B57" s="3" t="s">
        <v>14</v>
      </c>
      <c r="C57" s="4"/>
      <c r="D57" s="2"/>
      <c r="E57" s="2"/>
      <c r="F57" s="2"/>
      <c r="G57" s="2"/>
      <c r="H57" s="2"/>
      <c r="I57" s="99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55">
        <f t="shared" si="16"/>
        <v>0</v>
      </c>
      <c r="AI57" s="63">
        <v>0</v>
      </c>
      <c r="AJ57" s="7">
        <v>1</v>
      </c>
      <c r="AK57" s="4" t="str">
        <f t="shared" si="15"/>
        <v>0</v>
      </c>
      <c r="AM57" s="60">
        <f t="shared" si="17"/>
        <v>0</v>
      </c>
    </row>
    <row r="58" spans="1:39" x14ac:dyDescent="0.3">
      <c r="A58" s="130"/>
      <c r="B58" s="3" t="s">
        <v>56</v>
      </c>
      <c r="C58" s="4"/>
      <c r="D58" s="2"/>
      <c r="E58" s="2"/>
      <c r="F58" s="2"/>
      <c r="G58" s="2"/>
      <c r="H58" s="2"/>
      <c r="I58" s="99"/>
      <c r="J58" s="2"/>
      <c r="K58" s="2"/>
      <c r="L58" s="2">
        <f>3*300</f>
        <v>900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55">
        <f t="shared" si="16"/>
        <v>900</v>
      </c>
      <c r="AI58" s="63">
        <f>AH58/450</f>
        <v>2</v>
      </c>
      <c r="AJ58" s="7">
        <v>9</v>
      </c>
      <c r="AK58" s="4">
        <f>IF(AH58=0,"0",(AH58/AI58)/AJ58)</f>
        <v>50</v>
      </c>
      <c r="AM58" s="60">
        <f t="shared" si="17"/>
        <v>18</v>
      </c>
    </row>
    <row r="59" spans="1:39" x14ac:dyDescent="0.3">
      <c r="B59" s="20" t="s">
        <v>76</v>
      </c>
      <c r="C59" s="50">
        <f>SUM(C52:C58)</f>
        <v>0</v>
      </c>
      <c r="D59" s="50">
        <f t="shared" ref="D59:AG59" si="18">SUM(D52:D58)</f>
        <v>0</v>
      </c>
      <c r="E59" s="50">
        <f t="shared" si="18"/>
        <v>0</v>
      </c>
      <c r="F59" s="50">
        <f t="shared" si="18"/>
        <v>0</v>
      </c>
      <c r="G59" s="50">
        <f t="shared" si="18"/>
        <v>0</v>
      </c>
      <c r="H59" s="50">
        <f t="shared" si="18"/>
        <v>0</v>
      </c>
      <c r="I59" s="50">
        <f t="shared" si="18"/>
        <v>0</v>
      </c>
      <c r="J59" s="50">
        <f t="shared" si="18"/>
        <v>0</v>
      </c>
      <c r="K59" s="50">
        <f t="shared" si="18"/>
        <v>0</v>
      </c>
      <c r="L59" s="50">
        <f t="shared" si="18"/>
        <v>900</v>
      </c>
      <c r="M59" s="50">
        <f t="shared" si="18"/>
        <v>0</v>
      </c>
      <c r="N59" s="50">
        <f t="shared" si="18"/>
        <v>0</v>
      </c>
      <c r="O59" s="50">
        <f t="shared" si="18"/>
        <v>0</v>
      </c>
      <c r="P59" s="50">
        <f t="shared" si="18"/>
        <v>0</v>
      </c>
      <c r="Q59" s="50">
        <f t="shared" si="18"/>
        <v>0</v>
      </c>
      <c r="R59" s="50">
        <f t="shared" si="18"/>
        <v>0</v>
      </c>
      <c r="S59" s="50">
        <f t="shared" si="18"/>
        <v>0</v>
      </c>
      <c r="T59" s="50">
        <f t="shared" si="18"/>
        <v>0</v>
      </c>
      <c r="U59" s="50">
        <f t="shared" si="18"/>
        <v>0</v>
      </c>
      <c r="V59" s="50">
        <f t="shared" si="18"/>
        <v>0</v>
      </c>
      <c r="W59" s="50">
        <f t="shared" si="18"/>
        <v>0</v>
      </c>
      <c r="X59" s="50">
        <f t="shared" si="18"/>
        <v>0</v>
      </c>
      <c r="Y59" s="50">
        <f t="shared" si="18"/>
        <v>0</v>
      </c>
      <c r="Z59" s="50">
        <f t="shared" si="18"/>
        <v>0</v>
      </c>
      <c r="AA59" s="50">
        <f t="shared" si="18"/>
        <v>0</v>
      </c>
      <c r="AB59" s="50">
        <f t="shared" si="18"/>
        <v>0</v>
      </c>
      <c r="AC59" s="50">
        <f t="shared" si="18"/>
        <v>0</v>
      </c>
      <c r="AD59" s="50">
        <f t="shared" si="18"/>
        <v>0</v>
      </c>
      <c r="AE59" s="50">
        <f t="shared" si="18"/>
        <v>0</v>
      </c>
      <c r="AF59" s="50">
        <f t="shared" si="18"/>
        <v>0</v>
      </c>
      <c r="AG59" s="50">
        <f t="shared" si="18"/>
        <v>0</v>
      </c>
      <c r="AH59" s="51">
        <f>SUM(C59:AG59)</f>
        <v>900</v>
      </c>
      <c r="AI59" s="65">
        <f>SUM(AI52:AI58)</f>
        <v>2</v>
      </c>
      <c r="AJ59" s="66"/>
      <c r="AK59" s="65">
        <f>IF(AH59=0,"0",(AVERAGE(AK52:AK58)))</f>
        <v>50</v>
      </c>
      <c r="AL59" s="71" t="s">
        <v>96</v>
      </c>
      <c r="AM59" s="70">
        <f>SUM(AM52:AM58)</f>
        <v>18</v>
      </c>
    </row>
    <row r="60" spans="1:39" x14ac:dyDescent="0.3">
      <c r="A60" s="2" t="s">
        <v>87</v>
      </c>
      <c r="B60" s="81" t="s">
        <v>72</v>
      </c>
      <c r="C60" s="53">
        <f>C42</f>
        <v>42583</v>
      </c>
      <c r="D60" s="53">
        <f t="shared" ref="D60:AG60" si="19">D42</f>
        <v>42584</v>
      </c>
      <c r="E60" s="53">
        <f t="shared" si="19"/>
        <v>42585</v>
      </c>
      <c r="F60" s="53">
        <f t="shared" si="19"/>
        <v>42586</v>
      </c>
      <c r="G60" s="53">
        <f t="shared" si="19"/>
        <v>42587</v>
      </c>
      <c r="H60" s="53">
        <f t="shared" si="19"/>
        <v>42588</v>
      </c>
      <c r="I60" s="53">
        <f t="shared" si="19"/>
        <v>42589</v>
      </c>
      <c r="J60" s="53">
        <f t="shared" si="19"/>
        <v>42590</v>
      </c>
      <c r="K60" s="53">
        <f t="shared" si="19"/>
        <v>42591</v>
      </c>
      <c r="L60" s="53">
        <f t="shared" si="19"/>
        <v>42592</v>
      </c>
      <c r="M60" s="53">
        <f t="shared" si="19"/>
        <v>42593</v>
      </c>
      <c r="N60" s="53">
        <f t="shared" si="19"/>
        <v>42594</v>
      </c>
      <c r="O60" s="53">
        <f t="shared" si="19"/>
        <v>42595</v>
      </c>
      <c r="P60" s="53">
        <f t="shared" si="19"/>
        <v>42596</v>
      </c>
      <c r="Q60" s="53">
        <f t="shared" si="19"/>
        <v>42597</v>
      </c>
      <c r="R60" s="53">
        <f t="shared" si="19"/>
        <v>42598</v>
      </c>
      <c r="S60" s="53">
        <f t="shared" si="19"/>
        <v>42599</v>
      </c>
      <c r="T60" s="53">
        <f t="shared" si="19"/>
        <v>42600</v>
      </c>
      <c r="U60" s="53">
        <f t="shared" si="19"/>
        <v>42601</v>
      </c>
      <c r="V60" s="53">
        <f t="shared" si="19"/>
        <v>42602</v>
      </c>
      <c r="W60" s="53">
        <f t="shared" si="19"/>
        <v>42603</v>
      </c>
      <c r="X60" s="53">
        <f t="shared" si="19"/>
        <v>42604</v>
      </c>
      <c r="Y60" s="53">
        <f t="shared" si="19"/>
        <v>42605</v>
      </c>
      <c r="Z60" s="53">
        <f t="shared" si="19"/>
        <v>42606</v>
      </c>
      <c r="AA60" s="53">
        <f t="shared" si="19"/>
        <v>42607</v>
      </c>
      <c r="AB60" s="53">
        <f t="shared" si="19"/>
        <v>42608</v>
      </c>
      <c r="AC60" s="53">
        <f t="shared" si="19"/>
        <v>42609</v>
      </c>
      <c r="AD60" s="53">
        <f t="shared" si="19"/>
        <v>42610</v>
      </c>
      <c r="AE60" s="53">
        <f t="shared" si="19"/>
        <v>42611</v>
      </c>
      <c r="AF60" s="53">
        <f t="shared" si="19"/>
        <v>42612</v>
      </c>
      <c r="AG60" s="53">
        <f t="shared" si="19"/>
        <v>42613</v>
      </c>
      <c r="AH60" s="43" t="s">
        <v>64</v>
      </c>
      <c r="AI60" s="65" t="s">
        <v>93</v>
      </c>
      <c r="AJ60" s="65" t="s">
        <v>94</v>
      </c>
      <c r="AK60" s="65" t="s">
        <v>95</v>
      </c>
      <c r="AM60" s="69" t="s">
        <v>97</v>
      </c>
    </row>
    <row r="61" spans="1:39" x14ac:dyDescent="0.3">
      <c r="A61" s="128" t="s">
        <v>123</v>
      </c>
      <c r="B61" s="3" t="s">
        <v>9</v>
      </c>
      <c r="C61" s="4"/>
      <c r="D61" s="2"/>
      <c r="E61" s="2"/>
      <c r="F61" s="2"/>
      <c r="G61" s="2"/>
      <c r="H61" s="2"/>
      <c r="I61" s="99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55">
        <f>SUM(C61:AG61)</f>
        <v>0</v>
      </c>
      <c r="AI61" s="63">
        <f>AH61/200</f>
        <v>0</v>
      </c>
      <c r="AJ61" s="7">
        <v>5</v>
      </c>
      <c r="AK61" s="4" t="str">
        <f t="shared" ref="AK61:AK66" si="20">IF(AH61=0,"0",(AH61/AI61)/AJ61)</f>
        <v>0</v>
      </c>
      <c r="AM61" s="60">
        <f>AI61*AJ61</f>
        <v>0</v>
      </c>
    </row>
    <row r="62" spans="1:39" x14ac:dyDescent="0.3">
      <c r="A62" s="129"/>
      <c r="B62" s="3" t="s">
        <v>8</v>
      </c>
      <c r="C62" s="4"/>
      <c r="D62" s="2"/>
      <c r="E62" s="2"/>
      <c r="F62" s="2"/>
      <c r="G62" s="2"/>
      <c r="H62" s="2"/>
      <c r="I62" s="99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55">
        <f t="shared" ref="AH62:AH67" si="21">SUM(C62:AG62)</f>
        <v>0</v>
      </c>
      <c r="AI62" s="63">
        <f>AH62/300</f>
        <v>0</v>
      </c>
      <c r="AJ62" s="7">
        <v>4</v>
      </c>
      <c r="AK62" s="4" t="str">
        <f t="shared" si="20"/>
        <v>0</v>
      </c>
      <c r="AM62" s="60">
        <f t="shared" ref="AM62:AM67" si="22">AI62*AJ62</f>
        <v>0</v>
      </c>
    </row>
    <row r="63" spans="1:39" x14ac:dyDescent="0.3">
      <c r="A63" s="129"/>
      <c r="B63" s="3" t="s">
        <v>22</v>
      </c>
      <c r="C63" s="4"/>
      <c r="D63" s="2"/>
      <c r="E63" s="2"/>
      <c r="F63" s="2"/>
      <c r="G63" s="2"/>
      <c r="H63" s="2"/>
      <c r="I63" s="99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55">
        <f>SUM(C63:AG63)</f>
        <v>0</v>
      </c>
      <c r="AI63" s="63">
        <f>AH63/80</f>
        <v>0</v>
      </c>
      <c r="AJ63" s="7">
        <v>2</v>
      </c>
      <c r="AK63" s="4" t="str">
        <f t="shared" si="20"/>
        <v>0</v>
      </c>
      <c r="AM63" s="60">
        <f t="shared" si="22"/>
        <v>0</v>
      </c>
    </row>
    <row r="64" spans="1:39" x14ac:dyDescent="0.3">
      <c r="A64" s="129"/>
      <c r="B64" s="3" t="s">
        <v>21</v>
      </c>
      <c r="C64" s="4"/>
      <c r="D64" s="2"/>
      <c r="E64" s="2"/>
      <c r="F64" s="2"/>
      <c r="G64" s="2"/>
      <c r="H64" s="2"/>
      <c r="I64" s="99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55">
        <f t="shared" si="21"/>
        <v>0</v>
      </c>
      <c r="AI64" s="63">
        <f>AH64/70</f>
        <v>0</v>
      </c>
      <c r="AJ64" s="7">
        <v>1</v>
      </c>
      <c r="AK64" s="4" t="str">
        <f t="shared" si="20"/>
        <v>0</v>
      </c>
      <c r="AM64" s="60">
        <f t="shared" si="22"/>
        <v>0</v>
      </c>
    </row>
    <row r="65" spans="1:39" x14ac:dyDescent="0.3">
      <c r="A65" s="129"/>
      <c r="B65" s="3" t="s">
        <v>139</v>
      </c>
      <c r="C65" s="4"/>
      <c r="D65" s="2"/>
      <c r="E65" s="2"/>
      <c r="F65" s="2"/>
      <c r="G65" s="2"/>
      <c r="H65" s="2"/>
      <c r="I65" s="99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55"/>
      <c r="AI65" s="63"/>
      <c r="AJ65" s="7"/>
      <c r="AK65" s="4"/>
      <c r="AM65" s="60"/>
    </row>
    <row r="66" spans="1:39" x14ac:dyDescent="0.3">
      <c r="A66" s="129"/>
      <c r="B66" s="3" t="s">
        <v>14</v>
      </c>
      <c r="C66" s="4"/>
      <c r="D66" s="2"/>
      <c r="E66" s="2"/>
      <c r="F66" s="2"/>
      <c r="G66" s="2"/>
      <c r="H66" s="2"/>
      <c r="I66" s="99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55">
        <f t="shared" si="21"/>
        <v>0</v>
      </c>
      <c r="AI66" s="63">
        <v>0</v>
      </c>
      <c r="AJ66" s="7">
        <v>1</v>
      </c>
      <c r="AK66" s="4" t="str">
        <f t="shared" si="20"/>
        <v>0</v>
      </c>
      <c r="AM66" s="60">
        <f t="shared" si="22"/>
        <v>0</v>
      </c>
    </row>
    <row r="67" spans="1:39" x14ac:dyDescent="0.3">
      <c r="A67" s="130"/>
      <c r="B67" s="3" t="s">
        <v>56</v>
      </c>
      <c r="C67" s="4"/>
      <c r="D67" s="2"/>
      <c r="E67" s="2"/>
      <c r="F67" s="2"/>
      <c r="G67" s="2"/>
      <c r="H67" s="2"/>
      <c r="I67" s="99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55">
        <f t="shared" si="21"/>
        <v>0</v>
      </c>
      <c r="AI67" s="63">
        <f>AH67/450</f>
        <v>0</v>
      </c>
      <c r="AJ67" s="7">
        <v>9</v>
      </c>
      <c r="AK67" s="4" t="str">
        <f>IF(AH67=0,"0",(AH67/AI67)/AJ67)</f>
        <v>0</v>
      </c>
      <c r="AM67" s="60">
        <f t="shared" si="22"/>
        <v>0</v>
      </c>
    </row>
    <row r="68" spans="1:39" x14ac:dyDescent="0.3">
      <c r="B68" s="20" t="s">
        <v>76</v>
      </c>
      <c r="C68" s="50">
        <f>SUM(C61:C67)</f>
        <v>0</v>
      </c>
      <c r="D68" s="50">
        <f t="shared" ref="D68:AG68" si="23">SUM(D61:D67)</f>
        <v>0</v>
      </c>
      <c r="E68" s="50">
        <f t="shared" si="23"/>
        <v>0</v>
      </c>
      <c r="F68" s="50">
        <f t="shared" si="23"/>
        <v>0</v>
      </c>
      <c r="G68" s="50">
        <f t="shared" si="23"/>
        <v>0</v>
      </c>
      <c r="H68" s="50">
        <f t="shared" si="23"/>
        <v>0</v>
      </c>
      <c r="I68" s="50">
        <f t="shared" si="23"/>
        <v>0</v>
      </c>
      <c r="J68" s="50">
        <f t="shared" si="23"/>
        <v>0</v>
      </c>
      <c r="K68" s="50">
        <f t="shared" si="23"/>
        <v>0</v>
      </c>
      <c r="L68" s="50">
        <f t="shared" si="23"/>
        <v>0</v>
      </c>
      <c r="M68" s="50">
        <f t="shared" si="23"/>
        <v>0</v>
      </c>
      <c r="N68" s="50">
        <f t="shared" si="23"/>
        <v>0</v>
      </c>
      <c r="O68" s="50">
        <f t="shared" si="23"/>
        <v>0</v>
      </c>
      <c r="P68" s="50">
        <f t="shared" si="23"/>
        <v>0</v>
      </c>
      <c r="Q68" s="50">
        <f t="shared" si="23"/>
        <v>0</v>
      </c>
      <c r="R68" s="50">
        <f t="shared" si="23"/>
        <v>0</v>
      </c>
      <c r="S68" s="50">
        <f t="shared" si="23"/>
        <v>0</v>
      </c>
      <c r="T68" s="50">
        <f t="shared" si="23"/>
        <v>0</v>
      </c>
      <c r="U68" s="50">
        <f t="shared" si="23"/>
        <v>0</v>
      </c>
      <c r="V68" s="50">
        <f t="shared" si="23"/>
        <v>0</v>
      </c>
      <c r="W68" s="50">
        <f t="shared" si="23"/>
        <v>0</v>
      </c>
      <c r="X68" s="50">
        <f t="shared" si="23"/>
        <v>0</v>
      </c>
      <c r="Y68" s="50">
        <f t="shared" si="23"/>
        <v>0</v>
      </c>
      <c r="Z68" s="50">
        <f t="shared" si="23"/>
        <v>0</v>
      </c>
      <c r="AA68" s="50">
        <f t="shared" si="23"/>
        <v>0</v>
      </c>
      <c r="AB68" s="50">
        <f t="shared" si="23"/>
        <v>0</v>
      </c>
      <c r="AC68" s="50">
        <f t="shared" si="23"/>
        <v>0</v>
      </c>
      <c r="AD68" s="50">
        <f t="shared" si="23"/>
        <v>0</v>
      </c>
      <c r="AE68" s="50">
        <f t="shared" si="23"/>
        <v>0</v>
      </c>
      <c r="AF68" s="50">
        <f t="shared" si="23"/>
        <v>0</v>
      </c>
      <c r="AG68" s="50">
        <f t="shared" si="23"/>
        <v>0</v>
      </c>
      <c r="AH68" s="51">
        <f>SUM(C68:AG68)</f>
        <v>0</v>
      </c>
      <c r="AI68" s="65">
        <f>SUM(AI61:AI67)</f>
        <v>0</v>
      </c>
      <c r="AJ68" s="66"/>
      <c r="AK68" s="65" t="str">
        <f>IF(AH68=0,"0",(AVERAGE(AK61:AK67)))</f>
        <v>0</v>
      </c>
      <c r="AL68" s="71" t="s">
        <v>96</v>
      </c>
      <c r="AM68" s="70">
        <f>SUM(AM61:AM67)</f>
        <v>0</v>
      </c>
    </row>
    <row r="69" spans="1:39" x14ac:dyDescent="0.3">
      <c r="A69" s="2" t="s">
        <v>87</v>
      </c>
      <c r="B69" s="92" t="s">
        <v>72</v>
      </c>
      <c r="C69" s="53">
        <f>C60</f>
        <v>42583</v>
      </c>
      <c r="D69" s="53">
        <f t="shared" ref="D69:AG69" si="24">D60</f>
        <v>42584</v>
      </c>
      <c r="E69" s="53">
        <f t="shared" si="24"/>
        <v>42585</v>
      </c>
      <c r="F69" s="53">
        <f t="shared" si="24"/>
        <v>42586</v>
      </c>
      <c r="G69" s="53">
        <f t="shared" si="24"/>
        <v>42587</v>
      </c>
      <c r="H69" s="53">
        <f t="shared" si="24"/>
        <v>42588</v>
      </c>
      <c r="I69" s="53">
        <f t="shared" si="24"/>
        <v>42589</v>
      </c>
      <c r="J69" s="53">
        <f t="shared" si="24"/>
        <v>42590</v>
      </c>
      <c r="K69" s="53">
        <f t="shared" si="24"/>
        <v>42591</v>
      </c>
      <c r="L69" s="53">
        <f t="shared" si="24"/>
        <v>42592</v>
      </c>
      <c r="M69" s="53">
        <f t="shared" si="24"/>
        <v>42593</v>
      </c>
      <c r="N69" s="53">
        <f t="shared" si="24"/>
        <v>42594</v>
      </c>
      <c r="O69" s="53">
        <f t="shared" si="24"/>
        <v>42595</v>
      </c>
      <c r="P69" s="53">
        <f t="shared" si="24"/>
        <v>42596</v>
      </c>
      <c r="Q69" s="53">
        <f t="shared" si="24"/>
        <v>42597</v>
      </c>
      <c r="R69" s="53">
        <f t="shared" si="24"/>
        <v>42598</v>
      </c>
      <c r="S69" s="53">
        <f t="shared" si="24"/>
        <v>42599</v>
      </c>
      <c r="T69" s="53">
        <f t="shared" si="24"/>
        <v>42600</v>
      </c>
      <c r="U69" s="53">
        <f t="shared" si="24"/>
        <v>42601</v>
      </c>
      <c r="V69" s="53">
        <f t="shared" si="24"/>
        <v>42602</v>
      </c>
      <c r="W69" s="53">
        <f t="shared" si="24"/>
        <v>42603</v>
      </c>
      <c r="X69" s="53">
        <f t="shared" si="24"/>
        <v>42604</v>
      </c>
      <c r="Y69" s="53">
        <f t="shared" si="24"/>
        <v>42605</v>
      </c>
      <c r="Z69" s="53">
        <f t="shared" si="24"/>
        <v>42606</v>
      </c>
      <c r="AA69" s="53">
        <f t="shared" si="24"/>
        <v>42607</v>
      </c>
      <c r="AB69" s="53">
        <f t="shared" si="24"/>
        <v>42608</v>
      </c>
      <c r="AC69" s="53">
        <f t="shared" si="24"/>
        <v>42609</v>
      </c>
      <c r="AD69" s="53">
        <f t="shared" si="24"/>
        <v>42610</v>
      </c>
      <c r="AE69" s="53">
        <f t="shared" si="24"/>
        <v>42611</v>
      </c>
      <c r="AF69" s="53">
        <f t="shared" si="24"/>
        <v>42612</v>
      </c>
      <c r="AG69" s="53">
        <f t="shared" si="24"/>
        <v>42613</v>
      </c>
      <c r="AH69" s="43" t="s">
        <v>64</v>
      </c>
      <c r="AI69" s="65" t="s">
        <v>93</v>
      </c>
      <c r="AJ69" s="65" t="s">
        <v>94</v>
      </c>
      <c r="AK69" s="65" t="s">
        <v>95</v>
      </c>
      <c r="AM69" s="69" t="s">
        <v>97</v>
      </c>
    </row>
    <row r="70" spans="1:39" x14ac:dyDescent="0.3">
      <c r="A70" s="128" t="s">
        <v>140</v>
      </c>
      <c r="B70" s="3" t="s">
        <v>9</v>
      </c>
      <c r="C70" s="4"/>
      <c r="D70" s="28"/>
      <c r="E70" s="2"/>
      <c r="F70" s="2"/>
      <c r="G70" s="2"/>
      <c r="H70" s="2"/>
      <c r="I70" s="99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55">
        <f>SUM(C70:AG70)</f>
        <v>0</v>
      </c>
      <c r="AI70" s="63">
        <f>AH70/200</f>
        <v>0</v>
      </c>
      <c r="AJ70" s="7">
        <v>5</v>
      </c>
      <c r="AK70" s="4" t="str">
        <f t="shared" ref="AK70:AK73" si="25">IF(AH70=0,"0",(AH70/AI70)/AJ70)</f>
        <v>0</v>
      </c>
      <c r="AM70" s="60">
        <f>AI70*AJ70</f>
        <v>0</v>
      </c>
    </row>
    <row r="71" spans="1:39" x14ac:dyDescent="0.3">
      <c r="A71" s="129"/>
      <c r="B71" s="3" t="s">
        <v>8</v>
      </c>
      <c r="C71" s="4"/>
      <c r="D71" s="28"/>
      <c r="E71" s="2"/>
      <c r="F71" s="2"/>
      <c r="G71" s="2"/>
      <c r="H71" s="2"/>
      <c r="I71" s="99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55">
        <f t="shared" ref="AH71" si="26">SUM(C71:AG71)</f>
        <v>0</v>
      </c>
      <c r="AI71" s="63">
        <f>AH71/300</f>
        <v>0</v>
      </c>
      <c r="AJ71" s="7">
        <v>4</v>
      </c>
      <c r="AK71" s="4" t="str">
        <f t="shared" si="25"/>
        <v>0</v>
      </c>
      <c r="AM71" s="60">
        <f t="shared" ref="AM71:AM73" si="27">AI71*AJ71</f>
        <v>0</v>
      </c>
    </row>
    <row r="72" spans="1:39" x14ac:dyDescent="0.3">
      <c r="A72" s="129"/>
      <c r="B72" s="3" t="s">
        <v>22</v>
      </c>
      <c r="C72" s="4"/>
      <c r="D72" s="2"/>
      <c r="E72" s="2"/>
      <c r="F72" s="2"/>
      <c r="G72" s="2"/>
      <c r="H72" s="2"/>
      <c r="I72" s="99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55">
        <f>SUM(C72:AG72)</f>
        <v>0</v>
      </c>
      <c r="AI72" s="63">
        <f>AH72/80</f>
        <v>0</v>
      </c>
      <c r="AJ72" s="7">
        <v>2</v>
      </c>
      <c r="AK72" s="4" t="str">
        <f t="shared" si="25"/>
        <v>0</v>
      </c>
      <c r="AM72" s="60">
        <f t="shared" si="27"/>
        <v>0</v>
      </c>
    </row>
    <row r="73" spans="1:39" x14ac:dyDescent="0.3">
      <c r="A73" s="129"/>
      <c r="B73" s="3" t="s">
        <v>21</v>
      </c>
      <c r="C73" s="4"/>
      <c r="D73" s="2"/>
      <c r="E73" s="2"/>
      <c r="F73" s="2"/>
      <c r="G73" s="2"/>
      <c r="H73" s="2"/>
      <c r="I73" s="99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55">
        <f t="shared" ref="AH73" si="28">SUM(C73:AG73)</f>
        <v>0</v>
      </c>
      <c r="AI73" s="63">
        <f>AH73/70</f>
        <v>0</v>
      </c>
      <c r="AJ73" s="7">
        <v>1</v>
      </c>
      <c r="AK73" s="4" t="str">
        <f t="shared" si="25"/>
        <v>0</v>
      </c>
      <c r="AM73" s="60">
        <f t="shared" si="27"/>
        <v>0</v>
      </c>
    </row>
    <row r="74" spans="1:39" x14ac:dyDescent="0.3">
      <c r="A74" s="129"/>
      <c r="B74" s="3" t="s">
        <v>139</v>
      </c>
      <c r="C74" s="4"/>
      <c r="D74" s="2"/>
      <c r="E74" s="2"/>
      <c r="F74" s="2"/>
      <c r="G74" s="2">
        <v>250</v>
      </c>
      <c r="H74" s="2"/>
      <c r="I74" s="99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55"/>
      <c r="AI74" s="63"/>
      <c r="AJ74" s="7"/>
      <c r="AK74" s="4"/>
      <c r="AM74" s="60"/>
    </row>
    <row r="75" spans="1:39" x14ac:dyDescent="0.3">
      <c r="A75" s="129"/>
      <c r="B75" s="3" t="s">
        <v>14</v>
      </c>
      <c r="C75" s="4"/>
      <c r="D75" s="2"/>
      <c r="E75" s="2"/>
      <c r="F75" s="2"/>
      <c r="G75" s="2"/>
      <c r="H75" s="2"/>
      <c r="I75" s="99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55">
        <f t="shared" ref="AH75:AH76" si="29">SUM(C75:AG75)</f>
        <v>0</v>
      </c>
      <c r="AI75" s="63">
        <v>0</v>
      </c>
      <c r="AJ75" s="7">
        <v>1</v>
      </c>
      <c r="AK75" s="4" t="str">
        <f t="shared" ref="AK75" si="30">IF(AH75=0,"0",(AH75/AI75)/AJ75)</f>
        <v>0</v>
      </c>
      <c r="AM75" s="60">
        <f t="shared" ref="AM75:AM76" si="31">AI75*AJ75</f>
        <v>0</v>
      </c>
    </row>
    <row r="76" spans="1:39" x14ac:dyDescent="0.3">
      <c r="A76" s="130"/>
      <c r="B76" s="3" t="s">
        <v>56</v>
      </c>
      <c r="C76" s="4"/>
      <c r="D76" s="2"/>
      <c r="E76" s="2"/>
      <c r="F76" s="2"/>
      <c r="G76" s="2"/>
      <c r="H76" s="2"/>
      <c r="I76" s="99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55">
        <f t="shared" si="29"/>
        <v>0</v>
      </c>
      <c r="AI76" s="63">
        <f>AH76/450</f>
        <v>0</v>
      </c>
      <c r="AJ76" s="7">
        <v>9</v>
      </c>
      <c r="AK76" s="4" t="str">
        <f>IF(AH76=0,"0",(AH76/AI76)/AJ76)</f>
        <v>0</v>
      </c>
      <c r="AM76" s="60">
        <f t="shared" si="31"/>
        <v>0</v>
      </c>
    </row>
    <row r="77" spans="1:39" x14ac:dyDescent="0.3">
      <c r="B77" s="20" t="s">
        <v>76</v>
      </c>
      <c r="C77" s="50">
        <f>SUM(C70:C76)</f>
        <v>0</v>
      </c>
      <c r="D77" s="50">
        <f t="shared" ref="D77:AG77" si="32">SUM(D70:D76)</f>
        <v>0</v>
      </c>
      <c r="E77" s="50">
        <f t="shared" si="32"/>
        <v>0</v>
      </c>
      <c r="F77" s="50">
        <f t="shared" si="32"/>
        <v>0</v>
      </c>
      <c r="G77" s="50">
        <f t="shared" si="32"/>
        <v>250</v>
      </c>
      <c r="H77" s="50">
        <f t="shared" si="32"/>
        <v>0</v>
      </c>
      <c r="I77" s="50">
        <f t="shared" si="32"/>
        <v>0</v>
      </c>
      <c r="J77" s="50">
        <f t="shared" si="32"/>
        <v>0</v>
      </c>
      <c r="K77" s="50">
        <f t="shared" si="32"/>
        <v>0</v>
      </c>
      <c r="L77" s="50">
        <f t="shared" si="32"/>
        <v>0</v>
      </c>
      <c r="M77" s="50">
        <f t="shared" si="32"/>
        <v>0</v>
      </c>
      <c r="N77" s="50">
        <f t="shared" si="32"/>
        <v>0</v>
      </c>
      <c r="O77" s="50">
        <f t="shared" si="32"/>
        <v>0</v>
      </c>
      <c r="P77" s="50">
        <f t="shared" si="32"/>
        <v>0</v>
      </c>
      <c r="Q77" s="50">
        <f t="shared" si="32"/>
        <v>0</v>
      </c>
      <c r="R77" s="50">
        <f t="shared" si="32"/>
        <v>0</v>
      </c>
      <c r="S77" s="50">
        <f t="shared" si="32"/>
        <v>0</v>
      </c>
      <c r="T77" s="50">
        <f t="shared" si="32"/>
        <v>0</v>
      </c>
      <c r="U77" s="50">
        <f t="shared" si="32"/>
        <v>0</v>
      </c>
      <c r="V77" s="50">
        <f t="shared" si="32"/>
        <v>0</v>
      </c>
      <c r="W77" s="50">
        <f t="shared" si="32"/>
        <v>0</v>
      </c>
      <c r="X77" s="50">
        <f t="shared" si="32"/>
        <v>0</v>
      </c>
      <c r="Y77" s="50">
        <f t="shared" si="32"/>
        <v>0</v>
      </c>
      <c r="Z77" s="50">
        <f t="shared" si="32"/>
        <v>0</v>
      </c>
      <c r="AA77" s="50">
        <f t="shared" si="32"/>
        <v>0</v>
      </c>
      <c r="AB77" s="50">
        <f t="shared" si="32"/>
        <v>0</v>
      </c>
      <c r="AC77" s="50">
        <f t="shared" si="32"/>
        <v>0</v>
      </c>
      <c r="AD77" s="50">
        <f t="shared" si="32"/>
        <v>0</v>
      </c>
      <c r="AE77" s="50">
        <f t="shared" si="32"/>
        <v>0</v>
      </c>
      <c r="AF77" s="50">
        <f t="shared" si="32"/>
        <v>0</v>
      </c>
      <c r="AG77" s="50">
        <f t="shared" si="32"/>
        <v>0</v>
      </c>
      <c r="AH77" s="51">
        <f>SUM(C77:AG77)</f>
        <v>250</v>
      </c>
      <c r="AI77" s="65">
        <f>SUM(AI70:AI76)</f>
        <v>0</v>
      </c>
      <c r="AJ77" s="66"/>
      <c r="AK77" s="65" t="e">
        <f>IF(AH77=0,"0",(AVERAGE(AK70:AK76)))</f>
        <v>#DIV/0!</v>
      </c>
      <c r="AL77" s="71" t="s">
        <v>96</v>
      </c>
      <c r="AM77" s="70">
        <f>SUM(AM70:AM76)</f>
        <v>0</v>
      </c>
    </row>
    <row r="78" spans="1:39" x14ac:dyDescent="0.3">
      <c r="A78" s="2" t="s">
        <v>87</v>
      </c>
      <c r="B78" s="81" t="s">
        <v>72</v>
      </c>
      <c r="C78" s="53">
        <f t="shared" ref="C78:AG78" si="33">C51</f>
        <v>42583</v>
      </c>
      <c r="D78" s="53">
        <f t="shared" si="33"/>
        <v>42584</v>
      </c>
      <c r="E78" s="53">
        <f t="shared" si="33"/>
        <v>42585</v>
      </c>
      <c r="F78" s="53">
        <f t="shared" si="33"/>
        <v>42586</v>
      </c>
      <c r="G78" s="53">
        <f t="shared" si="33"/>
        <v>42587</v>
      </c>
      <c r="H78" s="53">
        <f t="shared" si="33"/>
        <v>42588</v>
      </c>
      <c r="I78" s="53">
        <f t="shared" si="33"/>
        <v>42589</v>
      </c>
      <c r="J78" s="53">
        <f t="shared" si="33"/>
        <v>42590</v>
      </c>
      <c r="K78" s="53">
        <f t="shared" si="33"/>
        <v>42591</v>
      </c>
      <c r="L78" s="53">
        <f t="shared" si="33"/>
        <v>42592</v>
      </c>
      <c r="M78" s="53">
        <f t="shared" si="33"/>
        <v>42593</v>
      </c>
      <c r="N78" s="53">
        <f t="shared" si="33"/>
        <v>42594</v>
      </c>
      <c r="O78" s="53">
        <f t="shared" si="33"/>
        <v>42595</v>
      </c>
      <c r="P78" s="53">
        <f t="shared" si="33"/>
        <v>42596</v>
      </c>
      <c r="Q78" s="53">
        <f t="shared" si="33"/>
        <v>42597</v>
      </c>
      <c r="R78" s="53">
        <f t="shared" si="33"/>
        <v>42598</v>
      </c>
      <c r="S78" s="53">
        <f t="shared" si="33"/>
        <v>42599</v>
      </c>
      <c r="T78" s="53">
        <f t="shared" si="33"/>
        <v>42600</v>
      </c>
      <c r="U78" s="53">
        <f t="shared" si="33"/>
        <v>42601</v>
      </c>
      <c r="V78" s="53">
        <f t="shared" si="33"/>
        <v>42602</v>
      </c>
      <c r="W78" s="53">
        <f t="shared" si="33"/>
        <v>42603</v>
      </c>
      <c r="X78" s="53">
        <f t="shared" si="33"/>
        <v>42604</v>
      </c>
      <c r="Y78" s="53">
        <f t="shared" si="33"/>
        <v>42605</v>
      </c>
      <c r="Z78" s="53">
        <f t="shared" si="33"/>
        <v>42606</v>
      </c>
      <c r="AA78" s="53">
        <f t="shared" si="33"/>
        <v>42607</v>
      </c>
      <c r="AB78" s="53">
        <f t="shared" si="33"/>
        <v>42608</v>
      </c>
      <c r="AC78" s="53">
        <f t="shared" si="33"/>
        <v>42609</v>
      </c>
      <c r="AD78" s="53">
        <f t="shared" si="33"/>
        <v>42610</v>
      </c>
      <c r="AE78" s="53">
        <f t="shared" si="33"/>
        <v>42611</v>
      </c>
      <c r="AF78" s="53">
        <f t="shared" si="33"/>
        <v>42612</v>
      </c>
      <c r="AG78" s="53">
        <f t="shared" si="33"/>
        <v>42613</v>
      </c>
      <c r="AH78" s="43" t="s">
        <v>64</v>
      </c>
      <c r="AI78" s="65" t="s">
        <v>93</v>
      </c>
      <c r="AJ78" s="65" t="s">
        <v>94</v>
      </c>
      <c r="AK78" s="65" t="s">
        <v>95</v>
      </c>
      <c r="AM78" s="69" t="s">
        <v>97</v>
      </c>
    </row>
    <row r="79" spans="1:39" x14ac:dyDescent="0.3">
      <c r="A79" s="131" t="s">
        <v>75</v>
      </c>
      <c r="B79" s="3" t="s">
        <v>9</v>
      </c>
      <c r="C79" s="4"/>
      <c r="D79" s="2"/>
      <c r="E79" s="2"/>
      <c r="F79" s="2"/>
      <c r="G79" s="2"/>
      <c r="H79" s="2">
        <v>100</v>
      </c>
      <c r="I79" s="99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61">
        <f>SUM(C79:AG79)</f>
        <v>100</v>
      </c>
      <c r="AI79" s="63">
        <f>AH79/200</f>
        <v>0.5</v>
      </c>
      <c r="AJ79" s="2">
        <v>5</v>
      </c>
      <c r="AK79" s="4">
        <f>IF(AH79=0,"0",(AH79/AI79)/AJ79)</f>
        <v>40</v>
      </c>
      <c r="AM79" s="60">
        <f>AI79*AJ79</f>
        <v>2.5</v>
      </c>
    </row>
    <row r="80" spans="1:39" x14ac:dyDescent="0.3">
      <c r="A80" s="131"/>
      <c r="B80" s="3" t="s">
        <v>8</v>
      </c>
      <c r="C80" s="4"/>
      <c r="D80" s="2">
        <v>300</v>
      </c>
      <c r="E80" s="2"/>
      <c r="F80" s="2">
        <v>300</v>
      </c>
      <c r="G80" s="2"/>
      <c r="H80" s="2"/>
      <c r="I80" s="99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61">
        <f t="shared" ref="AH80:AH85" si="34">SUM(C80:AG80)</f>
        <v>600</v>
      </c>
      <c r="AI80" s="63">
        <f>AH80/300</f>
        <v>2</v>
      </c>
      <c r="AJ80" s="2">
        <v>4</v>
      </c>
      <c r="AK80" s="4">
        <f t="shared" ref="AK80:AK84" si="35">IF(AH80=0,"0",(AH80/AI80)/AJ80)</f>
        <v>75</v>
      </c>
      <c r="AM80" s="60">
        <f t="shared" ref="AM80:AM86" si="36">AI80*AJ80</f>
        <v>8</v>
      </c>
    </row>
    <row r="81" spans="1:39" x14ac:dyDescent="0.3">
      <c r="A81" s="131"/>
      <c r="B81" s="3" t="s">
        <v>106</v>
      </c>
      <c r="C81" s="4">
        <f>(2*80)+60</f>
        <v>220</v>
      </c>
      <c r="D81" s="2">
        <v>90</v>
      </c>
      <c r="E81" s="2">
        <f>125*2</f>
        <v>250</v>
      </c>
      <c r="F81" s="2"/>
      <c r="G81" s="2"/>
      <c r="H81" s="2">
        <v>360</v>
      </c>
      <c r="I81" s="99"/>
      <c r="J81" s="2"/>
      <c r="K81" s="2"/>
      <c r="L81" s="2">
        <f>270+180</f>
        <v>450</v>
      </c>
      <c r="M81" s="2"/>
      <c r="N81" s="2">
        <f>110+200</f>
        <v>310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61">
        <f>SUM(C81:AG81)</f>
        <v>1680</v>
      </c>
      <c r="AI81" s="63">
        <f>AH81/80</f>
        <v>21</v>
      </c>
      <c r="AJ81" s="2">
        <v>2</v>
      </c>
      <c r="AK81" s="4">
        <f t="shared" si="35"/>
        <v>40</v>
      </c>
      <c r="AM81" s="60">
        <f>AI81*AJ81</f>
        <v>42</v>
      </c>
    </row>
    <row r="82" spans="1:39" x14ac:dyDescent="0.3">
      <c r="A82" s="131"/>
      <c r="B82" s="3" t="s">
        <v>21</v>
      </c>
      <c r="C82" s="4"/>
      <c r="D82" s="2"/>
      <c r="E82" s="2"/>
      <c r="F82" s="2"/>
      <c r="G82" s="2"/>
      <c r="H82" s="2">
        <v>160</v>
      </c>
      <c r="I82" s="99"/>
      <c r="J82" s="2"/>
      <c r="K82" s="2">
        <v>180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61">
        <f t="shared" si="34"/>
        <v>340</v>
      </c>
      <c r="AI82" s="63">
        <f>AH82/70</f>
        <v>4.8571428571428568</v>
      </c>
      <c r="AJ82" s="2">
        <v>1</v>
      </c>
      <c r="AK82" s="4">
        <f t="shared" si="35"/>
        <v>70</v>
      </c>
      <c r="AM82" s="60">
        <f t="shared" si="36"/>
        <v>4.8571428571428568</v>
      </c>
    </row>
    <row r="83" spans="1:39" x14ac:dyDescent="0.3">
      <c r="A83" s="131"/>
      <c r="B83" s="3" t="s">
        <v>139</v>
      </c>
      <c r="C83" s="4"/>
      <c r="D83" s="2"/>
      <c r="E83" s="2"/>
      <c r="F83" s="2"/>
      <c r="G83" s="2"/>
      <c r="H83" s="2"/>
      <c r="I83" s="99"/>
      <c r="J83" s="2"/>
      <c r="K83" s="2">
        <v>120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61"/>
      <c r="AI83" s="63"/>
      <c r="AJ83" s="2"/>
      <c r="AK83" s="4"/>
      <c r="AM83" s="60"/>
    </row>
    <row r="84" spans="1:39" x14ac:dyDescent="0.3">
      <c r="A84" s="131"/>
      <c r="B84" s="3" t="s">
        <v>14</v>
      </c>
      <c r="C84" s="4"/>
      <c r="D84" s="2"/>
      <c r="E84" s="2"/>
      <c r="F84" s="2"/>
      <c r="G84" s="2"/>
      <c r="H84" s="2"/>
      <c r="I84" s="99"/>
      <c r="J84" s="2"/>
      <c r="K84" s="2"/>
      <c r="L84" s="2">
        <v>15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61">
        <f t="shared" si="34"/>
        <v>15</v>
      </c>
      <c r="AI84" s="63">
        <v>0</v>
      </c>
      <c r="AJ84" s="2">
        <v>1</v>
      </c>
      <c r="AK84" s="4" t="e">
        <f t="shared" si="35"/>
        <v>#DIV/0!</v>
      </c>
      <c r="AM84" s="60">
        <f t="shared" si="36"/>
        <v>0</v>
      </c>
    </row>
    <row r="85" spans="1:39" x14ac:dyDescent="0.3">
      <c r="A85" s="131"/>
      <c r="B85" s="3" t="s">
        <v>56</v>
      </c>
      <c r="C85" s="4"/>
      <c r="D85" s="2"/>
      <c r="E85" s="2"/>
      <c r="F85" s="2"/>
      <c r="G85" s="2"/>
      <c r="H85" s="2"/>
      <c r="I85" s="99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61">
        <f t="shared" si="34"/>
        <v>0</v>
      </c>
      <c r="AI85" s="63">
        <f>AH85/450</f>
        <v>0</v>
      </c>
      <c r="AJ85" s="2">
        <v>9</v>
      </c>
      <c r="AK85" s="4" t="str">
        <f>IF(AH85=0,"0",(AH85/AI85)/AJ85)</f>
        <v>0</v>
      </c>
      <c r="AM85" s="60">
        <f t="shared" si="36"/>
        <v>0</v>
      </c>
    </row>
    <row r="86" spans="1:39" x14ac:dyDescent="0.3">
      <c r="A86" s="131"/>
      <c r="B86" s="3" t="s">
        <v>88</v>
      </c>
      <c r="C86" s="4"/>
      <c r="D86" s="2"/>
      <c r="E86" s="2"/>
      <c r="F86" s="2"/>
      <c r="G86" s="2">
        <v>48</v>
      </c>
      <c r="H86" s="2">
        <v>40</v>
      </c>
      <c r="I86" s="99"/>
      <c r="J86" s="2"/>
      <c r="K86" s="2">
        <v>180</v>
      </c>
      <c r="L86" s="2"/>
      <c r="M86" s="2"/>
      <c r="N86" s="2">
        <v>415</v>
      </c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61"/>
      <c r="AI86" s="2"/>
      <c r="AJ86" s="2"/>
      <c r="AK86" s="2"/>
      <c r="AM86" s="60">
        <f t="shared" si="36"/>
        <v>0</v>
      </c>
    </row>
    <row r="87" spans="1:39" x14ac:dyDescent="0.3">
      <c r="B87" s="20" t="s">
        <v>76</v>
      </c>
      <c r="C87" s="50">
        <f>SUM(C79:C86)</f>
        <v>220</v>
      </c>
      <c r="D87" s="50">
        <f t="shared" ref="D87:F87" si="37">SUM(D79:D86)</f>
        <v>390</v>
      </c>
      <c r="E87" s="50">
        <f t="shared" si="37"/>
        <v>250</v>
      </c>
      <c r="F87" s="50">
        <f t="shared" si="37"/>
        <v>300</v>
      </c>
      <c r="G87" s="50">
        <f>SUM(G79:G86)</f>
        <v>48</v>
      </c>
      <c r="H87" s="50">
        <f t="shared" ref="H87:AG87" si="38">SUM(H79:H86)</f>
        <v>660</v>
      </c>
      <c r="I87" s="50">
        <f t="shared" si="38"/>
        <v>0</v>
      </c>
      <c r="J87" s="50">
        <f t="shared" si="38"/>
        <v>0</v>
      </c>
      <c r="K87" s="50">
        <f t="shared" si="38"/>
        <v>480</v>
      </c>
      <c r="L87" s="50">
        <f t="shared" si="38"/>
        <v>465</v>
      </c>
      <c r="M87" s="50">
        <f t="shared" si="38"/>
        <v>0</v>
      </c>
      <c r="N87" s="50">
        <f t="shared" si="38"/>
        <v>725</v>
      </c>
      <c r="O87" s="50">
        <f t="shared" si="38"/>
        <v>0</v>
      </c>
      <c r="P87" s="50">
        <f t="shared" si="38"/>
        <v>0</v>
      </c>
      <c r="Q87" s="50">
        <f t="shared" si="38"/>
        <v>0</v>
      </c>
      <c r="R87" s="50">
        <f t="shared" si="38"/>
        <v>0</v>
      </c>
      <c r="S87" s="50">
        <f t="shared" si="38"/>
        <v>0</v>
      </c>
      <c r="T87" s="50">
        <f t="shared" si="38"/>
        <v>0</v>
      </c>
      <c r="U87" s="50">
        <f t="shared" si="38"/>
        <v>0</v>
      </c>
      <c r="V87" s="50">
        <f t="shared" si="38"/>
        <v>0</v>
      </c>
      <c r="W87" s="50">
        <f t="shared" si="38"/>
        <v>0</v>
      </c>
      <c r="X87" s="50">
        <f t="shared" si="38"/>
        <v>0</v>
      </c>
      <c r="Y87" s="50">
        <f t="shared" si="38"/>
        <v>0</v>
      </c>
      <c r="Z87" s="50">
        <f t="shared" si="38"/>
        <v>0</v>
      </c>
      <c r="AA87" s="50">
        <f t="shared" si="38"/>
        <v>0</v>
      </c>
      <c r="AB87" s="50">
        <f t="shared" si="38"/>
        <v>0</v>
      </c>
      <c r="AC87" s="50">
        <f t="shared" si="38"/>
        <v>0</v>
      </c>
      <c r="AD87" s="50">
        <f t="shared" si="38"/>
        <v>0</v>
      </c>
      <c r="AE87" s="50">
        <f t="shared" si="38"/>
        <v>0</v>
      </c>
      <c r="AF87" s="50">
        <f t="shared" si="38"/>
        <v>0</v>
      </c>
      <c r="AG87" s="50">
        <f t="shared" si="38"/>
        <v>0</v>
      </c>
      <c r="AH87" s="62">
        <f>SUM(C87:AG87)</f>
        <v>3538</v>
      </c>
      <c r="AI87" s="64">
        <f>SUM(AI79:AI85)</f>
        <v>28.357142857142858</v>
      </c>
      <c r="AJ87" s="67"/>
      <c r="AK87" s="68" t="e">
        <f>IF(AH87=0,"0",(AVERAGE(AK79:AK85)))</f>
        <v>#DIV/0!</v>
      </c>
      <c r="AL87" s="71" t="s">
        <v>96</v>
      </c>
      <c r="AM87" s="70">
        <f>SUM(AM79:AM86)</f>
        <v>57.357142857142854</v>
      </c>
    </row>
    <row r="88" spans="1:39" x14ac:dyDescent="0.3">
      <c r="A88" s="2"/>
      <c r="B88" s="81" t="s">
        <v>72</v>
      </c>
      <c r="C88" s="53">
        <f t="shared" ref="C88:AG88" si="39">C4</f>
        <v>42583</v>
      </c>
      <c r="D88" s="53">
        <f t="shared" si="39"/>
        <v>42584</v>
      </c>
      <c r="E88" s="53">
        <f t="shared" si="39"/>
        <v>42585</v>
      </c>
      <c r="F88" s="53">
        <f t="shared" si="39"/>
        <v>42586</v>
      </c>
      <c r="G88" s="53">
        <f t="shared" si="39"/>
        <v>42587</v>
      </c>
      <c r="H88" s="53">
        <f t="shared" si="39"/>
        <v>42588</v>
      </c>
      <c r="I88" s="53">
        <f t="shared" si="39"/>
        <v>42589</v>
      </c>
      <c r="J88" s="53">
        <f t="shared" si="39"/>
        <v>42590</v>
      </c>
      <c r="K88" s="53">
        <f t="shared" si="39"/>
        <v>42591</v>
      </c>
      <c r="L88" s="53">
        <f t="shared" si="39"/>
        <v>42592</v>
      </c>
      <c r="M88" s="53">
        <f t="shared" si="39"/>
        <v>42593</v>
      </c>
      <c r="N88" s="53">
        <f t="shared" si="39"/>
        <v>42594</v>
      </c>
      <c r="O88" s="53">
        <f t="shared" si="39"/>
        <v>42595</v>
      </c>
      <c r="P88" s="53">
        <f t="shared" si="39"/>
        <v>42596</v>
      </c>
      <c r="Q88" s="53">
        <f t="shared" si="39"/>
        <v>42597</v>
      </c>
      <c r="R88" s="53">
        <f t="shared" si="39"/>
        <v>42598</v>
      </c>
      <c r="S88" s="53">
        <f t="shared" si="39"/>
        <v>42599</v>
      </c>
      <c r="T88" s="53">
        <f t="shared" si="39"/>
        <v>42600</v>
      </c>
      <c r="U88" s="53">
        <f t="shared" si="39"/>
        <v>42601</v>
      </c>
      <c r="V88" s="53">
        <f t="shared" si="39"/>
        <v>42602</v>
      </c>
      <c r="W88" s="53">
        <f t="shared" si="39"/>
        <v>42603</v>
      </c>
      <c r="X88" s="53">
        <f t="shared" si="39"/>
        <v>42604</v>
      </c>
      <c r="Y88" s="53">
        <f t="shared" si="39"/>
        <v>42605</v>
      </c>
      <c r="Z88" s="53">
        <f t="shared" si="39"/>
        <v>42606</v>
      </c>
      <c r="AA88" s="53">
        <f t="shared" si="39"/>
        <v>42607</v>
      </c>
      <c r="AB88" s="53">
        <f t="shared" si="39"/>
        <v>42608</v>
      </c>
      <c r="AC88" s="53">
        <f t="shared" si="39"/>
        <v>42609</v>
      </c>
      <c r="AD88" s="53">
        <f t="shared" si="39"/>
        <v>42610</v>
      </c>
      <c r="AE88" s="53">
        <f t="shared" si="39"/>
        <v>42611</v>
      </c>
      <c r="AF88" s="53">
        <f t="shared" si="39"/>
        <v>42612</v>
      </c>
      <c r="AG88" s="53">
        <f t="shared" si="39"/>
        <v>42613</v>
      </c>
      <c r="AH88" s="43" t="s">
        <v>64</v>
      </c>
      <c r="AI88" s="49" t="s">
        <v>136</v>
      </c>
    </row>
    <row r="89" spans="1:39" x14ac:dyDescent="0.3">
      <c r="A89" s="131" t="s">
        <v>75</v>
      </c>
      <c r="B89" s="2" t="s">
        <v>78</v>
      </c>
      <c r="C89" s="4"/>
      <c r="D89" s="2"/>
      <c r="E89" s="2"/>
      <c r="F89" s="2"/>
      <c r="G89" s="2"/>
      <c r="H89" s="2"/>
      <c r="I89" s="99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55">
        <f>SUM(C89:AG89)</f>
        <v>0</v>
      </c>
      <c r="AI89" s="37">
        <v>0</v>
      </c>
    </row>
    <row r="90" spans="1:39" x14ac:dyDescent="0.3">
      <c r="A90" s="131"/>
      <c r="B90" s="2" t="s">
        <v>79</v>
      </c>
      <c r="C90" s="4"/>
      <c r="D90" s="2"/>
      <c r="E90" s="2"/>
      <c r="F90" s="2"/>
      <c r="G90" s="2"/>
      <c r="H90" s="2"/>
      <c r="I90" s="99"/>
      <c r="J90" s="2"/>
      <c r="K90" s="2"/>
      <c r="L90" s="2"/>
      <c r="M90" s="2"/>
      <c r="N90" s="2">
        <f>20*5</f>
        <v>100</v>
      </c>
      <c r="O90" s="2">
        <f>3*6</f>
        <v>18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55">
        <f t="shared" ref="AH90:AH97" si="40">SUM(C90:AG90)</f>
        <v>118</v>
      </c>
      <c r="AI90" s="37">
        <v>0</v>
      </c>
    </row>
    <row r="91" spans="1:39" x14ac:dyDescent="0.3">
      <c r="A91" s="131"/>
      <c r="B91" s="2" t="s">
        <v>80</v>
      </c>
      <c r="C91" s="4"/>
      <c r="D91" s="2"/>
      <c r="E91" s="2"/>
      <c r="F91" s="2"/>
      <c r="G91" s="2"/>
      <c r="H91" s="2"/>
      <c r="I91" s="99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55">
        <f>SUM(C91:AG91)</f>
        <v>0</v>
      </c>
      <c r="AI91" s="37">
        <v>0</v>
      </c>
    </row>
    <row r="92" spans="1:39" x14ac:dyDescent="0.3">
      <c r="A92" s="131"/>
      <c r="B92" s="2" t="s">
        <v>81</v>
      </c>
      <c r="C92" s="4"/>
      <c r="D92" s="2"/>
      <c r="E92" s="2"/>
      <c r="F92" s="2"/>
      <c r="G92" s="2"/>
      <c r="H92" s="2"/>
      <c r="I92" s="99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55">
        <f t="shared" si="40"/>
        <v>0</v>
      </c>
      <c r="AI92" s="37">
        <v>0</v>
      </c>
    </row>
    <row r="93" spans="1:39" x14ac:dyDescent="0.3">
      <c r="A93" s="131"/>
      <c r="B93" s="2" t="s">
        <v>82</v>
      </c>
      <c r="C93" s="4"/>
      <c r="D93" s="2"/>
      <c r="E93" s="2"/>
      <c r="F93" s="2"/>
      <c r="G93" s="2"/>
      <c r="H93" s="2"/>
      <c r="I93" s="99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55">
        <f t="shared" si="40"/>
        <v>0</v>
      </c>
      <c r="AI93" s="37">
        <v>0</v>
      </c>
    </row>
    <row r="94" spans="1:39" x14ac:dyDescent="0.3">
      <c r="A94" s="131"/>
      <c r="B94" s="2" t="s">
        <v>83</v>
      </c>
      <c r="C94" s="4"/>
      <c r="D94" s="2"/>
      <c r="E94" s="2"/>
      <c r="F94" s="2"/>
      <c r="G94" s="2"/>
      <c r="H94" s="2"/>
      <c r="I94" s="99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55">
        <f t="shared" si="40"/>
        <v>0</v>
      </c>
      <c r="AI94" s="37">
        <v>0</v>
      </c>
    </row>
    <row r="95" spans="1:39" x14ac:dyDescent="0.3">
      <c r="A95" s="131"/>
      <c r="B95" s="2" t="s">
        <v>118</v>
      </c>
      <c r="C95" s="4"/>
      <c r="D95" s="2"/>
      <c r="E95" s="2"/>
      <c r="F95" s="2"/>
      <c r="G95" s="2"/>
      <c r="H95" s="2"/>
      <c r="I95" s="99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55">
        <f t="shared" si="40"/>
        <v>0</v>
      </c>
      <c r="AI95" s="37">
        <v>0</v>
      </c>
    </row>
    <row r="96" spans="1:39" x14ac:dyDescent="0.3">
      <c r="A96" s="131"/>
      <c r="B96" s="54" t="s">
        <v>84</v>
      </c>
      <c r="C96" s="2"/>
      <c r="D96" s="2"/>
      <c r="E96" s="2"/>
      <c r="F96" s="2"/>
      <c r="G96" s="2"/>
      <c r="H96" s="2"/>
      <c r="I96" s="99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55">
        <f t="shared" si="40"/>
        <v>0</v>
      </c>
      <c r="AI96" s="37">
        <v>0</v>
      </c>
    </row>
    <row r="97" spans="1:39" x14ac:dyDescent="0.3">
      <c r="A97" s="131"/>
      <c r="B97" s="54" t="s">
        <v>85</v>
      </c>
      <c r="C97" s="2"/>
      <c r="D97" s="2"/>
      <c r="E97" s="2"/>
      <c r="F97" s="2"/>
      <c r="G97" s="2"/>
      <c r="H97" s="2"/>
      <c r="I97" s="99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55">
        <f t="shared" si="40"/>
        <v>0</v>
      </c>
      <c r="AI97" s="37">
        <v>0</v>
      </c>
    </row>
    <row r="98" spans="1:39" x14ac:dyDescent="0.3">
      <c r="B98" s="20" t="s">
        <v>76</v>
      </c>
      <c r="C98" s="50">
        <f>SUM(C89:C97)</f>
        <v>0</v>
      </c>
      <c r="D98" s="50">
        <f t="shared" ref="D98:AG98" si="41">SUM(D89:D97)</f>
        <v>0</v>
      </c>
      <c r="E98" s="50">
        <f t="shared" si="41"/>
        <v>0</v>
      </c>
      <c r="F98" s="50">
        <f t="shared" si="41"/>
        <v>0</v>
      </c>
      <c r="G98" s="50">
        <f t="shared" si="41"/>
        <v>0</v>
      </c>
      <c r="H98" s="50">
        <f t="shared" si="41"/>
        <v>0</v>
      </c>
      <c r="I98" s="50">
        <v>0</v>
      </c>
      <c r="J98" s="50">
        <f t="shared" si="41"/>
        <v>0</v>
      </c>
      <c r="K98" s="50">
        <f t="shared" si="41"/>
        <v>0</v>
      </c>
      <c r="L98" s="50">
        <f t="shared" si="41"/>
        <v>0</v>
      </c>
      <c r="M98" s="50">
        <f t="shared" si="41"/>
        <v>0</v>
      </c>
      <c r="N98" s="50">
        <f t="shared" si="41"/>
        <v>100</v>
      </c>
      <c r="O98" s="50">
        <f t="shared" si="41"/>
        <v>18</v>
      </c>
      <c r="P98" s="50">
        <f t="shared" si="41"/>
        <v>0</v>
      </c>
      <c r="Q98" s="50">
        <f t="shared" si="41"/>
        <v>0</v>
      </c>
      <c r="R98" s="50">
        <f t="shared" si="41"/>
        <v>0</v>
      </c>
      <c r="S98" s="50">
        <f t="shared" si="41"/>
        <v>0</v>
      </c>
      <c r="T98" s="50">
        <f t="shared" si="41"/>
        <v>0</v>
      </c>
      <c r="U98" s="50">
        <f t="shared" si="41"/>
        <v>0</v>
      </c>
      <c r="V98" s="50">
        <f t="shared" si="41"/>
        <v>0</v>
      </c>
      <c r="W98" s="50">
        <f t="shared" si="41"/>
        <v>0</v>
      </c>
      <c r="X98" s="50">
        <f t="shared" si="41"/>
        <v>0</v>
      </c>
      <c r="Y98" s="50">
        <f t="shared" si="41"/>
        <v>0</v>
      </c>
      <c r="Z98" s="50">
        <f t="shared" si="41"/>
        <v>0</v>
      </c>
      <c r="AA98" s="50">
        <f t="shared" si="41"/>
        <v>0</v>
      </c>
      <c r="AB98" s="50">
        <f t="shared" si="41"/>
        <v>0</v>
      </c>
      <c r="AC98" s="50">
        <f t="shared" si="41"/>
        <v>0</v>
      </c>
      <c r="AD98" s="50">
        <f t="shared" si="41"/>
        <v>0</v>
      </c>
      <c r="AE98" s="50">
        <f t="shared" si="41"/>
        <v>0</v>
      </c>
      <c r="AF98" s="50">
        <f t="shared" si="41"/>
        <v>0</v>
      </c>
      <c r="AG98" s="50">
        <f t="shared" si="41"/>
        <v>0</v>
      </c>
      <c r="AH98" s="51">
        <f>SUM(C98:AG98)</f>
        <v>118</v>
      </c>
      <c r="AI98" s="97">
        <f>SUM(AI89:AI97)</f>
        <v>0</v>
      </c>
    </row>
    <row r="99" spans="1:39" x14ac:dyDescent="0.3">
      <c r="B99" s="20" t="s">
        <v>141</v>
      </c>
      <c r="C99" s="50">
        <f>SUM(C50+C59+C68+C77+C87+C98)</f>
        <v>820</v>
      </c>
      <c r="D99" s="50">
        <f t="shared" ref="D99:AH99" si="42">SUM(D50+D59+D68+D77+D87+D98)</f>
        <v>390</v>
      </c>
      <c r="E99" s="50">
        <f t="shared" si="42"/>
        <v>305</v>
      </c>
      <c r="F99" s="50">
        <f t="shared" si="42"/>
        <v>300</v>
      </c>
      <c r="G99" s="50">
        <f t="shared" si="42"/>
        <v>538</v>
      </c>
      <c r="H99" s="50">
        <f t="shared" si="42"/>
        <v>660</v>
      </c>
      <c r="I99" s="50">
        <f t="shared" si="42"/>
        <v>0</v>
      </c>
      <c r="J99" s="50">
        <f t="shared" si="42"/>
        <v>0</v>
      </c>
      <c r="K99" s="50">
        <f t="shared" si="42"/>
        <v>780</v>
      </c>
      <c r="L99" s="50">
        <f t="shared" si="42"/>
        <v>1365</v>
      </c>
      <c r="M99" s="50">
        <f t="shared" si="42"/>
        <v>0</v>
      </c>
      <c r="N99" s="50">
        <f t="shared" si="42"/>
        <v>825</v>
      </c>
      <c r="O99" s="50">
        <f t="shared" si="42"/>
        <v>18</v>
      </c>
      <c r="P99" s="50">
        <f t="shared" si="42"/>
        <v>0</v>
      </c>
      <c r="Q99" s="50">
        <f t="shared" si="42"/>
        <v>900</v>
      </c>
      <c r="R99" s="50">
        <f t="shared" si="42"/>
        <v>0</v>
      </c>
      <c r="S99" s="50">
        <f t="shared" si="42"/>
        <v>0</v>
      </c>
      <c r="T99" s="50">
        <f t="shared" si="42"/>
        <v>0</v>
      </c>
      <c r="U99" s="50">
        <f t="shared" si="42"/>
        <v>0</v>
      </c>
      <c r="V99" s="50">
        <f t="shared" si="42"/>
        <v>0</v>
      </c>
      <c r="W99" s="50">
        <f t="shared" si="42"/>
        <v>0</v>
      </c>
      <c r="X99" s="50">
        <f t="shared" si="42"/>
        <v>0</v>
      </c>
      <c r="Y99" s="50">
        <f t="shared" si="42"/>
        <v>0</v>
      </c>
      <c r="Z99" s="50">
        <f t="shared" si="42"/>
        <v>0</v>
      </c>
      <c r="AA99" s="50">
        <f t="shared" si="42"/>
        <v>0</v>
      </c>
      <c r="AB99" s="50">
        <f t="shared" si="42"/>
        <v>0</v>
      </c>
      <c r="AC99" s="50">
        <f t="shared" si="42"/>
        <v>0</v>
      </c>
      <c r="AD99" s="50">
        <f t="shared" si="42"/>
        <v>0</v>
      </c>
      <c r="AE99" s="50">
        <f t="shared" si="42"/>
        <v>0</v>
      </c>
      <c r="AF99" s="50">
        <f t="shared" si="42"/>
        <v>0</v>
      </c>
      <c r="AG99" s="50">
        <f t="shared" si="42"/>
        <v>0</v>
      </c>
      <c r="AH99" s="50">
        <f t="shared" si="42"/>
        <v>6901</v>
      </c>
      <c r="AI99" s="97"/>
      <c r="AM99" s="93"/>
    </row>
    <row r="101" spans="1:39" x14ac:dyDescent="0.3">
      <c r="B101" s="44" t="s">
        <v>143</v>
      </c>
      <c r="C101" s="40">
        <f>C50+C59+C68+C77+C87+C98-C39</f>
        <v>650.5</v>
      </c>
      <c r="D101" s="40">
        <f t="shared" ref="D101:AH101" si="43">D50+D59+D68+D77+D87+D98-D39</f>
        <v>-835.5</v>
      </c>
      <c r="E101" s="40">
        <f t="shared" si="43"/>
        <v>193.75</v>
      </c>
      <c r="F101" s="40">
        <f t="shared" si="43"/>
        <v>-381.48</v>
      </c>
      <c r="G101" s="40">
        <f t="shared" si="43"/>
        <v>161.75</v>
      </c>
      <c r="H101" s="40">
        <f t="shared" si="43"/>
        <v>287.75</v>
      </c>
      <c r="I101" s="40">
        <f t="shared" si="43"/>
        <v>0</v>
      </c>
      <c r="J101" s="40">
        <f t="shared" si="43"/>
        <v>0</v>
      </c>
      <c r="K101" s="40">
        <f t="shared" si="43"/>
        <v>693.1</v>
      </c>
      <c r="L101" s="40">
        <f t="shared" si="43"/>
        <v>1285</v>
      </c>
      <c r="M101" s="40">
        <f t="shared" si="43"/>
        <v>-75</v>
      </c>
      <c r="N101" s="40">
        <f t="shared" si="43"/>
        <v>602</v>
      </c>
      <c r="O101" s="40">
        <f t="shared" si="43"/>
        <v>-183</v>
      </c>
      <c r="P101" s="40">
        <f t="shared" si="43"/>
        <v>0</v>
      </c>
      <c r="Q101" s="40">
        <f t="shared" si="43"/>
        <v>900</v>
      </c>
      <c r="R101" s="40">
        <f t="shared" si="43"/>
        <v>0</v>
      </c>
      <c r="S101" s="40">
        <f t="shared" si="43"/>
        <v>0</v>
      </c>
      <c r="T101" s="40">
        <f t="shared" si="43"/>
        <v>0</v>
      </c>
      <c r="U101" s="40">
        <f t="shared" si="43"/>
        <v>0</v>
      </c>
      <c r="V101" s="40">
        <f t="shared" si="43"/>
        <v>0</v>
      </c>
      <c r="W101" s="40">
        <f t="shared" si="43"/>
        <v>0</v>
      </c>
      <c r="X101" s="40">
        <f t="shared" si="43"/>
        <v>0</v>
      </c>
      <c r="Y101" s="40">
        <f t="shared" si="43"/>
        <v>0</v>
      </c>
      <c r="Z101" s="40">
        <f t="shared" si="43"/>
        <v>0</v>
      </c>
      <c r="AA101" s="40">
        <f t="shared" si="43"/>
        <v>0</v>
      </c>
      <c r="AB101" s="40">
        <f t="shared" si="43"/>
        <v>0</v>
      </c>
      <c r="AC101" s="40">
        <f t="shared" si="43"/>
        <v>0</v>
      </c>
      <c r="AD101" s="40">
        <f t="shared" si="43"/>
        <v>0</v>
      </c>
      <c r="AE101" s="40">
        <f t="shared" si="43"/>
        <v>0</v>
      </c>
      <c r="AF101" s="40">
        <f t="shared" si="43"/>
        <v>0</v>
      </c>
      <c r="AG101" s="40">
        <f t="shared" si="43"/>
        <v>0</v>
      </c>
      <c r="AH101" s="40">
        <f t="shared" si="43"/>
        <v>3298.87</v>
      </c>
    </row>
    <row r="103" spans="1:39" ht="18.75" customHeight="1" x14ac:dyDescent="0.3">
      <c r="B103" s="86" t="s">
        <v>119</v>
      </c>
      <c r="C103" s="32" t="str">
        <f>C1</f>
        <v>août</v>
      </c>
      <c r="E103" s="84" t="s">
        <v>122</v>
      </c>
      <c r="F103" s="85"/>
      <c r="G103" s="85"/>
      <c r="H103" s="43" t="str">
        <f>C1</f>
        <v>août</v>
      </c>
      <c r="J103" s="100" t="s">
        <v>100</v>
      </c>
      <c r="K103" s="100"/>
    </row>
    <row r="104" spans="1:39" x14ac:dyDescent="0.3">
      <c r="B104" s="44" t="s">
        <v>90</v>
      </c>
      <c r="C104" s="41">
        <f>AH99</f>
        <v>6901</v>
      </c>
      <c r="E104" s="127" t="s">
        <v>98</v>
      </c>
      <c r="F104" s="127"/>
      <c r="G104" s="127"/>
      <c r="H104" s="72">
        <f>AM50+AM59+AM68+AM87</f>
        <v>130.14285714285714</v>
      </c>
      <c r="J104" s="2" t="s">
        <v>73</v>
      </c>
      <c r="K104" s="75">
        <f>AH50/C104</f>
        <v>0.30357919142153311</v>
      </c>
    </row>
    <row r="105" spans="1:39" x14ac:dyDescent="0.3">
      <c r="B105" s="44" t="s">
        <v>89</v>
      </c>
      <c r="C105" s="41">
        <f>AH39</f>
        <v>3602.13</v>
      </c>
      <c r="E105" s="127" t="s">
        <v>99</v>
      </c>
      <c r="F105" s="127"/>
      <c r="G105" s="127"/>
      <c r="H105" s="41">
        <f>C105/H104</f>
        <v>27.678276619099893</v>
      </c>
      <c r="J105" s="2" t="s">
        <v>75</v>
      </c>
      <c r="K105" s="75">
        <f>AH87/C104</f>
        <v>0.51267932183741483</v>
      </c>
    </row>
    <row r="106" spans="1:39" x14ac:dyDescent="0.3">
      <c r="J106" s="2" t="s">
        <v>101</v>
      </c>
      <c r="K106" s="75">
        <f>AH98/C104</f>
        <v>1.7098971163599479E-2</v>
      </c>
    </row>
    <row r="107" spans="1:39" x14ac:dyDescent="0.3">
      <c r="B107" s="20" t="s">
        <v>86</v>
      </c>
      <c r="C107" s="40">
        <f>C104-C105</f>
        <v>3298.87</v>
      </c>
      <c r="J107" s="2" t="s">
        <v>74</v>
      </c>
      <c r="K107" s="75">
        <f>AH59/C104</f>
        <v>0.1304158817562672</v>
      </c>
    </row>
    <row r="108" spans="1:39" x14ac:dyDescent="0.3">
      <c r="J108" s="2" t="s">
        <v>123</v>
      </c>
      <c r="K108" s="75">
        <f>AH68/C105</f>
        <v>0</v>
      </c>
    </row>
    <row r="109" spans="1:39" x14ac:dyDescent="0.3">
      <c r="B109" t="s">
        <v>91</v>
      </c>
      <c r="C109" s="37">
        <v>10500</v>
      </c>
    </row>
    <row r="110" spans="1:39" x14ac:dyDescent="0.3">
      <c r="B110" t="s">
        <v>92</v>
      </c>
      <c r="C110" s="103">
        <f>C104-C109</f>
        <v>-3599</v>
      </c>
      <c r="E110" s="107"/>
    </row>
    <row r="111" spans="1:39" x14ac:dyDescent="0.3">
      <c r="B111" t="s">
        <v>144</v>
      </c>
      <c r="C111" s="104">
        <f>C104/C109</f>
        <v>0.65723809523809529</v>
      </c>
    </row>
    <row r="112" spans="1:39" x14ac:dyDescent="0.3">
      <c r="B112" s="20" t="s">
        <v>125</v>
      </c>
      <c r="C112" s="105">
        <f ca="1">'Juillet 2016'!C98+C107</f>
        <v>0</v>
      </c>
      <c r="E112" s="37"/>
      <c r="F112" s="37"/>
    </row>
    <row r="113" spans="2:39" x14ac:dyDescent="0.3">
      <c r="B113" s="2" t="s">
        <v>138</v>
      </c>
      <c r="C113" s="41">
        <v>1320</v>
      </c>
    </row>
    <row r="114" spans="2:39" x14ac:dyDescent="0.3">
      <c r="B114" s="2" t="s">
        <v>131</v>
      </c>
      <c r="C114" s="41">
        <f>(H114-H115)</f>
        <v>-19</v>
      </c>
      <c r="E114" s="95" t="s">
        <v>135</v>
      </c>
      <c r="F114" s="95"/>
      <c r="G114" s="95"/>
      <c r="H114" s="37">
        <f>'Juillet 2016'!AI85</f>
        <v>120</v>
      </c>
      <c r="AM114" s="91"/>
    </row>
    <row r="115" spans="2:39" x14ac:dyDescent="0.3">
      <c r="B115" s="2" t="s">
        <v>127</v>
      </c>
      <c r="C115" s="41">
        <v>2220</v>
      </c>
      <c r="E115" s="95" t="s">
        <v>130</v>
      </c>
      <c r="F115" s="95"/>
      <c r="G115" s="95"/>
      <c r="H115" s="37">
        <f>SUM(AH32:AH34)</f>
        <v>139</v>
      </c>
      <c r="AM115" s="91"/>
    </row>
    <row r="116" spans="2:39" x14ac:dyDescent="0.3">
      <c r="B116" s="20" t="s">
        <v>133</v>
      </c>
      <c r="C116" s="41">
        <f>SUM(C113:C115)</f>
        <v>3521</v>
      </c>
      <c r="E116" s="95" t="s">
        <v>131</v>
      </c>
      <c r="H116" s="37">
        <v>0</v>
      </c>
      <c r="AM116" s="91"/>
    </row>
    <row r="117" spans="2:39" x14ac:dyDescent="0.3">
      <c r="B117" t="s">
        <v>128</v>
      </c>
      <c r="C117" s="37">
        <f ca="1">C112-(C113+C115+C114)</f>
        <v>-222.13000000000011</v>
      </c>
    </row>
    <row r="120" spans="2:39" x14ac:dyDescent="0.3">
      <c r="C120" s="37"/>
    </row>
  </sheetData>
  <mergeCells count="9">
    <mergeCell ref="E104:G104"/>
    <mergeCell ref="E105:G105"/>
    <mergeCell ref="B2:AJ2"/>
    <mergeCell ref="A43:A49"/>
    <mergeCell ref="A52:A58"/>
    <mergeCell ref="A61:A67"/>
    <mergeCell ref="A89:A97"/>
    <mergeCell ref="A70:A76"/>
    <mergeCell ref="A79:A8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03"/>
  <sheetViews>
    <sheetView topLeftCell="A79" zoomScale="90" zoomScaleNormal="90" workbookViewId="0">
      <selection activeCell="C98" sqref="C98"/>
    </sheetView>
  </sheetViews>
  <sheetFormatPr baseColWidth="10" defaultRowHeight="14.4" x14ac:dyDescent="0.3"/>
  <cols>
    <col min="2" max="2" width="34.109375" bestFit="1" customWidth="1"/>
    <col min="3" max="3" width="16.88671875" bestFit="1" customWidth="1"/>
    <col min="39" max="39" width="18.6640625" style="91" bestFit="1" customWidth="1"/>
  </cols>
  <sheetData>
    <row r="1" spans="1:37" ht="15.75" x14ac:dyDescent="0.25">
      <c r="B1" s="71" t="s">
        <v>120</v>
      </c>
      <c r="C1" s="94" t="s">
        <v>129</v>
      </c>
    </row>
    <row r="2" spans="1:37" ht="21" x14ac:dyDescent="0.35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  <c r="AG2" s="132"/>
      <c r="AH2" s="132"/>
      <c r="AI2" s="132"/>
      <c r="AJ2" s="132"/>
    </row>
    <row r="4" spans="1:37" s="91" customFormat="1" x14ac:dyDescent="0.3">
      <c r="B4" s="43" t="s">
        <v>65</v>
      </c>
      <c r="C4" s="48">
        <v>42614</v>
      </c>
      <c r="D4" s="48">
        <v>42615</v>
      </c>
      <c r="E4" s="48">
        <v>42616</v>
      </c>
      <c r="F4" s="48">
        <v>42617</v>
      </c>
      <c r="G4" s="48">
        <v>42618</v>
      </c>
      <c r="H4" s="48">
        <v>42619</v>
      </c>
      <c r="I4" s="48">
        <v>42620</v>
      </c>
      <c r="J4" s="48">
        <v>42621</v>
      </c>
      <c r="K4" s="48">
        <v>42622</v>
      </c>
      <c r="L4" s="48">
        <v>42623</v>
      </c>
      <c r="M4" s="48">
        <v>42624</v>
      </c>
      <c r="N4" s="48">
        <v>42625</v>
      </c>
      <c r="O4" s="48">
        <v>42626</v>
      </c>
      <c r="P4" s="48">
        <v>42627</v>
      </c>
      <c r="Q4" s="48">
        <v>42628</v>
      </c>
      <c r="R4" s="48">
        <v>42629</v>
      </c>
      <c r="S4" s="48">
        <v>42630</v>
      </c>
      <c r="T4" s="48">
        <v>42631</v>
      </c>
      <c r="U4" s="48">
        <v>42632</v>
      </c>
      <c r="V4" s="48">
        <v>42633</v>
      </c>
      <c r="W4" s="48">
        <v>42634</v>
      </c>
      <c r="X4" s="48">
        <v>42635</v>
      </c>
      <c r="Y4" s="48">
        <v>42636</v>
      </c>
      <c r="Z4" s="48">
        <v>42637</v>
      </c>
      <c r="AA4" s="48">
        <v>42638</v>
      </c>
      <c r="AB4" s="48">
        <v>42639</v>
      </c>
      <c r="AC4" s="48">
        <v>42640</v>
      </c>
      <c r="AD4" s="48">
        <v>42641</v>
      </c>
      <c r="AE4" s="48">
        <v>42642</v>
      </c>
      <c r="AF4" s="48">
        <v>42643</v>
      </c>
      <c r="AG4" s="48"/>
      <c r="AH4" s="43" t="s">
        <v>64</v>
      </c>
      <c r="AI4" s="49" t="s">
        <v>66</v>
      </c>
      <c r="AJ4" s="49" t="s">
        <v>67</v>
      </c>
    </row>
    <row r="5" spans="1:37" ht="15" x14ac:dyDescent="0.25">
      <c r="B5" s="39" t="s">
        <v>1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51">
        <f>SUM(C5:AG5)</f>
        <v>0</v>
      </c>
      <c r="AI5" s="37">
        <f>'Budget 2016'!C3</f>
        <v>500</v>
      </c>
      <c r="AJ5" s="46">
        <f>AI5-AH5</f>
        <v>500</v>
      </c>
      <c r="AK5" s="37"/>
    </row>
    <row r="6" spans="1:37" x14ac:dyDescent="0.3">
      <c r="B6" s="39" t="s">
        <v>59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51">
        <f>SUM(C6:AG6)</f>
        <v>0</v>
      </c>
      <c r="AI6" s="37">
        <f>'Budget 2016'!C4</f>
        <v>800</v>
      </c>
      <c r="AJ6" s="46">
        <f>AI6-AH6</f>
        <v>800</v>
      </c>
    </row>
    <row r="7" spans="1:37" ht="15" x14ac:dyDescent="0.25">
      <c r="B7" s="39" t="s">
        <v>60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51">
        <f>SUM(C7:AG7)</f>
        <v>0</v>
      </c>
      <c r="AI7" s="37">
        <f>'Budget 2016'!C5</f>
        <v>800</v>
      </c>
      <c r="AJ7" s="46">
        <f t="shared" ref="AJ7:AJ12" si="0">AI7-AH7</f>
        <v>800</v>
      </c>
    </row>
    <row r="8" spans="1:37" ht="15" x14ac:dyDescent="0.25">
      <c r="B8" s="39" t="s">
        <v>52</v>
      </c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51">
        <f t="shared" ref="AH8:AH12" si="1">SUM(C8:AG8)</f>
        <v>0</v>
      </c>
      <c r="AI8" s="37">
        <f>'Budget 2016'!C6</f>
        <v>375</v>
      </c>
      <c r="AJ8" s="46">
        <f t="shared" si="0"/>
        <v>375</v>
      </c>
    </row>
    <row r="9" spans="1:37" ht="15" x14ac:dyDescent="0.25">
      <c r="B9" s="39" t="s">
        <v>58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51">
        <f t="shared" si="1"/>
        <v>0</v>
      </c>
      <c r="AI9" s="37">
        <f>'Budget 2016'!C7</f>
        <v>750</v>
      </c>
      <c r="AJ9" s="46">
        <f t="shared" si="0"/>
        <v>750</v>
      </c>
    </row>
    <row r="10" spans="1:37" ht="15" x14ac:dyDescent="0.25">
      <c r="B10" s="39" t="s">
        <v>16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51">
        <f t="shared" si="1"/>
        <v>0</v>
      </c>
      <c r="AI10" s="37">
        <f>'Budget 2016'!C8</f>
        <v>130</v>
      </c>
      <c r="AJ10" s="46">
        <f t="shared" si="0"/>
        <v>130</v>
      </c>
    </row>
    <row r="11" spans="1:37" ht="15" x14ac:dyDescent="0.25">
      <c r="B11" s="39" t="s">
        <v>53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51">
        <f t="shared" si="1"/>
        <v>0</v>
      </c>
      <c r="AI11" s="37">
        <f>'Budget 2016'!C9</f>
        <v>500</v>
      </c>
      <c r="AJ11" s="46">
        <f t="shared" si="0"/>
        <v>500</v>
      </c>
    </row>
    <row r="12" spans="1:37" x14ac:dyDescent="0.3">
      <c r="A12" s="36"/>
      <c r="B12" s="39" t="s">
        <v>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51">
        <f t="shared" si="1"/>
        <v>0</v>
      </c>
      <c r="AI12" s="37">
        <f>'Budget 2016'!C10</f>
        <v>600</v>
      </c>
      <c r="AJ12" s="46">
        <f t="shared" si="0"/>
        <v>600</v>
      </c>
    </row>
    <row r="13" spans="1:37" ht="15" x14ac:dyDescent="0.25">
      <c r="B13" s="42" t="s">
        <v>62</v>
      </c>
      <c r="C13" s="50">
        <f>SUM(C5:C12)</f>
        <v>0</v>
      </c>
      <c r="D13" s="50">
        <f t="shared" ref="D13:AG13" si="2">SUM(D5:D12)</f>
        <v>0</v>
      </c>
      <c r="E13" s="50">
        <f t="shared" si="2"/>
        <v>0</v>
      </c>
      <c r="F13" s="50">
        <f t="shared" si="2"/>
        <v>0</v>
      </c>
      <c r="G13" s="50">
        <f t="shared" si="2"/>
        <v>0</v>
      </c>
      <c r="H13" s="50">
        <f t="shared" si="2"/>
        <v>0</v>
      </c>
      <c r="I13" s="50">
        <f t="shared" si="2"/>
        <v>0</v>
      </c>
      <c r="J13" s="50">
        <f t="shared" si="2"/>
        <v>0</v>
      </c>
      <c r="K13" s="50">
        <f t="shared" si="2"/>
        <v>0</v>
      </c>
      <c r="L13" s="50">
        <f t="shared" si="2"/>
        <v>0</v>
      </c>
      <c r="M13" s="50">
        <f t="shared" si="2"/>
        <v>0</v>
      </c>
      <c r="N13" s="50">
        <f t="shared" si="2"/>
        <v>0</v>
      </c>
      <c r="O13" s="50">
        <f t="shared" si="2"/>
        <v>0</v>
      </c>
      <c r="P13" s="50">
        <f t="shared" si="2"/>
        <v>0</v>
      </c>
      <c r="Q13" s="50">
        <f t="shared" si="2"/>
        <v>0</v>
      </c>
      <c r="R13" s="50">
        <f t="shared" si="2"/>
        <v>0</v>
      </c>
      <c r="S13" s="50">
        <f t="shared" si="2"/>
        <v>0</v>
      </c>
      <c r="T13" s="50">
        <f t="shared" si="2"/>
        <v>0</v>
      </c>
      <c r="U13" s="50">
        <f t="shared" si="2"/>
        <v>0</v>
      </c>
      <c r="V13" s="50">
        <f t="shared" si="2"/>
        <v>0</v>
      </c>
      <c r="W13" s="50">
        <f t="shared" si="2"/>
        <v>0</v>
      </c>
      <c r="X13" s="50">
        <f t="shared" si="2"/>
        <v>0</v>
      </c>
      <c r="Y13" s="50">
        <f t="shared" si="2"/>
        <v>0</v>
      </c>
      <c r="Z13" s="50">
        <f t="shared" si="2"/>
        <v>0</v>
      </c>
      <c r="AA13" s="50">
        <f t="shared" si="2"/>
        <v>0</v>
      </c>
      <c r="AB13" s="50">
        <f t="shared" si="2"/>
        <v>0</v>
      </c>
      <c r="AC13" s="50">
        <f t="shared" si="2"/>
        <v>0</v>
      </c>
      <c r="AD13" s="50">
        <f t="shared" si="2"/>
        <v>0</v>
      </c>
      <c r="AE13" s="50">
        <f t="shared" si="2"/>
        <v>0</v>
      </c>
      <c r="AF13" s="50">
        <f t="shared" si="2"/>
        <v>0</v>
      </c>
      <c r="AG13" s="50">
        <f t="shared" si="2"/>
        <v>0</v>
      </c>
      <c r="AH13" s="51">
        <f>SUM(C13:AG13)</f>
        <v>0</v>
      </c>
      <c r="AI13" s="45">
        <f>SUM(AI5:AI12)</f>
        <v>4455</v>
      </c>
      <c r="AJ13" s="47">
        <f>SUM(AJ5:AJ12)</f>
        <v>4455</v>
      </c>
    </row>
    <row r="14" spans="1:37" ht="6" customHeight="1" x14ac:dyDescent="0.25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37" ht="15" x14ac:dyDescent="0.25">
      <c r="A15" s="36"/>
      <c r="B15" s="2" t="s">
        <v>18</v>
      </c>
      <c r="C15" s="4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51">
        <f>SUM(C15:AG15)</f>
        <v>0</v>
      </c>
      <c r="AI15" s="37">
        <f>'Budget 2016'!C14</f>
        <v>25</v>
      </c>
      <c r="AJ15" s="46">
        <f t="shared" ref="AJ15:AJ38" si="3">AI15-AH15</f>
        <v>25</v>
      </c>
    </row>
    <row r="16" spans="1:37" ht="15" x14ac:dyDescent="0.25">
      <c r="A16" s="36"/>
      <c r="B16" s="2" t="s">
        <v>17</v>
      </c>
      <c r="C16" s="4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51">
        <f t="shared" ref="AH16:AH37" si="4">SUM(C16:AG16)</f>
        <v>0</v>
      </c>
      <c r="AI16" s="37">
        <f>'Budget 2016'!C15</f>
        <v>182</v>
      </c>
      <c r="AJ16" s="46">
        <f t="shared" si="3"/>
        <v>182</v>
      </c>
    </row>
    <row r="17" spans="1:36" ht="15" x14ac:dyDescent="0.25">
      <c r="A17" s="36"/>
      <c r="B17" s="2" t="s">
        <v>36</v>
      </c>
      <c r="C17" s="4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51">
        <f t="shared" si="4"/>
        <v>0</v>
      </c>
      <c r="AI17" s="37">
        <f>'Budget 2016'!C16</f>
        <v>0</v>
      </c>
      <c r="AJ17" s="46">
        <f t="shared" si="3"/>
        <v>0</v>
      </c>
    </row>
    <row r="18" spans="1:36" ht="15" x14ac:dyDescent="0.25">
      <c r="A18" s="36"/>
      <c r="B18" s="2" t="s">
        <v>49</v>
      </c>
      <c r="C18" s="4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51">
        <f t="shared" si="4"/>
        <v>0</v>
      </c>
      <c r="AI18" s="37">
        <f>'Budget 2016'!C17</f>
        <v>90</v>
      </c>
      <c r="AJ18" s="46">
        <f t="shared" si="3"/>
        <v>90</v>
      </c>
    </row>
    <row r="19" spans="1:36" x14ac:dyDescent="0.3">
      <c r="A19" s="36"/>
      <c r="B19" s="2" t="s">
        <v>48</v>
      </c>
      <c r="C19" s="4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51">
        <f t="shared" si="4"/>
        <v>0</v>
      </c>
      <c r="AI19" s="37">
        <f>'Budget 2016'!C18</f>
        <v>667.25</v>
      </c>
      <c r="AJ19" s="46">
        <f t="shared" si="3"/>
        <v>667.25</v>
      </c>
    </row>
    <row r="20" spans="1:36" ht="15" x14ac:dyDescent="0.25">
      <c r="A20" s="36"/>
      <c r="B20" s="2" t="s">
        <v>5</v>
      </c>
      <c r="C20" s="4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51">
        <f t="shared" si="4"/>
        <v>0</v>
      </c>
      <c r="AI20" s="37">
        <f>'Budget 2016'!C19</f>
        <v>10</v>
      </c>
      <c r="AJ20" s="46">
        <f t="shared" si="3"/>
        <v>10</v>
      </c>
    </row>
    <row r="21" spans="1:36" x14ac:dyDescent="0.3">
      <c r="A21" s="36"/>
      <c r="B21" s="2" t="s">
        <v>4</v>
      </c>
      <c r="C21" s="4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51">
        <f t="shared" si="4"/>
        <v>0</v>
      </c>
      <c r="AI21" s="37">
        <f>'Budget 2016'!C20</f>
        <v>130</v>
      </c>
      <c r="AJ21" s="46">
        <f t="shared" si="3"/>
        <v>130</v>
      </c>
    </row>
    <row r="22" spans="1:36" ht="15" x14ac:dyDescent="0.25">
      <c r="A22" s="36"/>
      <c r="B22" s="2" t="s">
        <v>7</v>
      </c>
      <c r="C22" s="4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51">
        <f t="shared" si="4"/>
        <v>0</v>
      </c>
      <c r="AI22" s="37">
        <f>'Budget 2016'!C21</f>
        <v>1170</v>
      </c>
      <c r="AJ22" s="46">
        <f t="shared" si="3"/>
        <v>1170</v>
      </c>
    </row>
    <row r="23" spans="1:36" x14ac:dyDescent="0.3">
      <c r="A23" s="36"/>
      <c r="B23" s="2" t="s">
        <v>24</v>
      </c>
      <c r="C23" s="4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51">
        <f t="shared" si="4"/>
        <v>0</v>
      </c>
      <c r="AI23" s="37">
        <f>'Budget 2016'!C22</f>
        <v>170</v>
      </c>
      <c r="AJ23" s="46">
        <f t="shared" si="3"/>
        <v>170</v>
      </c>
    </row>
    <row r="24" spans="1:36" ht="15" x14ac:dyDescent="0.25">
      <c r="A24" s="36"/>
      <c r="B24" s="2" t="s">
        <v>23</v>
      </c>
      <c r="C24" s="4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51">
        <f t="shared" si="4"/>
        <v>0</v>
      </c>
      <c r="AI24" s="37">
        <f>'Budget 2016'!C23</f>
        <v>40</v>
      </c>
      <c r="AJ24" s="46">
        <f t="shared" si="3"/>
        <v>40</v>
      </c>
    </row>
    <row r="25" spans="1:36" ht="15" x14ac:dyDescent="0.25">
      <c r="A25" s="36"/>
      <c r="B25" s="2" t="s">
        <v>11</v>
      </c>
      <c r="C25" s="4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51">
        <f t="shared" si="4"/>
        <v>0</v>
      </c>
      <c r="AI25" s="37">
        <f>'Budget 2016'!C24</f>
        <v>450</v>
      </c>
      <c r="AJ25" s="46">
        <f t="shared" si="3"/>
        <v>450</v>
      </c>
    </row>
    <row r="26" spans="1:36" ht="15" x14ac:dyDescent="0.25">
      <c r="A26" s="36"/>
      <c r="B26" s="2" t="s">
        <v>50</v>
      </c>
      <c r="C26" s="4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51">
        <f t="shared" si="4"/>
        <v>0</v>
      </c>
      <c r="AI26" s="37">
        <f>'Budget 2016'!C25</f>
        <v>600</v>
      </c>
      <c r="AJ26" s="46">
        <f t="shared" si="3"/>
        <v>600</v>
      </c>
    </row>
    <row r="27" spans="1:36" ht="15" x14ac:dyDescent="0.25">
      <c r="A27" s="36"/>
      <c r="B27" s="2" t="s">
        <v>32</v>
      </c>
      <c r="C27" s="4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51">
        <f t="shared" si="4"/>
        <v>0</v>
      </c>
      <c r="AI27" s="37">
        <f>'Budget 2016'!C26</f>
        <v>520</v>
      </c>
      <c r="AJ27" s="46">
        <f t="shared" si="3"/>
        <v>520</v>
      </c>
    </row>
    <row r="28" spans="1:36" ht="15" x14ac:dyDescent="0.25">
      <c r="A28" s="36"/>
      <c r="B28" s="31" t="s">
        <v>19</v>
      </c>
      <c r="C28" s="4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51">
        <f>SUM(C28:AG28)</f>
        <v>0</v>
      </c>
      <c r="AI28" s="37">
        <f>'Budget 2016'!C28</f>
        <v>23.833333333333332</v>
      </c>
      <c r="AJ28" s="46">
        <f>AI28-AH28</f>
        <v>23.833333333333332</v>
      </c>
    </row>
    <row r="29" spans="1:36" ht="15" x14ac:dyDescent="0.25">
      <c r="A29" s="36"/>
      <c r="B29" s="2" t="s">
        <v>69</v>
      </c>
      <c r="C29" s="4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51">
        <f>SUM(C29:AG29)</f>
        <v>0</v>
      </c>
      <c r="AI29" s="37">
        <v>0</v>
      </c>
      <c r="AJ29" s="46">
        <f>AI29-AH29</f>
        <v>0</v>
      </c>
    </row>
    <row r="30" spans="1:36" x14ac:dyDescent="0.3">
      <c r="A30" s="36"/>
      <c r="B30" s="2" t="s">
        <v>71</v>
      </c>
      <c r="C30" s="4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51">
        <f>SUM(C30:AG30)</f>
        <v>0</v>
      </c>
      <c r="AI30" s="37">
        <v>0</v>
      </c>
      <c r="AJ30" s="46">
        <f>AI30-AH30</f>
        <v>0</v>
      </c>
    </row>
    <row r="31" spans="1:36" ht="15" x14ac:dyDescent="0.25">
      <c r="A31" s="36"/>
      <c r="B31" s="2" t="s">
        <v>102</v>
      </c>
      <c r="C31" s="4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51">
        <f t="shared" ref="AH31:AH34" si="5">SUM(C31:AG31)</f>
        <v>0</v>
      </c>
      <c r="AI31" s="37">
        <v>0</v>
      </c>
      <c r="AJ31" s="46">
        <f t="shared" ref="AJ31:AJ34" si="6">AI31-AH31</f>
        <v>0</v>
      </c>
    </row>
    <row r="32" spans="1:36" ht="15" x14ac:dyDescent="0.25">
      <c r="A32" s="36"/>
      <c r="B32" s="2" t="s">
        <v>103</v>
      </c>
      <c r="C32" s="4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51">
        <f t="shared" si="5"/>
        <v>0</v>
      </c>
      <c r="AI32" s="37">
        <v>0</v>
      </c>
      <c r="AJ32" s="46">
        <f t="shared" si="6"/>
        <v>0</v>
      </c>
    </row>
    <row r="33" spans="1:39" ht="15" x14ac:dyDescent="0.25">
      <c r="A33" s="36"/>
      <c r="B33" s="2" t="s">
        <v>105</v>
      </c>
      <c r="C33" s="4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51">
        <f t="shared" si="5"/>
        <v>0</v>
      </c>
      <c r="AI33" s="37">
        <v>0</v>
      </c>
      <c r="AJ33" s="46">
        <f t="shared" si="6"/>
        <v>0</v>
      </c>
    </row>
    <row r="34" spans="1:39" x14ac:dyDescent="0.3">
      <c r="A34" s="36"/>
      <c r="B34" s="2" t="s">
        <v>104</v>
      </c>
      <c r="C34" s="4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51">
        <f t="shared" si="5"/>
        <v>0</v>
      </c>
      <c r="AI34" s="37">
        <v>0</v>
      </c>
      <c r="AJ34" s="46">
        <f t="shared" si="6"/>
        <v>0</v>
      </c>
    </row>
    <row r="35" spans="1:39" ht="15" x14ac:dyDescent="0.25">
      <c r="A35" s="36"/>
      <c r="B35" s="2" t="s">
        <v>132</v>
      </c>
      <c r="C35" s="4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51">
        <f t="shared" si="4"/>
        <v>0</v>
      </c>
      <c r="AI35" s="37">
        <v>0</v>
      </c>
      <c r="AJ35" s="46">
        <f t="shared" si="3"/>
        <v>0</v>
      </c>
    </row>
    <row r="36" spans="1:39" ht="15" x14ac:dyDescent="0.25">
      <c r="A36" s="36"/>
      <c r="B36" s="2" t="s">
        <v>6</v>
      </c>
      <c r="C36" s="4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51">
        <f t="shared" si="4"/>
        <v>0</v>
      </c>
      <c r="AI36" s="37">
        <f>'Budget 2016'!C27</f>
        <v>6</v>
      </c>
      <c r="AJ36" s="46">
        <f t="shared" si="3"/>
        <v>6</v>
      </c>
    </row>
    <row r="37" spans="1:39" ht="15" x14ac:dyDescent="0.25">
      <c r="A37" s="36"/>
      <c r="B37" s="2" t="s">
        <v>70</v>
      </c>
      <c r="C37" s="4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51">
        <f t="shared" si="4"/>
        <v>0</v>
      </c>
      <c r="AI37" s="37">
        <v>1</v>
      </c>
      <c r="AJ37" s="46">
        <f t="shared" si="3"/>
        <v>1</v>
      </c>
    </row>
    <row r="38" spans="1:39" ht="15" x14ac:dyDescent="0.25">
      <c r="B38" s="20" t="s">
        <v>68</v>
      </c>
      <c r="C38" s="50">
        <f t="shared" ref="C38:AG38" si="7">SUM(C15:C36)</f>
        <v>0</v>
      </c>
      <c r="D38" s="50">
        <f t="shared" si="7"/>
        <v>0</v>
      </c>
      <c r="E38" s="50">
        <f t="shared" si="7"/>
        <v>0</v>
      </c>
      <c r="F38" s="50">
        <f t="shared" si="7"/>
        <v>0</v>
      </c>
      <c r="G38" s="50">
        <f t="shared" si="7"/>
        <v>0</v>
      </c>
      <c r="H38" s="50">
        <f t="shared" si="7"/>
        <v>0</v>
      </c>
      <c r="I38" s="50">
        <f t="shared" si="7"/>
        <v>0</v>
      </c>
      <c r="J38" s="50">
        <f t="shared" si="7"/>
        <v>0</v>
      </c>
      <c r="K38" s="50">
        <f t="shared" si="7"/>
        <v>0</v>
      </c>
      <c r="L38" s="50">
        <f t="shared" si="7"/>
        <v>0</v>
      </c>
      <c r="M38" s="50">
        <f t="shared" si="7"/>
        <v>0</v>
      </c>
      <c r="N38" s="50">
        <f t="shared" si="7"/>
        <v>0</v>
      </c>
      <c r="O38" s="50">
        <f t="shared" si="7"/>
        <v>0</v>
      </c>
      <c r="P38" s="50">
        <f t="shared" si="7"/>
        <v>0</v>
      </c>
      <c r="Q38" s="50">
        <f t="shared" si="7"/>
        <v>0</v>
      </c>
      <c r="R38" s="50">
        <f t="shared" si="7"/>
        <v>0</v>
      </c>
      <c r="S38" s="50">
        <f t="shared" si="7"/>
        <v>0</v>
      </c>
      <c r="T38" s="50">
        <f t="shared" si="7"/>
        <v>0</v>
      </c>
      <c r="U38" s="50">
        <f t="shared" si="7"/>
        <v>0</v>
      </c>
      <c r="V38" s="50">
        <f t="shared" si="7"/>
        <v>0</v>
      </c>
      <c r="W38" s="50">
        <f t="shared" si="7"/>
        <v>0</v>
      </c>
      <c r="X38" s="50">
        <f t="shared" si="7"/>
        <v>0</v>
      </c>
      <c r="Y38" s="50">
        <f t="shared" si="7"/>
        <v>0</v>
      </c>
      <c r="Z38" s="50">
        <f t="shared" si="7"/>
        <v>0</v>
      </c>
      <c r="AA38" s="50">
        <f t="shared" si="7"/>
        <v>0</v>
      </c>
      <c r="AB38" s="50">
        <f t="shared" si="7"/>
        <v>0</v>
      </c>
      <c r="AC38" s="50">
        <f t="shared" si="7"/>
        <v>0</v>
      </c>
      <c r="AD38" s="50">
        <f t="shared" si="7"/>
        <v>0</v>
      </c>
      <c r="AE38" s="50">
        <f t="shared" si="7"/>
        <v>0</v>
      </c>
      <c r="AF38" s="50">
        <f t="shared" si="7"/>
        <v>0</v>
      </c>
      <c r="AG38" s="50">
        <f t="shared" si="7"/>
        <v>0</v>
      </c>
      <c r="AH38" s="51">
        <f>SUM(C38:AG38)</f>
        <v>0</v>
      </c>
      <c r="AI38" s="37">
        <f>SUM(AI15:AI36)</f>
        <v>4084.0833333333335</v>
      </c>
      <c r="AJ38" s="46">
        <f t="shared" si="3"/>
        <v>4084.0833333333335</v>
      </c>
    </row>
    <row r="39" spans="1:39" x14ac:dyDescent="0.3">
      <c r="B39" s="44" t="s">
        <v>63</v>
      </c>
      <c r="C39" s="40">
        <f t="shared" ref="C39:AJ39" si="8">C13+C38</f>
        <v>0</v>
      </c>
      <c r="D39" s="40">
        <f t="shared" si="8"/>
        <v>0</v>
      </c>
      <c r="E39" s="40">
        <f t="shared" si="8"/>
        <v>0</v>
      </c>
      <c r="F39" s="40">
        <f t="shared" si="8"/>
        <v>0</v>
      </c>
      <c r="G39" s="40">
        <f t="shared" si="8"/>
        <v>0</v>
      </c>
      <c r="H39" s="40">
        <f t="shared" si="8"/>
        <v>0</v>
      </c>
      <c r="I39" s="40">
        <f t="shared" si="8"/>
        <v>0</v>
      </c>
      <c r="J39" s="40">
        <f t="shared" si="8"/>
        <v>0</v>
      </c>
      <c r="K39" s="40">
        <f t="shared" si="8"/>
        <v>0</v>
      </c>
      <c r="L39" s="40">
        <f t="shared" si="8"/>
        <v>0</v>
      </c>
      <c r="M39" s="40">
        <f t="shared" si="8"/>
        <v>0</v>
      </c>
      <c r="N39" s="40">
        <f t="shared" si="8"/>
        <v>0</v>
      </c>
      <c r="O39" s="40">
        <f t="shared" si="8"/>
        <v>0</v>
      </c>
      <c r="P39" s="40">
        <f t="shared" si="8"/>
        <v>0</v>
      </c>
      <c r="Q39" s="40">
        <f t="shared" si="8"/>
        <v>0</v>
      </c>
      <c r="R39" s="40">
        <f t="shared" si="8"/>
        <v>0</v>
      </c>
      <c r="S39" s="40">
        <f t="shared" si="8"/>
        <v>0</v>
      </c>
      <c r="T39" s="40">
        <f t="shared" si="8"/>
        <v>0</v>
      </c>
      <c r="U39" s="40">
        <f t="shared" si="8"/>
        <v>0</v>
      </c>
      <c r="V39" s="40">
        <f t="shared" si="8"/>
        <v>0</v>
      </c>
      <c r="W39" s="40">
        <f t="shared" si="8"/>
        <v>0</v>
      </c>
      <c r="X39" s="40">
        <f t="shared" si="8"/>
        <v>0</v>
      </c>
      <c r="Y39" s="40">
        <f t="shared" si="8"/>
        <v>0</v>
      </c>
      <c r="Z39" s="40">
        <f t="shared" si="8"/>
        <v>0</v>
      </c>
      <c r="AA39" s="40">
        <f t="shared" si="8"/>
        <v>0</v>
      </c>
      <c r="AB39" s="40">
        <f t="shared" si="8"/>
        <v>0</v>
      </c>
      <c r="AC39" s="40">
        <f t="shared" si="8"/>
        <v>0</v>
      </c>
      <c r="AD39" s="40">
        <f t="shared" si="8"/>
        <v>0</v>
      </c>
      <c r="AE39" s="40">
        <f t="shared" si="8"/>
        <v>0</v>
      </c>
      <c r="AF39" s="40">
        <f t="shared" si="8"/>
        <v>0</v>
      </c>
      <c r="AG39" s="40">
        <f t="shared" si="8"/>
        <v>0</v>
      </c>
      <c r="AH39" s="40">
        <f t="shared" si="8"/>
        <v>0</v>
      </c>
      <c r="AI39" s="40">
        <f t="shared" si="8"/>
        <v>8539.0833333333339</v>
      </c>
      <c r="AJ39" s="40">
        <f t="shared" si="8"/>
        <v>8539.0833333333339</v>
      </c>
    </row>
    <row r="42" spans="1:39" x14ac:dyDescent="0.3">
      <c r="A42" s="2" t="s">
        <v>87</v>
      </c>
      <c r="B42" s="90" t="s">
        <v>72</v>
      </c>
      <c r="C42" s="53">
        <f>C4</f>
        <v>42614</v>
      </c>
      <c r="D42" s="53">
        <f t="shared" ref="D42:AF42" si="9">D4</f>
        <v>42615</v>
      </c>
      <c r="E42" s="53">
        <f t="shared" si="9"/>
        <v>42616</v>
      </c>
      <c r="F42" s="53">
        <f t="shared" si="9"/>
        <v>42617</v>
      </c>
      <c r="G42" s="53">
        <f t="shared" si="9"/>
        <v>42618</v>
      </c>
      <c r="H42" s="53">
        <f t="shared" si="9"/>
        <v>42619</v>
      </c>
      <c r="I42" s="53">
        <f t="shared" si="9"/>
        <v>42620</v>
      </c>
      <c r="J42" s="53">
        <f t="shared" si="9"/>
        <v>42621</v>
      </c>
      <c r="K42" s="53">
        <f t="shared" si="9"/>
        <v>42622</v>
      </c>
      <c r="L42" s="53">
        <f t="shared" si="9"/>
        <v>42623</v>
      </c>
      <c r="M42" s="53">
        <f t="shared" si="9"/>
        <v>42624</v>
      </c>
      <c r="N42" s="53">
        <f t="shared" si="9"/>
        <v>42625</v>
      </c>
      <c r="O42" s="53">
        <f t="shared" si="9"/>
        <v>42626</v>
      </c>
      <c r="P42" s="53">
        <f t="shared" si="9"/>
        <v>42627</v>
      </c>
      <c r="Q42" s="53">
        <f t="shared" si="9"/>
        <v>42628</v>
      </c>
      <c r="R42" s="53">
        <f t="shared" si="9"/>
        <v>42629</v>
      </c>
      <c r="S42" s="53">
        <f t="shared" si="9"/>
        <v>42630</v>
      </c>
      <c r="T42" s="53">
        <f t="shared" si="9"/>
        <v>42631</v>
      </c>
      <c r="U42" s="53">
        <f t="shared" si="9"/>
        <v>42632</v>
      </c>
      <c r="V42" s="53">
        <f t="shared" si="9"/>
        <v>42633</v>
      </c>
      <c r="W42" s="53">
        <f t="shared" si="9"/>
        <v>42634</v>
      </c>
      <c r="X42" s="53">
        <f t="shared" si="9"/>
        <v>42635</v>
      </c>
      <c r="Y42" s="53">
        <f t="shared" si="9"/>
        <v>42636</v>
      </c>
      <c r="Z42" s="53">
        <f t="shared" si="9"/>
        <v>42637</v>
      </c>
      <c r="AA42" s="53">
        <f t="shared" si="9"/>
        <v>42638</v>
      </c>
      <c r="AB42" s="53">
        <f t="shared" si="9"/>
        <v>42639</v>
      </c>
      <c r="AC42" s="53">
        <f t="shared" si="9"/>
        <v>42640</v>
      </c>
      <c r="AD42" s="53">
        <f t="shared" si="9"/>
        <v>42641</v>
      </c>
      <c r="AE42" s="53">
        <f t="shared" si="9"/>
        <v>42642</v>
      </c>
      <c r="AF42" s="53">
        <f t="shared" si="9"/>
        <v>42643</v>
      </c>
      <c r="AG42" s="53"/>
      <c r="AH42" s="43" t="s">
        <v>64</v>
      </c>
      <c r="AI42" s="65" t="s">
        <v>93</v>
      </c>
      <c r="AJ42" s="65" t="s">
        <v>94</v>
      </c>
      <c r="AK42" s="65" t="s">
        <v>95</v>
      </c>
      <c r="AM42" s="69" t="s">
        <v>97</v>
      </c>
    </row>
    <row r="43" spans="1:39" x14ac:dyDescent="0.3">
      <c r="A43" s="128" t="s">
        <v>73</v>
      </c>
      <c r="B43" s="3" t="s">
        <v>9</v>
      </c>
      <c r="C43" s="4"/>
      <c r="D43" s="28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55">
        <f>SUM(C43:AG43)</f>
        <v>0</v>
      </c>
      <c r="AI43" s="63">
        <f>AH43/200</f>
        <v>0</v>
      </c>
      <c r="AJ43" s="7">
        <v>5</v>
      </c>
      <c r="AK43" s="4" t="str">
        <f t="shared" ref="AK43:AK47" si="10">IF(AH43=0,"0",(AH43/AI43)/AJ43)</f>
        <v>0</v>
      </c>
      <c r="AM43" s="60">
        <f>AI43*AJ43</f>
        <v>0</v>
      </c>
    </row>
    <row r="44" spans="1:39" x14ac:dyDescent="0.3">
      <c r="A44" s="129"/>
      <c r="B44" s="3" t="s">
        <v>8</v>
      </c>
      <c r="C44" s="4"/>
      <c r="D44" s="2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55">
        <f t="shared" ref="AH44:AH48" si="11">SUM(C44:AG44)</f>
        <v>0</v>
      </c>
      <c r="AI44" s="63">
        <f>AH44/300</f>
        <v>0</v>
      </c>
      <c r="AJ44" s="7">
        <v>4</v>
      </c>
      <c r="AK44" s="4" t="str">
        <f t="shared" si="10"/>
        <v>0</v>
      </c>
      <c r="AM44" s="60">
        <f t="shared" ref="AM44:AM47" si="12">AI44*AJ44</f>
        <v>0</v>
      </c>
    </row>
    <row r="45" spans="1:39" x14ac:dyDescent="0.3">
      <c r="A45" s="129"/>
      <c r="B45" s="3" t="s">
        <v>22</v>
      </c>
      <c r="C45" s="4"/>
      <c r="D45" s="2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55">
        <f>SUM(C45:AG45)</f>
        <v>0</v>
      </c>
      <c r="AI45" s="63">
        <f>AH45/55</f>
        <v>0</v>
      </c>
      <c r="AJ45" s="7">
        <v>2</v>
      </c>
      <c r="AK45" s="4" t="str">
        <f>IF(AH45=0,"0",(AH45/AI45)/AJ45)</f>
        <v>0</v>
      </c>
      <c r="AM45" s="60">
        <f>AI45*AJ45</f>
        <v>0</v>
      </c>
    </row>
    <row r="46" spans="1:39" x14ac:dyDescent="0.3">
      <c r="A46" s="129"/>
      <c r="B46" s="3" t="s">
        <v>21</v>
      </c>
      <c r="C46" s="4"/>
      <c r="D46" s="2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55">
        <f t="shared" si="11"/>
        <v>0</v>
      </c>
      <c r="AI46" s="63">
        <f>AH46/70</f>
        <v>0</v>
      </c>
      <c r="AJ46" s="7">
        <v>1</v>
      </c>
      <c r="AK46" s="4" t="str">
        <f t="shared" si="10"/>
        <v>0</v>
      </c>
      <c r="AM46" s="60">
        <f t="shared" si="12"/>
        <v>0</v>
      </c>
    </row>
    <row r="47" spans="1:39" x14ac:dyDescent="0.3">
      <c r="A47" s="129"/>
      <c r="B47" s="3" t="s">
        <v>14</v>
      </c>
      <c r="C47" s="4"/>
      <c r="D47" s="2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55">
        <f t="shared" si="11"/>
        <v>0</v>
      </c>
      <c r="AI47" s="63">
        <v>0</v>
      </c>
      <c r="AJ47" s="7">
        <v>1</v>
      </c>
      <c r="AK47" s="4" t="str">
        <f t="shared" si="10"/>
        <v>0</v>
      </c>
      <c r="AM47" s="60">
        <f t="shared" si="12"/>
        <v>0</v>
      </c>
    </row>
    <row r="48" spans="1:39" x14ac:dyDescent="0.3">
      <c r="A48" s="130"/>
      <c r="B48" s="3" t="s">
        <v>56</v>
      </c>
      <c r="C48" s="4"/>
      <c r="D48" s="2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74"/>
      <c r="AE48" s="74"/>
      <c r="AF48" s="74"/>
      <c r="AG48" s="74"/>
      <c r="AH48" s="55">
        <f t="shared" si="11"/>
        <v>0</v>
      </c>
      <c r="AI48" s="63">
        <f>AH48/300</f>
        <v>0</v>
      </c>
      <c r="AJ48" s="7">
        <v>9</v>
      </c>
      <c r="AK48" s="4" t="str">
        <f>IF(AH48=0,"0",(AH48/AI48)/AJ48)</f>
        <v>0</v>
      </c>
      <c r="AM48" s="60">
        <f>AI48*AJ48</f>
        <v>0</v>
      </c>
    </row>
    <row r="49" spans="1:39" ht="15" x14ac:dyDescent="0.25">
      <c r="B49" s="20" t="s">
        <v>76</v>
      </c>
      <c r="C49" s="50">
        <f>SUM(C43:C48)</f>
        <v>0</v>
      </c>
      <c r="D49" s="50">
        <f t="shared" ref="D49:AG49" si="13">SUM(D43:D48)</f>
        <v>0</v>
      </c>
      <c r="E49" s="50">
        <f t="shared" si="13"/>
        <v>0</v>
      </c>
      <c r="F49" s="50">
        <f t="shared" si="13"/>
        <v>0</v>
      </c>
      <c r="G49" s="50">
        <f t="shared" si="13"/>
        <v>0</v>
      </c>
      <c r="H49" s="50">
        <f t="shared" si="13"/>
        <v>0</v>
      </c>
      <c r="I49" s="50">
        <f t="shared" si="13"/>
        <v>0</v>
      </c>
      <c r="J49" s="50">
        <f t="shared" si="13"/>
        <v>0</v>
      </c>
      <c r="K49" s="50">
        <f t="shared" si="13"/>
        <v>0</v>
      </c>
      <c r="L49" s="50">
        <f t="shared" si="13"/>
        <v>0</v>
      </c>
      <c r="M49" s="50">
        <f t="shared" si="13"/>
        <v>0</v>
      </c>
      <c r="N49" s="50">
        <f t="shared" si="13"/>
        <v>0</v>
      </c>
      <c r="O49" s="50">
        <f t="shared" si="13"/>
        <v>0</v>
      </c>
      <c r="P49" s="50">
        <f t="shared" si="13"/>
        <v>0</v>
      </c>
      <c r="Q49" s="50">
        <f t="shared" si="13"/>
        <v>0</v>
      </c>
      <c r="R49" s="50">
        <f t="shared" si="13"/>
        <v>0</v>
      </c>
      <c r="S49" s="50">
        <f t="shared" si="13"/>
        <v>0</v>
      </c>
      <c r="T49" s="50">
        <f t="shared" si="13"/>
        <v>0</v>
      </c>
      <c r="U49" s="50">
        <f t="shared" si="13"/>
        <v>0</v>
      </c>
      <c r="V49" s="50">
        <f t="shared" si="13"/>
        <v>0</v>
      </c>
      <c r="W49" s="50">
        <f t="shared" si="13"/>
        <v>0</v>
      </c>
      <c r="X49" s="50">
        <f t="shared" si="13"/>
        <v>0</v>
      </c>
      <c r="Y49" s="50">
        <f t="shared" si="13"/>
        <v>0</v>
      </c>
      <c r="Z49" s="50">
        <f t="shared" si="13"/>
        <v>0</v>
      </c>
      <c r="AA49" s="50">
        <f t="shared" si="13"/>
        <v>0</v>
      </c>
      <c r="AB49" s="50">
        <f t="shared" si="13"/>
        <v>0</v>
      </c>
      <c r="AC49" s="50">
        <f t="shared" si="13"/>
        <v>0</v>
      </c>
      <c r="AD49" s="50">
        <f t="shared" si="13"/>
        <v>0</v>
      </c>
      <c r="AE49" s="50">
        <f t="shared" si="13"/>
        <v>0</v>
      </c>
      <c r="AF49" s="50">
        <f t="shared" si="13"/>
        <v>0</v>
      </c>
      <c r="AG49" s="50">
        <f t="shared" si="13"/>
        <v>0</v>
      </c>
      <c r="AH49" s="51">
        <f>SUM(C49:AG49)</f>
        <v>0</v>
      </c>
      <c r="AI49" s="64">
        <f>SUM(AI43:AI48)</f>
        <v>0</v>
      </c>
      <c r="AJ49" s="66"/>
      <c r="AK49" s="64" t="e">
        <f>(AVERAGE(AK43:AK48))</f>
        <v>#DIV/0!</v>
      </c>
      <c r="AL49" s="71" t="s">
        <v>96</v>
      </c>
      <c r="AM49" s="70">
        <f>SUM(AM43:AM48)</f>
        <v>0</v>
      </c>
    </row>
    <row r="50" spans="1:39" x14ac:dyDescent="0.3">
      <c r="A50" s="2" t="s">
        <v>87</v>
      </c>
      <c r="B50" s="90" t="s">
        <v>72</v>
      </c>
      <c r="C50" s="53">
        <f>C42</f>
        <v>42614</v>
      </c>
      <c r="D50" s="53">
        <f t="shared" ref="D50:AF50" si="14">D42</f>
        <v>42615</v>
      </c>
      <c r="E50" s="53">
        <f t="shared" si="14"/>
        <v>42616</v>
      </c>
      <c r="F50" s="53">
        <f t="shared" si="14"/>
        <v>42617</v>
      </c>
      <c r="G50" s="53">
        <f t="shared" si="14"/>
        <v>42618</v>
      </c>
      <c r="H50" s="53">
        <f t="shared" si="14"/>
        <v>42619</v>
      </c>
      <c r="I50" s="53">
        <f t="shared" si="14"/>
        <v>42620</v>
      </c>
      <c r="J50" s="53">
        <f t="shared" si="14"/>
        <v>42621</v>
      </c>
      <c r="K50" s="53">
        <f t="shared" si="14"/>
        <v>42622</v>
      </c>
      <c r="L50" s="53">
        <f t="shared" si="14"/>
        <v>42623</v>
      </c>
      <c r="M50" s="53">
        <f t="shared" si="14"/>
        <v>42624</v>
      </c>
      <c r="N50" s="53">
        <f t="shared" si="14"/>
        <v>42625</v>
      </c>
      <c r="O50" s="53">
        <f t="shared" si="14"/>
        <v>42626</v>
      </c>
      <c r="P50" s="53">
        <f t="shared" si="14"/>
        <v>42627</v>
      </c>
      <c r="Q50" s="53">
        <f t="shared" si="14"/>
        <v>42628</v>
      </c>
      <c r="R50" s="53">
        <f t="shared" si="14"/>
        <v>42629</v>
      </c>
      <c r="S50" s="53">
        <f t="shared" si="14"/>
        <v>42630</v>
      </c>
      <c r="T50" s="53">
        <f t="shared" si="14"/>
        <v>42631</v>
      </c>
      <c r="U50" s="53">
        <f t="shared" si="14"/>
        <v>42632</v>
      </c>
      <c r="V50" s="53">
        <f t="shared" si="14"/>
        <v>42633</v>
      </c>
      <c r="W50" s="53">
        <f t="shared" si="14"/>
        <v>42634</v>
      </c>
      <c r="X50" s="53">
        <f t="shared" si="14"/>
        <v>42635</v>
      </c>
      <c r="Y50" s="53">
        <f t="shared" si="14"/>
        <v>42636</v>
      </c>
      <c r="Z50" s="53">
        <f t="shared" si="14"/>
        <v>42637</v>
      </c>
      <c r="AA50" s="53">
        <f t="shared" si="14"/>
        <v>42638</v>
      </c>
      <c r="AB50" s="53">
        <f t="shared" si="14"/>
        <v>42639</v>
      </c>
      <c r="AC50" s="53">
        <f t="shared" si="14"/>
        <v>42640</v>
      </c>
      <c r="AD50" s="53">
        <f t="shared" si="14"/>
        <v>42641</v>
      </c>
      <c r="AE50" s="53">
        <f t="shared" si="14"/>
        <v>42642</v>
      </c>
      <c r="AF50" s="53">
        <f t="shared" si="14"/>
        <v>42643</v>
      </c>
      <c r="AG50" s="53"/>
      <c r="AH50" s="43" t="s">
        <v>64</v>
      </c>
      <c r="AI50" s="65" t="s">
        <v>93</v>
      </c>
      <c r="AJ50" s="65" t="s">
        <v>94</v>
      </c>
      <c r="AK50" s="65" t="s">
        <v>95</v>
      </c>
      <c r="AM50" s="69" t="s">
        <v>97</v>
      </c>
    </row>
    <row r="51" spans="1:39" x14ac:dyDescent="0.3">
      <c r="A51" s="128" t="s">
        <v>74</v>
      </c>
      <c r="B51" s="3" t="s">
        <v>9</v>
      </c>
      <c r="C51" s="4"/>
      <c r="D51" s="2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55">
        <f>SUM(C51:AG51)</f>
        <v>0</v>
      </c>
      <c r="AI51" s="63">
        <f>AH51/200</f>
        <v>0</v>
      </c>
      <c r="AJ51" s="7">
        <v>5</v>
      </c>
      <c r="AK51" s="4" t="str">
        <f t="shared" ref="AK51:AK55" si="15">IF(AH51=0,"0",(AH51/AI51)/AJ51)</f>
        <v>0</v>
      </c>
      <c r="AM51" s="60">
        <f>AI51*AJ51</f>
        <v>0</v>
      </c>
    </row>
    <row r="52" spans="1:39" x14ac:dyDescent="0.3">
      <c r="A52" s="129"/>
      <c r="B52" s="3" t="s">
        <v>8</v>
      </c>
      <c r="C52" s="4"/>
      <c r="D52" s="2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55">
        <f t="shared" ref="AH52:AH56" si="16">SUM(C52:AG52)</f>
        <v>0</v>
      </c>
      <c r="AI52" s="63">
        <f>AH52/300</f>
        <v>0</v>
      </c>
      <c r="AJ52" s="7">
        <v>4</v>
      </c>
      <c r="AK52" s="4" t="str">
        <f t="shared" si="15"/>
        <v>0</v>
      </c>
      <c r="AM52" s="60">
        <f t="shared" ref="AM52:AM56" si="17">AI52*AJ52</f>
        <v>0</v>
      </c>
    </row>
    <row r="53" spans="1:39" x14ac:dyDescent="0.3">
      <c r="A53" s="129"/>
      <c r="B53" s="3" t="s">
        <v>22</v>
      </c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55">
        <f>SUM(C53:AG53)</f>
        <v>0</v>
      </c>
      <c r="AI53" s="63">
        <f>AH53/80</f>
        <v>0</v>
      </c>
      <c r="AJ53" s="7">
        <v>2</v>
      </c>
      <c r="AK53" s="4" t="str">
        <f t="shared" si="15"/>
        <v>0</v>
      </c>
      <c r="AM53" s="60">
        <f t="shared" si="17"/>
        <v>0</v>
      </c>
    </row>
    <row r="54" spans="1:39" x14ac:dyDescent="0.3">
      <c r="A54" s="129"/>
      <c r="B54" s="3" t="s">
        <v>21</v>
      </c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55">
        <f t="shared" si="16"/>
        <v>0</v>
      </c>
      <c r="AI54" s="63">
        <f>AH54/70</f>
        <v>0</v>
      </c>
      <c r="AJ54" s="7">
        <v>1</v>
      </c>
      <c r="AK54" s="4" t="str">
        <f t="shared" si="15"/>
        <v>0</v>
      </c>
      <c r="AM54" s="60">
        <f t="shared" si="17"/>
        <v>0</v>
      </c>
    </row>
    <row r="55" spans="1:39" x14ac:dyDescent="0.3">
      <c r="A55" s="129"/>
      <c r="B55" s="3" t="s">
        <v>14</v>
      </c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55">
        <f t="shared" si="16"/>
        <v>0</v>
      </c>
      <c r="AI55" s="63">
        <v>0</v>
      </c>
      <c r="AJ55" s="7">
        <v>1</v>
      </c>
      <c r="AK55" s="4" t="str">
        <f t="shared" si="15"/>
        <v>0</v>
      </c>
      <c r="AM55" s="60">
        <f t="shared" si="17"/>
        <v>0</v>
      </c>
    </row>
    <row r="56" spans="1:39" x14ac:dyDescent="0.3">
      <c r="A56" s="130"/>
      <c r="B56" s="3" t="s">
        <v>56</v>
      </c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55">
        <f t="shared" si="16"/>
        <v>0</v>
      </c>
      <c r="AI56" s="63">
        <f>AH56/450</f>
        <v>0</v>
      </c>
      <c r="AJ56" s="7">
        <v>9</v>
      </c>
      <c r="AK56" s="4" t="str">
        <f>IF(AH56=0,"0",(AH56/AI56)/AJ56)</f>
        <v>0</v>
      </c>
      <c r="AM56" s="60">
        <f t="shared" si="17"/>
        <v>0</v>
      </c>
    </row>
    <row r="57" spans="1:39" ht="15" x14ac:dyDescent="0.25">
      <c r="B57" s="20" t="s">
        <v>76</v>
      </c>
      <c r="C57" s="50">
        <f>SUM(C51:C56)</f>
        <v>0</v>
      </c>
      <c r="D57" s="50">
        <f t="shared" ref="D57:AG57" si="18">SUM(D51:D56)</f>
        <v>0</v>
      </c>
      <c r="E57" s="50">
        <f t="shared" si="18"/>
        <v>0</v>
      </c>
      <c r="F57" s="50">
        <f t="shared" si="18"/>
        <v>0</v>
      </c>
      <c r="G57" s="50">
        <f t="shared" si="18"/>
        <v>0</v>
      </c>
      <c r="H57" s="50">
        <f t="shared" si="18"/>
        <v>0</v>
      </c>
      <c r="I57" s="50">
        <f t="shared" si="18"/>
        <v>0</v>
      </c>
      <c r="J57" s="50">
        <f t="shared" si="18"/>
        <v>0</v>
      </c>
      <c r="K57" s="50">
        <f t="shared" si="18"/>
        <v>0</v>
      </c>
      <c r="L57" s="50">
        <f t="shared" si="18"/>
        <v>0</v>
      </c>
      <c r="M57" s="50">
        <f t="shared" si="18"/>
        <v>0</v>
      </c>
      <c r="N57" s="50">
        <f t="shared" si="18"/>
        <v>0</v>
      </c>
      <c r="O57" s="50">
        <f t="shared" si="18"/>
        <v>0</v>
      </c>
      <c r="P57" s="50">
        <f t="shared" si="18"/>
        <v>0</v>
      </c>
      <c r="Q57" s="50">
        <f t="shared" si="18"/>
        <v>0</v>
      </c>
      <c r="R57" s="50">
        <f t="shared" si="18"/>
        <v>0</v>
      </c>
      <c r="S57" s="50">
        <f t="shared" si="18"/>
        <v>0</v>
      </c>
      <c r="T57" s="50">
        <f t="shared" si="18"/>
        <v>0</v>
      </c>
      <c r="U57" s="50">
        <f t="shared" si="18"/>
        <v>0</v>
      </c>
      <c r="V57" s="50">
        <f t="shared" si="18"/>
        <v>0</v>
      </c>
      <c r="W57" s="50">
        <f t="shared" si="18"/>
        <v>0</v>
      </c>
      <c r="X57" s="50">
        <f t="shared" si="18"/>
        <v>0</v>
      </c>
      <c r="Y57" s="50">
        <f t="shared" si="18"/>
        <v>0</v>
      </c>
      <c r="Z57" s="50">
        <f t="shared" si="18"/>
        <v>0</v>
      </c>
      <c r="AA57" s="50">
        <f t="shared" si="18"/>
        <v>0</v>
      </c>
      <c r="AB57" s="50">
        <f t="shared" si="18"/>
        <v>0</v>
      </c>
      <c r="AC57" s="50">
        <f t="shared" si="18"/>
        <v>0</v>
      </c>
      <c r="AD57" s="50">
        <f t="shared" si="18"/>
        <v>0</v>
      </c>
      <c r="AE57" s="50">
        <f t="shared" si="18"/>
        <v>0</v>
      </c>
      <c r="AF57" s="50">
        <f t="shared" si="18"/>
        <v>0</v>
      </c>
      <c r="AG57" s="50">
        <f t="shared" si="18"/>
        <v>0</v>
      </c>
      <c r="AH57" s="51">
        <f>SUM(C57:AG57)</f>
        <v>0</v>
      </c>
      <c r="AI57" s="65">
        <f>SUM(AI51:AI56)</f>
        <v>0</v>
      </c>
      <c r="AJ57" s="66"/>
      <c r="AK57" s="65" t="str">
        <f>IF(AH57=0,"0",(AVERAGE(AK51:AK56)))</f>
        <v>0</v>
      </c>
      <c r="AL57" s="71" t="s">
        <v>96</v>
      </c>
      <c r="AM57" s="70">
        <f>SUM(AM51:AM56)</f>
        <v>0</v>
      </c>
    </row>
    <row r="58" spans="1:39" x14ac:dyDescent="0.3">
      <c r="A58" s="2" t="s">
        <v>87</v>
      </c>
      <c r="B58" s="90" t="s">
        <v>72</v>
      </c>
      <c r="C58" s="53">
        <f>C42</f>
        <v>42614</v>
      </c>
      <c r="D58" s="53">
        <f t="shared" ref="D58:AF58" si="19">D42</f>
        <v>42615</v>
      </c>
      <c r="E58" s="53">
        <f t="shared" si="19"/>
        <v>42616</v>
      </c>
      <c r="F58" s="53">
        <f t="shared" si="19"/>
        <v>42617</v>
      </c>
      <c r="G58" s="53">
        <f t="shared" si="19"/>
        <v>42618</v>
      </c>
      <c r="H58" s="53">
        <f t="shared" si="19"/>
        <v>42619</v>
      </c>
      <c r="I58" s="53">
        <f t="shared" si="19"/>
        <v>42620</v>
      </c>
      <c r="J58" s="53">
        <f t="shared" si="19"/>
        <v>42621</v>
      </c>
      <c r="K58" s="53">
        <f t="shared" si="19"/>
        <v>42622</v>
      </c>
      <c r="L58" s="53">
        <f t="shared" si="19"/>
        <v>42623</v>
      </c>
      <c r="M58" s="53">
        <f t="shared" si="19"/>
        <v>42624</v>
      </c>
      <c r="N58" s="53">
        <f t="shared" si="19"/>
        <v>42625</v>
      </c>
      <c r="O58" s="53">
        <f t="shared" si="19"/>
        <v>42626</v>
      </c>
      <c r="P58" s="53">
        <f t="shared" si="19"/>
        <v>42627</v>
      </c>
      <c r="Q58" s="53">
        <f t="shared" si="19"/>
        <v>42628</v>
      </c>
      <c r="R58" s="53">
        <f t="shared" si="19"/>
        <v>42629</v>
      </c>
      <c r="S58" s="53">
        <f t="shared" si="19"/>
        <v>42630</v>
      </c>
      <c r="T58" s="53">
        <f t="shared" si="19"/>
        <v>42631</v>
      </c>
      <c r="U58" s="53">
        <f t="shared" si="19"/>
        <v>42632</v>
      </c>
      <c r="V58" s="53">
        <f t="shared" si="19"/>
        <v>42633</v>
      </c>
      <c r="W58" s="53">
        <f t="shared" si="19"/>
        <v>42634</v>
      </c>
      <c r="X58" s="53">
        <f t="shared" si="19"/>
        <v>42635</v>
      </c>
      <c r="Y58" s="53">
        <f t="shared" si="19"/>
        <v>42636</v>
      </c>
      <c r="Z58" s="53">
        <f t="shared" si="19"/>
        <v>42637</v>
      </c>
      <c r="AA58" s="53">
        <f t="shared" si="19"/>
        <v>42638</v>
      </c>
      <c r="AB58" s="53">
        <f t="shared" si="19"/>
        <v>42639</v>
      </c>
      <c r="AC58" s="53">
        <f t="shared" si="19"/>
        <v>42640</v>
      </c>
      <c r="AD58" s="53">
        <f t="shared" si="19"/>
        <v>42641</v>
      </c>
      <c r="AE58" s="53">
        <f t="shared" si="19"/>
        <v>42642</v>
      </c>
      <c r="AF58" s="53">
        <f t="shared" si="19"/>
        <v>42643</v>
      </c>
      <c r="AG58" s="53"/>
      <c r="AH58" s="43" t="s">
        <v>64</v>
      </c>
      <c r="AI58" s="65" t="s">
        <v>93</v>
      </c>
      <c r="AJ58" s="65" t="s">
        <v>94</v>
      </c>
      <c r="AK58" s="65" t="s">
        <v>95</v>
      </c>
      <c r="AM58" s="69" t="s">
        <v>97</v>
      </c>
    </row>
    <row r="59" spans="1:39" x14ac:dyDescent="0.3">
      <c r="A59" s="128" t="s">
        <v>123</v>
      </c>
      <c r="B59" s="3" t="s">
        <v>9</v>
      </c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55">
        <f>SUM(C59:AG59)</f>
        <v>0</v>
      </c>
      <c r="AI59" s="63">
        <f>AH59/200</f>
        <v>0</v>
      </c>
      <c r="AJ59" s="7">
        <v>5</v>
      </c>
      <c r="AK59" s="4" t="str">
        <f t="shared" ref="AK59:AK63" si="20">IF(AH59=0,"0",(AH59/AI59)/AJ59)</f>
        <v>0</v>
      </c>
      <c r="AM59" s="60">
        <f>AI59*AJ59</f>
        <v>0</v>
      </c>
    </row>
    <row r="60" spans="1:39" x14ac:dyDescent="0.3">
      <c r="A60" s="129"/>
      <c r="B60" s="3" t="s">
        <v>8</v>
      </c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55">
        <f t="shared" ref="AH60:AH64" si="21">SUM(C60:AG60)</f>
        <v>0</v>
      </c>
      <c r="AI60" s="63">
        <f>AH60/300</f>
        <v>0</v>
      </c>
      <c r="AJ60" s="7">
        <v>4</v>
      </c>
      <c r="AK60" s="4" t="str">
        <f t="shared" si="20"/>
        <v>0</v>
      </c>
      <c r="AM60" s="60">
        <f t="shared" ref="AM60:AM64" si="22">AI60*AJ60</f>
        <v>0</v>
      </c>
    </row>
    <row r="61" spans="1:39" x14ac:dyDescent="0.3">
      <c r="A61" s="129"/>
      <c r="B61" s="3" t="s">
        <v>22</v>
      </c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55">
        <f>SUM(C61:AG61)</f>
        <v>0</v>
      </c>
      <c r="AI61" s="63">
        <f>AH61/80</f>
        <v>0</v>
      </c>
      <c r="AJ61" s="7">
        <v>2</v>
      </c>
      <c r="AK61" s="4" t="str">
        <f t="shared" si="20"/>
        <v>0</v>
      </c>
      <c r="AM61" s="60">
        <f t="shared" si="22"/>
        <v>0</v>
      </c>
    </row>
    <row r="62" spans="1:39" x14ac:dyDescent="0.3">
      <c r="A62" s="129"/>
      <c r="B62" s="3" t="s">
        <v>21</v>
      </c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55">
        <f t="shared" si="21"/>
        <v>0</v>
      </c>
      <c r="AI62" s="63">
        <f>AH62/70</f>
        <v>0</v>
      </c>
      <c r="AJ62" s="7">
        <v>1</v>
      </c>
      <c r="AK62" s="4" t="str">
        <f t="shared" si="20"/>
        <v>0</v>
      </c>
      <c r="AM62" s="60">
        <f t="shared" si="22"/>
        <v>0</v>
      </c>
    </row>
    <row r="63" spans="1:39" x14ac:dyDescent="0.3">
      <c r="A63" s="129"/>
      <c r="B63" s="3" t="s">
        <v>14</v>
      </c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55">
        <f t="shared" si="21"/>
        <v>0</v>
      </c>
      <c r="AI63" s="63">
        <v>0</v>
      </c>
      <c r="AJ63" s="7">
        <v>1</v>
      </c>
      <c r="AK63" s="4" t="str">
        <f t="shared" si="20"/>
        <v>0</v>
      </c>
      <c r="AM63" s="60">
        <f t="shared" si="22"/>
        <v>0</v>
      </c>
    </row>
    <row r="64" spans="1:39" x14ac:dyDescent="0.3">
      <c r="A64" s="130"/>
      <c r="B64" s="3" t="s">
        <v>56</v>
      </c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55">
        <f t="shared" si="21"/>
        <v>0</v>
      </c>
      <c r="AI64" s="63">
        <f>AH64/450</f>
        <v>0</v>
      </c>
      <c r="AJ64" s="7">
        <v>9</v>
      </c>
      <c r="AK64" s="4" t="str">
        <f>IF(AH64=0,"0",(AH64/AI64)/AJ64)</f>
        <v>0</v>
      </c>
      <c r="AM64" s="60">
        <f t="shared" si="22"/>
        <v>0</v>
      </c>
    </row>
    <row r="65" spans="1:39" ht="15" x14ac:dyDescent="0.25">
      <c r="B65" s="20" t="s">
        <v>76</v>
      </c>
      <c r="C65" s="50">
        <f>SUM(C59:C64)</f>
        <v>0</v>
      </c>
      <c r="D65" s="50">
        <f t="shared" ref="D65:AG65" si="23">SUM(D59:D64)</f>
        <v>0</v>
      </c>
      <c r="E65" s="50">
        <f t="shared" si="23"/>
        <v>0</v>
      </c>
      <c r="F65" s="50">
        <f t="shared" si="23"/>
        <v>0</v>
      </c>
      <c r="G65" s="50">
        <f t="shared" si="23"/>
        <v>0</v>
      </c>
      <c r="H65" s="50">
        <f t="shared" si="23"/>
        <v>0</v>
      </c>
      <c r="I65" s="50">
        <f t="shared" si="23"/>
        <v>0</v>
      </c>
      <c r="J65" s="50">
        <f t="shared" si="23"/>
        <v>0</v>
      </c>
      <c r="K65" s="50">
        <f t="shared" si="23"/>
        <v>0</v>
      </c>
      <c r="L65" s="50">
        <f t="shared" si="23"/>
        <v>0</v>
      </c>
      <c r="M65" s="50">
        <f t="shared" si="23"/>
        <v>0</v>
      </c>
      <c r="N65" s="50">
        <f t="shared" si="23"/>
        <v>0</v>
      </c>
      <c r="O65" s="50">
        <f t="shared" si="23"/>
        <v>0</v>
      </c>
      <c r="P65" s="50">
        <f t="shared" si="23"/>
        <v>0</v>
      </c>
      <c r="Q65" s="50">
        <f t="shared" si="23"/>
        <v>0</v>
      </c>
      <c r="R65" s="50">
        <f t="shared" si="23"/>
        <v>0</v>
      </c>
      <c r="S65" s="50">
        <f t="shared" si="23"/>
        <v>0</v>
      </c>
      <c r="T65" s="50">
        <f t="shared" si="23"/>
        <v>0</v>
      </c>
      <c r="U65" s="50">
        <f t="shared" si="23"/>
        <v>0</v>
      </c>
      <c r="V65" s="50">
        <f t="shared" si="23"/>
        <v>0</v>
      </c>
      <c r="W65" s="50">
        <f t="shared" si="23"/>
        <v>0</v>
      </c>
      <c r="X65" s="50">
        <f t="shared" si="23"/>
        <v>0</v>
      </c>
      <c r="Y65" s="50">
        <f t="shared" si="23"/>
        <v>0</v>
      </c>
      <c r="Z65" s="50">
        <f t="shared" si="23"/>
        <v>0</v>
      </c>
      <c r="AA65" s="50">
        <f t="shared" si="23"/>
        <v>0</v>
      </c>
      <c r="AB65" s="50">
        <f t="shared" si="23"/>
        <v>0</v>
      </c>
      <c r="AC65" s="50">
        <f t="shared" si="23"/>
        <v>0</v>
      </c>
      <c r="AD65" s="50">
        <f t="shared" si="23"/>
        <v>0</v>
      </c>
      <c r="AE65" s="50">
        <f t="shared" si="23"/>
        <v>0</v>
      </c>
      <c r="AF65" s="50">
        <f t="shared" si="23"/>
        <v>0</v>
      </c>
      <c r="AG65" s="50">
        <f t="shared" si="23"/>
        <v>0</v>
      </c>
      <c r="AH65" s="51">
        <f>SUM(C65:AG65)</f>
        <v>0</v>
      </c>
      <c r="AI65" s="65">
        <f>SUM(AI59:AI64)</f>
        <v>0</v>
      </c>
      <c r="AJ65" s="66"/>
      <c r="AK65" s="65" t="str">
        <f>IF(AH65=0,"0",(AVERAGE(AK59:AK64)))</f>
        <v>0</v>
      </c>
      <c r="AL65" s="71" t="s">
        <v>96</v>
      </c>
      <c r="AM65" s="70">
        <f>SUM(AM59:AM64)</f>
        <v>0</v>
      </c>
    </row>
    <row r="66" spans="1:39" x14ac:dyDescent="0.3">
      <c r="A66" s="2" t="s">
        <v>87</v>
      </c>
      <c r="B66" s="90" t="s">
        <v>72</v>
      </c>
      <c r="C66" s="53">
        <f>C50</f>
        <v>42614</v>
      </c>
      <c r="D66" s="53">
        <f t="shared" ref="D66:AF66" si="24">D50</f>
        <v>42615</v>
      </c>
      <c r="E66" s="53">
        <f t="shared" si="24"/>
        <v>42616</v>
      </c>
      <c r="F66" s="53">
        <f t="shared" si="24"/>
        <v>42617</v>
      </c>
      <c r="G66" s="53">
        <f t="shared" si="24"/>
        <v>42618</v>
      </c>
      <c r="H66" s="53">
        <f t="shared" si="24"/>
        <v>42619</v>
      </c>
      <c r="I66" s="53">
        <f t="shared" si="24"/>
        <v>42620</v>
      </c>
      <c r="J66" s="53">
        <f t="shared" si="24"/>
        <v>42621</v>
      </c>
      <c r="K66" s="53">
        <f t="shared" si="24"/>
        <v>42622</v>
      </c>
      <c r="L66" s="53">
        <f t="shared" si="24"/>
        <v>42623</v>
      </c>
      <c r="M66" s="53">
        <f t="shared" si="24"/>
        <v>42624</v>
      </c>
      <c r="N66" s="53">
        <f t="shared" si="24"/>
        <v>42625</v>
      </c>
      <c r="O66" s="53">
        <f t="shared" si="24"/>
        <v>42626</v>
      </c>
      <c r="P66" s="53">
        <f t="shared" si="24"/>
        <v>42627</v>
      </c>
      <c r="Q66" s="53">
        <f t="shared" si="24"/>
        <v>42628</v>
      </c>
      <c r="R66" s="53">
        <f t="shared" si="24"/>
        <v>42629</v>
      </c>
      <c r="S66" s="53">
        <f t="shared" si="24"/>
        <v>42630</v>
      </c>
      <c r="T66" s="53">
        <f t="shared" si="24"/>
        <v>42631</v>
      </c>
      <c r="U66" s="53">
        <f t="shared" si="24"/>
        <v>42632</v>
      </c>
      <c r="V66" s="53">
        <f t="shared" si="24"/>
        <v>42633</v>
      </c>
      <c r="W66" s="53">
        <f t="shared" si="24"/>
        <v>42634</v>
      </c>
      <c r="X66" s="53">
        <f t="shared" si="24"/>
        <v>42635</v>
      </c>
      <c r="Y66" s="53">
        <f t="shared" si="24"/>
        <v>42636</v>
      </c>
      <c r="Z66" s="53">
        <f t="shared" si="24"/>
        <v>42637</v>
      </c>
      <c r="AA66" s="53">
        <f t="shared" si="24"/>
        <v>42638</v>
      </c>
      <c r="AB66" s="53">
        <f t="shared" si="24"/>
        <v>42639</v>
      </c>
      <c r="AC66" s="53">
        <f t="shared" si="24"/>
        <v>42640</v>
      </c>
      <c r="AD66" s="53">
        <f t="shared" si="24"/>
        <v>42641</v>
      </c>
      <c r="AE66" s="53">
        <f t="shared" si="24"/>
        <v>42642</v>
      </c>
      <c r="AF66" s="53">
        <f t="shared" si="24"/>
        <v>42643</v>
      </c>
      <c r="AG66" s="53"/>
      <c r="AH66" s="43" t="s">
        <v>64</v>
      </c>
      <c r="AI66" s="65" t="s">
        <v>93</v>
      </c>
      <c r="AJ66" s="65" t="s">
        <v>94</v>
      </c>
      <c r="AK66" s="65" t="s">
        <v>95</v>
      </c>
      <c r="AM66" s="69" t="s">
        <v>97</v>
      </c>
    </row>
    <row r="67" spans="1:39" x14ac:dyDescent="0.3">
      <c r="A67" s="128" t="s">
        <v>75</v>
      </c>
      <c r="B67" s="3" t="s">
        <v>9</v>
      </c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61">
        <f>SUM(C67:AG67)</f>
        <v>0</v>
      </c>
      <c r="AI67" s="63">
        <f>AH67/200</f>
        <v>0</v>
      </c>
      <c r="AJ67" s="2">
        <v>5</v>
      </c>
      <c r="AK67" s="4" t="str">
        <f>IF(AH67=0,"0",(AH67/AI67)/AJ67)</f>
        <v>0</v>
      </c>
      <c r="AM67" s="60">
        <f>AI67*AJ67</f>
        <v>0</v>
      </c>
    </row>
    <row r="68" spans="1:39" x14ac:dyDescent="0.3">
      <c r="A68" s="129"/>
      <c r="B68" s="3" t="s">
        <v>8</v>
      </c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61">
        <f t="shared" ref="AH68:AH72" si="25">SUM(C68:AG68)</f>
        <v>0</v>
      </c>
      <c r="AI68" s="63">
        <f>AH68/300</f>
        <v>0</v>
      </c>
      <c r="AJ68" s="2">
        <v>4</v>
      </c>
      <c r="AK68" s="4" t="str">
        <f t="shared" ref="AK68:AK71" si="26">IF(AH68=0,"0",(AH68/AI68)/AJ68)</f>
        <v>0</v>
      </c>
      <c r="AM68" s="60">
        <f t="shared" ref="AM68:AM73" si="27">AI68*AJ68</f>
        <v>0</v>
      </c>
    </row>
    <row r="69" spans="1:39" x14ac:dyDescent="0.3">
      <c r="A69" s="129"/>
      <c r="B69" s="3" t="s">
        <v>106</v>
      </c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61">
        <f>SUM(C69:AG69)</f>
        <v>0</v>
      </c>
      <c r="AI69" s="63">
        <f>AH69/80</f>
        <v>0</v>
      </c>
      <c r="AJ69" s="2">
        <v>2</v>
      </c>
      <c r="AK69" s="4" t="str">
        <f t="shared" si="26"/>
        <v>0</v>
      </c>
      <c r="AM69" s="60">
        <f>AI69*AJ69</f>
        <v>0</v>
      </c>
    </row>
    <row r="70" spans="1:39" x14ac:dyDescent="0.3">
      <c r="A70" s="129"/>
      <c r="B70" s="3" t="s">
        <v>21</v>
      </c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61">
        <f t="shared" si="25"/>
        <v>0</v>
      </c>
      <c r="AI70" s="63">
        <f>AH70/70</f>
        <v>0</v>
      </c>
      <c r="AJ70" s="2">
        <v>1</v>
      </c>
      <c r="AK70" s="4" t="str">
        <f t="shared" si="26"/>
        <v>0</v>
      </c>
      <c r="AM70" s="60">
        <f t="shared" si="27"/>
        <v>0</v>
      </c>
    </row>
    <row r="71" spans="1:39" x14ac:dyDescent="0.3">
      <c r="A71" s="129"/>
      <c r="B71" s="3" t="s">
        <v>14</v>
      </c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61">
        <f t="shared" si="25"/>
        <v>0</v>
      </c>
      <c r="AI71" s="63">
        <v>0</v>
      </c>
      <c r="AJ71" s="2">
        <v>1</v>
      </c>
      <c r="AK71" s="4" t="str">
        <f t="shared" si="26"/>
        <v>0</v>
      </c>
      <c r="AM71" s="60">
        <f t="shared" si="27"/>
        <v>0</v>
      </c>
    </row>
    <row r="72" spans="1:39" x14ac:dyDescent="0.3">
      <c r="A72" s="130"/>
      <c r="B72" s="3" t="s">
        <v>56</v>
      </c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61">
        <f t="shared" si="25"/>
        <v>0</v>
      </c>
      <c r="AI72" s="63">
        <f>AH72/450</f>
        <v>0</v>
      </c>
      <c r="AJ72" s="2">
        <v>9</v>
      </c>
      <c r="AK72" s="4" t="str">
        <f>IF(AH72=0,"0",(AH72/AI72)/AJ72)</f>
        <v>0</v>
      </c>
      <c r="AM72" s="60">
        <f t="shared" si="27"/>
        <v>0</v>
      </c>
    </row>
    <row r="73" spans="1:39" ht="15" x14ac:dyDescent="0.25">
      <c r="A73" s="58"/>
      <c r="B73" s="3" t="s">
        <v>88</v>
      </c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61"/>
      <c r="AI73" s="2"/>
      <c r="AJ73" s="2"/>
      <c r="AK73" s="2"/>
      <c r="AM73" s="60">
        <f t="shared" si="27"/>
        <v>0</v>
      </c>
    </row>
    <row r="74" spans="1:39" ht="15" x14ac:dyDescent="0.25">
      <c r="B74" s="20" t="s">
        <v>76</v>
      </c>
      <c r="C74" s="50">
        <f>SUM(C67:C73)</f>
        <v>0</v>
      </c>
      <c r="D74" s="50">
        <f t="shared" ref="D74:AG74" si="28">SUM(D67:D73)</f>
        <v>0</v>
      </c>
      <c r="E74" s="50">
        <f t="shared" si="28"/>
        <v>0</v>
      </c>
      <c r="F74" s="50">
        <f t="shared" si="28"/>
        <v>0</v>
      </c>
      <c r="G74" s="50">
        <f t="shared" si="28"/>
        <v>0</v>
      </c>
      <c r="H74" s="50">
        <f t="shared" si="28"/>
        <v>0</v>
      </c>
      <c r="I74" s="50">
        <f t="shared" si="28"/>
        <v>0</v>
      </c>
      <c r="J74" s="50">
        <f t="shared" si="28"/>
        <v>0</v>
      </c>
      <c r="K74" s="50">
        <f t="shared" si="28"/>
        <v>0</v>
      </c>
      <c r="L74" s="50">
        <f t="shared" si="28"/>
        <v>0</v>
      </c>
      <c r="M74" s="50">
        <f t="shared" si="28"/>
        <v>0</v>
      </c>
      <c r="N74" s="50">
        <f t="shared" si="28"/>
        <v>0</v>
      </c>
      <c r="O74" s="50">
        <f t="shared" si="28"/>
        <v>0</v>
      </c>
      <c r="P74" s="50">
        <f t="shared" si="28"/>
        <v>0</v>
      </c>
      <c r="Q74" s="50">
        <f t="shared" si="28"/>
        <v>0</v>
      </c>
      <c r="R74" s="50">
        <f t="shared" si="28"/>
        <v>0</v>
      </c>
      <c r="S74" s="50">
        <f t="shared" si="28"/>
        <v>0</v>
      </c>
      <c r="T74" s="50">
        <f t="shared" si="28"/>
        <v>0</v>
      </c>
      <c r="U74" s="50">
        <f t="shared" si="28"/>
        <v>0</v>
      </c>
      <c r="V74" s="50">
        <f t="shared" si="28"/>
        <v>0</v>
      </c>
      <c r="W74" s="50">
        <f t="shared" si="28"/>
        <v>0</v>
      </c>
      <c r="X74" s="50">
        <f t="shared" si="28"/>
        <v>0</v>
      </c>
      <c r="Y74" s="50">
        <f t="shared" si="28"/>
        <v>0</v>
      </c>
      <c r="Z74" s="50">
        <f t="shared" si="28"/>
        <v>0</v>
      </c>
      <c r="AA74" s="50">
        <f t="shared" si="28"/>
        <v>0</v>
      </c>
      <c r="AB74" s="50">
        <f t="shared" si="28"/>
        <v>0</v>
      </c>
      <c r="AC74" s="50">
        <f t="shared" si="28"/>
        <v>0</v>
      </c>
      <c r="AD74" s="50">
        <f t="shared" si="28"/>
        <v>0</v>
      </c>
      <c r="AE74" s="50">
        <f t="shared" si="28"/>
        <v>0</v>
      </c>
      <c r="AF74" s="50">
        <f t="shared" si="28"/>
        <v>0</v>
      </c>
      <c r="AG74" s="50">
        <f t="shared" si="28"/>
        <v>0</v>
      </c>
      <c r="AH74" s="62">
        <f>SUM(C74:AG74)</f>
        <v>0</v>
      </c>
      <c r="AI74" s="64">
        <f>SUM(AI67:AI72)</f>
        <v>0</v>
      </c>
      <c r="AJ74" s="67"/>
      <c r="AK74" s="68" t="str">
        <f>IF(AH74=0,"0",(AVERAGE(AK67:AK72)))</f>
        <v>0</v>
      </c>
      <c r="AL74" s="71" t="s">
        <v>96</v>
      </c>
      <c r="AM74" s="70">
        <f>SUM(AM67:AM73)</f>
        <v>0</v>
      </c>
    </row>
    <row r="75" spans="1:39" x14ac:dyDescent="0.3">
      <c r="A75" s="2"/>
      <c r="B75" s="90" t="s">
        <v>72</v>
      </c>
      <c r="C75" s="53">
        <f>C4</f>
        <v>42614</v>
      </c>
      <c r="D75" s="53">
        <f t="shared" ref="D75:AF75" si="29">D4</f>
        <v>42615</v>
      </c>
      <c r="E75" s="53">
        <f t="shared" si="29"/>
        <v>42616</v>
      </c>
      <c r="F75" s="53">
        <f t="shared" si="29"/>
        <v>42617</v>
      </c>
      <c r="G75" s="53">
        <f t="shared" si="29"/>
        <v>42618</v>
      </c>
      <c r="H75" s="53">
        <f t="shared" si="29"/>
        <v>42619</v>
      </c>
      <c r="I75" s="53">
        <f t="shared" si="29"/>
        <v>42620</v>
      </c>
      <c r="J75" s="53">
        <f t="shared" si="29"/>
        <v>42621</v>
      </c>
      <c r="K75" s="53">
        <f t="shared" si="29"/>
        <v>42622</v>
      </c>
      <c r="L75" s="53">
        <f t="shared" si="29"/>
        <v>42623</v>
      </c>
      <c r="M75" s="53">
        <f t="shared" si="29"/>
        <v>42624</v>
      </c>
      <c r="N75" s="53">
        <f t="shared" si="29"/>
        <v>42625</v>
      </c>
      <c r="O75" s="53">
        <f t="shared" si="29"/>
        <v>42626</v>
      </c>
      <c r="P75" s="53">
        <f t="shared" si="29"/>
        <v>42627</v>
      </c>
      <c r="Q75" s="53">
        <f t="shared" si="29"/>
        <v>42628</v>
      </c>
      <c r="R75" s="53">
        <f t="shared" si="29"/>
        <v>42629</v>
      </c>
      <c r="S75" s="53">
        <f t="shared" si="29"/>
        <v>42630</v>
      </c>
      <c r="T75" s="53">
        <f t="shared" si="29"/>
        <v>42631</v>
      </c>
      <c r="U75" s="53">
        <f t="shared" si="29"/>
        <v>42632</v>
      </c>
      <c r="V75" s="53">
        <f t="shared" si="29"/>
        <v>42633</v>
      </c>
      <c r="W75" s="53">
        <f t="shared" si="29"/>
        <v>42634</v>
      </c>
      <c r="X75" s="53">
        <f t="shared" si="29"/>
        <v>42635</v>
      </c>
      <c r="Y75" s="53">
        <f t="shared" si="29"/>
        <v>42636</v>
      </c>
      <c r="Z75" s="53">
        <f t="shared" si="29"/>
        <v>42637</v>
      </c>
      <c r="AA75" s="53">
        <f t="shared" si="29"/>
        <v>42638</v>
      </c>
      <c r="AB75" s="53">
        <f t="shared" si="29"/>
        <v>42639</v>
      </c>
      <c r="AC75" s="53">
        <f t="shared" si="29"/>
        <v>42640</v>
      </c>
      <c r="AD75" s="53">
        <f t="shared" si="29"/>
        <v>42641</v>
      </c>
      <c r="AE75" s="53">
        <f t="shared" si="29"/>
        <v>42642</v>
      </c>
      <c r="AF75" s="53">
        <f t="shared" si="29"/>
        <v>42643</v>
      </c>
      <c r="AG75" s="53"/>
      <c r="AH75" s="43" t="s">
        <v>64</v>
      </c>
      <c r="AI75" s="49" t="s">
        <v>136</v>
      </c>
    </row>
    <row r="76" spans="1:39" x14ac:dyDescent="0.3">
      <c r="A76" s="131" t="s">
        <v>75</v>
      </c>
      <c r="B76" s="2" t="s">
        <v>78</v>
      </c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55">
        <f>SUM(C76:AG76)</f>
        <v>0</v>
      </c>
      <c r="AI76" s="37">
        <v>0</v>
      </c>
    </row>
    <row r="77" spans="1:39" x14ac:dyDescent="0.3">
      <c r="A77" s="131"/>
      <c r="B77" s="2" t="s">
        <v>79</v>
      </c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55">
        <f t="shared" ref="AH77:AH84" si="30">SUM(C77:AG77)</f>
        <v>0</v>
      </c>
      <c r="AI77" s="37">
        <v>0</v>
      </c>
    </row>
    <row r="78" spans="1:39" x14ac:dyDescent="0.3">
      <c r="A78" s="131"/>
      <c r="B78" s="2" t="s">
        <v>80</v>
      </c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55">
        <f>SUM(C78:AG78)</f>
        <v>0</v>
      </c>
      <c r="AI78" s="37">
        <v>0</v>
      </c>
    </row>
    <row r="79" spans="1:39" x14ac:dyDescent="0.3">
      <c r="A79" s="131"/>
      <c r="B79" s="2" t="s">
        <v>81</v>
      </c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55">
        <f t="shared" si="30"/>
        <v>0</v>
      </c>
      <c r="AI79" s="37">
        <v>0</v>
      </c>
    </row>
    <row r="80" spans="1:39" x14ac:dyDescent="0.3">
      <c r="A80" s="131"/>
      <c r="B80" s="2" t="s">
        <v>82</v>
      </c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55">
        <f t="shared" si="30"/>
        <v>0</v>
      </c>
      <c r="AI80" s="37">
        <v>0</v>
      </c>
    </row>
    <row r="81" spans="1:35" x14ac:dyDescent="0.3">
      <c r="A81" s="131"/>
      <c r="B81" s="2" t="s">
        <v>83</v>
      </c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55">
        <f t="shared" si="30"/>
        <v>0</v>
      </c>
      <c r="AI81" s="37">
        <v>0</v>
      </c>
    </row>
    <row r="82" spans="1:35" x14ac:dyDescent="0.3">
      <c r="A82" s="131"/>
      <c r="B82" s="2" t="s">
        <v>118</v>
      </c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55">
        <f t="shared" si="30"/>
        <v>0</v>
      </c>
      <c r="AI82" s="37">
        <v>0</v>
      </c>
    </row>
    <row r="83" spans="1:35" x14ac:dyDescent="0.3">
      <c r="A83" s="131"/>
      <c r="B83" s="54" t="s">
        <v>84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55">
        <f t="shared" si="30"/>
        <v>0</v>
      </c>
      <c r="AI83" s="37">
        <v>0</v>
      </c>
    </row>
    <row r="84" spans="1:35" x14ac:dyDescent="0.3">
      <c r="A84" s="131"/>
      <c r="B84" s="54" t="s">
        <v>85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55">
        <f t="shared" si="30"/>
        <v>0</v>
      </c>
      <c r="AI84" s="37">
        <v>0</v>
      </c>
    </row>
    <row r="85" spans="1:35" ht="15" x14ac:dyDescent="0.25">
      <c r="B85" s="20" t="s">
        <v>76</v>
      </c>
      <c r="C85" s="50">
        <f>SUM(C76:C84)</f>
        <v>0</v>
      </c>
      <c r="D85" s="50">
        <f t="shared" ref="D85:AG85" si="31">SUM(D76:D84)</f>
        <v>0</v>
      </c>
      <c r="E85" s="50">
        <f t="shared" si="31"/>
        <v>0</v>
      </c>
      <c r="F85" s="50">
        <f t="shared" si="31"/>
        <v>0</v>
      </c>
      <c r="G85" s="50">
        <f t="shared" si="31"/>
        <v>0</v>
      </c>
      <c r="H85" s="50">
        <f t="shared" si="31"/>
        <v>0</v>
      </c>
      <c r="I85" s="50">
        <f t="shared" si="31"/>
        <v>0</v>
      </c>
      <c r="J85" s="50">
        <f t="shared" si="31"/>
        <v>0</v>
      </c>
      <c r="K85" s="50">
        <f t="shared" si="31"/>
        <v>0</v>
      </c>
      <c r="L85" s="50">
        <f t="shared" si="31"/>
        <v>0</v>
      </c>
      <c r="M85" s="50">
        <f t="shared" si="31"/>
        <v>0</v>
      </c>
      <c r="N85" s="50">
        <f t="shared" si="31"/>
        <v>0</v>
      </c>
      <c r="O85" s="50">
        <f t="shared" si="31"/>
        <v>0</v>
      </c>
      <c r="P85" s="50">
        <f t="shared" si="31"/>
        <v>0</v>
      </c>
      <c r="Q85" s="50">
        <f t="shared" si="31"/>
        <v>0</v>
      </c>
      <c r="R85" s="50">
        <f t="shared" si="31"/>
        <v>0</v>
      </c>
      <c r="S85" s="50">
        <f t="shared" si="31"/>
        <v>0</v>
      </c>
      <c r="T85" s="50">
        <f t="shared" si="31"/>
        <v>0</v>
      </c>
      <c r="U85" s="50">
        <f t="shared" si="31"/>
        <v>0</v>
      </c>
      <c r="V85" s="50">
        <f t="shared" si="31"/>
        <v>0</v>
      </c>
      <c r="W85" s="50">
        <f t="shared" si="31"/>
        <v>0</v>
      </c>
      <c r="X85" s="50">
        <f t="shared" si="31"/>
        <v>0</v>
      </c>
      <c r="Y85" s="50">
        <f t="shared" si="31"/>
        <v>0</v>
      </c>
      <c r="Z85" s="50">
        <f t="shared" si="31"/>
        <v>0</v>
      </c>
      <c r="AA85" s="50">
        <f t="shared" si="31"/>
        <v>0</v>
      </c>
      <c r="AB85" s="50">
        <f t="shared" si="31"/>
        <v>0</v>
      </c>
      <c r="AC85" s="50">
        <f t="shared" si="31"/>
        <v>0</v>
      </c>
      <c r="AD85" s="50">
        <f t="shared" si="31"/>
        <v>0</v>
      </c>
      <c r="AE85" s="50">
        <f t="shared" si="31"/>
        <v>0</v>
      </c>
      <c r="AF85" s="50">
        <f t="shared" si="31"/>
        <v>0</v>
      </c>
      <c r="AG85" s="50">
        <f t="shared" si="31"/>
        <v>0</v>
      </c>
      <c r="AH85" s="51">
        <f>SUM(C85:AG85)</f>
        <v>0</v>
      </c>
      <c r="AI85" s="97">
        <f>SUM(AI76:AI84)</f>
        <v>0</v>
      </c>
    </row>
    <row r="87" spans="1:35" ht="15" x14ac:dyDescent="0.25">
      <c r="B87" s="44" t="s">
        <v>77</v>
      </c>
      <c r="C87" s="40">
        <f>C49+C57+C65+C74+C85</f>
        <v>0</v>
      </c>
      <c r="D87" s="40">
        <f t="shared" ref="D87:AG87" si="32">D49+D57+D65+D74+D85</f>
        <v>0</v>
      </c>
      <c r="E87" s="40">
        <f t="shared" si="32"/>
        <v>0</v>
      </c>
      <c r="F87" s="40">
        <f t="shared" si="32"/>
        <v>0</v>
      </c>
      <c r="G87" s="40">
        <f t="shared" si="32"/>
        <v>0</v>
      </c>
      <c r="H87" s="40">
        <f t="shared" si="32"/>
        <v>0</v>
      </c>
      <c r="I87" s="40">
        <f t="shared" si="32"/>
        <v>0</v>
      </c>
      <c r="J87" s="40">
        <f t="shared" si="32"/>
        <v>0</v>
      </c>
      <c r="K87" s="40">
        <f t="shared" si="32"/>
        <v>0</v>
      </c>
      <c r="L87" s="40">
        <f t="shared" si="32"/>
        <v>0</v>
      </c>
      <c r="M87" s="40">
        <f t="shared" si="32"/>
        <v>0</v>
      </c>
      <c r="N87" s="40">
        <f t="shared" si="32"/>
        <v>0</v>
      </c>
      <c r="O87" s="40">
        <f t="shared" si="32"/>
        <v>0</v>
      </c>
      <c r="P87" s="40">
        <f t="shared" si="32"/>
        <v>0</v>
      </c>
      <c r="Q87" s="40">
        <f t="shared" si="32"/>
        <v>0</v>
      </c>
      <c r="R87" s="40">
        <f t="shared" si="32"/>
        <v>0</v>
      </c>
      <c r="S87" s="40">
        <f t="shared" si="32"/>
        <v>0</v>
      </c>
      <c r="T87" s="40">
        <f t="shared" si="32"/>
        <v>0</v>
      </c>
      <c r="U87" s="40">
        <f t="shared" si="32"/>
        <v>0</v>
      </c>
      <c r="V87" s="40">
        <f t="shared" si="32"/>
        <v>0</v>
      </c>
      <c r="W87" s="40">
        <f t="shared" si="32"/>
        <v>0</v>
      </c>
      <c r="X87" s="40">
        <f t="shared" si="32"/>
        <v>0</v>
      </c>
      <c r="Y87" s="40">
        <f t="shared" si="32"/>
        <v>0</v>
      </c>
      <c r="Z87" s="40">
        <f t="shared" si="32"/>
        <v>0</v>
      </c>
      <c r="AA87" s="40">
        <f t="shared" si="32"/>
        <v>0</v>
      </c>
      <c r="AB87" s="40">
        <f t="shared" si="32"/>
        <v>0</v>
      </c>
      <c r="AC87" s="40">
        <f t="shared" si="32"/>
        <v>0</v>
      </c>
      <c r="AD87" s="40">
        <f t="shared" si="32"/>
        <v>0</v>
      </c>
      <c r="AE87" s="40">
        <f t="shared" si="32"/>
        <v>0</v>
      </c>
      <c r="AF87" s="40">
        <f t="shared" si="32"/>
        <v>0</v>
      </c>
      <c r="AG87" s="40">
        <f t="shared" si="32"/>
        <v>0</v>
      </c>
      <c r="AH87" s="40">
        <f>AH49+AH57+AH65+AH74+AH85</f>
        <v>0</v>
      </c>
    </row>
    <row r="89" spans="1:35" x14ac:dyDescent="0.3">
      <c r="B89" s="86" t="s">
        <v>119</v>
      </c>
      <c r="C89" s="32" t="str">
        <f>C1</f>
        <v>Septembre</v>
      </c>
      <c r="E89" s="84" t="s">
        <v>122</v>
      </c>
      <c r="F89" s="85"/>
      <c r="G89" s="85"/>
      <c r="H89" s="43" t="str">
        <f>C1</f>
        <v>Septembre</v>
      </c>
      <c r="J89" s="76" t="s">
        <v>100</v>
      </c>
      <c r="K89" s="76"/>
    </row>
    <row r="90" spans="1:35" x14ac:dyDescent="0.3">
      <c r="B90" s="44" t="s">
        <v>90</v>
      </c>
      <c r="C90" s="41">
        <f>AH85</f>
        <v>0</v>
      </c>
      <c r="E90" s="127" t="s">
        <v>98</v>
      </c>
      <c r="F90" s="127"/>
      <c r="G90" s="127"/>
      <c r="H90" s="72">
        <f>AM49+AM57+AM65+AM74</f>
        <v>0</v>
      </c>
      <c r="J90" s="2" t="s">
        <v>73</v>
      </c>
      <c r="K90" s="75" t="e">
        <f>AH49/C90</f>
        <v>#DIV/0!</v>
      </c>
    </row>
    <row r="91" spans="1:35" x14ac:dyDescent="0.3">
      <c r="B91" s="44" t="s">
        <v>89</v>
      </c>
      <c r="C91" s="41">
        <f>AH25</f>
        <v>0</v>
      </c>
      <c r="E91" s="127" t="s">
        <v>99</v>
      </c>
      <c r="F91" s="127"/>
      <c r="G91" s="127"/>
      <c r="H91" s="41" t="e">
        <f>C91/H90</f>
        <v>#DIV/0!</v>
      </c>
      <c r="J91" s="2" t="s">
        <v>75</v>
      </c>
      <c r="K91" s="75" t="e">
        <f>AH74/C90</f>
        <v>#DIV/0!</v>
      </c>
    </row>
    <row r="92" spans="1:35" ht="15" x14ac:dyDescent="0.25">
      <c r="J92" s="2" t="s">
        <v>101</v>
      </c>
      <c r="K92" s="75" t="e">
        <f>AH85/C90</f>
        <v>#DIV/0!</v>
      </c>
    </row>
    <row r="93" spans="1:35" x14ac:dyDescent="0.3">
      <c r="B93" s="20" t="s">
        <v>86</v>
      </c>
      <c r="C93" s="40">
        <f>C90-C91</f>
        <v>0</v>
      </c>
      <c r="J93" s="2" t="s">
        <v>74</v>
      </c>
      <c r="K93" s="75" t="e">
        <f>AH57/C90</f>
        <v>#DIV/0!</v>
      </c>
    </row>
    <row r="94" spans="1:35" ht="15" x14ac:dyDescent="0.25">
      <c r="J94" s="2" t="s">
        <v>123</v>
      </c>
      <c r="K94" s="75" t="e">
        <f>AH65/C91</f>
        <v>#DIV/0!</v>
      </c>
    </row>
    <row r="95" spans="1:35" x14ac:dyDescent="0.3">
      <c r="B95" t="s">
        <v>91</v>
      </c>
      <c r="C95" s="37">
        <v>10500</v>
      </c>
    </row>
    <row r="96" spans="1:35" ht="15" x14ac:dyDescent="0.25">
      <c r="B96" t="s">
        <v>92</v>
      </c>
      <c r="C96" s="103">
        <f>C90-C95</f>
        <v>-10500</v>
      </c>
    </row>
    <row r="98" spans="2:12" x14ac:dyDescent="0.3">
      <c r="B98" s="20" t="s">
        <v>125</v>
      </c>
      <c r="C98" s="41">
        <f ca="1">'Aout 2016'!C112+C93</f>
        <v>3298.87</v>
      </c>
    </row>
    <row r="99" spans="2:12" x14ac:dyDescent="0.3">
      <c r="B99" s="2" t="s">
        <v>134</v>
      </c>
      <c r="C99" s="41">
        <f>'Aout 2016'!C113</f>
        <v>1320</v>
      </c>
    </row>
    <row r="100" spans="2:12" x14ac:dyDescent="0.3">
      <c r="B100" s="2" t="s">
        <v>131</v>
      </c>
      <c r="C100" s="41">
        <f>(H100-H101)</f>
        <v>120</v>
      </c>
      <c r="E100" s="95" t="s">
        <v>135</v>
      </c>
      <c r="F100" s="95"/>
      <c r="G100" s="95"/>
      <c r="H100" s="37">
        <f>'Juillet 2016'!AI85</f>
        <v>120</v>
      </c>
      <c r="L100" s="37"/>
    </row>
    <row r="101" spans="2:12" x14ac:dyDescent="0.3">
      <c r="B101" s="2" t="s">
        <v>127</v>
      </c>
      <c r="C101" s="41">
        <f>'Aout 2016'!C115</f>
        <v>2220</v>
      </c>
      <c r="E101" s="95" t="s">
        <v>130</v>
      </c>
      <c r="F101" s="95"/>
      <c r="G101" s="95"/>
      <c r="H101" s="37">
        <f>SUM(AH32:AH34)</f>
        <v>0</v>
      </c>
    </row>
    <row r="102" spans="2:12" x14ac:dyDescent="0.3">
      <c r="B102" s="20" t="s">
        <v>133</v>
      </c>
      <c r="C102" s="41">
        <f>SUM(C99:C101)</f>
        <v>3660</v>
      </c>
      <c r="E102" s="95" t="s">
        <v>131</v>
      </c>
      <c r="H102" s="37">
        <f>(H100-H101)</f>
        <v>120</v>
      </c>
    </row>
    <row r="103" spans="2:12" x14ac:dyDescent="0.3">
      <c r="B103" t="s">
        <v>128</v>
      </c>
      <c r="C103" s="37">
        <f ca="1">C98-(C99+C101+C100)</f>
        <v>-361.13000000000011</v>
      </c>
    </row>
  </sheetData>
  <mergeCells count="8">
    <mergeCell ref="E90:G90"/>
    <mergeCell ref="E91:G91"/>
    <mergeCell ref="B2:AJ2"/>
    <mergeCell ref="A43:A48"/>
    <mergeCell ref="A51:A56"/>
    <mergeCell ref="A59:A64"/>
    <mergeCell ref="A67:A72"/>
    <mergeCell ref="A76:A8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N20"/>
  <sheetViews>
    <sheetView workbookViewId="0">
      <selection activeCell="F18" sqref="F18"/>
    </sheetView>
  </sheetViews>
  <sheetFormatPr baseColWidth="10" defaultRowHeight="14.4" x14ac:dyDescent="0.3"/>
  <sheetData>
    <row r="2" spans="2:13" x14ac:dyDescent="0.3">
      <c r="B2" s="133"/>
    </row>
    <row r="3" spans="2:13" x14ac:dyDescent="0.3">
      <c r="B3" s="133"/>
      <c r="C3" t="s">
        <v>111</v>
      </c>
    </row>
    <row r="4" spans="2:13" x14ac:dyDescent="0.3">
      <c r="B4" s="133"/>
    </row>
    <row r="5" spans="2:13" ht="15" x14ac:dyDescent="0.25">
      <c r="C5" t="s">
        <v>107</v>
      </c>
      <c r="E5">
        <v>75</v>
      </c>
      <c r="G5">
        <v>9</v>
      </c>
      <c r="H5" s="78">
        <f>E12/G5</f>
        <v>19.518518518518519</v>
      </c>
    </row>
    <row r="6" spans="2:13" x14ac:dyDescent="0.3">
      <c r="C6" t="s">
        <v>108</v>
      </c>
      <c r="E6">
        <v>25</v>
      </c>
    </row>
    <row r="7" spans="2:13" ht="15" x14ac:dyDescent="0.25">
      <c r="C7" t="s">
        <v>109</v>
      </c>
      <c r="E7">
        <v>33</v>
      </c>
    </row>
    <row r="8" spans="2:13" ht="15" x14ac:dyDescent="0.25">
      <c r="C8" t="s">
        <v>110</v>
      </c>
      <c r="E8">
        <v>15</v>
      </c>
    </row>
    <row r="9" spans="2:13" ht="15" x14ac:dyDescent="0.25">
      <c r="C9" t="s">
        <v>112</v>
      </c>
      <c r="E9">
        <v>1</v>
      </c>
    </row>
    <row r="10" spans="2:13" x14ac:dyDescent="0.3">
      <c r="C10" t="s">
        <v>117</v>
      </c>
      <c r="E10">
        <v>0</v>
      </c>
    </row>
    <row r="11" spans="2:13" ht="15" x14ac:dyDescent="0.25">
      <c r="C11" t="s">
        <v>113</v>
      </c>
      <c r="E11" s="78">
        <f>800/30</f>
        <v>26.666666666666668</v>
      </c>
    </row>
    <row r="12" spans="2:13" ht="15" x14ac:dyDescent="0.25">
      <c r="D12" t="s">
        <v>96</v>
      </c>
      <c r="E12" s="78">
        <f>SUM(E5:E11)</f>
        <v>175.66666666666666</v>
      </c>
    </row>
    <row r="14" spans="2:13" x14ac:dyDescent="0.3">
      <c r="C14" s="134" t="s">
        <v>114</v>
      </c>
      <c r="D14" s="134"/>
      <c r="E14" s="134"/>
      <c r="F14" s="134"/>
      <c r="G14" s="134"/>
      <c r="H14" s="134"/>
      <c r="I14" s="134"/>
      <c r="J14" s="134"/>
      <c r="K14" s="134"/>
      <c r="L14" s="134"/>
      <c r="M14" s="134"/>
    </row>
    <row r="15" spans="2:13" s="73" customFormat="1" x14ac:dyDescent="0.3">
      <c r="B15" s="71" t="s">
        <v>115</v>
      </c>
      <c r="C15" s="101">
        <v>1</v>
      </c>
      <c r="D15" s="101">
        <v>2</v>
      </c>
      <c r="E15" s="101">
        <v>3</v>
      </c>
      <c r="F15" s="101">
        <v>4</v>
      </c>
      <c r="G15" s="101">
        <v>5</v>
      </c>
      <c r="H15" s="101">
        <v>6</v>
      </c>
      <c r="I15" s="101">
        <v>7</v>
      </c>
      <c r="J15" s="101">
        <v>8</v>
      </c>
      <c r="K15" s="101">
        <v>9</v>
      </c>
      <c r="L15" s="101">
        <v>10</v>
      </c>
      <c r="M15" s="101">
        <v>11</v>
      </c>
    </row>
    <row r="16" spans="2:13" x14ac:dyDescent="0.3">
      <c r="B16" s="71" t="s">
        <v>116</v>
      </c>
      <c r="C16" s="102">
        <f>$E12/C15</f>
        <v>175.66666666666666</v>
      </c>
      <c r="D16" s="102">
        <f t="shared" ref="D16:M16" si="0">$E12/D15</f>
        <v>87.833333333333329</v>
      </c>
      <c r="E16" s="102">
        <f t="shared" si="0"/>
        <v>58.55555555555555</v>
      </c>
      <c r="F16" s="102">
        <f t="shared" si="0"/>
        <v>43.916666666666664</v>
      </c>
      <c r="G16" s="102">
        <f t="shared" si="0"/>
        <v>35.133333333333333</v>
      </c>
      <c r="H16" s="102">
        <f t="shared" si="0"/>
        <v>29.277777777777775</v>
      </c>
      <c r="I16" s="102">
        <f t="shared" si="0"/>
        <v>25.095238095238095</v>
      </c>
      <c r="J16" s="102">
        <f t="shared" si="0"/>
        <v>21.958333333333332</v>
      </c>
      <c r="K16" s="102">
        <f t="shared" si="0"/>
        <v>19.518518518518519</v>
      </c>
      <c r="L16" s="102">
        <f t="shared" si="0"/>
        <v>17.566666666666666</v>
      </c>
      <c r="M16" s="102">
        <f t="shared" si="0"/>
        <v>15.969696969696969</v>
      </c>
    </row>
    <row r="17" spans="2:14" ht="15" x14ac:dyDescent="0.25"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</row>
    <row r="18" spans="2:14" x14ac:dyDescent="0.3"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</row>
    <row r="19" spans="2:14" x14ac:dyDescent="0.3">
      <c r="B19" t="s">
        <v>142</v>
      </c>
      <c r="C19" s="101">
        <f t="shared" ref="C19:M19" si="1">7*C15</f>
        <v>7</v>
      </c>
      <c r="D19" s="101">
        <f t="shared" si="1"/>
        <v>14</v>
      </c>
      <c r="E19" s="101">
        <f t="shared" si="1"/>
        <v>21</v>
      </c>
      <c r="F19" s="101">
        <f t="shared" si="1"/>
        <v>28</v>
      </c>
      <c r="G19" s="101">
        <f t="shared" si="1"/>
        <v>35</v>
      </c>
      <c r="H19" s="101">
        <f t="shared" si="1"/>
        <v>42</v>
      </c>
      <c r="I19" s="101">
        <f t="shared" si="1"/>
        <v>49</v>
      </c>
      <c r="J19" s="101">
        <f t="shared" si="1"/>
        <v>56</v>
      </c>
      <c r="K19" s="101">
        <f t="shared" si="1"/>
        <v>63</v>
      </c>
      <c r="L19" s="101">
        <f t="shared" si="1"/>
        <v>70</v>
      </c>
      <c r="M19" s="101">
        <f t="shared" si="1"/>
        <v>77</v>
      </c>
    </row>
    <row r="20" spans="2:14" x14ac:dyDescent="0.3">
      <c r="B20" s="71" t="s">
        <v>116</v>
      </c>
      <c r="C20" s="102">
        <f t="shared" ref="C20:M20" si="2">($E12+$C19)/C15</f>
        <v>182.66666666666666</v>
      </c>
      <c r="D20" s="102">
        <f t="shared" si="2"/>
        <v>91.333333333333329</v>
      </c>
      <c r="E20" s="102">
        <f t="shared" si="2"/>
        <v>60.888888888888886</v>
      </c>
      <c r="F20" s="102">
        <f t="shared" si="2"/>
        <v>45.666666666666664</v>
      </c>
      <c r="G20" s="102">
        <f t="shared" si="2"/>
        <v>36.533333333333331</v>
      </c>
      <c r="H20" s="102">
        <f t="shared" si="2"/>
        <v>30.444444444444443</v>
      </c>
      <c r="I20" s="102">
        <f t="shared" si="2"/>
        <v>26.095238095238095</v>
      </c>
      <c r="J20" s="102">
        <f t="shared" si="2"/>
        <v>22.833333333333332</v>
      </c>
      <c r="K20" s="102">
        <f t="shared" si="2"/>
        <v>20.296296296296294</v>
      </c>
      <c r="L20" s="102">
        <f t="shared" si="2"/>
        <v>18.266666666666666</v>
      </c>
      <c r="M20" s="102">
        <f t="shared" si="2"/>
        <v>16.606060606060606</v>
      </c>
      <c r="N20" s="60"/>
    </row>
  </sheetData>
  <mergeCells count="2">
    <mergeCell ref="B2:B4"/>
    <mergeCell ref="C14:M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Budget 2016</vt:lpstr>
      <vt:lpstr>Juin 2016</vt:lpstr>
      <vt:lpstr>Juillet 2016</vt:lpstr>
      <vt:lpstr>Aout 2016</vt:lpstr>
      <vt:lpstr>Sept 2016</vt:lpstr>
      <vt:lpstr>Coût sortie bateau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Neves</dc:creator>
  <cp:lastModifiedBy>perso</cp:lastModifiedBy>
  <dcterms:created xsi:type="dcterms:W3CDTF">2016-04-23T17:59:19Z</dcterms:created>
  <dcterms:modified xsi:type="dcterms:W3CDTF">2016-08-17T22:06:38Z</dcterms:modified>
</cp:coreProperties>
</file>