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0" yWindow="240" windowWidth="20520" windowHeight="11760" firstSheet="2" activeTab="2"/>
  </bookViews>
  <sheets>
    <sheet name="Martingale" sheetId="1" state="hidden" r:id="rId1"/>
    <sheet name="Aide pour choisir son match" sheetId="2" state="hidden" r:id="rId2"/>
    <sheet name="Feuil3" sheetId="3" r:id="rId3"/>
    <sheet name="Feuil1" sheetId="4" state="hidden" r:id="rId4"/>
    <sheet name="Feuil2" sheetId="5" state="hidden" r:id="rId5"/>
    <sheet name="ligue1" sheetId="6" r:id="rId6"/>
    <sheet name="Feuil5" sheetId="7" state="hidden" r:id="rId7"/>
    <sheet name="Ligue 2" sheetId="9" r:id="rId8"/>
  </sheets>
  <definedNames>
    <definedName name="classementl" localSheetId="4">Feuil2!$B$2:$I$156</definedName>
    <definedName name="Equipe">Feuil3!$A:$A</definedName>
    <definedName name="latest.asp?league_france" localSheetId="5">ligue1!$A$1:$O$21</definedName>
    <definedName name="latest.asp?league_france_1" localSheetId="5">ligue1!$A$23:$J$65</definedName>
    <definedName name="pmatch.asp?league_france_matchid_499_t1_32_t2_36_ly_2015_articleid_499" localSheetId="3">Feuil1!$B$2:$H$22</definedName>
    <definedName name="scorers.asp?league_france" localSheetId="5">ligue1!$A$141:$N$196</definedName>
    <definedName name="team_trends.asp?league_france_pmtype_overunder" localSheetId="5">ligue1!$A$67:$J$138</definedName>
  </definedNames>
  <calcPr calcId="125725" calcMode="autoNoTable" iterate="1"/>
</workbook>
</file>

<file path=xl/calcChain.xml><?xml version="1.0" encoding="utf-8"?>
<calcChain xmlns="http://schemas.openxmlformats.org/spreadsheetml/2006/main">
  <c r="B2" i="3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"/>
  <c r="Y27" i="6"/>
  <c r="Y28"/>
  <c r="Y26"/>
  <c r="X27"/>
  <c r="X28"/>
  <c r="X26"/>
  <c r="W27"/>
  <c r="W28"/>
  <c r="W26"/>
  <c r="V27"/>
  <c r="V28"/>
  <c r="V26"/>
  <c r="U27"/>
  <c r="U28"/>
  <c r="U26"/>
  <c r="T28"/>
  <c r="T27"/>
  <c r="T26"/>
  <c r="R30"/>
  <c r="S28"/>
  <c r="S27"/>
  <c r="S26"/>
  <c r="R28"/>
  <c r="R27"/>
  <c r="R26"/>
  <c r="B3" i="3"/>
  <c r="B4"/>
  <c r="B5"/>
  <c r="B6"/>
  <c r="B7"/>
  <c r="B8"/>
  <c r="B9"/>
  <c r="B10"/>
  <c r="B11"/>
  <c r="B12"/>
  <c r="B13"/>
  <c r="B14"/>
  <c r="B15"/>
  <c r="B16"/>
  <c r="B17"/>
  <c r="B18"/>
  <c r="B19"/>
  <c r="B20"/>
  <c r="B21"/>
  <c r="T143" i="6" l="1"/>
  <c r="B33" i="3" l="1"/>
  <c r="U144" i="6"/>
  <c r="T144"/>
  <c r="S144"/>
  <c r="U143"/>
  <c r="S143"/>
  <c r="U142"/>
  <c r="T142"/>
  <c r="S142"/>
  <c r="D34" i="7" l="1"/>
  <c r="H3"/>
  <c r="S2" i="6"/>
  <c r="S3"/>
  <c r="S4"/>
  <c r="S5"/>
  <c r="S6"/>
  <c r="S7"/>
  <c r="S8"/>
  <c r="S9"/>
  <c r="S10"/>
  <c r="S11"/>
  <c r="S12"/>
  <c r="S13"/>
  <c r="S14"/>
  <c r="S15"/>
  <c r="S16"/>
  <c r="S17"/>
  <c r="S18"/>
  <c r="S19"/>
  <c r="S20"/>
  <c r="S21"/>
  <c r="A35" i="7" l="1"/>
  <c r="A34"/>
  <c r="A40"/>
  <c r="A36"/>
  <c r="A41"/>
  <c r="A37"/>
  <c r="A42"/>
  <c r="A38"/>
  <c r="A43"/>
  <c r="A39"/>
  <c r="L14" i="2"/>
  <c r="I15" s="1"/>
  <c r="L11"/>
  <c r="I12" s="1"/>
  <c r="E14"/>
  <c r="D13" s="1"/>
  <c r="D11"/>
  <c r="D12" s="1"/>
  <c r="B25" i="4"/>
  <c r="W2"/>
  <c r="W1"/>
  <c r="X1"/>
  <c r="M17"/>
  <c r="M15"/>
  <c r="M16"/>
  <c r="M14"/>
  <c r="U15"/>
  <c r="U16"/>
  <c r="U17"/>
  <c r="U14"/>
  <c r="T15"/>
  <c r="T16"/>
  <c r="T17"/>
  <c r="T14"/>
  <c r="S15"/>
  <c r="S16"/>
  <c r="S17"/>
  <c r="S14"/>
  <c r="R15"/>
  <c r="R16"/>
  <c r="R17"/>
  <c r="R14"/>
  <c r="Q15"/>
  <c r="Q16"/>
  <c r="Q17"/>
  <c r="Q14"/>
  <c r="P15"/>
  <c r="P16"/>
  <c r="P17"/>
  <c r="P14"/>
  <c r="O15"/>
  <c r="O16"/>
  <c r="O17"/>
  <c r="O14"/>
  <c r="N15"/>
  <c r="N16"/>
  <c r="N17"/>
  <c r="N14"/>
  <c r="L15"/>
  <c r="L16"/>
  <c r="L17"/>
  <c r="L14"/>
  <c r="U3"/>
  <c r="U4"/>
  <c r="U5"/>
  <c r="T3"/>
  <c r="T4"/>
  <c r="T5"/>
  <c r="S3"/>
  <c r="S4"/>
  <c r="S5"/>
  <c r="R3"/>
  <c r="R4"/>
  <c r="R5"/>
  <c r="Q3"/>
  <c r="Q4"/>
  <c r="Q5"/>
  <c r="P3"/>
  <c r="P4"/>
  <c r="P5"/>
  <c r="O3"/>
  <c r="O4"/>
  <c r="O5"/>
  <c r="N3"/>
  <c r="N4"/>
  <c r="N5"/>
  <c r="M3"/>
  <c r="M4"/>
  <c r="M5"/>
  <c r="L3"/>
  <c r="L4"/>
  <c r="L5"/>
  <c r="U2"/>
  <c r="T2"/>
  <c r="S2"/>
  <c r="R2"/>
  <c r="Q2"/>
  <c r="P2"/>
  <c r="O2"/>
  <c r="N2"/>
  <c r="M2"/>
  <c r="L2"/>
  <c r="I13" i="2" l="1"/>
  <c r="G14" s="1"/>
  <c r="D14" s="1"/>
  <c r="K19" i="4"/>
  <c r="K8"/>
  <c r="K18"/>
  <c r="K6"/>
  <c r="K16"/>
  <c r="K20"/>
  <c r="K5"/>
  <c r="K3"/>
  <c r="K7"/>
  <c r="K14"/>
  <c r="K10"/>
  <c r="K21"/>
  <c r="K22"/>
  <c r="K23"/>
  <c r="K15"/>
  <c r="K17"/>
  <c r="K9"/>
  <c r="K2"/>
  <c r="K11"/>
  <c r="K4"/>
  <c r="D7" i="2"/>
  <c r="D20"/>
  <c r="H20" s="1"/>
  <c r="L20"/>
  <c r="K24" i="4" l="1"/>
  <c r="K12"/>
  <c r="D8" i="2" s="1"/>
  <c r="D9" s="1"/>
  <c r="H4"/>
  <c r="X12" i="1"/>
  <c r="X13"/>
  <c r="X14"/>
  <c r="X15"/>
  <c r="X16"/>
  <c r="X17"/>
  <c r="X18"/>
  <c r="X19"/>
  <c r="X20"/>
  <c r="X21"/>
  <c r="X22"/>
  <c r="X23"/>
  <c r="X24"/>
  <c r="X5"/>
  <c r="X6"/>
  <c r="X7"/>
  <c r="X8"/>
  <c r="X9"/>
  <c r="X10"/>
  <c r="X11"/>
  <c r="E25"/>
  <c r="I25"/>
  <c r="C24"/>
  <c r="D24"/>
  <c r="E24"/>
  <c r="F24"/>
  <c r="G24"/>
  <c r="H24"/>
  <c r="I24"/>
  <c r="J24"/>
  <c r="B24"/>
  <c r="A24"/>
  <c r="T24"/>
  <c r="T25"/>
  <c r="T26" s="1"/>
  <c r="T27" s="1"/>
  <c r="T28" s="1"/>
  <c r="T29" s="1"/>
  <c r="T30" s="1"/>
  <c r="T31" s="1"/>
  <c r="T32" s="1"/>
  <c r="T33" s="1"/>
  <c r="T34" s="1"/>
  <c r="T35" s="1"/>
  <c r="T36" s="1"/>
  <c r="T37" s="1"/>
  <c r="T38" s="1"/>
  <c r="T39" s="1"/>
  <c r="T4"/>
  <c r="T5" s="1"/>
  <c r="T6" s="1"/>
  <c r="T7" s="1"/>
  <c r="T8" s="1"/>
  <c r="T9" s="1"/>
  <c r="T10" s="1"/>
  <c r="T11" s="1"/>
  <c r="T12" s="1"/>
  <c r="T13" s="1"/>
  <c r="T14" s="1"/>
  <c r="T15" s="1"/>
  <c r="T16" s="1"/>
  <c r="T17" s="1"/>
  <c r="T18" s="1"/>
  <c r="T19" s="1"/>
  <c r="K25"/>
  <c r="K26" s="1"/>
  <c r="S24"/>
  <c r="S25" s="1"/>
  <c r="S26" s="1"/>
  <c r="S27" s="1"/>
  <c r="S28" s="1"/>
  <c r="S29" s="1"/>
  <c r="S30" s="1"/>
  <c r="S31" s="1"/>
  <c r="S32" s="1"/>
  <c r="S33" s="1"/>
  <c r="S34" s="1"/>
  <c r="S35" s="1"/>
  <c r="S36" s="1"/>
  <c r="S37" s="1"/>
  <c r="S38" s="1"/>
  <c r="S39" s="1"/>
  <c r="R24"/>
  <c r="R25" s="1"/>
  <c r="R26" s="1"/>
  <c r="R27" s="1"/>
  <c r="R28" s="1"/>
  <c r="R29" s="1"/>
  <c r="R30" s="1"/>
  <c r="R31" s="1"/>
  <c r="R32" s="1"/>
  <c r="R33" s="1"/>
  <c r="R34" s="1"/>
  <c r="R35" s="1"/>
  <c r="R36" s="1"/>
  <c r="R37" s="1"/>
  <c r="R38" s="1"/>
  <c r="R39" s="1"/>
  <c r="Q24"/>
  <c r="Q25" s="1"/>
  <c r="Q26" s="1"/>
  <c r="Q27" s="1"/>
  <c r="Q28" s="1"/>
  <c r="Q29" s="1"/>
  <c r="Q30" s="1"/>
  <c r="Q31" s="1"/>
  <c r="Q32" s="1"/>
  <c r="Q33" s="1"/>
  <c r="Q34" s="1"/>
  <c r="Q35" s="1"/>
  <c r="Q36" s="1"/>
  <c r="Q37" s="1"/>
  <c r="Q38" s="1"/>
  <c r="Q39" s="1"/>
  <c r="P24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O24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N24"/>
  <c r="N25" s="1"/>
  <c r="M24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L24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K24"/>
  <c r="K4"/>
  <c r="A4" s="1"/>
  <c r="I4" s="1"/>
  <c r="S4"/>
  <c r="S5" s="1"/>
  <c r="S6" s="1"/>
  <c r="S7" s="1"/>
  <c r="S8" s="1"/>
  <c r="S9" s="1"/>
  <c r="S10" s="1"/>
  <c r="S11" s="1"/>
  <c r="S12" s="1"/>
  <c r="S13" s="1"/>
  <c r="S14" s="1"/>
  <c r="S15" s="1"/>
  <c r="S16" s="1"/>
  <c r="S17" s="1"/>
  <c r="S18" s="1"/>
  <c r="S19" s="1"/>
  <c r="N4"/>
  <c r="N5" s="1"/>
  <c r="N6" s="1"/>
  <c r="N7" s="1"/>
  <c r="N8" s="1"/>
  <c r="N9" s="1"/>
  <c r="N10" s="1"/>
  <c r="N11" s="1"/>
  <c r="N12" s="1"/>
  <c r="N13" s="1"/>
  <c r="N14" s="1"/>
  <c r="N15" s="1"/>
  <c r="N16" s="1"/>
  <c r="N17" s="1"/>
  <c r="N18" s="1"/>
  <c r="N19" s="1"/>
  <c r="O4"/>
  <c r="O5" s="1"/>
  <c r="O6" s="1"/>
  <c r="O7" s="1"/>
  <c r="O8" s="1"/>
  <c r="O9" s="1"/>
  <c r="O10" s="1"/>
  <c r="O11" s="1"/>
  <c r="O12" s="1"/>
  <c r="O13" s="1"/>
  <c r="O14" s="1"/>
  <c r="O15" s="1"/>
  <c r="O16" s="1"/>
  <c r="O17" s="1"/>
  <c r="O18" s="1"/>
  <c r="O19" s="1"/>
  <c r="P4"/>
  <c r="P5" s="1"/>
  <c r="P6" s="1"/>
  <c r="P7" s="1"/>
  <c r="P8" s="1"/>
  <c r="P9" s="1"/>
  <c r="P10" s="1"/>
  <c r="P11" s="1"/>
  <c r="P12" s="1"/>
  <c r="P13" s="1"/>
  <c r="P14" s="1"/>
  <c r="P15" s="1"/>
  <c r="P16" s="1"/>
  <c r="P17" s="1"/>
  <c r="P18" s="1"/>
  <c r="P19" s="1"/>
  <c r="Q4"/>
  <c r="Q5" s="1"/>
  <c r="Q6" s="1"/>
  <c r="Q7" s="1"/>
  <c r="Q8" s="1"/>
  <c r="Q9" s="1"/>
  <c r="Q10" s="1"/>
  <c r="Q11" s="1"/>
  <c r="Q12" s="1"/>
  <c r="Q13" s="1"/>
  <c r="Q14" s="1"/>
  <c r="Q15" s="1"/>
  <c r="Q16" s="1"/>
  <c r="Q17" s="1"/>
  <c r="Q18" s="1"/>
  <c r="Q19" s="1"/>
  <c r="R4"/>
  <c r="R5" s="1"/>
  <c r="R6" s="1"/>
  <c r="R7" s="1"/>
  <c r="R8" s="1"/>
  <c r="R9" s="1"/>
  <c r="R10" s="1"/>
  <c r="R11" s="1"/>
  <c r="R12" s="1"/>
  <c r="R13" s="1"/>
  <c r="R14" s="1"/>
  <c r="R15" s="1"/>
  <c r="R16" s="1"/>
  <c r="R17" s="1"/>
  <c r="R18" s="1"/>
  <c r="R19" s="1"/>
  <c r="M4"/>
  <c r="M5" s="1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L5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4"/>
  <c r="N26" l="1"/>
  <c r="D25"/>
  <c r="I26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J25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F25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B25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K5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E26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H25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A25"/>
  <c r="A26" s="1"/>
  <c r="G25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C25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I8" i="2"/>
  <c r="I9" s="1"/>
  <c r="D10" s="1"/>
  <c r="J4" i="1"/>
  <c r="K27"/>
  <c r="A8"/>
  <c r="A5"/>
  <c r="F4"/>
  <c r="H4"/>
  <c r="D8"/>
  <c r="D5"/>
  <c r="G4"/>
  <c r="B4"/>
  <c r="C4"/>
  <c r="D4"/>
  <c r="E4"/>
  <c r="A12"/>
  <c r="A10"/>
  <c r="A11"/>
  <c r="A9"/>
  <c r="A7"/>
  <c r="A6"/>
  <c r="A14"/>
  <c r="A13"/>
  <c r="A16"/>
  <c r="A17"/>
  <c r="A15"/>
  <c r="A19"/>
  <c r="A18"/>
  <c r="N27" l="1"/>
  <c r="D26"/>
  <c r="A27"/>
  <c r="I17"/>
  <c r="J17"/>
  <c r="J6"/>
  <c r="I6"/>
  <c r="J10"/>
  <c r="I10"/>
  <c r="H8"/>
  <c r="J8"/>
  <c r="I8"/>
  <c r="J15"/>
  <c r="I15"/>
  <c r="J14"/>
  <c r="I14"/>
  <c r="J11"/>
  <c r="I11"/>
  <c r="I5"/>
  <c r="J5"/>
  <c r="J19"/>
  <c r="I19"/>
  <c r="I13"/>
  <c r="J13"/>
  <c r="I9"/>
  <c r="J9"/>
  <c r="J18"/>
  <c r="I18"/>
  <c r="J16"/>
  <c r="I16"/>
  <c r="J7"/>
  <c r="I7"/>
  <c r="J12"/>
  <c r="I12"/>
  <c r="K28"/>
  <c r="F8"/>
  <c r="E8"/>
  <c r="C8"/>
  <c r="G8"/>
  <c r="B8"/>
  <c r="F5"/>
  <c r="G5"/>
  <c r="H5"/>
  <c r="C5"/>
  <c r="B5"/>
  <c r="E5"/>
  <c r="E18"/>
  <c r="H18"/>
  <c r="G18"/>
  <c r="C18"/>
  <c r="F18"/>
  <c r="B18"/>
  <c r="D18"/>
  <c r="H12"/>
  <c r="G12"/>
  <c r="C12"/>
  <c r="D12"/>
  <c r="F12"/>
  <c r="B12"/>
  <c r="E12"/>
  <c r="F17"/>
  <c r="B17"/>
  <c r="D17"/>
  <c r="H17"/>
  <c r="C17"/>
  <c r="E17"/>
  <c r="G17"/>
  <c r="E6"/>
  <c r="H6"/>
  <c r="D6"/>
  <c r="G6"/>
  <c r="C6"/>
  <c r="F6"/>
  <c r="B6"/>
  <c r="D15"/>
  <c r="F15"/>
  <c r="H15"/>
  <c r="G15"/>
  <c r="C15"/>
  <c r="B15"/>
  <c r="E15"/>
  <c r="E14"/>
  <c r="H14"/>
  <c r="G14"/>
  <c r="D14"/>
  <c r="C14"/>
  <c r="F14"/>
  <c r="B14"/>
  <c r="D11"/>
  <c r="F11"/>
  <c r="B11"/>
  <c r="E11"/>
  <c r="H11"/>
  <c r="G11"/>
  <c r="C11"/>
  <c r="H16"/>
  <c r="G16"/>
  <c r="C16"/>
  <c r="E16"/>
  <c r="F16"/>
  <c r="B16"/>
  <c r="D16"/>
  <c r="D7"/>
  <c r="H7"/>
  <c r="G7"/>
  <c r="C7"/>
  <c r="F7"/>
  <c r="B7"/>
  <c r="E7"/>
  <c r="E10"/>
  <c r="H10"/>
  <c r="G10"/>
  <c r="C10"/>
  <c r="F10"/>
  <c r="B10"/>
  <c r="D10"/>
  <c r="D19"/>
  <c r="B19"/>
  <c r="E19"/>
  <c r="H19"/>
  <c r="G19"/>
  <c r="C19"/>
  <c r="F19"/>
  <c r="F13"/>
  <c r="B13"/>
  <c r="G13"/>
  <c r="E13"/>
  <c r="D13"/>
  <c r="H13"/>
  <c r="C13"/>
  <c r="F9"/>
  <c r="B9"/>
  <c r="D9"/>
  <c r="E9"/>
  <c r="H9"/>
  <c r="G9"/>
  <c r="C9"/>
  <c r="A28" l="1"/>
  <c r="N28"/>
  <c r="N29" s="1"/>
  <c r="N30" s="1"/>
  <c r="N31" s="1"/>
  <c r="N32" s="1"/>
  <c r="N33" s="1"/>
  <c r="N34" s="1"/>
  <c r="N35" s="1"/>
  <c r="N36" s="1"/>
  <c r="N37" s="1"/>
  <c r="N38" s="1"/>
  <c r="N39" s="1"/>
  <c r="D27"/>
  <c r="D28" s="1"/>
  <c r="D29" s="1"/>
  <c r="D30" s="1"/>
  <c r="D31" s="1"/>
  <c r="D32" s="1"/>
  <c r="D33" s="1"/>
  <c r="D34" s="1"/>
  <c r="D35" s="1"/>
  <c r="D36" s="1"/>
  <c r="D37" s="1"/>
  <c r="D38" s="1"/>
  <c r="D39" s="1"/>
  <c r="K29"/>
  <c r="A29" l="1"/>
  <c r="A30" s="1"/>
  <c r="K30"/>
  <c r="K31" l="1"/>
  <c r="A31" s="1"/>
  <c r="K32" l="1"/>
  <c r="A32" s="1"/>
  <c r="K33" l="1"/>
  <c r="K34" s="1"/>
  <c r="K35" s="1"/>
  <c r="K36" s="1"/>
  <c r="K37" s="1"/>
  <c r="K38" s="1"/>
  <c r="K39" s="1"/>
  <c r="A33" l="1"/>
  <c r="A34" s="1"/>
  <c r="A35" s="1"/>
  <c r="A36" s="1"/>
  <c r="A37" s="1"/>
  <c r="A38" s="1"/>
  <c r="A39" s="1"/>
  <c r="D23" i="2"/>
  <c r="D15"/>
  <c r="H17" s="1"/>
  <c r="D17" s="1"/>
</calcChain>
</file>

<file path=xl/connections.xml><?xml version="1.0" encoding="utf-8"?>
<connections xmlns="http://schemas.openxmlformats.org/spreadsheetml/2006/main">
  <connection id="1" name="Connexion" type="4" refreshedVersion="3" background="1" saveData="1">
    <webPr sourceData="1" parsePre="1" consecutive="1" xl2000="1" url="http://www.soccerstats.fr/team_trends.asp?league=france&amp;pmtype=overunder" htmlTables="1">
      <tables count="2">
        <x v="2"/>
        <x v="3"/>
      </tables>
    </webPr>
  </connection>
  <connection id="2" name="Connexion1" type="4" refreshedVersion="3" background="1" saveData="1">
    <webPr sourceData="1" parsePre="1" consecutive="1" xl2000="1" url="http://www.soccervista.com/France-Ligue_1-2014_2015-835961.html" htmlTables="1">
      <tables count="7">
        <x v="3"/>
        <x v="4"/>
        <x v="5"/>
        <x v="7"/>
        <x v="8"/>
        <x v="9"/>
        <x v="10"/>
      </tables>
    </webPr>
  </connection>
  <connection id="3" name="Connexion2" type="4" refreshedVersion="3" background="1" saveData="1">
    <webPr sourceData="1" parsePre="1" consecutive="1" xl2000="1" url="http://www.soccerstats.fr/latest.asp?league=france" htmlTables="1">
      <tables count="1">
        <x v="14"/>
      </tables>
    </webPr>
  </connection>
  <connection id="4" name="Connexion3" type="4" refreshedVersion="3" background="1" saveData="1">
    <webPr sourceData="1" parsePre="1" consecutive="1" xl2000="1" url="http://www.soccerstats.fr/homeaway.asp?league=france" htmlTables="1">
      <tables count="2">
        <x v="7"/>
        <x v="9"/>
      </tables>
    </webPr>
  </connection>
  <connection id="5" name="Connexion4" type="4" refreshedVersion="3" background="1" saveData="1">
    <webPr sourceData="1" parsePre="1" consecutive="1" xl2000="1" url="http://www.soccerstats.fr/scorers.asp?league=france" htmlTables="1">
      <tables count="1">
        <s v="btable"/>
      </tables>
    </webPr>
  </connection>
  <connection id="6" interval="5" name="statistiques" type="4" refreshedVersion="3" background="1" refreshOnLoad="1" saveData="1">
    <webPr sourceData="1" parsePre="1" consecutive="1" textDates="1" xl2000="1" url="http://www.soccerstats.fr/pmatch.asp?league=france&amp;matchid=499&amp;t1=32&amp;t2=36&amp;ly=2015&amp;articleid=499" htmlTables="1" htmlFormat="rtf">
      <tables count="3">
        <x v="8"/>
        <x v="13"/>
        <x v="41"/>
      </tables>
    </webPr>
  </connection>
</connections>
</file>

<file path=xl/sharedStrings.xml><?xml version="1.0" encoding="utf-8"?>
<sst xmlns="http://schemas.openxmlformats.org/spreadsheetml/2006/main" count="845" uniqueCount="340">
  <si>
    <t>CONSEIL</t>
  </si>
  <si>
    <t>Bankroll</t>
  </si>
  <si>
    <t>Colonne</t>
  </si>
  <si>
    <t>25-39</t>
  </si>
  <si>
    <t>39-50</t>
  </si>
  <si>
    <t>50-64</t>
  </si>
  <si>
    <t>64-77</t>
  </si>
  <si>
    <t>77-89</t>
  </si>
  <si>
    <t>89-102</t>
  </si>
  <si>
    <t>102-115</t>
  </si>
  <si>
    <t>115-127</t>
  </si>
  <si>
    <t>127-140</t>
  </si>
  <si>
    <t>140-153</t>
  </si>
  <si>
    <t>153-166</t>
  </si>
  <si>
    <t>166-178</t>
  </si>
  <si>
    <t>178-191</t>
  </si>
  <si>
    <t>191-204</t>
  </si>
  <si>
    <t>204-216</t>
  </si>
  <si>
    <t>216-229</t>
  </si>
  <si>
    <t>229-242</t>
  </si>
  <si>
    <t>242-254</t>
  </si>
  <si>
    <t>254 ET +</t>
  </si>
  <si>
    <t>Colonne1</t>
  </si>
  <si>
    <t>matchs de +2.5 buts à domicile de l'équipe 1</t>
  </si>
  <si>
    <t>matchs de +2.5 buts à domicile de l'équipe 2</t>
  </si>
  <si>
    <t>Moyenne de buts des 4 dernier matchs</t>
  </si>
  <si>
    <t>&gt; à 60%</t>
  </si>
  <si>
    <t>%</t>
  </si>
  <si>
    <t>STOP</t>
  </si>
  <si>
    <t>les 2 équipes sont proches (3 classements maxi)</t>
  </si>
  <si>
    <t>/</t>
  </si>
  <si>
    <t>Marseille</t>
  </si>
  <si>
    <t>Lyon</t>
  </si>
  <si>
    <t>Nantes</t>
  </si>
  <si>
    <t>Bordeaux</t>
  </si>
  <si>
    <t>Monaco</t>
  </si>
  <si>
    <t>Nice</t>
  </si>
  <si>
    <t>Rennes</t>
  </si>
  <si>
    <t>Metz</t>
  </si>
  <si>
    <t>Lille</t>
  </si>
  <si>
    <t>Reims</t>
  </si>
  <si>
    <t>Toulouse</t>
  </si>
  <si>
    <t>Montpellier</t>
  </si>
  <si>
    <t>Caen</t>
  </si>
  <si>
    <t>Lens</t>
  </si>
  <si>
    <t>Lorient</t>
  </si>
  <si>
    <t>Evian Thonon Gaillard</t>
  </si>
  <si>
    <t>Guingamp</t>
  </si>
  <si>
    <t>Bastia</t>
  </si>
  <si>
    <t>19 Oct</t>
  </si>
  <si>
    <r>
      <t>BOR</t>
    </r>
    <r>
      <rPr>
        <sz val="11"/>
        <color theme="1"/>
        <rFont val="Calibri"/>
        <family val="2"/>
        <scheme val="minor"/>
      </rPr>
      <t xml:space="preserve"> - Caen </t>
    </r>
  </si>
  <si>
    <t>1-1</t>
  </si>
  <si>
    <t>2-0</t>
  </si>
  <si>
    <r>
      <t xml:space="preserve">Marseille - </t>
    </r>
    <r>
      <rPr>
        <b/>
        <sz val="11"/>
        <color theme="1"/>
        <rFont val="Calibri"/>
        <family val="2"/>
        <scheme val="minor"/>
      </rPr>
      <t>TOU</t>
    </r>
  </si>
  <si>
    <t>28 Sep</t>
  </si>
  <si>
    <r>
      <t>BOR</t>
    </r>
    <r>
      <rPr>
        <sz val="11"/>
        <color theme="1"/>
        <rFont val="Calibri"/>
        <family val="2"/>
        <scheme val="minor"/>
      </rPr>
      <t xml:space="preserve"> - Rennes </t>
    </r>
  </si>
  <si>
    <t>2-1</t>
  </si>
  <si>
    <t>0-1</t>
  </si>
  <si>
    <r>
      <t xml:space="preserve">Saint-Etienne - </t>
    </r>
    <r>
      <rPr>
        <b/>
        <sz val="11"/>
        <color theme="1"/>
        <rFont val="Calibri"/>
        <family val="2"/>
        <scheme val="minor"/>
      </rPr>
      <t>TOU</t>
    </r>
  </si>
  <si>
    <t>5 Oct</t>
  </si>
  <si>
    <t>19 Sep</t>
  </si>
  <si>
    <r>
      <t>BOR</t>
    </r>
    <r>
      <rPr>
        <sz val="11"/>
        <color theme="1"/>
        <rFont val="Calibri"/>
        <family val="2"/>
        <scheme val="minor"/>
      </rPr>
      <t xml:space="preserve"> - Evian TG </t>
    </r>
  </si>
  <si>
    <t>0-3</t>
  </si>
  <si>
    <r>
      <t xml:space="preserve">Rennes - </t>
    </r>
    <r>
      <rPr>
        <b/>
        <sz val="11"/>
        <color theme="1"/>
        <rFont val="Calibri"/>
        <family val="2"/>
        <scheme val="minor"/>
      </rPr>
      <t>TOU</t>
    </r>
  </si>
  <si>
    <t>23 Sep</t>
  </si>
  <si>
    <t>31 Aug</t>
  </si>
  <si>
    <r>
      <t>BOR</t>
    </r>
    <r>
      <rPr>
        <sz val="11"/>
        <color theme="1"/>
        <rFont val="Calibri"/>
        <family val="2"/>
        <scheme val="minor"/>
      </rPr>
      <t xml:space="preserve"> - Bastia </t>
    </r>
  </si>
  <si>
    <r>
      <t xml:space="preserve">Reims - </t>
    </r>
    <r>
      <rPr>
        <b/>
        <sz val="11"/>
        <color theme="1"/>
        <rFont val="Calibri"/>
        <family val="2"/>
        <scheme val="minor"/>
      </rPr>
      <t>TOU</t>
    </r>
  </si>
  <si>
    <t>13 Sep</t>
  </si>
  <si>
    <t>Domicile</t>
  </si>
  <si>
    <t>Général</t>
  </si>
  <si>
    <t>SCORING</t>
  </si>
  <si>
    <t>Extérieur</t>
  </si>
  <si>
    <t>Buts marqués</t>
  </si>
  <si>
    <t>Buts concédés</t>
  </si>
  <si>
    <r>
      <t>(1)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2.00</t>
    </r>
  </si>
  <si>
    <t>1.45</t>
  </si>
  <si>
    <t>Moy. buts marqués</t>
  </si>
  <si>
    <t>1.18</t>
  </si>
  <si>
    <r>
      <t>1.00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(3)</t>
    </r>
  </si>
  <si>
    <r>
      <t>(2)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1.00</t>
    </r>
  </si>
  <si>
    <t>Moy. buts concédés</t>
  </si>
  <si>
    <t>1.36</t>
  </si>
  <si>
    <r>
      <t>1.33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(4)</t>
    </r>
  </si>
  <si>
    <r>
      <t>(A)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3.00</t>
    </r>
  </si>
  <si>
    <r>
      <t>(B)</t>
    </r>
    <r>
      <rPr>
        <sz val="11"/>
        <color theme="1"/>
        <rFont val="Calibri"/>
        <family val="2"/>
        <scheme val="minor"/>
      </rPr>
      <t xml:space="preserve"> 2.64</t>
    </r>
  </si>
  <si>
    <t>Moy. marqués + concédés</t>
  </si>
  <si>
    <r>
      <t xml:space="preserve">2.55 </t>
    </r>
    <r>
      <rPr>
        <sz val="11"/>
        <color rgb="FF0000FF"/>
        <rFont val="Calibri"/>
        <family val="2"/>
        <scheme val="minor"/>
      </rPr>
      <t>(C)</t>
    </r>
  </si>
  <si>
    <r>
      <t>2.33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FF"/>
        <rFont val="Calibri"/>
        <family val="2"/>
        <scheme val="minor"/>
      </rPr>
      <t>(D)</t>
    </r>
  </si>
  <si>
    <r>
      <t>(E)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60%</t>
    </r>
  </si>
  <si>
    <r>
      <t>(F)</t>
    </r>
    <r>
      <rPr>
        <sz val="11"/>
        <color theme="1"/>
        <rFont val="Calibri"/>
        <family val="2"/>
        <scheme val="minor"/>
      </rPr>
      <t xml:space="preserve"> 55%</t>
    </r>
  </si>
  <si>
    <t>Matchs à plus de 2,5 buts</t>
  </si>
  <si>
    <r>
      <t xml:space="preserve">36% </t>
    </r>
    <r>
      <rPr>
        <sz val="11"/>
        <color rgb="FF008000"/>
        <rFont val="Calibri"/>
        <family val="2"/>
        <scheme val="minor"/>
      </rPr>
      <t>(G)</t>
    </r>
  </si>
  <si>
    <r>
      <t>33%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8000"/>
        <rFont val="Calibri"/>
        <family val="2"/>
        <scheme val="minor"/>
      </rPr>
      <t>(H)</t>
    </r>
  </si>
  <si>
    <t>Matchs à plus de 3,5 buts</t>
  </si>
  <si>
    <t>Matchs à plus de 4,5 buts</t>
  </si>
  <si>
    <t>Les 2 équipes ont marqué</t>
  </si>
  <si>
    <t>Matchs sans but encaissé</t>
  </si>
  <si>
    <t>Matchs sans but marqué</t>
  </si>
  <si>
    <t>NOMBRE</t>
  </si>
  <si>
    <t xml:space="preserve">(6ème) </t>
  </si>
  <si>
    <t>Dim. 2 Nov 2014</t>
  </si>
  <si>
    <t xml:space="preserve">(12ème) </t>
  </si>
  <si>
    <t xml:space="preserve"> &gt; à 2.5 buts</t>
  </si>
  <si>
    <t>Écart des 2 équipes (5 classements mini)</t>
  </si>
  <si>
    <t>Total</t>
  </si>
  <si>
    <t>G</t>
  </si>
  <si>
    <t>2.42</t>
  </si>
  <si>
    <t>Home</t>
  </si>
  <si>
    <t>1.5</t>
  </si>
  <si>
    <t>1.33</t>
  </si>
  <si>
    <t>#</t>
  </si>
  <si>
    <t>team</t>
  </si>
  <si>
    <t>W</t>
  </si>
  <si>
    <t>D</t>
  </si>
  <si>
    <t>L</t>
  </si>
  <si>
    <t>goals</t>
  </si>
  <si>
    <t>points</t>
  </si>
  <si>
    <t>Paris Saint Germain</t>
  </si>
  <si>
    <t>Saint Etienne</t>
  </si>
  <si>
    <t xml:space="preserve"> champions league champions league   champions league qualification champions league qualification   uefa qualification uefa qualification   relegation relegation  </t>
  </si>
  <si>
    <t>Away</t>
  </si>
  <si>
    <t>Over in % of games</t>
  </si>
  <si>
    <t>Average # of goals</t>
  </si>
  <si>
    <t>2.5</t>
  </si>
  <si>
    <t>3.5</t>
  </si>
  <si>
    <t>2.83</t>
  </si>
  <si>
    <t>3.33</t>
  </si>
  <si>
    <t>3.08</t>
  </si>
  <si>
    <t>2.57</t>
  </si>
  <si>
    <t>3.4</t>
  </si>
  <si>
    <t>2.92</t>
  </si>
  <si>
    <t>2.86</t>
  </si>
  <si>
    <t>2.8</t>
  </si>
  <si>
    <t>2.75</t>
  </si>
  <si>
    <t>2.33</t>
  </si>
  <si>
    <t>2.67</t>
  </si>
  <si>
    <t>2.43</t>
  </si>
  <si>
    <t>2.58</t>
  </si>
  <si>
    <t>2.4</t>
  </si>
  <si>
    <t>2.71</t>
  </si>
  <si>
    <t>1.57</t>
  </si>
  <si>
    <t>1.83</t>
  </si>
  <si>
    <t>2.25</t>
  </si>
  <si>
    <t>2.17</t>
  </si>
  <si>
    <t>2.08</t>
  </si>
  <si>
    <t>1.92</t>
  </si>
  <si>
    <t>1.67</t>
  </si>
  <si>
    <t>1.43</t>
  </si>
  <si>
    <t>1.8</t>
  </si>
  <si>
    <t>1.58</t>
  </si>
  <si>
    <t>1.71</t>
  </si>
  <si>
    <t>1.4</t>
  </si>
  <si>
    <t>1.75</t>
  </si>
  <si>
    <t>1.50</t>
  </si>
  <si>
    <t>1.17</t>
  </si>
  <si>
    <t xml:space="preserve"> Bordeaux</t>
  </si>
  <si>
    <t xml:space="preserve">Toulouse </t>
  </si>
  <si>
    <t>3.00</t>
  </si>
  <si>
    <t>http://www.soccerstats.fr/latest.asp?league=france</t>
  </si>
  <si>
    <t>Pts</t>
  </si>
  <si>
    <t>J</t>
  </si>
  <si>
    <t>N</t>
  </si>
  <si>
    <t>P</t>
  </si>
  <si>
    <t>BP</t>
  </si>
  <si>
    <t>BC</t>
  </si>
  <si>
    <t>Dif</t>
  </si>
  <si>
    <t>8 der.</t>
  </si>
  <si>
    <t>PPM</t>
  </si>
  <si>
    <t>%PP</t>
  </si>
  <si>
    <t>SBE</t>
  </si>
  <si>
    <t>SBM</t>
  </si>
  <si>
    <t xml:space="preserve"> Marseille</t>
  </si>
  <si>
    <t xml:space="preserve"> Paris SG</t>
  </si>
  <si>
    <t>2.00</t>
  </si>
  <si>
    <t xml:space="preserve"> Lyon</t>
  </si>
  <si>
    <t xml:space="preserve"> Saint-Etienne</t>
  </si>
  <si>
    <t xml:space="preserve"> Nantes</t>
  </si>
  <si>
    <t xml:space="preserve"> Monaco</t>
  </si>
  <si>
    <t xml:space="preserve"> Metz</t>
  </si>
  <si>
    <t xml:space="preserve"> Montpellier</t>
  </si>
  <si>
    <t>1.42</t>
  </si>
  <si>
    <t xml:space="preserve"> Nice</t>
  </si>
  <si>
    <t xml:space="preserve"> Rennes</t>
  </si>
  <si>
    <t xml:space="preserve"> Lille</t>
  </si>
  <si>
    <t xml:space="preserve"> Reims</t>
  </si>
  <si>
    <t>1.25</t>
  </si>
  <si>
    <t xml:space="preserve"> Toulouse</t>
  </si>
  <si>
    <t xml:space="preserve"> Caen</t>
  </si>
  <si>
    <t>1.00</t>
  </si>
  <si>
    <t xml:space="preserve"> Guingamp</t>
  </si>
  <si>
    <t xml:space="preserve"> Lens</t>
  </si>
  <si>
    <t>0.92</t>
  </si>
  <si>
    <t xml:space="preserve"> Lorient</t>
  </si>
  <si>
    <t>0.83</t>
  </si>
  <si>
    <t xml:space="preserve"> Bastia</t>
  </si>
  <si>
    <t xml:space="preserve"> Evian TG</t>
  </si>
  <si>
    <t>Diff.</t>
  </si>
  <si>
    <t>Paris SG</t>
  </si>
  <si>
    <t>Saint-Etienne</t>
  </si>
  <si>
    <t>Evian TG</t>
  </si>
  <si>
    <t xml:space="preserve">moy. buts marqués domicile :                                                      moy. buts concédés domicile :                           </t>
  </si>
  <si>
    <t xml:space="preserve">moy. buts marqués extérieur :                                                      moy. buts concédés extérieur :                           </t>
  </si>
  <si>
    <t>Matchs de...</t>
  </si>
  <si>
    <t>Joués</t>
  </si>
  <si>
    <t>Total de buts dans le match (buts de l'équipe + buts de l'adversaire)</t>
  </si>
  <si>
    <t>Moyenne</t>
  </si>
  <si>
    <t xml:space="preserve"> + de 0,5 </t>
  </si>
  <si>
    <t xml:space="preserve"> + de 1,5 </t>
  </si>
  <si>
    <t xml:space="preserve"> + de 2,5 </t>
  </si>
  <si>
    <t xml:space="preserve"> + de 3,5 </t>
  </si>
  <si>
    <t xml:space="preserve"> + de 4,5 </t>
  </si>
  <si>
    <t xml:space="preserve">Bastia </t>
  </si>
  <si>
    <t>91.7%</t>
  </si>
  <si>
    <t xml:space="preserve">Bordeaux </t>
  </si>
  <si>
    <t>100.0%</t>
  </si>
  <si>
    <t xml:space="preserve">Caen </t>
  </si>
  <si>
    <t xml:space="preserve">Evian TG </t>
  </si>
  <si>
    <t xml:space="preserve">Guingamp </t>
  </si>
  <si>
    <t>2.50</t>
  </si>
  <si>
    <t xml:space="preserve">Lens </t>
  </si>
  <si>
    <t xml:space="preserve">Lille </t>
  </si>
  <si>
    <t>83.3%</t>
  </si>
  <si>
    <t xml:space="preserve">Lorient </t>
  </si>
  <si>
    <t xml:space="preserve">Lyon </t>
  </si>
  <si>
    <t xml:space="preserve">Marseille </t>
  </si>
  <si>
    <t xml:space="preserve">Metz </t>
  </si>
  <si>
    <t xml:space="preserve">Monaco </t>
  </si>
  <si>
    <t xml:space="preserve">Montpellier </t>
  </si>
  <si>
    <t xml:space="preserve">Nantes </t>
  </si>
  <si>
    <t xml:space="preserve">Nice </t>
  </si>
  <si>
    <t xml:space="preserve">Paris SG </t>
  </si>
  <si>
    <t xml:space="preserve">Reims </t>
  </si>
  <si>
    <t xml:space="preserve">Rennes </t>
  </si>
  <si>
    <t xml:space="preserve">Saint-Etienne </t>
  </si>
  <si>
    <t xml:space="preserve"> Moy. championnat</t>
  </si>
  <si>
    <t>Matchs à domicile de...</t>
  </si>
  <si>
    <t>2.40</t>
  </si>
  <si>
    <t>80.0%</t>
  </si>
  <si>
    <t>71.4%</t>
  </si>
  <si>
    <t>2.80</t>
  </si>
  <si>
    <t>3.40</t>
  </si>
  <si>
    <t>Matchs à l'extérieur de...</t>
  </si>
  <si>
    <t>85.7%</t>
  </si>
  <si>
    <t>1.80</t>
  </si>
  <si>
    <t>1.40</t>
  </si>
  <si>
    <t>1/5 = 5% de la Bankroll</t>
  </si>
  <si>
    <t>2/5 = 10% de la Bankroll</t>
  </si>
  <si>
    <t>3/5  = 20% de la Bankroll</t>
  </si>
  <si>
    <t>4/5 = 40% de la Bankroll</t>
  </si>
  <si>
    <t>5/5 = 40% de la Bankroll</t>
  </si>
  <si>
    <t>l'équipe qui joue à domicile:</t>
  </si>
  <si>
    <t>classement globale:</t>
  </si>
  <si>
    <t xml:space="preserve">classement de l'équipe à domicile et de celle à l'extérieur                           </t>
  </si>
  <si>
    <t>forme de l'équipe domicile et celle à l'extérieur ( 5 derniers matchs) :</t>
  </si>
  <si>
    <t>selon son placement dans le classement,           1 pt dans le top3 et 1 point au 5 derniere place</t>
  </si>
  <si>
    <t>confrontation allé: +0,5 si l'équipe qui était à domicile l'a emporté, +0.5 si match nul pour l'équipe qui était à l'extérieur ou +1 point si l'équipe qui était à l'extérieur l'avais emporté</t>
  </si>
  <si>
    <t>top 3 attaque champ : +1 point à l'équipe qui y figure</t>
  </si>
  <si>
    <t>top 3 défense champ: +1 point à l'équipe qui y figure.</t>
  </si>
  <si>
    <t>l'équipe à un buteur performant dans ce championnat (top5): +1 point si oui.</t>
  </si>
  <si>
    <t>1/10 = 10% de la Bankroll</t>
  </si>
  <si>
    <t>2/10 = 20% de la Bankroll</t>
  </si>
  <si>
    <t>3/10  = 30% de la Bankroll</t>
  </si>
  <si>
    <t>4/10 = 40% de la Bankroll</t>
  </si>
  <si>
    <t>5/10 = 50% de la Bankroll</t>
  </si>
  <si>
    <t>6/10 = 60% de la Bankroll</t>
  </si>
  <si>
    <t>7/10 = 70% de la Bankroll</t>
  </si>
  <si>
    <t>8/10 = 80% de la Bankroll</t>
  </si>
  <si>
    <t>9/10 = 90% de la Bankroll</t>
  </si>
  <si>
    <t>10/10 = 100% de la Bankroll</t>
  </si>
  <si>
    <t>Equipes</t>
  </si>
  <si>
    <t>Top 3 défense</t>
  </si>
  <si>
    <t>Top 3 attaque</t>
  </si>
  <si>
    <t>moy. buts marqués domicile          moy. buts concédés domicile</t>
  </si>
  <si>
    <t>Buts</t>
  </si>
  <si>
    <t xml:space="preserve">pen. </t>
  </si>
  <si>
    <t xml:space="preserve">Dom. </t>
  </si>
  <si>
    <t xml:space="preserve">Ext. </t>
  </si>
  <si>
    <t>dernier</t>
  </si>
  <si>
    <t xml:space="preserve">but </t>
  </si>
  <si>
    <t>A. Lacazette</t>
  </si>
  <si>
    <t>A. Gignac</t>
  </si>
  <si>
    <t>Carlos Eduardo</t>
  </si>
  <si>
    <t>W. Ben Yedder</t>
  </si>
  <si>
    <t>D. Rolán</t>
  </si>
  <si>
    <t>P. Ntep</t>
  </si>
  <si>
    <t>Lucas Moura Silva</t>
  </si>
  <si>
    <t>E. Cavani</t>
  </si>
  <si>
    <t>Z. Ibrahimovic</t>
  </si>
  <si>
    <t xml:space="preserve">31 Aug </t>
  </si>
  <si>
    <t>N. Fekir</t>
  </si>
  <si>
    <t>J. Falcón</t>
  </si>
  <si>
    <t>D. Wass</t>
  </si>
  <si>
    <t>C. Diabaté</t>
  </si>
  <si>
    <t>Y. Gourcuff</t>
  </si>
  <si>
    <t>C. Beauvue</t>
  </si>
  <si>
    <t>B. Moukandjo</t>
  </si>
  <si>
    <t>G. Imbula</t>
  </si>
  <si>
    <t>F. Thauvin</t>
  </si>
  <si>
    <t>D. Payet</t>
  </si>
  <si>
    <t>W. Khazri</t>
  </si>
  <si>
    <t>M. Gradel</t>
  </si>
  <si>
    <t>J. Veretout</t>
  </si>
  <si>
    <t>O. Toivonen</t>
  </si>
  <si>
    <t xml:space="preserve">30 Aug </t>
  </si>
  <si>
    <t>D. Origi</t>
  </si>
  <si>
    <t>V. Lavigne</t>
  </si>
  <si>
    <t>S. Malbranque</t>
  </si>
  <si>
    <t>C. Maboulou</t>
  </si>
  <si>
    <t>A. Bosetti</t>
  </si>
  <si>
    <t>M. Erding</t>
  </si>
  <si>
    <t xml:space="preserve">17 Aug </t>
  </si>
  <si>
    <t>M. Duhamel</t>
  </si>
  <si>
    <t>M. Maiga</t>
  </si>
  <si>
    <t>N. Nkoulou</t>
  </si>
  <si>
    <t>Y. Ferreira Carrasco</t>
  </si>
  <si>
    <t>R. Schwartz</t>
  </si>
  <si>
    <t>M. Habibou</t>
  </si>
  <si>
    <t>C. Barbosa</t>
  </si>
  <si>
    <t>J. Bahebeck</t>
  </si>
  <si>
    <t>V. Germain</t>
  </si>
  <si>
    <t>A. Pesic</t>
  </si>
  <si>
    <t>A. Ayew</t>
  </si>
  <si>
    <t>F. Lemoine</t>
  </si>
  <si>
    <t>L. Nangis</t>
  </si>
  <si>
    <t>J. Calvé</t>
  </si>
  <si>
    <t>F. Ayité</t>
  </si>
  <si>
    <t>A. Regattin</t>
  </si>
  <si>
    <t>G. Courtet</t>
  </si>
  <si>
    <t>P. Chavarría</t>
  </si>
  <si>
    <t>A. Coulibaly</t>
  </si>
  <si>
    <t>Y. Touzghar</t>
  </si>
  <si>
    <t>J. Ayew</t>
  </si>
  <si>
    <t>H. Bazile</t>
  </si>
  <si>
    <t>S. Camara</t>
  </si>
  <si>
    <t>S. Tiéné</t>
  </si>
  <si>
    <t>D. Berbatov</t>
  </si>
  <si>
    <t>3 meilleurs buteurs</t>
  </si>
  <si>
    <t>Top 3 buteurs</t>
  </si>
  <si>
    <t>3 meilleurs défense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</si>
</sst>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3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rgb="FFFF0000"/>
      <name val="Arial Black"/>
      <family val="2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8"/>
      <color rgb="FF333333"/>
      <name val="Arial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sz val="26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8"/>
      <color theme="0"/>
      <name val="Arial"/>
      <family val="2"/>
    </font>
    <font>
      <sz val="9"/>
      <color rgb="FF000000"/>
      <name val="Verdana"/>
      <family val="2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40404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8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rgb="FF000000"/>
      <name val="Arial Unicode MS"/>
      <family val="2"/>
    </font>
    <font>
      <u/>
      <sz val="11"/>
      <color theme="10"/>
      <name val="Calibri"/>
      <family val="2"/>
    </font>
    <font>
      <sz val="10"/>
      <color theme="1"/>
      <name val="Calibri"/>
      <family val="2"/>
      <scheme val="minor"/>
    </font>
    <font>
      <sz val="10"/>
      <color theme="0"/>
      <name val="Calibri"/>
      <family val="2"/>
    </font>
    <font>
      <sz val="10"/>
      <color theme="10"/>
      <name val="Calibri"/>
      <family val="2"/>
    </font>
    <font>
      <sz val="10"/>
      <color rgb="FF000000"/>
      <name val="Arial"/>
      <family val="2"/>
    </font>
    <font>
      <sz val="10"/>
      <color rgb="FF008000"/>
      <name val="Arial"/>
      <family val="2"/>
    </font>
    <font>
      <sz val="10"/>
      <color rgb="FF404040"/>
      <name val="Arial"/>
      <family val="2"/>
    </font>
    <font>
      <sz val="10"/>
      <color rgb="FF0000FF"/>
      <name val="Arial"/>
      <family val="2"/>
    </font>
    <font>
      <sz val="10"/>
      <color rgb="FFFF0000"/>
      <name val="Calibri"/>
      <family val="2"/>
      <scheme val="minor"/>
    </font>
    <font>
      <sz val="9"/>
      <color rgb="FF333333"/>
      <name val="Courier New"/>
      <family val="3"/>
    </font>
    <font>
      <sz val="9"/>
      <color rgb="FF30303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ACA"/>
        <bgColor indexed="64"/>
      </patternFill>
    </fill>
    <fill>
      <patternFill patternType="solid">
        <fgColor rgb="FFD7EFB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FFFF00"/>
      </left>
      <right/>
      <top style="medium">
        <color rgb="FFFFFF00"/>
      </top>
      <bottom/>
      <diagonal/>
    </border>
    <border>
      <left/>
      <right/>
      <top style="medium">
        <color rgb="FFFFFF00"/>
      </top>
      <bottom/>
      <diagonal/>
    </border>
    <border>
      <left/>
      <right style="medium">
        <color rgb="FFFFFF00"/>
      </right>
      <top style="medium">
        <color rgb="FFFFFF00"/>
      </top>
      <bottom/>
      <diagonal/>
    </border>
    <border>
      <left style="medium">
        <color rgb="FFFFFF00"/>
      </left>
      <right/>
      <top/>
      <bottom style="medium">
        <color rgb="FFFFFF00"/>
      </bottom>
      <diagonal/>
    </border>
    <border>
      <left/>
      <right/>
      <top/>
      <bottom style="medium">
        <color rgb="FFFFFF00"/>
      </bottom>
      <diagonal/>
    </border>
    <border>
      <left/>
      <right style="medium">
        <color rgb="FFFFFF00"/>
      </right>
      <top/>
      <bottom style="medium">
        <color rgb="FFFFFF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4" fillId="0" borderId="0" applyNumberFormat="0" applyFill="0" applyBorder="0" applyAlignment="0" applyProtection="0">
      <alignment vertical="top"/>
      <protection locked="0"/>
    </xf>
  </cellStyleXfs>
  <cellXfs count="212">
    <xf numFmtId="0" fontId="0" fillId="0" borderId="0" xfId="0"/>
    <xf numFmtId="0" fontId="0" fillId="3" borderId="0" xfId="0" applyFill="1"/>
    <xf numFmtId="2" fontId="0" fillId="3" borderId="0" xfId="0" applyNumberFormat="1" applyFill="1" applyAlignment="1">
      <alignment horizontal="center"/>
    </xf>
    <xf numFmtId="2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Border="1"/>
    <xf numFmtId="0" fontId="0" fillId="3" borderId="16" xfId="0" applyFill="1" applyBorder="1"/>
    <xf numFmtId="0" fontId="4" fillId="3" borderId="8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center" vertical="center"/>
    </xf>
    <xf numFmtId="0" fontId="4" fillId="3" borderId="9" xfId="0" applyFont="1" applyFill="1" applyBorder="1"/>
    <xf numFmtId="0" fontId="5" fillId="3" borderId="7" xfId="0" applyFont="1" applyFill="1" applyBorder="1" applyAlignment="1">
      <alignment horizontal="center" vertical="center"/>
    </xf>
    <xf numFmtId="0" fontId="7" fillId="3" borderId="7" xfId="0" applyNumberFormat="1" applyFont="1" applyFill="1" applyBorder="1" applyAlignment="1">
      <alignment horizontal="center" vertical="center"/>
    </xf>
    <xf numFmtId="0" fontId="11" fillId="0" borderId="0" xfId="0" applyFont="1"/>
    <xf numFmtId="2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0" fillId="0" borderId="0" xfId="0" applyFill="1"/>
    <xf numFmtId="0" fontId="15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0" fillId="4" borderId="0" xfId="0" applyFill="1"/>
    <xf numFmtId="0" fontId="18" fillId="0" borderId="0" xfId="0" applyFont="1"/>
    <xf numFmtId="0" fontId="18" fillId="4" borderId="0" xfId="0" applyFont="1" applyFill="1"/>
    <xf numFmtId="0" fontId="19" fillId="4" borderId="0" xfId="0" applyFont="1" applyFill="1"/>
    <xf numFmtId="0" fontId="0" fillId="5" borderId="0" xfId="0" applyFill="1"/>
    <xf numFmtId="0" fontId="0" fillId="6" borderId="0" xfId="0" applyFill="1"/>
    <xf numFmtId="0" fontId="19" fillId="6" borderId="0" xfId="0" applyFont="1" applyFill="1"/>
    <xf numFmtId="0" fontId="0" fillId="7" borderId="0" xfId="0" applyFill="1"/>
    <xf numFmtId="0" fontId="18" fillId="7" borderId="0" xfId="0" applyFont="1" applyFill="1"/>
    <xf numFmtId="0" fontId="19" fillId="7" borderId="0" xfId="0" applyFont="1" applyFill="1"/>
    <xf numFmtId="0" fontId="17" fillId="0" borderId="0" xfId="0" applyFont="1"/>
    <xf numFmtId="0" fontId="20" fillId="0" borderId="0" xfId="0" applyFont="1"/>
    <xf numFmtId="0" fontId="21" fillId="0" borderId="0" xfId="0" applyFont="1"/>
    <xf numFmtId="9" fontId="0" fillId="0" borderId="0" xfId="0" applyNumberFormat="1"/>
    <xf numFmtId="9" fontId="18" fillId="0" borderId="0" xfId="0" applyNumberFormat="1" applyFont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0" fontId="0" fillId="0" borderId="0" xfId="0" applyNumberFormat="1"/>
    <xf numFmtId="2" fontId="0" fillId="0" borderId="0" xfId="0" applyNumberFormat="1" applyBorder="1" applyAlignment="1">
      <alignment horizontal="center" vertical="center"/>
    </xf>
    <xf numFmtId="0" fontId="22" fillId="0" borderId="0" xfId="0" applyFont="1"/>
    <xf numFmtId="0" fontId="23" fillId="0" borderId="0" xfId="0" applyFont="1"/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2" fontId="0" fillId="0" borderId="0" xfId="0" applyNumberFormat="1" applyBorder="1" applyAlignment="1">
      <alignment vertical="center"/>
    </xf>
    <xf numFmtId="0" fontId="8" fillId="8" borderId="0" xfId="0" applyFont="1" applyFill="1" applyAlignment="1">
      <alignment horizontal="center" vertical="center"/>
    </xf>
    <xf numFmtId="2" fontId="8" fillId="0" borderId="0" xfId="0" applyNumberFormat="1" applyFont="1" applyBorder="1" applyAlignment="1">
      <alignment vertical="center"/>
    </xf>
    <xf numFmtId="2" fontId="8" fillId="0" borderId="0" xfId="0" applyNumberFormat="1" applyFont="1" applyBorder="1" applyAlignment="1">
      <alignment horizontal="center" vertical="center"/>
    </xf>
    <xf numFmtId="0" fontId="0" fillId="2" borderId="0" xfId="0" applyFill="1"/>
    <xf numFmtId="46" fontId="0" fillId="0" borderId="0" xfId="0" applyNumberFormat="1"/>
    <xf numFmtId="20" fontId="0" fillId="0" borderId="0" xfId="0" applyNumberFormat="1"/>
    <xf numFmtId="0" fontId="0" fillId="0" borderId="0" xfId="0" applyAlignment="1">
      <alignment horizontal="left"/>
    </xf>
    <xf numFmtId="0" fontId="24" fillId="0" borderId="0" xfId="1" applyAlignment="1" applyProtection="1"/>
    <xf numFmtId="0" fontId="25" fillId="0" borderId="0" xfId="0" applyFont="1" applyFill="1" applyBorder="1" applyAlignment="1">
      <alignment horizontal="center" vertical="center"/>
    </xf>
    <xf numFmtId="0" fontId="26" fillId="0" borderId="0" xfId="1" applyFont="1" applyFill="1" applyBorder="1" applyAlignment="1" applyProtection="1">
      <alignment horizontal="center" vertical="center"/>
    </xf>
    <xf numFmtId="0" fontId="25" fillId="0" borderId="0" xfId="0" applyFont="1" applyFill="1" applyBorder="1" applyAlignment="1">
      <alignment horizontal="center" vertical="center" wrapText="1"/>
    </xf>
    <xf numFmtId="0" fontId="25" fillId="9" borderId="0" xfId="0" applyFont="1" applyFill="1" applyBorder="1" applyAlignment="1">
      <alignment horizontal="center" vertical="center"/>
    </xf>
    <xf numFmtId="0" fontId="27" fillId="0" borderId="0" xfId="1" applyFont="1" applyFill="1" applyBorder="1" applyAlignment="1" applyProtection="1">
      <alignment horizontal="center" vertical="center"/>
    </xf>
    <xf numFmtId="9" fontId="25" fillId="0" borderId="0" xfId="0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9" fontId="28" fillId="0" borderId="0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9" fontId="29" fillId="0" borderId="0" xfId="0" applyNumberFormat="1" applyFont="1" applyFill="1" applyBorder="1" applyAlignment="1">
      <alignment horizontal="center" vertical="center"/>
    </xf>
    <xf numFmtId="9" fontId="30" fillId="0" borderId="0" xfId="0" applyNumberFormat="1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9" fontId="31" fillId="0" borderId="0" xfId="0" applyNumberFormat="1" applyFont="1" applyFill="1" applyBorder="1" applyAlignment="1">
      <alignment horizontal="center" vertical="center"/>
    </xf>
    <xf numFmtId="6" fontId="25" fillId="0" borderId="0" xfId="0" applyNumberFormat="1" applyFont="1" applyFill="1" applyBorder="1" applyAlignment="1">
      <alignment horizontal="center" vertical="center"/>
    </xf>
    <xf numFmtId="0" fontId="25" fillId="0" borderId="0" xfId="0" applyNumberFormat="1" applyFont="1" applyFill="1" applyBorder="1" applyAlignment="1">
      <alignment horizontal="center" vertical="center"/>
    </xf>
    <xf numFmtId="0" fontId="25" fillId="9" borderId="0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 wrapText="1"/>
    </xf>
    <xf numFmtId="2" fontId="0" fillId="0" borderId="0" xfId="0" applyNumberFormat="1" applyFill="1" applyBorder="1" applyAlignment="1">
      <alignment horizontal="center" vertical="center"/>
    </xf>
    <xf numFmtId="9" fontId="25" fillId="9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2" fontId="8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2" fontId="0" fillId="0" borderId="0" xfId="0" applyNumberForma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Border="1"/>
    <xf numFmtId="0" fontId="0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25" fillId="0" borderId="0" xfId="0" applyFont="1"/>
    <xf numFmtId="0" fontId="25" fillId="0" borderId="0" xfId="0" applyFont="1" applyAlignment="1">
      <alignment horizontal="center"/>
    </xf>
    <xf numFmtId="0" fontId="25" fillId="2" borderId="25" xfId="0" applyFont="1" applyFill="1" applyBorder="1" applyAlignment="1">
      <alignment horizontal="center" vertical="center"/>
    </xf>
    <xf numFmtId="0" fontId="25" fillId="2" borderId="25" xfId="0" applyFont="1" applyFill="1" applyBorder="1" applyAlignment="1">
      <alignment horizontal="center" vertical="center" wrapText="1"/>
    </xf>
    <xf numFmtId="16" fontId="25" fillId="0" borderId="0" xfId="0" applyNumberFormat="1" applyFont="1" applyFill="1" applyBorder="1" applyAlignment="1">
      <alignment horizontal="center" vertical="center"/>
    </xf>
    <xf numFmtId="0" fontId="32" fillId="0" borderId="0" xfId="0" applyFont="1" applyFill="1"/>
    <xf numFmtId="0" fontId="25" fillId="0" borderId="0" xfId="0" applyFont="1" applyFill="1" applyBorder="1"/>
    <xf numFmtId="0" fontId="33" fillId="0" borderId="0" xfId="0" applyFont="1" applyAlignment="1">
      <alignment horizontal="center"/>
    </xf>
    <xf numFmtId="0" fontId="25" fillId="0" borderId="0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center"/>
    </xf>
    <xf numFmtId="0" fontId="13" fillId="0" borderId="19" xfId="0" applyNumberFormat="1" applyFont="1" applyBorder="1" applyAlignment="1">
      <alignment horizontal="center" vertical="center"/>
    </xf>
    <xf numFmtId="0" fontId="13" fillId="0" borderId="0" xfId="0" applyNumberFormat="1" applyFont="1" applyBorder="1" applyAlignment="1">
      <alignment horizontal="center" vertical="center"/>
    </xf>
    <xf numFmtId="0" fontId="13" fillId="0" borderId="4" xfId="0" applyNumberFormat="1" applyFont="1" applyBorder="1" applyAlignment="1">
      <alignment horizontal="center" vertical="center"/>
    </xf>
    <xf numFmtId="0" fontId="13" fillId="0" borderId="5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2" fontId="0" fillId="0" borderId="0" xfId="0" applyNumberFormat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0" fontId="0" fillId="0" borderId="5" xfId="0" applyNumberFormat="1" applyFill="1" applyBorder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2" fontId="0" fillId="0" borderId="3" xfId="0" applyNumberFormat="1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2" fontId="0" fillId="0" borderId="6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6" fillId="0" borderId="17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right" vertical="center"/>
    </xf>
    <xf numFmtId="0" fontId="13" fillId="0" borderId="2" xfId="0" applyNumberFormat="1" applyFont="1" applyBorder="1" applyAlignment="1">
      <alignment horizontal="right" vertical="center"/>
    </xf>
    <xf numFmtId="0" fontId="13" fillId="0" borderId="19" xfId="0" applyNumberFormat="1" applyFont="1" applyBorder="1" applyAlignment="1">
      <alignment horizontal="right" vertical="center"/>
    </xf>
    <xf numFmtId="0" fontId="13" fillId="0" borderId="0" xfId="0" applyNumberFormat="1" applyFont="1" applyBorder="1" applyAlignment="1">
      <alignment horizontal="right" vertical="center"/>
    </xf>
    <xf numFmtId="0" fontId="13" fillId="0" borderId="4" xfId="0" applyNumberFormat="1" applyFont="1" applyBorder="1" applyAlignment="1">
      <alignment horizontal="right" vertical="center"/>
    </xf>
    <xf numFmtId="0" fontId="13" fillId="0" borderId="5" xfId="0" applyNumberFormat="1" applyFont="1" applyBorder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0" fillId="0" borderId="18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wrapText="1"/>
    </xf>
    <xf numFmtId="0" fontId="16" fillId="0" borderId="18" xfId="0" applyFont="1" applyBorder="1" applyAlignment="1">
      <alignment horizontal="center" wrapText="1"/>
    </xf>
    <xf numFmtId="2" fontId="0" fillId="0" borderId="2" xfId="0" applyNumberFormat="1" applyBorder="1" applyAlignment="1">
      <alignment horizontal="center" vertical="center"/>
    </xf>
    <xf numFmtId="0" fontId="32" fillId="2" borderId="25" xfId="0" applyFont="1" applyFill="1" applyBorder="1" applyAlignment="1">
      <alignment horizontal="center" vertical="center"/>
    </xf>
    <xf numFmtId="0" fontId="32" fillId="0" borderId="0" xfId="0" applyFont="1"/>
    <xf numFmtId="0" fontId="34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72">
    <dxf>
      <font>
        <b/>
        <i val="0"/>
        <color rgb="FF00B050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numFmt numFmtId="0" formatCode="General"/>
      <fill>
        <patternFill patternType="solid">
          <fgColor indexed="64"/>
          <bgColor theme="3" tint="-0.249977111117893"/>
        </patternFill>
      </fill>
    </dxf>
    <dxf>
      <fill>
        <patternFill patternType="solid">
          <fgColor indexed="64"/>
          <bgColor theme="3" tint="-0.249977111117893"/>
        </patternFill>
      </fill>
      <border outline="0">
        <left style="thin">
          <color indexed="64"/>
        </left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4"/>
        <color rgb="FFFF000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ill>
        <patternFill patternType="solid">
          <fgColor indexed="64"/>
          <bgColor theme="3" tint="-0.249977111117893"/>
        </patternFill>
      </fill>
    </dxf>
    <dxf>
      <fill>
        <patternFill patternType="solid">
          <fgColor indexed="64"/>
          <bgColor theme="3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ill>
        <patternFill patternType="solid">
          <fgColor indexed="64"/>
          <bgColor theme="3" tint="-0.249977111117893"/>
        </patternFill>
      </fill>
    </dxf>
    <dxf>
      <fill>
        <patternFill patternType="solid">
          <fgColor indexed="64"/>
          <bgColor theme="3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ill>
        <patternFill patternType="solid">
          <fgColor indexed="64"/>
          <bgColor theme="3" tint="-0.249977111117893"/>
        </patternFill>
      </fill>
    </dxf>
    <dxf>
      <fill>
        <patternFill patternType="solid">
          <fgColor indexed="64"/>
          <bgColor theme="3" tint="-0.249977111117893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b val="0"/>
        <i val="0"/>
        <color rgb="FFFF000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3399"/>
      <color rgb="FFFF99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match.asp?league=france&amp;matchid=499&amp;t1=32&amp;t2=36&amp;ly=2015&amp;articleid=499" refreshOnLoad="1" preserveFormatting="0" connectionId="6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classementl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latest.asp?league=france_1" connectionId="4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latest.asp?league=france" connectionId="3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corers.asp?league=france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team_trends.asp?league=france&amp;pmtype=overunder" connectionId="1" autoFormatId="16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id="1" name="Tableau1" displayName="Tableau1" ref="K4:T19" headerRowCount="0" totalsRowShown="0" headerRowDxfId="49" dataDxfId="48">
  <tableColumns count="10">
    <tableColumn id="1" name="Colonne1" dataDxfId="47"/>
    <tableColumn id="2" name="Colonne2" dataDxfId="46"/>
    <tableColumn id="3" name="Colonne3" dataDxfId="45"/>
    <tableColumn id="4" name="Colonne4" dataDxfId="44"/>
    <tableColumn id="5" name="Colonne5" dataDxfId="43"/>
    <tableColumn id="6" name="Colonne6" dataDxfId="42"/>
    <tableColumn id="7" name="Colonne7" dataDxfId="41"/>
    <tableColumn id="8" name="Colonne8" dataDxfId="40"/>
    <tableColumn id="10" name="Colonne9" dataDxfId="39">
      <calculatedColumnFormula>S3*2</calculatedColumnFormula>
    </tableColumn>
    <tableColumn id="9" name="Colonne10" dataDxfId="38">
      <calculatedColumnFormula>T3*1</calculatedColumnFormula>
    </tableColumn>
  </tableColumns>
  <tableStyleInfo name="TableStyleMedium11" showFirstColumn="1" showLastColumn="0" showRowStripes="1" showColumnStripes="0"/>
</table>
</file>

<file path=xl/tables/table2.xml><?xml version="1.0" encoding="utf-8"?>
<table xmlns="http://schemas.openxmlformats.org/spreadsheetml/2006/main" id="4" name="Tableau15" displayName="Tableau15" ref="K24:T39" headerRowCount="0" totalsRowShown="0" headerRowDxfId="37" dataDxfId="36">
  <tableColumns count="10">
    <tableColumn id="1" name="Colonne1" dataDxfId="35"/>
    <tableColumn id="2" name="Colonne2" dataDxfId="34"/>
    <tableColumn id="3" name="Colonne3" dataDxfId="33"/>
    <tableColumn id="4" name="Colonne4" dataDxfId="32"/>
    <tableColumn id="5" name="Colonne5" dataDxfId="31"/>
    <tableColumn id="6" name="Colonne6" dataDxfId="30"/>
    <tableColumn id="7" name="Colonne7" dataDxfId="29"/>
    <tableColumn id="8" name="Colonne8" dataDxfId="28"/>
    <tableColumn id="10" name="Colonne9" dataDxfId="27">
      <calculatedColumnFormula>S23*2</calculatedColumnFormula>
    </tableColumn>
    <tableColumn id="9" name="Colonne10" dataDxfId="26">
      <calculatedColumnFormula>T23*2</calculatedColumnFormula>
    </tableColumn>
  </tableColumns>
  <tableStyleInfo name="TableStyleMedium11" showFirstColumn="1" showLastColumn="0" showRowStripes="1" showColumnStripes="0"/>
</table>
</file>

<file path=xl/tables/table3.xml><?xml version="1.0" encoding="utf-8"?>
<table xmlns="http://schemas.openxmlformats.org/spreadsheetml/2006/main" id="5" name="Tableau5" displayName="Tableau5" ref="V4:X24" totalsRowShown="0" headerRowDxfId="25" dataDxfId="24">
  <autoFilter ref="V4:X24"/>
  <tableColumns count="3">
    <tableColumn id="1" name="Bankroll" dataDxfId="23"/>
    <tableColumn id="2" name="Colonne" dataDxfId="22"/>
    <tableColumn id="3" name="Colonne1" dataDxfId="21">
      <calculatedColumnFormula>$A$1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soccerstats.fr/latest.asp?league=france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4.xml"/><Relationship Id="rId2" Type="http://schemas.openxmlformats.org/officeDocument/2006/relationships/queryTable" Target="../queryTables/queryTable3.xml"/><Relationship Id="rId1" Type="http://schemas.openxmlformats.org/officeDocument/2006/relationships/printerSettings" Target="../printerSettings/printerSettings6.bin"/><Relationship Id="rId5" Type="http://schemas.openxmlformats.org/officeDocument/2006/relationships/queryTable" Target="../queryTables/queryTable6.xml"/><Relationship Id="rId4" Type="http://schemas.openxmlformats.org/officeDocument/2006/relationships/queryTable" Target="../queryTables/query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39"/>
  <sheetViews>
    <sheetView showGridLines="0" topLeftCell="K1" zoomScale="70" zoomScaleNormal="70" workbookViewId="0">
      <selection activeCell="AA15" sqref="AA15"/>
    </sheetView>
  </sheetViews>
  <sheetFormatPr baseColWidth="10" defaultColWidth="11.42578125" defaultRowHeight="15"/>
  <cols>
    <col min="1" max="1" width="10" style="2" hidden="1" customWidth="1"/>
    <col min="2" max="2" width="13.140625" style="2" hidden="1" customWidth="1"/>
    <col min="3" max="3" width="11.140625" style="2" hidden="1" customWidth="1"/>
    <col min="4" max="4" width="10.28515625" style="2" hidden="1" customWidth="1"/>
    <col min="5" max="10" width="10.140625" style="2" hidden="1" customWidth="1"/>
    <col min="11" max="18" width="11.5703125" style="1" customWidth="1"/>
    <col min="19" max="21" width="11.42578125" style="1"/>
    <col min="22" max="23" width="11.85546875" style="1" customWidth="1"/>
    <col min="24" max="16384" width="11.42578125" style="1"/>
  </cols>
  <sheetData>
    <row r="1" spans="1:24" ht="15" customHeight="1">
      <c r="A1" s="106">
        <v>50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8"/>
      <c r="V1" s="112" t="s">
        <v>0</v>
      </c>
      <c r="W1" s="113"/>
      <c r="X1" s="114"/>
    </row>
    <row r="2" spans="1:24" ht="15.75" customHeight="1" thickBot="1">
      <c r="A2" s="109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1"/>
      <c r="V2" s="115"/>
      <c r="W2" s="116"/>
      <c r="X2" s="117"/>
    </row>
    <row r="3" spans="1:24">
      <c r="K3" s="4">
        <v>0.1</v>
      </c>
      <c r="L3" s="4">
        <v>0.2</v>
      </c>
      <c r="M3" s="4">
        <v>0.3</v>
      </c>
      <c r="N3" s="4">
        <v>0.4</v>
      </c>
      <c r="O3" s="4">
        <v>0.5</v>
      </c>
      <c r="P3" s="4">
        <v>0.6</v>
      </c>
      <c r="Q3" s="4">
        <v>0.7</v>
      </c>
      <c r="R3" s="4">
        <v>0.8</v>
      </c>
      <c r="S3" s="4">
        <v>0.9</v>
      </c>
      <c r="T3" s="4">
        <v>1</v>
      </c>
    </row>
    <row r="4" spans="1:24" ht="15.75">
      <c r="A4" s="3">
        <f>Tableau1[[#This Row],[Colonne1]]</f>
        <v>0.1</v>
      </c>
      <c r="B4" s="3">
        <f>A4*2</f>
        <v>0.2</v>
      </c>
      <c r="C4" s="3">
        <f>A4*3</f>
        <v>0.30000000000000004</v>
      </c>
      <c r="D4" s="3">
        <f>A4*4</f>
        <v>0.4</v>
      </c>
      <c r="E4" s="3">
        <f>A4*5</f>
        <v>0.5</v>
      </c>
      <c r="F4" s="3">
        <f>A4*6</f>
        <v>0.60000000000000009</v>
      </c>
      <c r="G4" s="3">
        <f>A4*7</f>
        <v>0.70000000000000007</v>
      </c>
      <c r="H4" s="3">
        <f>A4*8</f>
        <v>0.8</v>
      </c>
      <c r="I4" s="3">
        <f>A4*9</f>
        <v>0.9</v>
      </c>
      <c r="J4" s="3">
        <f>A4*10</f>
        <v>1</v>
      </c>
      <c r="K4" s="4">
        <f>K3*1</f>
        <v>0.1</v>
      </c>
      <c r="L4" s="4">
        <f>L3*1</f>
        <v>0.2</v>
      </c>
      <c r="M4" s="4">
        <f>M3*1</f>
        <v>0.3</v>
      </c>
      <c r="N4" s="4">
        <f t="shared" ref="N4:R4" si="0">N3*1</f>
        <v>0.4</v>
      </c>
      <c r="O4" s="4">
        <f t="shared" si="0"/>
        <v>0.5</v>
      </c>
      <c r="P4" s="4">
        <f t="shared" si="0"/>
        <v>0.6</v>
      </c>
      <c r="Q4" s="4">
        <f t="shared" si="0"/>
        <v>0.7</v>
      </c>
      <c r="R4" s="4">
        <f t="shared" si="0"/>
        <v>0.8</v>
      </c>
      <c r="S4" s="4">
        <f t="shared" ref="S4" si="1">S3*1</f>
        <v>0.9</v>
      </c>
      <c r="T4" s="5">
        <f>T3*1</f>
        <v>1</v>
      </c>
      <c r="V4" s="8" t="s">
        <v>1</v>
      </c>
      <c r="W4" s="10" t="s">
        <v>2</v>
      </c>
      <c r="X4" s="7" t="s">
        <v>22</v>
      </c>
    </row>
    <row r="5" spans="1:24" ht="18.75">
      <c r="A5" s="3">
        <f>K5+K4</f>
        <v>0.30000000000000004</v>
      </c>
      <c r="B5" s="3">
        <f t="shared" ref="B5:B19" si="2">A5*2</f>
        <v>0.60000000000000009</v>
      </c>
      <c r="C5" s="3">
        <f t="shared" ref="C5:C19" si="3">A5*3</f>
        <v>0.90000000000000013</v>
      </c>
      <c r="D5" s="3">
        <f t="shared" ref="D5:D19" si="4">A5*4</f>
        <v>1.2000000000000002</v>
      </c>
      <c r="E5" s="3">
        <f t="shared" ref="E5:E19" si="5">A5*5</f>
        <v>1.5000000000000002</v>
      </c>
      <c r="F5" s="3">
        <f t="shared" ref="F5:F19" si="6">A5*6</f>
        <v>1.8000000000000003</v>
      </c>
      <c r="G5" s="3">
        <f t="shared" ref="G5:G19" si="7">A5*7</f>
        <v>2.1000000000000005</v>
      </c>
      <c r="H5" s="3">
        <f t="shared" ref="H5:H19" si="8">A5*8</f>
        <v>2.4000000000000004</v>
      </c>
      <c r="I5" s="3">
        <f t="shared" ref="I5:I19" si="9">A5*9</f>
        <v>2.7</v>
      </c>
      <c r="J5" s="3">
        <f t="shared" ref="J5:J19" si="10">A5*10</f>
        <v>3.0000000000000004</v>
      </c>
      <c r="K5" s="4">
        <f>K4*2</f>
        <v>0.2</v>
      </c>
      <c r="L5" s="4">
        <f>L4*2</f>
        <v>0.4</v>
      </c>
      <c r="M5" s="4">
        <f>M4*2</f>
        <v>0.6</v>
      </c>
      <c r="N5" s="4">
        <f t="shared" ref="N5:R12" si="11">N4*2</f>
        <v>0.8</v>
      </c>
      <c r="O5" s="4">
        <f t="shared" si="11"/>
        <v>1</v>
      </c>
      <c r="P5" s="4">
        <f t="shared" si="11"/>
        <v>1.2</v>
      </c>
      <c r="Q5" s="4">
        <f t="shared" si="11"/>
        <v>1.4</v>
      </c>
      <c r="R5" s="4">
        <f t="shared" si="11"/>
        <v>1.6</v>
      </c>
      <c r="S5" s="4">
        <f t="shared" ref="S5" si="12">S4*2</f>
        <v>1.8</v>
      </c>
      <c r="T5" s="5">
        <f>T4*2</f>
        <v>2</v>
      </c>
      <c r="V5" s="9" t="s">
        <v>3</v>
      </c>
      <c r="W5" s="11">
        <v>0.1</v>
      </c>
      <c r="X5" s="12">
        <f t="shared" ref="X5:X24" si="13">$A$1</f>
        <v>50</v>
      </c>
    </row>
    <row r="6" spans="1:24" ht="18.75">
      <c r="A6" s="3">
        <f>K6+K5+K4</f>
        <v>0.70000000000000007</v>
      </c>
      <c r="B6" s="3">
        <f t="shared" si="2"/>
        <v>1.4000000000000001</v>
      </c>
      <c r="C6" s="3">
        <f t="shared" si="3"/>
        <v>2.1</v>
      </c>
      <c r="D6" s="3">
        <f t="shared" si="4"/>
        <v>2.8000000000000003</v>
      </c>
      <c r="E6" s="3">
        <f t="shared" si="5"/>
        <v>3.5000000000000004</v>
      </c>
      <c r="F6" s="3">
        <f t="shared" si="6"/>
        <v>4.2</v>
      </c>
      <c r="G6" s="3">
        <f t="shared" si="7"/>
        <v>4.9000000000000004</v>
      </c>
      <c r="H6" s="3">
        <f t="shared" si="8"/>
        <v>5.6000000000000005</v>
      </c>
      <c r="I6" s="3">
        <f t="shared" si="9"/>
        <v>6.3000000000000007</v>
      </c>
      <c r="J6" s="3">
        <f t="shared" si="10"/>
        <v>7.0000000000000009</v>
      </c>
      <c r="K6" s="4">
        <f>K5*2</f>
        <v>0.4</v>
      </c>
      <c r="L6" s="4">
        <f t="shared" ref="L6:L19" si="14">L5*2</f>
        <v>0.8</v>
      </c>
      <c r="M6" s="4">
        <f>M5*2</f>
        <v>1.2</v>
      </c>
      <c r="N6" s="4">
        <f t="shared" si="11"/>
        <v>1.6</v>
      </c>
      <c r="O6" s="4">
        <f t="shared" si="11"/>
        <v>2</v>
      </c>
      <c r="P6" s="4">
        <f t="shared" si="11"/>
        <v>2.4</v>
      </c>
      <c r="Q6" s="4">
        <f t="shared" si="11"/>
        <v>2.8</v>
      </c>
      <c r="R6" s="4">
        <f t="shared" si="11"/>
        <v>3.2</v>
      </c>
      <c r="S6" s="4">
        <f t="shared" ref="S6" si="15">S5*2</f>
        <v>3.6</v>
      </c>
      <c r="T6" s="5">
        <f>T5*2</f>
        <v>4</v>
      </c>
      <c r="V6" s="9" t="s">
        <v>3</v>
      </c>
      <c r="W6" s="11">
        <v>0.2</v>
      </c>
      <c r="X6" s="12">
        <f t="shared" si="13"/>
        <v>50</v>
      </c>
    </row>
    <row r="7" spans="1:24" ht="18.75">
      <c r="A7" s="3">
        <f>K7+K6+K5+K4</f>
        <v>1.5000000000000002</v>
      </c>
      <c r="B7" s="3">
        <f t="shared" si="2"/>
        <v>3.0000000000000004</v>
      </c>
      <c r="C7" s="3">
        <f t="shared" si="3"/>
        <v>4.5000000000000009</v>
      </c>
      <c r="D7" s="3">
        <f t="shared" si="4"/>
        <v>6.0000000000000009</v>
      </c>
      <c r="E7" s="3">
        <f t="shared" si="5"/>
        <v>7.5000000000000009</v>
      </c>
      <c r="F7" s="3">
        <f t="shared" si="6"/>
        <v>9.0000000000000018</v>
      </c>
      <c r="G7" s="3">
        <f t="shared" si="7"/>
        <v>10.500000000000002</v>
      </c>
      <c r="H7" s="3">
        <f t="shared" si="8"/>
        <v>12.000000000000002</v>
      </c>
      <c r="I7" s="3">
        <f t="shared" si="9"/>
        <v>13.500000000000002</v>
      </c>
      <c r="J7" s="3">
        <f t="shared" si="10"/>
        <v>15.000000000000002</v>
      </c>
      <c r="K7" s="4">
        <f t="shared" ref="K7:K19" si="16">K6*2</f>
        <v>0.8</v>
      </c>
      <c r="L7" s="4">
        <f t="shared" si="14"/>
        <v>1.6</v>
      </c>
      <c r="M7" s="4">
        <f>M6*2</f>
        <v>2.4</v>
      </c>
      <c r="N7" s="4">
        <f t="shared" si="11"/>
        <v>3.2</v>
      </c>
      <c r="O7" s="4">
        <f t="shared" si="11"/>
        <v>4</v>
      </c>
      <c r="P7" s="4">
        <f t="shared" si="11"/>
        <v>4.8</v>
      </c>
      <c r="Q7" s="4">
        <f t="shared" si="11"/>
        <v>5.6</v>
      </c>
      <c r="R7" s="4">
        <f t="shared" si="11"/>
        <v>6.4</v>
      </c>
      <c r="S7" s="4">
        <f t="shared" ref="S7:T7" si="17">S6*2</f>
        <v>7.2</v>
      </c>
      <c r="T7" s="5">
        <f t="shared" si="17"/>
        <v>8</v>
      </c>
      <c r="V7" s="9" t="s">
        <v>4</v>
      </c>
      <c r="W7" s="11">
        <v>0.3</v>
      </c>
      <c r="X7" s="12">
        <f t="shared" si="13"/>
        <v>50</v>
      </c>
    </row>
    <row r="8" spans="1:24" ht="18.75">
      <c r="A8" s="3">
        <f>K8+K7+K6+K5+K4</f>
        <v>3.1000000000000005</v>
      </c>
      <c r="B8" s="3">
        <f t="shared" si="2"/>
        <v>6.2000000000000011</v>
      </c>
      <c r="C8" s="3">
        <f t="shared" si="3"/>
        <v>9.3000000000000007</v>
      </c>
      <c r="D8" s="3">
        <f t="shared" si="4"/>
        <v>12.400000000000002</v>
      </c>
      <c r="E8" s="3">
        <f t="shared" si="5"/>
        <v>15.500000000000004</v>
      </c>
      <c r="F8" s="3">
        <f t="shared" si="6"/>
        <v>18.600000000000001</v>
      </c>
      <c r="G8" s="3">
        <f t="shared" si="7"/>
        <v>21.700000000000003</v>
      </c>
      <c r="H8" s="3">
        <f t="shared" si="8"/>
        <v>24.800000000000004</v>
      </c>
      <c r="I8" s="3">
        <f t="shared" si="9"/>
        <v>27.900000000000006</v>
      </c>
      <c r="J8" s="3">
        <f t="shared" si="10"/>
        <v>31.000000000000007</v>
      </c>
      <c r="K8" s="4">
        <f t="shared" si="16"/>
        <v>1.6</v>
      </c>
      <c r="L8" s="4">
        <f t="shared" si="14"/>
        <v>3.2</v>
      </c>
      <c r="M8" s="4">
        <f t="shared" ref="M8:M12" si="18">M7*2</f>
        <v>4.8</v>
      </c>
      <c r="N8" s="4">
        <f t="shared" si="11"/>
        <v>6.4</v>
      </c>
      <c r="O8" s="4">
        <f t="shared" si="11"/>
        <v>8</v>
      </c>
      <c r="P8" s="4">
        <f t="shared" si="11"/>
        <v>9.6</v>
      </c>
      <c r="Q8" s="4">
        <f t="shared" si="11"/>
        <v>11.2</v>
      </c>
      <c r="R8" s="4">
        <f t="shared" si="11"/>
        <v>12.8</v>
      </c>
      <c r="S8" s="4">
        <f t="shared" ref="S8:T8" si="19">S7*2</f>
        <v>14.4</v>
      </c>
      <c r="T8" s="5">
        <f t="shared" si="19"/>
        <v>16</v>
      </c>
      <c r="V8" s="9" t="s">
        <v>5</v>
      </c>
      <c r="W8" s="11">
        <v>0.4</v>
      </c>
      <c r="X8" s="12">
        <f t="shared" si="13"/>
        <v>50</v>
      </c>
    </row>
    <row r="9" spans="1:24" ht="18.75">
      <c r="A9" s="3">
        <f>K9+K8+K7+K6+K5+K4</f>
        <v>6.3000000000000007</v>
      </c>
      <c r="B9" s="3">
        <f t="shared" si="2"/>
        <v>12.600000000000001</v>
      </c>
      <c r="C9" s="3">
        <f t="shared" si="3"/>
        <v>18.900000000000002</v>
      </c>
      <c r="D9" s="3">
        <f t="shared" si="4"/>
        <v>25.200000000000003</v>
      </c>
      <c r="E9" s="3">
        <f t="shared" si="5"/>
        <v>31.500000000000004</v>
      </c>
      <c r="F9" s="3">
        <f t="shared" si="6"/>
        <v>37.800000000000004</v>
      </c>
      <c r="G9" s="3">
        <f t="shared" si="7"/>
        <v>44.100000000000009</v>
      </c>
      <c r="H9" s="3">
        <f t="shared" si="8"/>
        <v>50.400000000000006</v>
      </c>
      <c r="I9" s="3">
        <f t="shared" si="9"/>
        <v>56.7</v>
      </c>
      <c r="J9" s="3">
        <f t="shared" si="10"/>
        <v>63.000000000000007</v>
      </c>
      <c r="K9" s="4">
        <f t="shared" si="16"/>
        <v>3.2</v>
      </c>
      <c r="L9" s="4">
        <f t="shared" si="14"/>
        <v>6.4</v>
      </c>
      <c r="M9" s="4">
        <f t="shared" si="18"/>
        <v>9.6</v>
      </c>
      <c r="N9" s="4">
        <f t="shared" si="11"/>
        <v>12.8</v>
      </c>
      <c r="O9" s="4">
        <f t="shared" si="11"/>
        <v>16</v>
      </c>
      <c r="P9" s="4">
        <f t="shared" si="11"/>
        <v>19.2</v>
      </c>
      <c r="Q9" s="4">
        <f t="shared" si="11"/>
        <v>22.4</v>
      </c>
      <c r="R9" s="4">
        <f t="shared" si="11"/>
        <v>25.6</v>
      </c>
      <c r="S9" s="4">
        <f t="shared" ref="S9:T9" si="20">S8*2</f>
        <v>28.8</v>
      </c>
      <c r="T9" s="5">
        <f t="shared" si="20"/>
        <v>32</v>
      </c>
      <c r="V9" s="9" t="s">
        <v>6</v>
      </c>
      <c r="W9" s="11">
        <v>0.5</v>
      </c>
      <c r="X9" s="12">
        <f t="shared" si="13"/>
        <v>50</v>
      </c>
    </row>
    <row r="10" spans="1:24" ht="18.75">
      <c r="A10" s="3">
        <f>K10+K9+K8+K7+K6+K5+K4</f>
        <v>12.700000000000001</v>
      </c>
      <c r="B10" s="3">
        <f t="shared" si="2"/>
        <v>25.400000000000002</v>
      </c>
      <c r="C10" s="3">
        <f t="shared" si="3"/>
        <v>38.1</v>
      </c>
      <c r="D10" s="3">
        <f t="shared" si="4"/>
        <v>50.800000000000004</v>
      </c>
      <c r="E10" s="3">
        <f t="shared" si="5"/>
        <v>63.500000000000007</v>
      </c>
      <c r="F10" s="3">
        <f t="shared" si="6"/>
        <v>76.2</v>
      </c>
      <c r="G10" s="3">
        <f t="shared" si="7"/>
        <v>88.9</v>
      </c>
      <c r="H10" s="3">
        <f t="shared" si="8"/>
        <v>101.60000000000001</v>
      </c>
      <c r="I10" s="3">
        <f t="shared" si="9"/>
        <v>114.30000000000001</v>
      </c>
      <c r="J10" s="3">
        <f t="shared" si="10"/>
        <v>127.00000000000001</v>
      </c>
      <c r="K10" s="4">
        <f t="shared" si="16"/>
        <v>6.4</v>
      </c>
      <c r="L10" s="4">
        <f t="shared" si="14"/>
        <v>12.8</v>
      </c>
      <c r="M10" s="4">
        <f t="shared" si="18"/>
        <v>19.2</v>
      </c>
      <c r="N10" s="4">
        <f t="shared" si="11"/>
        <v>25.6</v>
      </c>
      <c r="O10" s="4">
        <f t="shared" si="11"/>
        <v>32</v>
      </c>
      <c r="P10" s="4">
        <f t="shared" si="11"/>
        <v>38.4</v>
      </c>
      <c r="Q10" s="4">
        <f t="shared" si="11"/>
        <v>44.8</v>
      </c>
      <c r="R10" s="4">
        <f t="shared" si="11"/>
        <v>51.2</v>
      </c>
      <c r="S10" s="4">
        <f t="shared" ref="S10:T10" si="21">S9*2</f>
        <v>57.6</v>
      </c>
      <c r="T10" s="5">
        <f t="shared" si="21"/>
        <v>64</v>
      </c>
      <c r="V10" s="9" t="s">
        <v>7</v>
      </c>
      <c r="W10" s="11">
        <v>0.6</v>
      </c>
      <c r="X10" s="12">
        <f t="shared" si="13"/>
        <v>50</v>
      </c>
    </row>
    <row r="11" spans="1:24" ht="18.75">
      <c r="A11" s="3">
        <f>K11+K10+K9+K8+K7+K6+K5+K4</f>
        <v>25.500000000000004</v>
      </c>
      <c r="B11" s="3">
        <f t="shared" si="2"/>
        <v>51.000000000000007</v>
      </c>
      <c r="C11" s="3">
        <f t="shared" si="3"/>
        <v>76.500000000000014</v>
      </c>
      <c r="D11" s="3">
        <f t="shared" si="4"/>
        <v>102.00000000000001</v>
      </c>
      <c r="E11" s="3">
        <f t="shared" si="5"/>
        <v>127.50000000000001</v>
      </c>
      <c r="F11" s="3">
        <f t="shared" si="6"/>
        <v>153.00000000000003</v>
      </c>
      <c r="G11" s="3">
        <f t="shared" si="7"/>
        <v>178.50000000000003</v>
      </c>
      <c r="H11" s="3">
        <f t="shared" si="8"/>
        <v>204.00000000000003</v>
      </c>
      <c r="I11" s="3">
        <f t="shared" si="9"/>
        <v>229.50000000000003</v>
      </c>
      <c r="J11" s="3">
        <f t="shared" si="10"/>
        <v>255.00000000000003</v>
      </c>
      <c r="K11" s="4">
        <f t="shared" si="16"/>
        <v>12.8</v>
      </c>
      <c r="L11" s="4">
        <f t="shared" si="14"/>
        <v>25.6</v>
      </c>
      <c r="M11" s="4">
        <f t="shared" si="18"/>
        <v>38.4</v>
      </c>
      <c r="N11" s="4">
        <f t="shared" si="11"/>
        <v>51.2</v>
      </c>
      <c r="O11" s="4">
        <f t="shared" si="11"/>
        <v>64</v>
      </c>
      <c r="P11" s="4">
        <f t="shared" si="11"/>
        <v>76.8</v>
      </c>
      <c r="Q11" s="4">
        <f t="shared" si="11"/>
        <v>89.6</v>
      </c>
      <c r="R11" s="4">
        <f t="shared" si="11"/>
        <v>102.4</v>
      </c>
      <c r="S11" s="4">
        <f t="shared" ref="S11:T11" si="22">S10*2</f>
        <v>115.2</v>
      </c>
      <c r="T11" s="5">
        <f t="shared" si="22"/>
        <v>128</v>
      </c>
      <c r="V11" s="9" t="s">
        <v>8</v>
      </c>
      <c r="W11" s="11">
        <v>0.7</v>
      </c>
      <c r="X11" s="12">
        <f t="shared" si="13"/>
        <v>50</v>
      </c>
    </row>
    <row r="12" spans="1:24" ht="18.75">
      <c r="A12" s="3">
        <f>K12+K11+K10+K9+K8+K7+K6+K5+K4</f>
        <v>51.100000000000009</v>
      </c>
      <c r="B12" s="3">
        <f t="shared" si="2"/>
        <v>102.20000000000002</v>
      </c>
      <c r="C12" s="3">
        <f t="shared" si="3"/>
        <v>153.30000000000001</v>
      </c>
      <c r="D12" s="3">
        <f t="shared" si="4"/>
        <v>204.40000000000003</v>
      </c>
      <c r="E12" s="3">
        <f t="shared" si="5"/>
        <v>255.50000000000006</v>
      </c>
      <c r="F12" s="3">
        <f t="shared" si="6"/>
        <v>306.60000000000002</v>
      </c>
      <c r="G12" s="3">
        <f t="shared" si="7"/>
        <v>357.70000000000005</v>
      </c>
      <c r="H12" s="3">
        <f t="shared" si="8"/>
        <v>408.80000000000007</v>
      </c>
      <c r="I12" s="3">
        <f t="shared" si="9"/>
        <v>459.90000000000009</v>
      </c>
      <c r="J12" s="3">
        <f t="shared" si="10"/>
        <v>511.00000000000011</v>
      </c>
      <c r="K12" s="4">
        <f t="shared" si="16"/>
        <v>25.6</v>
      </c>
      <c r="L12" s="4">
        <f t="shared" si="14"/>
        <v>51.2</v>
      </c>
      <c r="M12" s="4">
        <f t="shared" si="18"/>
        <v>76.8</v>
      </c>
      <c r="N12" s="4">
        <f t="shared" si="11"/>
        <v>102.4</v>
      </c>
      <c r="O12" s="4">
        <f t="shared" si="11"/>
        <v>128</v>
      </c>
      <c r="P12" s="4">
        <f t="shared" si="11"/>
        <v>153.6</v>
      </c>
      <c r="Q12" s="4">
        <f t="shared" si="11"/>
        <v>179.2</v>
      </c>
      <c r="R12" s="4">
        <f t="shared" si="11"/>
        <v>204.8</v>
      </c>
      <c r="S12" s="4">
        <f t="shared" ref="S12:T12" si="23">S11*2</f>
        <v>230.4</v>
      </c>
      <c r="T12" s="5">
        <f t="shared" si="23"/>
        <v>256</v>
      </c>
      <c r="V12" s="9" t="s">
        <v>9</v>
      </c>
      <c r="W12" s="11">
        <v>0.8</v>
      </c>
      <c r="X12" s="12">
        <f t="shared" si="13"/>
        <v>50</v>
      </c>
    </row>
    <row r="13" spans="1:24" ht="18.75">
      <c r="A13" s="3">
        <f>$K$11+$K$8+$K$9+$K$10+$K$6+$K$7+$K$4+$K$5+$K$12+$K$13</f>
        <v>102.30000000000001</v>
      </c>
      <c r="B13" s="3">
        <f t="shared" si="2"/>
        <v>204.60000000000002</v>
      </c>
      <c r="C13" s="3">
        <f t="shared" si="3"/>
        <v>306.90000000000003</v>
      </c>
      <c r="D13" s="3">
        <f t="shared" si="4"/>
        <v>409.20000000000005</v>
      </c>
      <c r="E13" s="3">
        <f t="shared" si="5"/>
        <v>511.50000000000006</v>
      </c>
      <c r="F13" s="3">
        <f t="shared" si="6"/>
        <v>613.80000000000007</v>
      </c>
      <c r="G13" s="3">
        <f t="shared" si="7"/>
        <v>716.10000000000014</v>
      </c>
      <c r="H13" s="3">
        <f t="shared" si="8"/>
        <v>818.40000000000009</v>
      </c>
      <c r="I13" s="3">
        <f t="shared" si="9"/>
        <v>920.7</v>
      </c>
      <c r="J13" s="3">
        <f t="shared" si="10"/>
        <v>1023.0000000000001</v>
      </c>
      <c r="K13" s="4">
        <f t="shared" si="16"/>
        <v>51.2</v>
      </c>
      <c r="L13" s="4">
        <f t="shared" si="14"/>
        <v>102.4</v>
      </c>
      <c r="M13" s="4">
        <f t="shared" ref="M13:M19" si="24">M12*2</f>
        <v>153.6</v>
      </c>
      <c r="N13" s="4">
        <f t="shared" ref="N13:N19" si="25">N12*2</f>
        <v>204.8</v>
      </c>
      <c r="O13" s="4">
        <f t="shared" ref="O13:O19" si="26">O12*2</f>
        <v>256</v>
      </c>
      <c r="P13" s="4">
        <f t="shared" ref="P13:P19" si="27">P12*2</f>
        <v>307.2</v>
      </c>
      <c r="Q13" s="4">
        <f t="shared" ref="Q13:Q19" si="28">Q12*2</f>
        <v>358.4</v>
      </c>
      <c r="R13" s="4">
        <f t="shared" ref="R13:T19" si="29">R12*2</f>
        <v>409.6</v>
      </c>
      <c r="S13" s="4">
        <f t="shared" si="29"/>
        <v>460.8</v>
      </c>
      <c r="T13" s="5">
        <f t="shared" si="29"/>
        <v>512</v>
      </c>
      <c r="V13" s="9" t="s">
        <v>10</v>
      </c>
      <c r="W13" s="11">
        <v>0.9</v>
      </c>
      <c r="X13" s="12">
        <f t="shared" si="13"/>
        <v>50</v>
      </c>
    </row>
    <row r="14" spans="1:24" ht="18.75">
      <c r="A14" s="3">
        <f>$K$11+$K$8+$K$9+$K$10+$K$6+$K$7+$K$4+$K$5+$K$12+$K$13+$K$14</f>
        <v>204.70000000000002</v>
      </c>
      <c r="B14" s="3">
        <f t="shared" si="2"/>
        <v>409.40000000000003</v>
      </c>
      <c r="C14" s="3">
        <f t="shared" si="3"/>
        <v>614.1</v>
      </c>
      <c r="D14" s="3">
        <f t="shared" si="4"/>
        <v>818.80000000000007</v>
      </c>
      <c r="E14" s="3">
        <f t="shared" si="5"/>
        <v>1023.5000000000001</v>
      </c>
      <c r="F14" s="3">
        <f t="shared" si="6"/>
        <v>1228.2</v>
      </c>
      <c r="G14" s="3">
        <f t="shared" si="7"/>
        <v>1432.9</v>
      </c>
      <c r="H14" s="3">
        <f t="shared" si="8"/>
        <v>1637.6000000000001</v>
      </c>
      <c r="I14" s="3">
        <f t="shared" si="9"/>
        <v>1842.3000000000002</v>
      </c>
      <c r="J14" s="3">
        <f t="shared" si="10"/>
        <v>2047.0000000000002</v>
      </c>
      <c r="K14" s="4">
        <f t="shared" si="16"/>
        <v>102.4</v>
      </c>
      <c r="L14" s="4">
        <f t="shared" si="14"/>
        <v>204.8</v>
      </c>
      <c r="M14" s="4">
        <f t="shared" si="24"/>
        <v>307.2</v>
      </c>
      <c r="N14" s="4">
        <f t="shared" si="25"/>
        <v>409.6</v>
      </c>
      <c r="O14" s="4">
        <f t="shared" si="26"/>
        <v>512</v>
      </c>
      <c r="P14" s="4">
        <f t="shared" si="27"/>
        <v>614.4</v>
      </c>
      <c r="Q14" s="4">
        <f t="shared" si="28"/>
        <v>716.8</v>
      </c>
      <c r="R14" s="4">
        <f t="shared" si="29"/>
        <v>819.2</v>
      </c>
      <c r="S14" s="4">
        <f t="shared" si="29"/>
        <v>921.6</v>
      </c>
      <c r="T14" s="5">
        <f t="shared" si="29"/>
        <v>1024</v>
      </c>
      <c r="V14" s="9" t="s">
        <v>11</v>
      </c>
      <c r="W14" s="11">
        <v>1</v>
      </c>
      <c r="X14" s="12">
        <f t="shared" si="13"/>
        <v>50</v>
      </c>
    </row>
    <row r="15" spans="1:24" ht="18.75">
      <c r="A15" s="3">
        <f>$K$11+$K$8+$K$9+$K$10+$K$6+$K$7+$K$4+$K$5+$K$12+$K$13+$K$14+$K$15</f>
        <v>409.5</v>
      </c>
      <c r="B15" s="3">
        <f t="shared" si="2"/>
        <v>819</v>
      </c>
      <c r="C15" s="3">
        <f t="shared" si="3"/>
        <v>1228.5</v>
      </c>
      <c r="D15" s="3">
        <f t="shared" si="4"/>
        <v>1638</v>
      </c>
      <c r="E15" s="3">
        <f t="shared" si="5"/>
        <v>2047.5</v>
      </c>
      <c r="F15" s="3">
        <f t="shared" si="6"/>
        <v>2457</v>
      </c>
      <c r="G15" s="3">
        <f t="shared" si="7"/>
        <v>2866.5</v>
      </c>
      <c r="H15" s="3">
        <f t="shared" si="8"/>
        <v>3276</v>
      </c>
      <c r="I15" s="3">
        <f t="shared" si="9"/>
        <v>3685.5</v>
      </c>
      <c r="J15" s="3">
        <f t="shared" si="10"/>
        <v>4095</v>
      </c>
      <c r="K15" s="4">
        <f t="shared" si="16"/>
        <v>204.8</v>
      </c>
      <c r="L15" s="4">
        <f t="shared" si="14"/>
        <v>409.6</v>
      </c>
      <c r="M15" s="4">
        <f t="shared" si="24"/>
        <v>614.4</v>
      </c>
      <c r="N15" s="4">
        <f t="shared" si="25"/>
        <v>819.2</v>
      </c>
      <c r="O15" s="4">
        <f t="shared" si="26"/>
        <v>1024</v>
      </c>
      <c r="P15" s="4">
        <f t="shared" si="27"/>
        <v>1228.8</v>
      </c>
      <c r="Q15" s="4">
        <f t="shared" si="28"/>
        <v>1433.6</v>
      </c>
      <c r="R15" s="4">
        <f t="shared" si="29"/>
        <v>1638.4</v>
      </c>
      <c r="S15" s="4">
        <f t="shared" si="29"/>
        <v>1843.2</v>
      </c>
      <c r="T15" s="5">
        <f t="shared" si="29"/>
        <v>2048</v>
      </c>
      <c r="V15" s="9" t="s">
        <v>12</v>
      </c>
      <c r="W15" s="11">
        <v>1.1000000000000001</v>
      </c>
      <c r="X15" s="12">
        <f t="shared" si="13"/>
        <v>50</v>
      </c>
    </row>
    <row r="16" spans="1:24" ht="18.75">
      <c r="A16" s="3">
        <f>$K$11+$K$8+$K$9+$K$10+$K$6+$K$7+$K$4+$K$5+$K$12+$K$13+$K$14+$K$15+$K$16</f>
        <v>819.1</v>
      </c>
      <c r="B16" s="3">
        <f t="shared" si="2"/>
        <v>1638.2</v>
      </c>
      <c r="C16" s="3">
        <f t="shared" si="3"/>
        <v>2457.3000000000002</v>
      </c>
      <c r="D16" s="3">
        <f t="shared" si="4"/>
        <v>3276.4</v>
      </c>
      <c r="E16" s="3">
        <f t="shared" si="5"/>
        <v>4095.5</v>
      </c>
      <c r="F16" s="3">
        <f t="shared" si="6"/>
        <v>4914.6000000000004</v>
      </c>
      <c r="G16" s="3">
        <f t="shared" si="7"/>
        <v>5733.7</v>
      </c>
      <c r="H16" s="3">
        <f t="shared" si="8"/>
        <v>6552.8</v>
      </c>
      <c r="I16" s="3">
        <f t="shared" si="9"/>
        <v>7371.9000000000005</v>
      </c>
      <c r="J16" s="3">
        <f t="shared" si="10"/>
        <v>8191</v>
      </c>
      <c r="K16" s="4">
        <f t="shared" si="16"/>
        <v>409.6</v>
      </c>
      <c r="L16" s="4">
        <f t="shared" si="14"/>
        <v>819.2</v>
      </c>
      <c r="M16" s="4">
        <f t="shared" si="24"/>
        <v>1228.8</v>
      </c>
      <c r="N16" s="4">
        <f t="shared" si="25"/>
        <v>1638.4</v>
      </c>
      <c r="O16" s="4">
        <f t="shared" si="26"/>
        <v>2048</v>
      </c>
      <c r="P16" s="4">
        <f t="shared" si="27"/>
        <v>2457.6</v>
      </c>
      <c r="Q16" s="4">
        <f t="shared" si="28"/>
        <v>2867.2</v>
      </c>
      <c r="R16" s="4">
        <f t="shared" si="29"/>
        <v>3276.8</v>
      </c>
      <c r="S16" s="4">
        <f t="shared" si="29"/>
        <v>3686.4</v>
      </c>
      <c r="T16" s="5">
        <f t="shared" si="29"/>
        <v>4096</v>
      </c>
      <c r="V16" s="9" t="s">
        <v>13</v>
      </c>
      <c r="W16" s="11">
        <v>1.2</v>
      </c>
      <c r="X16" s="12">
        <f t="shared" si="13"/>
        <v>50</v>
      </c>
    </row>
    <row r="17" spans="1:24" ht="18.75">
      <c r="A17" s="3">
        <f>$K$11+$K$8+$K$9+$K$10+$K$6+$K$7+$K$4+$K$5+$K$12+$K$13+$K$14+$K$15+$K$16+$K$17</f>
        <v>1638.3000000000002</v>
      </c>
      <c r="B17" s="3">
        <f t="shared" si="2"/>
        <v>3276.6000000000004</v>
      </c>
      <c r="C17" s="3">
        <f t="shared" si="3"/>
        <v>4914.9000000000005</v>
      </c>
      <c r="D17" s="3">
        <f t="shared" si="4"/>
        <v>6553.2000000000007</v>
      </c>
      <c r="E17" s="3">
        <f t="shared" si="5"/>
        <v>8191.5000000000009</v>
      </c>
      <c r="F17" s="3">
        <f t="shared" si="6"/>
        <v>9829.8000000000011</v>
      </c>
      <c r="G17" s="3">
        <f t="shared" si="7"/>
        <v>11468.100000000002</v>
      </c>
      <c r="H17" s="3">
        <f t="shared" si="8"/>
        <v>13106.400000000001</v>
      </c>
      <c r="I17" s="3">
        <f t="shared" si="9"/>
        <v>14744.7</v>
      </c>
      <c r="J17" s="3">
        <f t="shared" si="10"/>
        <v>16383.000000000002</v>
      </c>
      <c r="K17" s="4">
        <f t="shared" si="16"/>
        <v>819.2</v>
      </c>
      <c r="L17" s="4">
        <f t="shared" si="14"/>
        <v>1638.4</v>
      </c>
      <c r="M17" s="4">
        <f t="shared" si="24"/>
        <v>2457.6</v>
      </c>
      <c r="N17" s="4">
        <f t="shared" si="25"/>
        <v>3276.8</v>
      </c>
      <c r="O17" s="4">
        <f t="shared" si="26"/>
        <v>4096</v>
      </c>
      <c r="P17" s="4">
        <f t="shared" si="27"/>
        <v>4915.2</v>
      </c>
      <c r="Q17" s="4">
        <f t="shared" si="28"/>
        <v>5734.4</v>
      </c>
      <c r="R17" s="4">
        <f t="shared" si="29"/>
        <v>6553.6</v>
      </c>
      <c r="S17" s="4">
        <f t="shared" si="29"/>
        <v>7372.8</v>
      </c>
      <c r="T17" s="5">
        <f t="shared" si="29"/>
        <v>8192</v>
      </c>
      <c r="V17" s="9" t="s">
        <v>14</v>
      </c>
      <c r="W17" s="11">
        <v>1.3</v>
      </c>
      <c r="X17" s="12">
        <f t="shared" si="13"/>
        <v>50</v>
      </c>
    </row>
    <row r="18" spans="1:24" ht="18.75">
      <c r="A18" s="3">
        <f>$K$11+$K$8+$K$9+$K$10+$K$6+$K$7+$K$4+$K$5+$K$12+$K$13+$K$14+$K$15+$K$16+$K$17+$K$18</f>
        <v>3276.7000000000003</v>
      </c>
      <c r="B18" s="3">
        <f t="shared" si="2"/>
        <v>6553.4000000000005</v>
      </c>
      <c r="C18" s="3">
        <f t="shared" si="3"/>
        <v>9830.1</v>
      </c>
      <c r="D18" s="3">
        <f t="shared" si="4"/>
        <v>13106.800000000001</v>
      </c>
      <c r="E18" s="3">
        <f t="shared" si="5"/>
        <v>16383.500000000002</v>
      </c>
      <c r="F18" s="3">
        <f t="shared" si="6"/>
        <v>19660.2</v>
      </c>
      <c r="G18" s="3">
        <f t="shared" si="7"/>
        <v>22936.9</v>
      </c>
      <c r="H18" s="3">
        <f t="shared" si="8"/>
        <v>26213.600000000002</v>
      </c>
      <c r="I18" s="3">
        <f t="shared" si="9"/>
        <v>29490.300000000003</v>
      </c>
      <c r="J18" s="3">
        <f t="shared" si="10"/>
        <v>32767.000000000004</v>
      </c>
      <c r="K18" s="4">
        <f t="shared" si="16"/>
        <v>1638.4</v>
      </c>
      <c r="L18" s="4">
        <f t="shared" si="14"/>
        <v>3276.8</v>
      </c>
      <c r="M18" s="4">
        <f t="shared" si="24"/>
        <v>4915.2</v>
      </c>
      <c r="N18" s="4">
        <f t="shared" si="25"/>
        <v>6553.6</v>
      </c>
      <c r="O18" s="4">
        <f t="shared" si="26"/>
        <v>8192</v>
      </c>
      <c r="P18" s="4">
        <f t="shared" si="27"/>
        <v>9830.4</v>
      </c>
      <c r="Q18" s="4">
        <f t="shared" si="28"/>
        <v>11468.8</v>
      </c>
      <c r="R18" s="4">
        <f t="shared" si="29"/>
        <v>13107.2</v>
      </c>
      <c r="S18" s="4">
        <f t="shared" si="29"/>
        <v>14745.6</v>
      </c>
      <c r="T18" s="5">
        <f t="shared" si="29"/>
        <v>16384</v>
      </c>
      <c r="V18" s="9" t="s">
        <v>15</v>
      </c>
      <c r="W18" s="11">
        <v>1.4</v>
      </c>
      <c r="X18" s="12">
        <f t="shared" si="13"/>
        <v>50</v>
      </c>
    </row>
    <row r="19" spans="1:24" ht="18.75">
      <c r="A19" s="3">
        <f>$K$11+$K$8+$K$9+$K$10+$K$6+$K$7+$K$4+$K$5+$K$12+$K$13+$K$14+$K$15+$K$16+$K$17+$K$18+$K$19</f>
        <v>6553.5</v>
      </c>
      <c r="B19" s="3">
        <f t="shared" si="2"/>
        <v>13107</v>
      </c>
      <c r="C19" s="3">
        <f t="shared" si="3"/>
        <v>19660.5</v>
      </c>
      <c r="D19" s="3">
        <f t="shared" si="4"/>
        <v>26214</v>
      </c>
      <c r="E19" s="3">
        <f t="shared" si="5"/>
        <v>32767.5</v>
      </c>
      <c r="F19" s="3">
        <f t="shared" si="6"/>
        <v>39321</v>
      </c>
      <c r="G19" s="3">
        <f t="shared" si="7"/>
        <v>45874.5</v>
      </c>
      <c r="H19" s="3">
        <f t="shared" si="8"/>
        <v>52428</v>
      </c>
      <c r="I19" s="3">
        <f t="shared" si="9"/>
        <v>58981.5</v>
      </c>
      <c r="J19" s="3">
        <f t="shared" si="10"/>
        <v>65535</v>
      </c>
      <c r="K19" s="4">
        <f t="shared" si="16"/>
        <v>3276.8</v>
      </c>
      <c r="L19" s="4">
        <f t="shared" si="14"/>
        <v>6553.6</v>
      </c>
      <c r="M19" s="4">
        <f t="shared" si="24"/>
        <v>9830.4</v>
      </c>
      <c r="N19" s="4">
        <f t="shared" si="25"/>
        <v>13107.2</v>
      </c>
      <c r="O19" s="4">
        <f t="shared" si="26"/>
        <v>16384</v>
      </c>
      <c r="P19" s="4">
        <f t="shared" si="27"/>
        <v>19660.8</v>
      </c>
      <c r="Q19" s="4">
        <f t="shared" si="28"/>
        <v>22937.599999999999</v>
      </c>
      <c r="R19" s="4">
        <f t="shared" si="29"/>
        <v>26214.400000000001</v>
      </c>
      <c r="S19" s="4">
        <f t="shared" si="29"/>
        <v>29491.200000000001</v>
      </c>
      <c r="T19" s="5">
        <f t="shared" si="29"/>
        <v>32768</v>
      </c>
      <c r="V19" s="9" t="s">
        <v>16</v>
      </c>
      <c r="W19" s="11">
        <v>1.5</v>
      </c>
      <c r="X19" s="12">
        <f t="shared" si="13"/>
        <v>50</v>
      </c>
    </row>
    <row r="20" spans="1:24" ht="18.75">
      <c r="V20" s="9" t="s">
        <v>17</v>
      </c>
      <c r="W20" s="11">
        <v>1.6</v>
      </c>
      <c r="X20" s="12">
        <f t="shared" si="13"/>
        <v>50</v>
      </c>
    </row>
    <row r="21" spans="1:24" ht="18.75">
      <c r="V21" s="9" t="s">
        <v>18</v>
      </c>
      <c r="W21" s="11">
        <v>1.7</v>
      </c>
      <c r="X21" s="12">
        <f t="shared" si="13"/>
        <v>50</v>
      </c>
    </row>
    <row r="22" spans="1:24" ht="18.75">
      <c r="V22" s="9" t="s">
        <v>19</v>
      </c>
      <c r="W22" s="11">
        <v>1.8</v>
      </c>
      <c r="X22" s="12">
        <f t="shared" si="13"/>
        <v>50</v>
      </c>
    </row>
    <row r="23" spans="1:24" ht="18.75">
      <c r="K23" s="4">
        <v>1.1000000000000001</v>
      </c>
      <c r="L23" s="4">
        <v>1.2</v>
      </c>
      <c r="M23" s="4">
        <v>1.3</v>
      </c>
      <c r="N23" s="4">
        <v>1.4</v>
      </c>
      <c r="O23" s="4">
        <v>1.5</v>
      </c>
      <c r="P23" s="4">
        <v>1.6</v>
      </c>
      <c r="Q23" s="4">
        <v>1.7</v>
      </c>
      <c r="R23" s="4">
        <v>1.8</v>
      </c>
      <c r="S23" s="4">
        <v>1.9</v>
      </c>
      <c r="T23" s="4">
        <v>2</v>
      </c>
      <c r="U23" s="6"/>
      <c r="V23" s="9" t="s">
        <v>20</v>
      </c>
      <c r="W23" s="11">
        <v>1.9</v>
      </c>
      <c r="X23" s="12">
        <f t="shared" si="13"/>
        <v>50</v>
      </c>
    </row>
    <row r="24" spans="1:24" ht="18.75">
      <c r="A24" s="3">
        <f>K23*1</f>
        <v>1.1000000000000001</v>
      </c>
      <c r="B24" s="3">
        <f>L23*1</f>
        <v>1.2</v>
      </c>
      <c r="C24" s="3">
        <f t="shared" ref="C24:J24" si="30">M23*1</f>
        <v>1.3</v>
      </c>
      <c r="D24" s="3">
        <f t="shared" si="30"/>
        <v>1.4</v>
      </c>
      <c r="E24" s="3">
        <f t="shared" si="30"/>
        <v>1.5</v>
      </c>
      <c r="F24" s="3">
        <f t="shared" si="30"/>
        <v>1.6</v>
      </c>
      <c r="G24" s="3">
        <f t="shared" si="30"/>
        <v>1.7</v>
      </c>
      <c r="H24" s="3">
        <f t="shared" si="30"/>
        <v>1.8</v>
      </c>
      <c r="I24" s="3">
        <f t="shared" si="30"/>
        <v>1.9</v>
      </c>
      <c r="J24" s="3">
        <f t="shared" si="30"/>
        <v>2</v>
      </c>
      <c r="K24" s="4">
        <f>K23*1</f>
        <v>1.1000000000000001</v>
      </c>
      <c r="L24" s="4">
        <f>L23*1</f>
        <v>1.2</v>
      </c>
      <c r="M24" s="4">
        <f>M23*1</f>
        <v>1.3</v>
      </c>
      <c r="N24" s="4">
        <f t="shared" ref="N24:S24" si="31">N23*1</f>
        <v>1.4</v>
      </c>
      <c r="O24" s="4">
        <f t="shared" si="31"/>
        <v>1.5</v>
      </c>
      <c r="P24" s="4">
        <f t="shared" si="31"/>
        <v>1.6</v>
      </c>
      <c r="Q24" s="4">
        <f t="shared" si="31"/>
        <v>1.7</v>
      </c>
      <c r="R24" s="4">
        <f t="shared" si="31"/>
        <v>1.8</v>
      </c>
      <c r="S24" s="4">
        <f t="shared" si="31"/>
        <v>1.9</v>
      </c>
      <c r="T24" s="5">
        <f t="shared" ref="T24" si="32">T23*1</f>
        <v>2</v>
      </c>
      <c r="V24" s="9" t="s">
        <v>21</v>
      </c>
      <c r="W24" s="11">
        <v>2</v>
      </c>
      <c r="X24" s="12">
        <f t="shared" si="13"/>
        <v>50</v>
      </c>
    </row>
    <row r="25" spans="1:24">
      <c r="A25" s="3">
        <f>K25+A24</f>
        <v>3.3000000000000003</v>
      </c>
      <c r="B25" s="3">
        <f t="shared" ref="B25:J39" si="33">L25+B24</f>
        <v>3.5999999999999996</v>
      </c>
      <c r="C25" s="3">
        <f t="shared" si="33"/>
        <v>3.9000000000000004</v>
      </c>
      <c r="D25" s="3">
        <f t="shared" si="33"/>
        <v>4.1999999999999993</v>
      </c>
      <c r="E25" s="3">
        <f t="shared" si="33"/>
        <v>4.5</v>
      </c>
      <c r="F25" s="3">
        <f t="shared" si="33"/>
        <v>4.8000000000000007</v>
      </c>
      <c r="G25" s="3">
        <f t="shared" si="33"/>
        <v>5.0999999999999996</v>
      </c>
      <c r="H25" s="3">
        <f t="shared" si="33"/>
        <v>5.4</v>
      </c>
      <c r="I25" s="3">
        <f t="shared" si="33"/>
        <v>5.6999999999999993</v>
      </c>
      <c r="J25" s="3">
        <f t="shared" si="33"/>
        <v>6</v>
      </c>
      <c r="K25" s="4">
        <f>K24*2</f>
        <v>2.2000000000000002</v>
      </c>
      <c r="L25" s="4">
        <f>L24*2</f>
        <v>2.4</v>
      </c>
      <c r="M25" s="4">
        <f>M24*2</f>
        <v>2.6</v>
      </c>
      <c r="N25" s="4">
        <f t="shared" ref="N25:S32" si="34">N24*2</f>
        <v>2.8</v>
      </c>
      <c r="O25" s="4">
        <f t="shared" si="34"/>
        <v>3</v>
      </c>
      <c r="P25" s="4">
        <f t="shared" si="34"/>
        <v>3.2</v>
      </c>
      <c r="Q25" s="4">
        <f t="shared" si="34"/>
        <v>3.4</v>
      </c>
      <c r="R25" s="4">
        <f t="shared" si="34"/>
        <v>3.6</v>
      </c>
      <c r="S25" s="4">
        <f t="shared" si="34"/>
        <v>3.8</v>
      </c>
      <c r="T25" s="5">
        <f t="shared" ref="T25" si="35">T24*2</f>
        <v>4</v>
      </c>
    </row>
    <row r="26" spans="1:24">
      <c r="A26" s="3">
        <f>K26+A25</f>
        <v>7.7000000000000011</v>
      </c>
      <c r="B26" s="3">
        <f t="shared" si="33"/>
        <v>8.3999999999999986</v>
      </c>
      <c r="C26" s="3">
        <f t="shared" si="33"/>
        <v>9.1000000000000014</v>
      </c>
      <c r="D26" s="3">
        <f t="shared" si="33"/>
        <v>9.7999999999999989</v>
      </c>
      <c r="E26" s="3">
        <f t="shared" si="33"/>
        <v>10.5</v>
      </c>
      <c r="F26" s="3">
        <f t="shared" si="33"/>
        <v>11.200000000000001</v>
      </c>
      <c r="G26" s="3">
        <f t="shared" si="33"/>
        <v>11.899999999999999</v>
      </c>
      <c r="H26" s="3">
        <f t="shared" si="33"/>
        <v>12.600000000000001</v>
      </c>
      <c r="I26" s="3">
        <f t="shared" si="33"/>
        <v>13.299999999999999</v>
      </c>
      <c r="J26" s="3">
        <f t="shared" si="33"/>
        <v>14</v>
      </c>
      <c r="K26" s="4">
        <f>K25*2</f>
        <v>4.4000000000000004</v>
      </c>
      <c r="L26" s="4">
        <f t="shared" ref="L26:S39" si="36">L25*2</f>
        <v>4.8</v>
      </c>
      <c r="M26" s="4">
        <f>M25*2</f>
        <v>5.2</v>
      </c>
      <c r="N26" s="4">
        <f t="shared" ref="N26:R26" si="37">N25*2</f>
        <v>5.6</v>
      </c>
      <c r="O26" s="4">
        <f t="shared" si="37"/>
        <v>6</v>
      </c>
      <c r="P26" s="4">
        <f t="shared" si="37"/>
        <v>6.4</v>
      </c>
      <c r="Q26" s="4">
        <f t="shared" si="37"/>
        <v>6.8</v>
      </c>
      <c r="R26" s="4">
        <f t="shared" si="37"/>
        <v>7.2</v>
      </c>
      <c r="S26" s="4">
        <f t="shared" si="34"/>
        <v>7.6</v>
      </c>
      <c r="T26" s="5">
        <f t="shared" ref="T26" si="38">T25*2</f>
        <v>8</v>
      </c>
    </row>
    <row r="27" spans="1:24">
      <c r="A27" s="3">
        <f t="shared" ref="A27:A39" si="39">K27+A26</f>
        <v>16.5</v>
      </c>
      <c r="B27" s="3">
        <f t="shared" si="33"/>
        <v>18</v>
      </c>
      <c r="C27" s="3">
        <f t="shared" si="33"/>
        <v>19.5</v>
      </c>
      <c r="D27" s="3">
        <f t="shared" si="33"/>
        <v>21</v>
      </c>
      <c r="E27" s="3">
        <f t="shared" si="33"/>
        <v>22.5</v>
      </c>
      <c r="F27" s="3">
        <f t="shared" si="33"/>
        <v>24</v>
      </c>
      <c r="G27" s="3">
        <f t="shared" si="33"/>
        <v>25.5</v>
      </c>
      <c r="H27" s="3">
        <f t="shared" si="33"/>
        <v>27</v>
      </c>
      <c r="I27" s="3">
        <f t="shared" si="33"/>
        <v>28.5</v>
      </c>
      <c r="J27" s="3">
        <f t="shared" si="33"/>
        <v>30</v>
      </c>
      <c r="K27" s="4">
        <f t="shared" ref="K27:K39" si="40">K26*2</f>
        <v>8.8000000000000007</v>
      </c>
      <c r="L27" s="4">
        <f t="shared" si="36"/>
        <v>9.6</v>
      </c>
      <c r="M27" s="4">
        <f>M26*2</f>
        <v>10.4</v>
      </c>
      <c r="N27" s="4">
        <f t="shared" ref="N27:R27" si="41">N26*2</f>
        <v>11.2</v>
      </c>
      <c r="O27" s="4">
        <f t="shared" si="41"/>
        <v>12</v>
      </c>
      <c r="P27" s="4">
        <f t="shared" si="41"/>
        <v>12.8</v>
      </c>
      <c r="Q27" s="4">
        <f t="shared" si="41"/>
        <v>13.6</v>
      </c>
      <c r="R27" s="4">
        <f t="shared" si="41"/>
        <v>14.4</v>
      </c>
      <c r="S27" s="4">
        <f t="shared" si="34"/>
        <v>15.2</v>
      </c>
      <c r="T27" s="5">
        <f t="shared" ref="T27" si="42">T26*2</f>
        <v>16</v>
      </c>
    </row>
    <row r="28" spans="1:24">
      <c r="A28" s="3">
        <f t="shared" si="39"/>
        <v>34.1</v>
      </c>
      <c r="B28" s="3">
        <f t="shared" si="33"/>
        <v>37.200000000000003</v>
      </c>
      <c r="C28" s="3">
        <f t="shared" si="33"/>
        <v>40.299999999999997</v>
      </c>
      <c r="D28" s="3">
        <f t="shared" si="33"/>
        <v>43.4</v>
      </c>
      <c r="E28" s="3">
        <f t="shared" si="33"/>
        <v>46.5</v>
      </c>
      <c r="F28" s="3">
        <f t="shared" si="33"/>
        <v>49.6</v>
      </c>
      <c r="G28" s="3">
        <f t="shared" si="33"/>
        <v>52.7</v>
      </c>
      <c r="H28" s="3">
        <f t="shared" si="33"/>
        <v>55.8</v>
      </c>
      <c r="I28" s="3">
        <f t="shared" si="33"/>
        <v>58.9</v>
      </c>
      <c r="J28" s="3">
        <f t="shared" si="33"/>
        <v>62</v>
      </c>
      <c r="K28" s="4">
        <f t="shared" si="40"/>
        <v>17.600000000000001</v>
      </c>
      <c r="L28" s="4">
        <f t="shared" si="36"/>
        <v>19.2</v>
      </c>
      <c r="M28" s="4">
        <f t="shared" si="36"/>
        <v>20.8</v>
      </c>
      <c r="N28" s="4">
        <f t="shared" si="36"/>
        <v>22.4</v>
      </c>
      <c r="O28" s="4">
        <f t="shared" si="36"/>
        <v>24</v>
      </c>
      <c r="P28" s="4">
        <f t="shared" si="36"/>
        <v>25.6</v>
      </c>
      <c r="Q28" s="4">
        <f t="shared" si="36"/>
        <v>27.2</v>
      </c>
      <c r="R28" s="4">
        <f t="shared" si="36"/>
        <v>28.8</v>
      </c>
      <c r="S28" s="4">
        <f t="shared" si="34"/>
        <v>30.4</v>
      </c>
      <c r="T28" s="5">
        <f t="shared" ref="T28" si="43">T27*2</f>
        <v>32</v>
      </c>
    </row>
    <row r="29" spans="1:24">
      <c r="A29" s="3">
        <f t="shared" si="39"/>
        <v>69.300000000000011</v>
      </c>
      <c r="B29" s="3">
        <f t="shared" si="33"/>
        <v>75.599999999999994</v>
      </c>
      <c r="C29" s="3">
        <f t="shared" si="33"/>
        <v>81.900000000000006</v>
      </c>
      <c r="D29" s="3">
        <f t="shared" si="33"/>
        <v>88.199999999999989</v>
      </c>
      <c r="E29" s="3">
        <f t="shared" si="33"/>
        <v>94.5</v>
      </c>
      <c r="F29" s="3">
        <f t="shared" si="33"/>
        <v>100.80000000000001</v>
      </c>
      <c r="G29" s="3">
        <f t="shared" si="33"/>
        <v>107.1</v>
      </c>
      <c r="H29" s="3">
        <f t="shared" si="33"/>
        <v>113.4</v>
      </c>
      <c r="I29" s="3">
        <f t="shared" si="33"/>
        <v>119.69999999999999</v>
      </c>
      <c r="J29" s="3">
        <f t="shared" si="33"/>
        <v>126</v>
      </c>
      <c r="K29" s="4">
        <f t="shared" si="40"/>
        <v>35.200000000000003</v>
      </c>
      <c r="L29" s="4">
        <f t="shared" si="36"/>
        <v>38.4</v>
      </c>
      <c r="M29" s="4">
        <f t="shared" si="36"/>
        <v>41.6</v>
      </c>
      <c r="N29" s="4">
        <f t="shared" si="36"/>
        <v>44.8</v>
      </c>
      <c r="O29" s="4">
        <f t="shared" si="36"/>
        <v>48</v>
      </c>
      <c r="P29" s="4">
        <f t="shared" si="36"/>
        <v>51.2</v>
      </c>
      <c r="Q29" s="4">
        <f t="shared" si="36"/>
        <v>54.4</v>
      </c>
      <c r="R29" s="4">
        <f t="shared" si="36"/>
        <v>57.6</v>
      </c>
      <c r="S29" s="4">
        <f t="shared" si="34"/>
        <v>60.8</v>
      </c>
      <c r="T29" s="5">
        <f t="shared" ref="T29" si="44">T28*2</f>
        <v>64</v>
      </c>
    </row>
    <row r="30" spans="1:24">
      <c r="A30" s="3">
        <f t="shared" si="39"/>
        <v>139.70000000000002</v>
      </c>
      <c r="B30" s="3">
        <f t="shared" si="33"/>
        <v>152.39999999999998</v>
      </c>
      <c r="C30" s="3">
        <f t="shared" si="33"/>
        <v>165.10000000000002</v>
      </c>
      <c r="D30" s="3">
        <f t="shared" si="33"/>
        <v>177.79999999999998</v>
      </c>
      <c r="E30" s="3">
        <f t="shared" si="33"/>
        <v>190.5</v>
      </c>
      <c r="F30" s="3">
        <f t="shared" si="33"/>
        <v>203.20000000000002</v>
      </c>
      <c r="G30" s="3">
        <f t="shared" si="33"/>
        <v>215.89999999999998</v>
      </c>
      <c r="H30" s="3">
        <f t="shared" si="33"/>
        <v>228.60000000000002</v>
      </c>
      <c r="I30" s="3">
        <f t="shared" si="33"/>
        <v>241.29999999999998</v>
      </c>
      <c r="J30" s="3">
        <f t="shared" si="33"/>
        <v>254</v>
      </c>
      <c r="K30" s="4">
        <f t="shared" si="40"/>
        <v>70.400000000000006</v>
      </c>
      <c r="L30" s="4">
        <f t="shared" si="36"/>
        <v>76.8</v>
      </c>
      <c r="M30" s="4">
        <f t="shared" si="36"/>
        <v>83.2</v>
      </c>
      <c r="N30" s="4">
        <f t="shared" si="36"/>
        <v>89.6</v>
      </c>
      <c r="O30" s="4">
        <f t="shared" si="36"/>
        <v>96</v>
      </c>
      <c r="P30" s="4">
        <f t="shared" si="36"/>
        <v>102.4</v>
      </c>
      <c r="Q30" s="4">
        <f t="shared" si="36"/>
        <v>108.8</v>
      </c>
      <c r="R30" s="4">
        <f t="shared" si="36"/>
        <v>115.2</v>
      </c>
      <c r="S30" s="4">
        <f t="shared" si="34"/>
        <v>121.6</v>
      </c>
      <c r="T30" s="5">
        <f t="shared" ref="T30" si="45">T29*2</f>
        <v>128</v>
      </c>
    </row>
    <row r="31" spans="1:24">
      <c r="A31" s="3">
        <f t="shared" si="39"/>
        <v>280.5</v>
      </c>
      <c r="B31" s="3">
        <f t="shared" si="33"/>
        <v>306</v>
      </c>
      <c r="C31" s="3">
        <f t="shared" si="33"/>
        <v>331.5</v>
      </c>
      <c r="D31" s="3">
        <f t="shared" si="33"/>
        <v>357</v>
      </c>
      <c r="E31" s="3">
        <f t="shared" si="33"/>
        <v>382.5</v>
      </c>
      <c r="F31" s="3">
        <f t="shared" si="33"/>
        <v>408</v>
      </c>
      <c r="G31" s="3">
        <f t="shared" si="33"/>
        <v>433.5</v>
      </c>
      <c r="H31" s="3">
        <f t="shared" si="33"/>
        <v>459</v>
      </c>
      <c r="I31" s="3">
        <f t="shared" si="33"/>
        <v>484.5</v>
      </c>
      <c r="J31" s="3">
        <f t="shared" si="33"/>
        <v>510</v>
      </c>
      <c r="K31" s="4">
        <f t="shared" si="40"/>
        <v>140.80000000000001</v>
      </c>
      <c r="L31" s="4">
        <f t="shared" si="36"/>
        <v>153.6</v>
      </c>
      <c r="M31" s="4">
        <f t="shared" si="36"/>
        <v>166.4</v>
      </c>
      <c r="N31" s="4">
        <f t="shared" si="36"/>
        <v>179.2</v>
      </c>
      <c r="O31" s="4">
        <f t="shared" si="36"/>
        <v>192</v>
      </c>
      <c r="P31" s="4">
        <f t="shared" si="36"/>
        <v>204.8</v>
      </c>
      <c r="Q31" s="4">
        <f t="shared" si="36"/>
        <v>217.6</v>
      </c>
      <c r="R31" s="4">
        <f t="shared" si="36"/>
        <v>230.4</v>
      </c>
      <c r="S31" s="4">
        <f t="shared" si="34"/>
        <v>243.2</v>
      </c>
      <c r="T31" s="5">
        <f t="shared" ref="T31" si="46">T30*2</f>
        <v>256</v>
      </c>
    </row>
    <row r="32" spans="1:24">
      <c r="A32" s="3">
        <f t="shared" si="39"/>
        <v>562.1</v>
      </c>
      <c r="B32" s="3">
        <f t="shared" si="33"/>
        <v>613.20000000000005</v>
      </c>
      <c r="C32" s="3">
        <f t="shared" si="33"/>
        <v>664.3</v>
      </c>
      <c r="D32" s="3">
        <f t="shared" si="33"/>
        <v>715.4</v>
      </c>
      <c r="E32" s="3">
        <f t="shared" si="33"/>
        <v>766.5</v>
      </c>
      <c r="F32" s="3">
        <f t="shared" si="33"/>
        <v>817.6</v>
      </c>
      <c r="G32" s="3">
        <f t="shared" si="33"/>
        <v>868.7</v>
      </c>
      <c r="H32" s="3">
        <f t="shared" si="33"/>
        <v>919.8</v>
      </c>
      <c r="I32" s="3">
        <f t="shared" si="33"/>
        <v>970.9</v>
      </c>
      <c r="J32" s="3">
        <f t="shared" si="33"/>
        <v>1022</v>
      </c>
      <c r="K32" s="4">
        <f t="shared" si="40"/>
        <v>281.60000000000002</v>
      </c>
      <c r="L32" s="4">
        <f t="shared" si="36"/>
        <v>307.2</v>
      </c>
      <c r="M32" s="4">
        <f t="shared" si="36"/>
        <v>332.8</v>
      </c>
      <c r="N32" s="4">
        <f t="shared" si="36"/>
        <v>358.4</v>
      </c>
      <c r="O32" s="4">
        <f t="shared" si="36"/>
        <v>384</v>
      </c>
      <c r="P32" s="4">
        <f t="shared" si="36"/>
        <v>409.6</v>
      </c>
      <c r="Q32" s="4">
        <f t="shared" si="36"/>
        <v>435.2</v>
      </c>
      <c r="R32" s="4">
        <f t="shared" si="36"/>
        <v>460.8</v>
      </c>
      <c r="S32" s="4">
        <f t="shared" si="34"/>
        <v>486.4</v>
      </c>
      <c r="T32" s="5">
        <f t="shared" ref="T32" si="47">T31*2</f>
        <v>512</v>
      </c>
    </row>
    <row r="33" spans="1:20">
      <c r="A33" s="3">
        <f t="shared" si="39"/>
        <v>1125.3000000000002</v>
      </c>
      <c r="B33" s="3">
        <f t="shared" si="33"/>
        <v>1227.5999999999999</v>
      </c>
      <c r="C33" s="3">
        <f t="shared" si="33"/>
        <v>1329.9</v>
      </c>
      <c r="D33" s="3">
        <f t="shared" si="33"/>
        <v>1432.1999999999998</v>
      </c>
      <c r="E33" s="3">
        <f t="shared" si="33"/>
        <v>1534.5</v>
      </c>
      <c r="F33" s="3">
        <f t="shared" si="33"/>
        <v>1636.8000000000002</v>
      </c>
      <c r="G33" s="3">
        <f t="shared" si="33"/>
        <v>1739.1</v>
      </c>
      <c r="H33" s="3">
        <f t="shared" si="33"/>
        <v>1841.4</v>
      </c>
      <c r="I33" s="3">
        <f t="shared" si="33"/>
        <v>1943.6999999999998</v>
      </c>
      <c r="J33" s="3">
        <f t="shared" si="33"/>
        <v>2046</v>
      </c>
      <c r="K33" s="4">
        <f t="shared" si="40"/>
        <v>563.20000000000005</v>
      </c>
      <c r="L33" s="4">
        <f t="shared" si="36"/>
        <v>614.4</v>
      </c>
      <c r="M33" s="4">
        <f t="shared" si="36"/>
        <v>665.6</v>
      </c>
      <c r="N33" s="4">
        <f t="shared" si="36"/>
        <v>716.8</v>
      </c>
      <c r="O33" s="4">
        <f t="shared" si="36"/>
        <v>768</v>
      </c>
      <c r="P33" s="4">
        <f t="shared" si="36"/>
        <v>819.2</v>
      </c>
      <c r="Q33" s="4">
        <f t="shared" si="36"/>
        <v>870.4</v>
      </c>
      <c r="R33" s="4">
        <f t="shared" si="36"/>
        <v>921.6</v>
      </c>
      <c r="S33" s="4">
        <f t="shared" si="36"/>
        <v>972.8</v>
      </c>
      <c r="T33" s="5">
        <f t="shared" ref="T33" si="48">T32*2</f>
        <v>1024</v>
      </c>
    </row>
    <row r="34" spans="1:20">
      <c r="A34" s="3">
        <f t="shared" si="39"/>
        <v>2251.7000000000003</v>
      </c>
      <c r="B34" s="3">
        <f t="shared" si="33"/>
        <v>2456.3999999999996</v>
      </c>
      <c r="C34" s="3">
        <f t="shared" si="33"/>
        <v>2661.1000000000004</v>
      </c>
      <c r="D34" s="3">
        <f t="shared" si="33"/>
        <v>2865.7999999999997</v>
      </c>
      <c r="E34" s="3">
        <f t="shared" si="33"/>
        <v>3070.5</v>
      </c>
      <c r="F34" s="3">
        <f t="shared" si="33"/>
        <v>3275.2000000000003</v>
      </c>
      <c r="G34" s="3">
        <f t="shared" si="33"/>
        <v>3479.8999999999996</v>
      </c>
      <c r="H34" s="3">
        <f t="shared" si="33"/>
        <v>3684.6000000000004</v>
      </c>
      <c r="I34" s="3">
        <f t="shared" si="33"/>
        <v>3889.2999999999997</v>
      </c>
      <c r="J34" s="3">
        <f t="shared" si="33"/>
        <v>4094</v>
      </c>
      <c r="K34" s="4">
        <f t="shared" si="40"/>
        <v>1126.4000000000001</v>
      </c>
      <c r="L34" s="4">
        <f t="shared" si="36"/>
        <v>1228.8</v>
      </c>
      <c r="M34" s="4">
        <f t="shared" si="36"/>
        <v>1331.2</v>
      </c>
      <c r="N34" s="4">
        <f t="shared" si="36"/>
        <v>1433.6</v>
      </c>
      <c r="O34" s="4">
        <f t="shared" si="36"/>
        <v>1536</v>
      </c>
      <c r="P34" s="4">
        <f t="shared" si="36"/>
        <v>1638.4</v>
      </c>
      <c r="Q34" s="4">
        <f t="shared" si="36"/>
        <v>1740.8</v>
      </c>
      <c r="R34" s="4">
        <f t="shared" si="36"/>
        <v>1843.2</v>
      </c>
      <c r="S34" s="4">
        <f t="shared" si="36"/>
        <v>1945.6</v>
      </c>
      <c r="T34" s="5">
        <f t="shared" ref="T34" si="49">T33*2</f>
        <v>2048</v>
      </c>
    </row>
    <row r="35" spans="1:20">
      <c r="A35" s="3">
        <f t="shared" si="39"/>
        <v>4504.5</v>
      </c>
      <c r="B35" s="3">
        <f t="shared" si="33"/>
        <v>4914</v>
      </c>
      <c r="C35" s="3">
        <f t="shared" si="33"/>
        <v>5323.5</v>
      </c>
      <c r="D35" s="3">
        <f t="shared" si="33"/>
        <v>5733</v>
      </c>
      <c r="E35" s="3">
        <f t="shared" si="33"/>
        <v>6142.5</v>
      </c>
      <c r="F35" s="3">
        <f t="shared" si="33"/>
        <v>6552</v>
      </c>
      <c r="G35" s="3">
        <f t="shared" si="33"/>
        <v>6961.5</v>
      </c>
      <c r="H35" s="3">
        <f t="shared" si="33"/>
        <v>7371</v>
      </c>
      <c r="I35" s="3">
        <f t="shared" si="33"/>
        <v>7780.5</v>
      </c>
      <c r="J35" s="3">
        <f t="shared" si="33"/>
        <v>8190</v>
      </c>
      <c r="K35" s="4">
        <f t="shared" si="40"/>
        <v>2252.8000000000002</v>
      </c>
      <c r="L35" s="4">
        <f t="shared" si="36"/>
        <v>2457.6</v>
      </c>
      <c r="M35" s="4">
        <f t="shared" si="36"/>
        <v>2662.4</v>
      </c>
      <c r="N35" s="4">
        <f t="shared" si="36"/>
        <v>2867.2</v>
      </c>
      <c r="O35" s="4">
        <f t="shared" si="36"/>
        <v>3072</v>
      </c>
      <c r="P35" s="4">
        <f t="shared" si="36"/>
        <v>3276.8</v>
      </c>
      <c r="Q35" s="4">
        <f t="shared" si="36"/>
        <v>3481.6</v>
      </c>
      <c r="R35" s="4">
        <f t="shared" si="36"/>
        <v>3686.4</v>
      </c>
      <c r="S35" s="4">
        <f t="shared" si="36"/>
        <v>3891.2</v>
      </c>
      <c r="T35" s="5">
        <f t="shared" ref="T35" si="50">T34*2</f>
        <v>4096</v>
      </c>
    </row>
    <row r="36" spans="1:20">
      <c r="A36" s="3">
        <f t="shared" si="39"/>
        <v>9010.1</v>
      </c>
      <c r="B36" s="3">
        <f t="shared" si="33"/>
        <v>9829.2000000000007</v>
      </c>
      <c r="C36" s="3">
        <f t="shared" si="33"/>
        <v>10648.3</v>
      </c>
      <c r="D36" s="3">
        <f t="shared" si="33"/>
        <v>11467.4</v>
      </c>
      <c r="E36" s="3">
        <f t="shared" si="33"/>
        <v>12286.5</v>
      </c>
      <c r="F36" s="3">
        <f t="shared" si="33"/>
        <v>13105.6</v>
      </c>
      <c r="G36" s="3">
        <f t="shared" si="33"/>
        <v>13924.7</v>
      </c>
      <c r="H36" s="3">
        <f t="shared" si="33"/>
        <v>14743.8</v>
      </c>
      <c r="I36" s="3">
        <f t="shared" si="33"/>
        <v>15562.9</v>
      </c>
      <c r="J36" s="3">
        <f t="shared" si="33"/>
        <v>16382</v>
      </c>
      <c r="K36" s="4">
        <f t="shared" si="40"/>
        <v>4505.6000000000004</v>
      </c>
      <c r="L36" s="4">
        <f t="shared" si="36"/>
        <v>4915.2</v>
      </c>
      <c r="M36" s="4">
        <f t="shared" si="36"/>
        <v>5324.8</v>
      </c>
      <c r="N36" s="4">
        <f t="shared" si="36"/>
        <v>5734.4</v>
      </c>
      <c r="O36" s="4">
        <f t="shared" si="36"/>
        <v>6144</v>
      </c>
      <c r="P36" s="4">
        <f t="shared" si="36"/>
        <v>6553.6</v>
      </c>
      <c r="Q36" s="4">
        <f t="shared" si="36"/>
        <v>6963.2</v>
      </c>
      <c r="R36" s="4">
        <f t="shared" si="36"/>
        <v>7372.8</v>
      </c>
      <c r="S36" s="4">
        <f t="shared" si="36"/>
        <v>7782.4</v>
      </c>
      <c r="T36" s="5">
        <f t="shared" ref="T36" si="51">T35*2</f>
        <v>8192</v>
      </c>
    </row>
    <row r="37" spans="1:20">
      <c r="A37" s="3">
        <f t="shared" si="39"/>
        <v>18021.300000000003</v>
      </c>
      <c r="B37" s="3">
        <f t="shared" si="33"/>
        <v>19659.599999999999</v>
      </c>
      <c r="C37" s="3">
        <f t="shared" si="33"/>
        <v>21297.9</v>
      </c>
      <c r="D37" s="3">
        <f t="shared" si="33"/>
        <v>22936.199999999997</v>
      </c>
      <c r="E37" s="3">
        <f t="shared" si="33"/>
        <v>24574.5</v>
      </c>
      <c r="F37" s="3">
        <f t="shared" si="33"/>
        <v>26212.800000000003</v>
      </c>
      <c r="G37" s="3">
        <f t="shared" si="33"/>
        <v>27851.1</v>
      </c>
      <c r="H37" s="3">
        <f t="shared" si="33"/>
        <v>29489.4</v>
      </c>
      <c r="I37" s="3">
        <f t="shared" si="33"/>
        <v>31127.699999999997</v>
      </c>
      <c r="J37" s="3">
        <f t="shared" si="33"/>
        <v>32766</v>
      </c>
      <c r="K37" s="4">
        <f t="shared" si="40"/>
        <v>9011.2000000000007</v>
      </c>
      <c r="L37" s="4">
        <f t="shared" si="36"/>
        <v>9830.4</v>
      </c>
      <c r="M37" s="4">
        <f t="shared" si="36"/>
        <v>10649.6</v>
      </c>
      <c r="N37" s="4">
        <f t="shared" si="36"/>
        <v>11468.8</v>
      </c>
      <c r="O37" s="4">
        <f t="shared" si="36"/>
        <v>12288</v>
      </c>
      <c r="P37" s="4">
        <f t="shared" si="36"/>
        <v>13107.2</v>
      </c>
      <c r="Q37" s="4">
        <f t="shared" si="36"/>
        <v>13926.4</v>
      </c>
      <c r="R37" s="4">
        <f t="shared" si="36"/>
        <v>14745.6</v>
      </c>
      <c r="S37" s="4">
        <f t="shared" si="36"/>
        <v>15564.8</v>
      </c>
      <c r="T37" s="5">
        <f t="shared" ref="T37" si="52">T36*2</f>
        <v>16384</v>
      </c>
    </row>
    <row r="38" spans="1:20">
      <c r="A38" s="3">
        <f t="shared" si="39"/>
        <v>36043.700000000004</v>
      </c>
      <c r="B38" s="3">
        <f t="shared" si="33"/>
        <v>39320.399999999994</v>
      </c>
      <c r="C38" s="3">
        <f t="shared" si="33"/>
        <v>42597.100000000006</v>
      </c>
      <c r="D38" s="3">
        <f t="shared" si="33"/>
        <v>45873.799999999996</v>
      </c>
      <c r="E38" s="3">
        <f t="shared" si="33"/>
        <v>49150.5</v>
      </c>
      <c r="F38" s="3">
        <f t="shared" si="33"/>
        <v>52427.200000000004</v>
      </c>
      <c r="G38" s="3">
        <f t="shared" si="33"/>
        <v>55703.899999999994</v>
      </c>
      <c r="H38" s="3">
        <f t="shared" si="33"/>
        <v>58980.600000000006</v>
      </c>
      <c r="I38" s="3">
        <f t="shared" si="33"/>
        <v>62257.299999999996</v>
      </c>
      <c r="J38" s="3">
        <f t="shared" si="33"/>
        <v>65534</v>
      </c>
      <c r="K38" s="4">
        <f t="shared" si="40"/>
        <v>18022.400000000001</v>
      </c>
      <c r="L38" s="4">
        <f t="shared" si="36"/>
        <v>19660.8</v>
      </c>
      <c r="M38" s="4">
        <f t="shared" si="36"/>
        <v>21299.200000000001</v>
      </c>
      <c r="N38" s="4">
        <f t="shared" si="36"/>
        <v>22937.599999999999</v>
      </c>
      <c r="O38" s="4">
        <f t="shared" si="36"/>
        <v>24576</v>
      </c>
      <c r="P38" s="4">
        <f t="shared" si="36"/>
        <v>26214.400000000001</v>
      </c>
      <c r="Q38" s="4">
        <f t="shared" si="36"/>
        <v>27852.799999999999</v>
      </c>
      <c r="R38" s="4">
        <f t="shared" si="36"/>
        <v>29491.200000000001</v>
      </c>
      <c r="S38" s="4">
        <f t="shared" si="36"/>
        <v>31129.599999999999</v>
      </c>
      <c r="T38" s="5">
        <f t="shared" ref="T38" si="53">T37*2</f>
        <v>32768</v>
      </c>
    </row>
    <row r="39" spans="1:20">
      <c r="A39" s="3">
        <f t="shared" si="39"/>
        <v>72088.5</v>
      </c>
      <c r="B39" s="3">
        <f t="shared" si="33"/>
        <v>78642</v>
      </c>
      <c r="C39" s="3">
        <f t="shared" si="33"/>
        <v>85195.5</v>
      </c>
      <c r="D39" s="3">
        <f t="shared" si="33"/>
        <v>91749</v>
      </c>
      <c r="E39" s="3">
        <f t="shared" si="33"/>
        <v>98302.5</v>
      </c>
      <c r="F39" s="3">
        <f t="shared" si="33"/>
        <v>104856</v>
      </c>
      <c r="G39" s="3">
        <f t="shared" si="33"/>
        <v>111409.5</v>
      </c>
      <c r="H39" s="3">
        <f t="shared" si="33"/>
        <v>117963</v>
      </c>
      <c r="I39" s="3">
        <f t="shared" si="33"/>
        <v>124516.5</v>
      </c>
      <c r="J39" s="3">
        <f t="shared" si="33"/>
        <v>131070</v>
      </c>
      <c r="K39" s="4">
        <f t="shared" si="40"/>
        <v>36044.800000000003</v>
      </c>
      <c r="L39" s="4">
        <f t="shared" si="36"/>
        <v>39321.599999999999</v>
      </c>
      <c r="M39" s="4">
        <f t="shared" si="36"/>
        <v>42598.400000000001</v>
      </c>
      <c r="N39" s="4">
        <f t="shared" si="36"/>
        <v>45875.199999999997</v>
      </c>
      <c r="O39" s="4">
        <f t="shared" si="36"/>
        <v>49152</v>
      </c>
      <c r="P39" s="4">
        <f t="shared" si="36"/>
        <v>52428.800000000003</v>
      </c>
      <c r="Q39" s="4">
        <f t="shared" si="36"/>
        <v>55705.599999999999</v>
      </c>
      <c r="R39" s="4">
        <f t="shared" si="36"/>
        <v>58982.400000000001</v>
      </c>
      <c r="S39" s="4">
        <f t="shared" si="36"/>
        <v>62259.199999999997</v>
      </c>
      <c r="T39" s="5">
        <f t="shared" ref="T39" si="54">T38*2</f>
        <v>65536</v>
      </c>
    </row>
  </sheetData>
  <mergeCells count="2">
    <mergeCell ref="A1:T2"/>
    <mergeCell ref="V1:X2"/>
  </mergeCells>
  <conditionalFormatting sqref="K4:T19">
    <cfRule type="expression" dxfId="71" priority="23">
      <formula>AND(A4&lt;=$A$1,TRUE)</formula>
    </cfRule>
  </conditionalFormatting>
  <conditionalFormatting sqref="K24:T39">
    <cfRule type="expression" dxfId="70" priority="22">
      <formula>AND(A24&lt;=$A$1,TRUE)</formula>
    </cfRule>
  </conditionalFormatting>
  <conditionalFormatting sqref="X5">
    <cfRule type="cellIs" dxfId="69" priority="21" operator="between">
      <formula>5</formula>
      <formula>39</formula>
    </cfRule>
  </conditionalFormatting>
  <conditionalFormatting sqref="X6">
    <cfRule type="cellIs" dxfId="68" priority="20" operator="between">
      <formula>25</formula>
      <formula>39</formula>
    </cfRule>
  </conditionalFormatting>
  <conditionalFormatting sqref="X7">
    <cfRule type="cellIs" dxfId="67" priority="19" operator="between">
      <formula>39</formula>
      <formula>50</formula>
    </cfRule>
  </conditionalFormatting>
  <conditionalFormatting sqref="X8">
    <cfRule type="cellIs" dxfId="66" priority="18" operator="between">
      <formula>50</formula>
      <formula>64</formula>
    </cfRule>
  </conditionalFormatting>
  <conditionalFormatting sqref="X9">
    <cfRule type="cellIs" dxfId="65" priority="17" operator="between">
      <formula>64</formula>
      <formula>77</formula>
    </cfRule>
  </conditionalFormatting>
  <conditionalFormatting sqref="X10">
    <cfRule type="cellIs" dxfId="64" priority="16" operator="between">
      <formula>77</formula>
      <formula>89</formula>
    </cfRule>
  </conditionalFormatting>
  <conditionalFormatting sqref="X11">
    <cfRule type="cellIs" dxfId="63" priority="14" operator="between">
      <formula>89</formula>
      <formula>102</formula>
    </cfRule>
  </conditionalFormatting>
  <conditionalFormatting sqref="X12">
    <cfRule type="cellIs" dxfId="62" priority="13" operator="between">
      <formula>102</formula>
      <formula>115</formula>
    </cfRule>
  </conditionalFormatting>
  <conditionalFormatting sqref="X13">
    <cfRule type="cellIs" dxfId="61" priority="12" operator="between">
      <formula>115</formula>
      <formula>127</formula>
    </cfRule>
  </conditionalFormatting>
  <conditionalFormatting sqref="X14">
    <cfRule type="cellIs" dxfId="60" priority="11" operator="between">
      <formula>127</formula>
      <formula>140</formula>
    </cfRule>
  </conditionalFormatting>
  <conditionalFormatting sqref="X15">
    <cfRule type="cellIs" dxfId="59" priority="10" operator="between">
      <formula>140</formula>
      <formula>153</formula>
    </cfRule>
  </conditionalFormatting>
  <conditionalFormatting sqref="X16">
    <cfRule type="cellIs" dxfId="58" priority="9" operator="between">
      <formula>153</formula>
      <formula>166</formula>
    </cfRule>
  </conditionalFormatting>
  <conditionalFormatting sqref="X17">
    <cfRule type="cellIs" dxfId="57" priority="8" operator="between">
      <formula>166</formula>
      <formula>178</formula>
    </cfRule>
  </conditionalFormatting>
  <conditionalFormatting sqref="X18">
    <cfRule type="cellIs" dxfId="56" priority="7" operator="between">
      <formula>178</formula>
      <formula>191</formula>
    </cfRule>
  </conditionalFormatting>
  <conditionalFormatting sqref="X19">
    <cfRule type="cellIs" dxfId="55" priority="6" operator="between">
      <formula>191</formula>
      <formula>204</formula>
    </cfRule>
  </conditionalFormatting>
  <conditionalFormatting sqref="X20">
    <cfRule type="cellIs" dxfId="54" priority="5" operator="between">
      <formula>204</formula>
      <formula>216</formula>
    </cfRule>
  </conditionalFormatting>
  <conditionalFormatting sqref="X21">
    <cfRule type="cellIs" dxfId="53" priority="4" operator="between">
      <formula>216</formula>
      <formula>229</formula>
    </cfRule>
  </conditionalFormatting>
  <conditionalFormatting sqref="X22">
    <cfRule type="cellIs" dxfId="52" priority="3" operator="between">
      <formula>229</formula>
      <formula>242</formula>
    </cfRule>
  </conditionalFormatting>
  <conditionalFormatting sqref="X23">
    <cfRule type="cellIs" dxfId="51" priority="2" operator="between">
      <formula>242</formula>
      <formula>254</formula>
    </cfRule>
  </conditionalFormatting>
  <conditionalFormatting sqref="X24">
    <cfRule type="cellIs" dxfId="50" priority="1" operator="between">
      <formula>254</formula>
      <formula>10000</formula>
    </cfRule>
  </conditionalFormatting>
  <pageMargins left="0.7" right="0.7" top="0.75" bottom="0.75" header="0.3" footer="0.3"/>
  <pageSetup paperSize="9" orientation="portrait" horizontalDpi="0" verticalDpi="0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27"/>
  <sheetViews>
    <sheetView showGridLines="0" zoomScale="85" zoomScaleNormal="85" workbookViewId="0">
      <selection activeCell="N3" sqref="N3"/>
    </sheetView>
  </sheetViews>
  <sheetFormatPr baseColWidth="10" defaultRowHeight="15"/>
  <cols>
    <col min="1" max="1" width="4.28515625" customWidth="1"/>
    <col min="2" max="2" width="45.7109375" customWidth="1"/>
    <col min="3" max="3" width="2.5703125" style="22" customWidth="1"/>
    <col min="4" max="7" width="3.7109375" style="16" customWidth="1"/>
    <col min="8" max="8" width="6" customWidth="1"/>
    <col min="9" max="12" width="3.7109375" style="16" customWidth="1"/>
    <col min="13" max="13" width="1.7109375" style="22" customWidth="1"/>
    <col min="14" max="14" width="45.7109375" customWidth="1"/>
  </cols>
  <sheetData>
    <row r="1" spans="1:17" ht="15.75" thickBot="1">
      <c r="B1" s="61" t="s">
        <v>159</v>
      </c>
    </row>
    <row r="2" spans="1:17" ht="15" customHeight="1">
      <c r="D2" s="120" t="s">
        <v>34</v>
      </c>
      <c r="E2" s="121"/>
      <c r="F2" s="121"/>
      <c r="G2" s="122"/>
      <c r="I2" s="120" t="s">
        <v>41</v>
      </c>
      <c r="J2" s="121"/>
      <c r="K2" s="121"/>
      <c r="L2" s="122"/>
    </row>
    <row r="3" spans="1:17" ht="15.75" customHeight="1" thickBot="1">
      <c r="D3" s="123"/>
      <c r="E3" s="124"/>
      <c r="F3" s="124"/>
      <c r="G3" s="125"/>
      <c r="I3" s="123"/>
      <c r="J3" s="124"/>
      <c r="K3" s="124"/>
      <c r="L3" s="125"/>
    </row>
    <row r="4" spans="1:17" ht="15.75" thickBot="1">
      <c r="H4" s="17">
        <f>SUM(D5+I5)</f>
        <v>58</v>
      </c>
    </row>
    <row r="5" spans="1:17">
      <c r="B5" s="118" t="s">
        <v>23</v>
      </c>
      <c r="D5" s="136">
        <v>25</v>
      </c>
      <c r="E5" s="137"/>
      <c r="F5" s="137"/>
      <c r="G5" s="138"/>
      <c r="H5" s="118" t="s">
        <v>28</v>
      </c>
      <c r="I5" s="136">
        <v>33</v>
      </c>
      <c r="J5" s="137"/>
      <c r="K5" s="137"/>
      <c r="L5" s="138"/>
      <c r="N5" s="118" t="s">
        <v>24</v>
      </c>
    </row>
    <row r="6" spans="1:17" ht="15.75" thickBot="1">
      <c r="B6" s="119"/>
      <c r="D6" s="139"/>
      <c r="E6" s="140"/>
      <c r="F6" s="140"/>
      <c r="G6" s="141"/>
      <c r="H6" s="119"/>
      <c r="I6" s="139"/>
      <c r="J6" s="140"/>
      <c r="K6" s="140"/>
      <c r="L6" s="141"/>
      <c r="N6" s="119"/>
    </row>
    <row r="7" spans="1:17" ht="15.75" thickBot="1">
      <c r="D7" s="24" t="str">
        <f>IF(D5+I5&gt;=120,"1","0")</f>
        <v>0</v>
      </c>
      <c r="G7" s="156" t="s">
        <v>26</v>
      </c>
      <c r="H7" s="157"/>
      <c r="I7" s="156"/>
      <c r="J7" s="18"/>
      <c r="K7" s="18"/>
    </row>
    <row r="8" spans="1:17" ht="15.75" thickBot="1">
      <c r="B8" s="118" t="s">
        <v>25</v>
      </c>
      <c r="D8" s="129">
        <f>Feuil1!K12</f>
        <v>10</v>
      </c>
      <c r="E8" s="130"/>
      <c r="F8" s="130"/>
      <c r="G8" s="131"/>
      <c r="H8" s="158" t="s">
        <v>28</v>
      </c>
      <c r="I8" s="129">
        <f>Feuil1!K24</f>
        <v>8</v>
      </c>
      <c r="J8" s="130"/>
      <c r="K8" s="130"/>
      <c r="L8" s="131"/>
      <c r="N8" s="118" t="s">
        <v>25</v>
      </c>
    </row>
    <row r="9" spans="1:17" ht="15.75" thickBot="1">
      <c r="B9" s="126"/>
      <c r="D9" s="139">
        <f>SUM(D8/4)</f>
        <v>2.5</v>
      </c>
      <c r="E9" s="140"/>
      <c r="F9" s="140"/>
      <c r="G9" s="141"/>
      <c r="H9" s="159"/>
      <c r="I9" s="139">
        <f>SUM(I8/4)</f>
        <v>2</v>
      </c>
      <c r="J9" s="140"/>
      <c r="K9" s="140"/>
      <c r="L9" s="141"/>
      <c r="N9" s="126"/>
    </row>
    <row r="10" spans="1:17" ht="15.75" thickBot="1">
      <c r="B10" s="49"/>
      <c r="D10" s="25" t="str">
        <f>IF((D9+I9)/2&gt;=2.5,"1","0")</f>
        <v>0</v>
      </c>
      <c r="E10" s="15"/>
      <c r="F10" s="15"/>
      <c r="G10" s="15"/>
      <c r="H10" s="50" t="s">
        <v>103</v>
      </c>
      <c r="I10" s="15"/>
      <c r="J10" s="15"/>
      <c r="K10" s="15"/>
      <c r="L10" s="20"/>
      <c r="N10" s="49"/>
    </row>
    <row r="11" spans="1:17" ht="15" hidden="1" customHeight="1" thickBot="1">
      <c r="D11" s="54" t="str">
        <f>RIGHT(Feuil1!B14,4)</f>
        <v>2.00</v>
      </c>
      <c r="G11" s="160"/>
      <c r="H11" s="160"/>
      <c r="I11" s="160"/>
      <c r="J11" s="20"/>
      <c r="K11" s="21"/>
      <c r="L11" s="55" t="str">
        <f>LEFT(Feuil1!F14,4)</f>
        <v>1.00</v>
      </c>
      <c r="M11" s="53"/>
      <c r="N11" s="53"/>
      <c r="O11" s="53"/>
      <c r="P11" s="23"/>
      <c r="Q11" s="13"/>
    </row>
    <row r="12" spans="1:17" ht="15.75" thickBot="1">
      <c r="A12" s="132" t="s">
        <v>27</v>
      </c>
      <c r="B12" s="142" t="s">
        <v>201</v>
      </c>
      <c r="D12" s="133" t="str">
        <f>SUBSTITUTE(D11,".",",")</f>
        <v>2,00</v>
      </c>
      <c r="E12" s="134"/>
      <c r="F12" s="134"/>
      <c r="G12" s="135"/>
      <c r="H12" s="118" t="s">
        <v>28</v>
      </c>
      <c r="I12" s="133" t="str">
        <f>SUBSTITUTE(L11,".",",")</f>
        <v>1,00</v>
      </c>
      <c r="J12" s="134"/>
      <c r="K12" s="134"/>
      <c r="L12" s="135"/>
      <c r="N12" s="127" t="s">
        <v>201</v>
      </c>
      <c r="P12" s="23"/>
    </row>
    <row r="13" spans="1:17" ht="15.75" thickBot="1">
      <c r="A13" s="132"/>
      <c r="B13" s="143"/>
      <c r="D13" s="133" t="str">
        <f>SUBSTITUTE(E14,".",",")</f>
        <v>2,00</v>
      </c>
      <c r="E13" s="134"/>
      <c r="F13" s="134"/>
      <c r="G13" s="135"/>
      <c r="H13" s="119"/>
      <c r="I13" s="133" t="str">
        <f>SUBSTITUTE(L14,".",",")</f>
        <v>1,33</v>
      </c>
      <c r="J13" s="134"/>
      <c r="K13" s="134"/>
      <c r="L13" s="135"/>
      <c r="N13" s="128"/>
      <c r="P13" s="23"/>
      <c r="Q13" s="14"/>
    </row>
    <row r="14" spans="1:17" ht="18" customHeight="1" thickBot="1">
      <c r="A14" s="51"/>
      <c r="B14" s="52"/>
      <c r="D14" s="56" t="str">
        <f>IF(G14&gt;=2.5,"1","0")</f>
        <v>1</v>
      </c>
      <c r="E14" s="56" t="str">
        <f>RIGHT(Feuil1!B14,4)</f>
        <v>2.00</v>
      </c>
      <c r="F14" s="46"/>
      <c r="G14" s="161">
        <f>SUM((D12+D13)/2)+((I12+I13)/2)/2</f>
        <v>2.5825</v>
      </c>
      <c r="H14" s="161"/>
      <c r="I14" s="161"/>
      <c r="J14" s="46"/>
      <c r="K14" s="46"/>
      <c r="L14" s="56" t="str">
        <f>LEFT(Feuil1!F15,4)</f>
        <v>1.33</v>
      </c>
      <c r="N14" s="52"/>
      <c r="P14" s="23"/>
      <c r="Q14" s="14"/>
    </row>
    <row r="15" spans="1:17" ht="18" customHeight="1" thickBot="1">
      <c r="A15" s="132" t="s">
        <v>27</v>
      </c>
      <c r="B15" s="142" t="s">
        <v>202</v>
      </c>
      <c r="D15" s="133" t="str">
        <f>SUBSTITUTE(D14,".",",")</f>
        <v>1</v>
      </c>
      <c r="E15" s="134"/>
      <c r="F15" s="134"/>
      <c r="G15" s="135"/>
      <c r="H15" s="118" t="s">
        <v>28</v>
      </c>
      <c r="I15" s="133" t="str">
        <f>SUBSTITUTE(L14,".",",")</f>
        <v>1,33</v>
      </c>
      <c r="J15" s="134"/>
      <c r="K15" s="134"/>
      <c r="L15" s="135"/>
      <c r="N15" s="127" t="s">
        <v>202</v>
      </c>
      <c r="P15" s="23"/>
      <c r="Q15" s="14"/>
    </row>
    <row r="16" spans="1:17" ht="18" customHeight="1" thickBot="1">
      <c r="A16" s="132"/>
      <c r="B16" s="143"/>
      <c r="D16" s="133">
        <v>2</v>
      </c>
      <c r="E16" s="134"/>
      <c r="F16" s="134"/>
      <c r="G16" s="135"/>
      <c r="H16" s="119"/>
      <c r="I16" s="133">
        <v>2</v>
      </c>
      <c r="J16" s="134"/>
      <c r="K16" s="134"/>
      <c r="L16" s="135"/>
      <c r="N16" s="128"/>
      <c r="P16" s="23"/>
      <c r="Q16" s="14"/>
    </row>
    <row r="17" spans="1:17" ht="18" customHeight="1" thickBot="1">
      <c r="A17" s="51"/>
      <c r="B17" s="15"/>
      <c r="D17" s="56" t="str">
        <f>IF(H17&gt;=2.5,"1","0")</f>
        <v>0</v>
      </c>
      <c r="E17" s="80"/>
      <c r="F17" s="80"/>
      <c r="G17" s="80"/>
      <c r="H17" s="82">
        <f>SUM((D15+D16)/2)+((I15+I16)/2)/2</f>
        <v>2.3325</v>
      </c>
      <c r="I17" s="80"/>
      <c r="J17" s="80"/>
      <c r="K17" s="80"/>
      <c r="L17" s="80"/>
      <c r="N17" s="79"/>
      <c r="P17" s="23"/>
      <c r="Q17" s="14"/>
    </row>
    <row r="18" spans="1:17">
      <c r="B18" s="118" t="s">
        <v>104</v>
      </c>
      <c r="D18" s="136">
        <v>9</v>
      </c>
      <c r="E18" s="137"/>
      <c r="F18" s="137"/>
      <c r="G18" s="138"/>
      <c r="H18" s="118" t="s">
        <v>28</v>
      </c>
      <c r="I18" s="136">
        <v>1</v>
      </c>
      <c r="J18" s="137"/>
      <c r="K18" s="137"/>
      <c r="L18" s="138"/>
      <c r="N18" s="118" t="s">
        <v>29</v>
      </c>
      <c r="P18" s="23"/>
    </row>
    <row r="19" spans="1:17" ht="15.75" thickBot="1">
      <c r="B19" s="126"/>
      <c r="D19" s="139"/>
      <c r="E19" s="140"/>
      <c r="F19" s="140"/>
      <c r="G19" s="141"/>
      <c r="H19" s="119"/>
      <c r="I19" s="139"/>
      <c r="J19" s="140"/>
      <c r="K19" s="140"/>
      <c r="L19" s="141"/>
      <c r="N19" s="126"/>
      <c r="P19" s="23"/>
      <c r="Q19" s="14"/>
    </row>
    <row r="20" spans="1:17">
      <c r="D20" s="24">
        <f>ABS(D18-I18)</f>
        <v>8</v>
      </c>
      <c r="E20" s="19"/>
      <c r="F20" s="19"/>
      <c r="H20" s="24" t="str">
        <f>IF(D20&lt;5,"0","1")</f>
        <v>1</v>
      </c>
      <c r="L20" s="26">
        <f>ABS(I18-D18)</f>
        <v>8</v>
      </c>
    </row>
    <row r="22" spans="1:17" ht="15.75" thickBot="1">
      <c r="H22" s="16"/>
    </row>
    <row r="23" spans="1:17">
      <c r="B23" t="s">
        <v>246</v>
      </c>
      <c r="D23" s="144">
        <f>SUM(D7+D10+D14+H20)</f>
        <v>2</v>
      </c>
      <c r="E23" s="145"/>
      <c r="F23" s="145"/>
      <c r="G23" s="145"/>
      <c r="H23" s="150" t="s">
        <v>30</v>
      </c>
      <c r="I23" s="150">
        <v>5</v>
      </c>
      <c r="J23" s="150"/>
      <c r="K23" s="150"/>
      <c r="L23" s="151"/>
    </row>
    <row r="24" spans="1:17">
      <c r="B24" t="s">
        <v>247</v>
      </c>
      <c r="D24" s="146"/>
      <c r="E24" s="147"/>
      <c r="F24" s="147"/>
      <c r="G24" s="147"/>
      <c r="H24" s="152"/>
      <c r="I24" s="152"/>
      <c r="J24" s="152"/>
      <c r="K24" s="152"/>
      <c r="L24" s="153"/>
    </row>
    <row r="25" spans="1:17" ht="15.75">
      <c r="B25" t="s">
        <v>248</v>
      </c>
      <c r="D25" s="146"/>
      <c r="E25" s="147"/>
      <c r="F25" s="147"/>
      <c r="G25" s="147"/>
      <c r="H25" s="152"/>
      <c r="I25" s="152"/>
      <c r="J25" s="152"/>
      <c r="K25" s="152"/>
      <c r="L25" s="153"/>
      <c r="N25" s="48"/>
    </row>
    <row r="26" spans="1:17">
      <c r="B26" t="s">
        <v>249</v>
      </c>
      <c r="D26" s="146"/>
      <c r="E26" s="147"/>
      <c r="F26" s="147"/>
      <c r="G26" s="147"/>
      <c r="H26" s="152"/>
      <c r="I26" s="152"/>
      <c r="J26" s="152"/>
      <c r="K26" s="152"/>
      <c r="L26" s="153"/>
    </row>
    <row r="27" spans="1:17" ht="15.75" thickBot="1">
      <c r="B27" t="s">
        <v>250</v>
      </c>
      <c r="D27" s="148"/>
      <c r="E27" s="149"/>
      <c r="F27" s="149"/>
      <c r="G27" s="149"/>
      <c r="H27" s="154"/>
      <c r="I27" s="154"/>
      <c r="J27" s="154"/>
      <c r="K27" s="154"/>
      <c r="L27" s="155"/>
    </row>
  </sheetData>
  <sortState ref="D2">
    <sortCondition ref="D2"/>
  </sortState>
  <mergeCells count="41">
    <mergeCell ref="A15:A16"/>
    <mergeCell ref="B15:B16"/>
    <mergeCell ref="D15:G15"/>
    <mergeCell ref="H15:H16"/>
    <mergeCell ref="I15:L15"/>
    <mergeCell ref="D16:G16"/>
    <mergeCell ref="I16:L16"/>
    <mergeCell ref="D23:G27"/>
    <mergeCell ref="I23:L27"/>
    <mergeCell ref="H23:H27"/>
    <mergeCell ref="I5:L6"/>
    <mergeCell ref="G7:I7"/>
    <mergeCell ref="H8:H9"/>
    <mergeCell ref="D13:G13"/>
    <mergeCell ref="G11:I11"/>
    <mergeCell ref="H12:H13"/>
    <mergeCell ref="D9:G9"/>
    <mergeCell ref="I9:L9"/>
    <mergeCell ref="G14:I14"/>
    <mergeCell ref="D18:G19"/>
    <mergeCell ref="H18:H19"/>
    <mergeCell ref="I18:L19"/>
    <mergeCell ref="A12:A13"/>
    <mergeCell ref="D12:G12"/>
    <mergeCell ref="I12:L12"/>
    <mergeCell ref="I13:L13"/>
    <mergeCell ref="D5:G6"/>
    <mergeCell ref="B12:B13"/>
    <mergeCell ref="B5:B6"/>
    <mergeCell ref="N5:N6"/>
    <mergeCell ref="D2:G3"/>
    <mergeCell ref="I2:L3"/>
    <mergeCell ref="H5:H6"/>
    <mergeCell ref="B18:B19"/>
    <mergeCell ref="N12:N13"/>
    <mergeCell ref="N18:N19"/>
    <mergeCell ref="B8:B9"/>
    <mergeCell ref="N8:N9"/>
    <mergeCell ref="D8:G8"/>
    <mergeCell ref="I8:L8"/>
    <mergeCell ref="N15:N16"/>
  </mergeCells>
  <conditionalFormatting sqref="H5:H6">
    <cfRule type="expression" dxfId="20" priority="9">
      <formula>IF($D$5+$I$5&lt;120,TRUE)</formula>
    </cfRule>
    <cfRule type="expression" dxfId="19" priority="10">
      <formula>IF($D$5+$I$5&gt;=120,TRUE)</formula>
    </cfRule>
  </conditionalFormatting>
  <conditionalFormatting sqref="H18:H19">
    <cfRule type="expression" dxfId="18" priority="5">
      <formula>IF($D$20&lt;5,"Vrai")</formula>
    </cfRule>
    <cfRule type="expression" dxfId="17" priority="6">
      <formula>IF($D$20&gt;=5,"vrai")</formula>
    </cfRule>
  </conditionalFormatting>
  <conditionalFormatting sqref="H8:H9">
    <cfRule type="expression" dxfId="16" priority="3">
      <formula>IF($K$11&gt;=2.5,TRUE)</formula>
    </cfRule>
    <cfRule type="expression" dxfId="15" priority="4">
      <formula>IF($K$11&lt;2.5,TRUE)</formula>
    </cfRule>
  </conditionalFormatting>
  <conditionalFormatting sqref="H12:H13">
    <cfRule type="expression" dxfId="14" priority="14">
      <formula>IF($G$14&lt;2.5,TRUE)</formula>
    </cfRule>
    <cfRule type="expression" dxfId="13" priority="15">
      <formula>IF($G$14&gt;=2.5,TRUE)</formula>
    </cfRule>
  </conditionalFormatting>
  <conditionalFormatting sqref="H15:H16">
    <cfRule type="expression" dxfId="12" priority="2">
      <formula>IF($G$17&gt;=2.5,TRUE)</formula>
    </cfRule>
    <cfRule type="expression" dxfId="11" priority="1">
      <formula>IF($G$17&lt;2.5,TRUE)</formula>
    </cfRule>
  </conditionalFormatting>
  <dataValidations count="1">
    <dataValidation type="list" allowBlank="1" showInputMessage="1" showErrorMessage="1" sqref="I2:L3 D2">
      <formula1>Equipe</formula1>
    </dataValidation>
  </dataValidations>
  <hyperlinks>
    <hyperlink ref="B1" r:id="rId1"/>
  </hyperlinks>
  <pageMargins left="0.7" right="0.7" top="0.75" bottom="0.75" header="0.3" footer="0.3"/>
  <pageSetup paperSize="9" orientation="portrait" horizontalDpi="0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Y176"/>
  <sheetViews>
    <sheetView tabSelected="1" workbookViewId="0">
      <selection activeCell="B3" sqref="B3"/>
    </sheetView>
  </sheetViews>
  <sheetFormatPr baseColWidth="10" defaultColWidth="11.42578125" defaultRowHeight="12.75"/>
  <cols>
    <col min="1" max="2" width="25.7109375" style="98" customWidth="1"/>
    <col min="3" max="3" width="25.7109375" style="210" customWidth="1"/>
    <col min="4" max="4" width="12.7109375" style="97" customWidth="1"/>
    <col min="5" max="6" width="25.7109375" style="97" customWidth="1"/>
    <col min="7" max="16384" width="11.42578125" style="97"/>
  </cols>
  <sheetData>
    <row r="1" spans="1:5" ht="26.25" thickBot="1">
      <c r="A1" s="99" t="s">
        <v>270</v>
      </c>
      <c r="B1" s="99" t="s">
        <v>338</v>
      </c>
      <c r="C1" s="209" t="s">
        <v>271</v>
      </c>
      <c r="D1" s="99" t="s">
        <v>272</v>
      </c>
      <c r="E1" s="100" t="s">
        <v>273</v>
      </c>
    </row>
    <row r="2" spans="1:5">
      <c r="A2" s="62" t="s">
        <v>212</v>
      </c>
      <c r="B2" s="104" t="str">
        <f>IF(COUNTIF(ligue1!$T$142:$T$144,TRIM(A2)),"1","0")</f>
        <v>0</v>
      </c>
      <c r="C2" s="211" t="str">
        <f>IF(COUNTIF(ligue1!$R$26:$R$28,TRIM(A2)),"1","0")</f>
        <v>0</v>
      </c>
    </row>
    <row r="3" spans="1:5">
      <c r="A3" s="62" t="s">
        <v>214</v>
      </c>
      <c r="B3" s="104" t="str">
        <f>IF(COUNTIF(ligue1!$T$142:$T$144,TRIM(A3)),"1","0")</f>
        <v>0</v>
      </c>
      <c r="C3" s="211" t="str">
        <f>IF(COUNTIF(ligue1!$R$26:$R$28,TRIM(A3)),"1","0")</f>
        <v>0</v>
      </c>
    </row>
    <row r="4" spans="1:5">
      <c r="A4" s="62" t="s">
        <v>216</v>
      </c>
      <c r="B4" s="104" t="str">
        <f>IF(COUNTIF(ligue1!$T$142:$T$144,TRIM(A4)),"1","0")</f>
        <v>0</v>
      </c>
      <c r="C4" s="211" t="str">
        <f>IF(COUNTIF(ligue1!$R$26:$R$28,TRIM(A4)),"1","0")</f>
        <v>0</v>
      </c>
    </row>
    <row r="5" spans="1:5">
      <c r="A5" s="62" t="s">
        <v>217</v>
      </c>
      <c r="B5" s="104" t="str">
        <f>IF(COUNTIF(ligue1!$T$142:$T$144,TRIM(A5)),"1","0")</f>
        <v>0</v>
      </c>
      <c r="C5" s="211" t="str">
        <f>IF(COUNTIF(ligue1!$R$26:$R$28,TRIM(A5)),"1","0")</f>
        <v>0</v>
      </c>
    </row>
    <row r="6" spans="1:5">
      <c r="A6" s="62" t="s">
        <v>218</v>
      </c>
      <c r="B6" s="104" t="str">
        <f>IF(COUNTIF(ligue1!$T$142:$T$144,TRIM(A6)),"1","0")</f>
        <v>0</v>
      </c>
      <c r="C6" s="211" t="str">
        <f>IF(COUNTIF(ligue1!$R$26:$R$28,TRIM(A6)),"1","0")</f>
        <v>0</v>
      </c>
    </row>
    <row r="7" spans="1:5">
      <c r="A7" s="62" t="s">
        <v>220</v>
      </c>
      <c r="B7" s="104" t="str">
        <f>IF(COUNTIF(ligue1!$T$142:$T$144,TRIM(A7)),"1","0")</f>
        <v>0</v>
      </c>
      <c r="C7" s="211" t="str">
        <f>IF(COUNTIF(ligue1!$R$26:$R$28,TRIM(A7)),"1","0")</f>
        <v>0</v>
      </c>
    </row>
    <row r="8" spans="1:5">
      <c r="A8" s="62" t="s">
        <v>221</v>
      </c>
      <c r="B8" s="104" t="str">
        <f>IF(COUNTIF(ligue1!$T$142:$T$144,TRIM(A8)),"1","0")</f>
        <v>0</v>
      </c>
      <c r="C8" s="211" t="str">
        <f>IF(COUNTIF(ligue1!$R$26:$R$28,TRIM(A8)),"1","0")</f>
        <v>0</v>
      </c>
    </row>
    <row r="9" spans="1:5">
      <c r="A9" s="62" t="s">
        <v>223</v>
      </c>
      <c r="B9" s="104" t="str">
        <f>IF(COUNTIF(ligue1!$T$142:$T$144,TRIM(A9)),"1","0")</f>
        <v>0</v>
      </c>
      <c r="C9" s="211" t="str">
        <f>IF(COUNTIF(ligue1!$R$26:$R$28,TRIM(A9)),"1","0")</f>
        <v>0</v>
      </c>
    </row>
    <row r="10" spans="1:5">
      <c r="A10" s="62" t="s">
        <v>32</v>
      </c>
      <c r="B10" s="104" t="str">
        <f>IF(COUNTIF(ligue1!$T$142:$T$144,TRIM(A10)),"1","0")</f>
        <v>1</v>
      </c>
      <c r="C10" s="211" t="str">
        <f>IF(COUNTIF(ligue1!$R$26:$R$28,TRIM(A10)),"1","0")</f>
        <v>0</v>
      </c>
    </row>
    <row r="11" spans="1:5">
      <c r="A11" s="62" t="s">
        <v>31</v>
      </c>
      <c r="B11" s="104" t="str">
        <f>IF(COUNTIF(ligue1!$T$142:$T$144,TRIM(A11)),"1","0")</f>
        <v>1</v>
      </c>
      <c r="C11" s="211" t="str">
        <f>IF(COUNTIF(ligue1!$R$26:$R$28,TRIM(A11)),"1","0")</f>
        <v>0</v>
      </c>
    </row>
    <row r="12" spans="1:5">
      <c r="A12" s="62" t="s">
        <v>226</v>
      </c>
      <c r="B12" s="104" t="str">
        <f>IF(COUNTIF(ligue1!$T$142:$T$144,TRIM(A12)),"1","0")</f>
        <v>0</v>
      </c>
      <c r="C12" s="211" t="str">
        <f>IF(COUNTIF(ligue1!$R$26:$R$28,TRIM(A12)),"1","0")</f>
        <v>0</v>
      </c>
    </row>
    <row r="13" spans="1:5">
      <c r="A13" s="62" t="s">
        <v>227</v>
      </c>
      <c r="B13" s="104" t="str">
        <f>IF(COUNTIF(ligue1!$T$142:$T$144,TRIM(A13)),"1","0")</f>
        <v>0</v>
      </c>
      <c r="C13" s="211" t="str">
        <f>IF(COUNTIF(ligue1!$R$26:$R$28,TRIM(A13)),"1","0")</f>
        <v>0</v>
      </c>
    </row>
    <row r="14" spans="1:5">
      <c r="A14" s="62" t="s">
        <v>228</v>
      </c>
      <c r="B14" s="104" t="str">
        <f>IF(COUNTIF(ligue1!$T$142:$T$144,TRIM(A14)),"1","0")</f>
        <v>0</v>
      </c>
      <c r="C14" s="211" t="str">
        <f>IF(COUNTIF(ligue1!$R$26:$R$28,TRIM(A14)),"1","0")</f>
        <v>0</v>
      </c>
    </row>
    <row r="15" spans="1:5">
      <c r="A15" s="62" t="s">
        <v>229</v>
      </c>
      <c r="B15" s="104" t="str">
        <f>IF(COUNTIF(ligue1!$T$142:$T$144,TRIM(A15)),"1","0")</f>
        <v>0</v>
      </c>
      <c r="C15" s="211" t="str">
        <f>IF(COUNTIF(ligue1!$R$26:$R$28,TRIM(A15)),"1","0")</f>
        <v>0</v>
      </c>
    </row>
    <row r="16" spans="1:5">
      <c r="A16" s="62" t="s">
        <v>230</v>
      </c>
      <c r="B16" s="104" t="str">
        <f>IF(COUNTIF(ligue1!$T$142:$T$144,TRIM(A16)),"1","0")</f>
        <v>1</v>
      </c>
      <c r="C16" s="211" t="str">
        <f>IF(COUNTIF(ligue1!$R$26:$R$28,TRIM(A16)),"1","0")</f>
        <v>0</v>
      </c>
    </row>
    <row r="17" spans="1:4">
      <c r="A17" s="62" t="s">
        <v>231</v>
      </c>
      <c r="B17" s="104" t="str">
        <f>IF(COUNTIF(ligue1!$T$142:$T$144,TRIM(A17)),"1","0")</f>
        <v>0</v>
      </c>
      <c r="C17" s="211" t="str">
        <f>IF(COUNTIF(ligue1!$R$26:$R$28,TRIM(A17)),"1","0")</f>
        <v>0</v>
      </c>
    </row>
    <row r="18" spans="1:4">
      <c r="A18" s="62" t="s">
        <v>232</v>
      </c>
      <c r="B18" s="104" t="str">
        <f>IF(COUNTIF(ligue1!$T$142:$T$144,TRIM(A18)),"1","0")</f>
        <v>0</v>
      </c>
      <c r="C18" s="211" t="str">
        <f>IF(COUNTIF(ligue1!$R$26:$R$28,TRIM(A18)),"1","0")</f>
        <v>0</v>
      </c>
    </row>
    <row r="19" spans="1:4">
      <c r="A19" s="62" t="s">
        <v>233</v>
      </c>
      <c r="B19" s="104" t="str">
        <f>IF(COUNTIF(ligue1!$T$142:$T$144,TRIM(A19)),"1","0")</f>
        <v>0</v>
      </c>
      <c r="C19" s="211" t="str">
        <f>IF(COUNTIF(ligue1!$R$26:$R$28,TRIM(A19)),"1","0")</f>
        <v>0</v>
      </c>
    </row>
    <row r="20" spans="1:4">
      <c r="A20" s="62" t="s">
        <v>234</v>
      </c>
      <c r="B20" s="104" t="str">
        <f>IF(COUNTIF(ligue1!$T$142:$T$144,TRIM(A20)),"1","0")</f>
        <v>0</v>
      </c>
      <c r="C20" s="211" t="str">
        <f>IF(COUNTIF(ligue1!$R$26:$R$28,TRIM(A20)),"1","0")</f>
        <v>0</v>
      </c>
    </row>
    <row r="21" spans="1:4">
      <c r="A21" s="62" t="s">
        <v>157</v>
      </c>
      <c r="B21" s="104" t="str">
        <f>IF(COUNTIF(ligue1!$T$142:$T$144,TRIM(A21)),"1","0")</f>
        <v>0</v>
      </c>
      <c r="C21" s="211" t="str">
        <f>IF(COUNTIF(ligue1!$R$26:$R$28,TRIM(A21)),"1","0")</f>
        <v>0</v>
      </c>
    </row>
    <row r="23" spans="1:4">
      <c r="D23" s="103"/>
    </row>
    <row r="25" spans="1:4">
      <c r="B25" s="105"/>
    </row>
    <row r="26" spans="1:4">
      <c r="B26" s="105"/>
    </row>
    <row r="27" spans="1:4">
      <c r="B27" s="105"/>
    </row>
    <row r="28" spans="1:4">
      <c r="D28" s="102"/>
    </row>
    <row r="33" spans="2:2">
      <c r="B33" s="98">
        <f>IF(ligue1!T146=Feuil3!A33,1,0)</f>
        <v>1</v>
      </c>
    </row>
    <row r="157" spans="25:25">
      <c r="Y157" s="97">
        <v>3</v>
      </c>
    </row>
    <row r="158" spans="25:25">
      <c r="Y158" s="97">
        <v>2</v>
      </c>
    </row>
    <row r="159" spans="25:25">
      <c r="Y159" s="97">
        <v>2</v>
      </c>
    </row>
    <row r="160" spans="25:25">
      <c r="Y160" s="97">
        <v>1</v>
      </c>
    </row>
    <row r="161" spans="25:25">
      <c r="Y161" s="97">
        <v>2</v>
      </c>
    </row>
    <row r="162" spans="25:25">
      <c r="Y162" s="97">
        <v>1</v>
      </c>
    </row>
    <row r="163" spans="25:25">
      <c r="Y163" s="97">
        <v>2</v>
      </c>
    </row>
    <row r="164" spans="25:25">
      <c r="Y164" s="97">
        <v>1</v>
      </c>
    </row>
    <row r="165" spans="25:25">
      <c r="Y165" s="97">
        <v>2</v>
      </c>
    </row>
    <row r="166" spans="25:25">
      <c r="Y166" s="97">
        <v>1</v>
      </c>
    </row>
    <row r="167" spans="25:25">
      <c r="Y167" s="97">
        <v>1</v>
      </c>
    </row>
    <row r="168" spans="25:25">
      <c r="Y168" s="97">
        <v>1</v>
      </c>
    </row>
    <row r="169" spans="25:25">
      <c r="Y169" s="97">
        <v>1</v>
      </c>
    </row>
    <row r="170" spans="25:25">
      <c r="Y170" s="97">
        <v>2</v>
      </c>
    </row>
    <row r="171" spans="25:25">
      <c r="Y171" s="97">
        <v>0</v>
      </c>
    </row>
    <row r="172" spans="25:25">
      <c r="Y172" s="97">
        <v>1</v>
      </c>
    </row>
    <row r="173" spans="25:25">
      <c r="Y173" s="97">
        <v>0</v>
      </c>
    </row>
    <row r="174" spans="25:25">
      <c r="Y174" s="97">
        <v>0</v>
      </c>
    </row>
    <row r="175" spans="25:25">
      <c r="Y175" s="97">
        <v>1</v>
      </c>
    </row>
    <row r="176" spans="25:25">
      <c r="Y176" s="97">
        <v>1</v>
      </c>
    </row>
  </sheetData>
  <sortState ref="A1:A204">
    <sortCondition ref="A2"/>
  </sortState>
  <conditionalFormatting sqref="B2:B21">
    <cfRule type="expression" dxfId="0" priority="1">
      <formula>B2="1"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X28"/>
  <sheetViews>
    <sheetView zoomScale="90" zoomScaleNormal="90" workbookViewId="0">
      <selection activeCell="K3" sqref="K3"/>
    </sheetView>
  </sheetViews>
  <sheetFormatPr baseColWidth="10" defaultRowHeight="15"/>
  <cols>
    <col min="2" max="3" width="15.42578125" customWidth="1"/>
    <col min="4" max="4" width="24" customWidth="1"/>
    <col min="5" max="5" width="8" customWidth="1"/>
    <col min="6" max="6" width="9.140625" customWidth="1"/>
    <col min="7" max="7" width="18.5703125" customWidth="1"/>
    <col min="8" max="8" width="6.85546875" customWidth="1"/>
    <col min="9" max="10" width="8.42578125" customWidth="1"/>
    <col min="11" max="11" width="8.42578125" style="43" customWidth="1"/>
  </cols>
  <sheetData>
    <row r="1" spans="2:24">
      <c r="J1" t="s">
        <v>99</v>
      </c>
      <c r="W1" s="43">
        <f>LEN($F9)-LEN(SUBSTITUTE($F9,"1",""))</f>
        <v>0</v>
      </c>
      <c r="X1" s="43">
        <f>LEN(G9)-LEN(SUBSTITUTE(G9,"1",""))</f>
        <v>0</v>
      </c>
    </row>
    <row r="2" spans="2:24" ht="23.25">
      <c r="B2" s="47" t="s">
        <v>34</v>
      </c>
      <c r="C2" s="39" t="s">
        <v>101</v>
      </c>
      <c r="D2" s="47" t="s">
        <v>41</v>
      </c>
      <c r="I2" s="22"/>
      <c r="J2" s="42">
        <v>1</v>
      </c>
      <c r="K2" s="42">
        <f>SUM(L$2:L$5)</f>
        <v>6</v>
      </c>
      <c r="L2">
        <f>LEN(D6)-LEN(SUBSTITUTE(D6,"1",""))</f>
        <v>2</v>
      </c>
      <c r="M2">
        <f>LEN(D6)-LEN(SUBSTITUTE(D6,"2",""))</f>
        <v>0</v>
      </c>
      <c r="N2">
        <f>LEN(D6)-LEN(SUBSTITUTE(D6,"3",""))</f>
        <v>0</v>
      </c>
      <c r="O2">
        <f>LEN(D6)-LEN(SUBSTITUTE(D6,"$4",""))</f>
        <v>0</v>
      </c>
      <c r="P2">
        <f>LEN(D6)-LEN(SUBSTITUTE(D6,"$5",""))</f>
        <v>0</v>
      </c>
      <c r="Q2">
        <f>LEN(D6)-LEN(SUBSTITUTE(D6,"$6",""))</f>
        <v>0</v>
      </c>
      <c r="R2">
        <f>LEN(D6)-LEN(SUBSTITUTE(D6,"$7",""))</f>
        <v>0</v>
      </c>
      <c r="S2">
        <f>LEN(D6)-LEN(SUBSTITUTE(D6,"$8",""))</f>
        <v>0</v>
      </c>
      <c r="T2">
        <f>LEN(D6)-LEN(SUBSTITUTE(D6,"$9",""))</f>
        <v>0</v>
      </c>
      <c r="U2">
        <f>LEN(D6)-LEN(SUBSTITUTE(D6,"$10",""))</f>
        <v>0</v>
      </c>
      <c r="W2" s="43">
        <f>LEN(D4)-LEN(SUBSTITUTE(D4,"1",""))</f>
        <v>1</v>
      </c>
    </row>
    <row r="3" spans="2:24">
      <c r="I3" s="22"/>
      <c r="J3" s="42">
        <v>2</v>
      </c>
      <c r="K3" s="42">
        <f>SUM(M$2:M$5)*2</f>
        <v>4</v>
      </c>
      <c r="L3">
        <f t="shared" ref="L3:L5" si="0">LEN(D7)-LEN(SUBSTITUTE(D7,"1",""))</f>
        <v>1</v>
      </c>
      <c r="M3">
        <f t="shared" ref="M3:M5" si="1">LEN(D7)-LEN(SUBSTITUTE(D7,"2",""))</f>
        <v>1</v>
      </c>
      <c r="N3">
        <f t="shared" ref="N3:N5" si="2">LEN(D7)-LEN(SUBSTITUTE(D7,"3",""))</f>
        <v>0</v>
      </c>
      <c r="O3">
        <f t="shared" ref="O3:O5" si="3">LEN(D7)-LEN(SUBSTITUTE(D7,"$4",""))</f>
        <v>0</v>
      </c>
      <c r="P3">
        <f t="shared" ref="P3:P5" si="4">LEN(D7)-LEN(SUBSTITUTE(D7,"$5",""))</f>
        <v>0</v>
      </c>
      <c r="Q3">
        <f t="shared" ref="Q3:Q5" si="5">LEN(D7)-LEN(SUBSTITUTE(D7,"$6",""))</f>
        <v>0</v>
      </c>
      <c r="R3">
        <f t="shared" ref="R3:R5" si="6">LEN(D7)-LEN(SUBSTITUTE(D7,"$7",""))</f>
        <v>0</v>
      </c>
      <c r="S3">
        <f t="shared" ref="S3:S5" si="7">LEN(D7)-LEN(SUBSTITUTE(D7,"$8",""))</f>
        <v>0</v>
      </c>
      <c r="T3">
        <f t="shared" ref="T3:T5" si="8">LEN(D7)-LEN(SUBSTITUTE(D7,"$9",""))</f>
        <v>0</v>
      </c>
      <c r="U3">
        <f t="shared" ref="U3:U5" si="9">LEN(D7)-LEN(SUBSTITUTE(D7,"$10",""))</f>
        <v>0</v>
      </c>
    </row>
    <row r="4" spans="2:24">
      <c r="B4" t="s">
        <v>100</v>
      </c>
      <c r="D4" t="s">
        <v>102</v>
      </c>
      <c r="I4" s="22"/>
      <c r="J4" s="42">
        <v>3</v>
      </c>
      <c r="K4" s="42">
        <f>SUM(N$2:N$5)*3</f>
        <v>0</v>
      </c>
      <c r="L4">
        <f t="shared" si="0"/>
        <v>1</v>
      </c>
      <c r="M4">
        <f t="shared" si="1"/>
        <v>1</v>
      </c>
      <c r="N4">
        <f t="shared" si="2"/>
        <v>0</v>
      </c>
      <c r="O4">
        <f t="shared" si="3"/>
        <v>0</v>
      </c>
      <c r="P4">
        <f t="shared" si="4"/>
        <v>0</v>
      </c>
      <c r="Q4">
        <f t="shared" si="5"/>
        <v>0</v>
      </c>
      <c r="R4">
        <f t="shared" si="6"/>
        <v>0</v>
      </c>
      <c r="S4">
        <f t="shared" si="7"/>
        <v>0</v>
      </c>
      <c r="T4">
        <f t="shared" si="8"/>
        <v>0</v>
      </c>
      <c r="U4">
        <f t="shared" si="9"/>
        <v>0</v>
      </c>
    </row>
    <row r="5" spans="2:24">
      <c r="I5" s="22"/>
      <c r="J5" s="42">
        <v>4</v>
      </c>
      <c r="K5" s="42">
        <f>SUM(O$2:O$5)*4</f>
        <v>0</v>
      </c>
      <c r="L5">
        <f t="shared" si="0"/>
        <v>2</v>
      </c>
      <c r="M5">
        <f t="shared" si="1"/>
        <v>0</v>
      </c>
      <c r="N5">
        <f t="shared" si="2"/>
        <v>0</v>
      </c>
      <c r="O5">
        <f t="shared" si="3"/>
        <v>0</v>
      </c>
      <c r="P5">
        <f t="shared" si="4"/>
        <v>0</v>
      </c>
      <c r="Q5">
        <f t="shared" si="5"/>
        <v>0</v>
      </c>
      <c r="R5">
        <f t="shared" si="6"/>
        <v>0</v>
      </c>
      <c r="S5">
        <f t="shared" si="7"/>
        <v>0</v>
      </c>
      <c r="T5">
        <f t="shared" si="8"/>
        <v>0</v>
      </c>
      <c r="U5">
        <f t="shared" si="9"/>
        <v>0</v>
      </c>
    </row>
    <row r="6" spans="2:24">
      <c r="B6" s="27" t="s">
        <v>49</v>
      </c>
      <c r="C6" s="29" t="s">
        <v>50</v>
      </c>
      <c r="D6" s="30" t="s">
        <v>51</v>
      </c>
      <c r="E6" s="31"/>
      <c r="F6" s="33" t="s">
        <v>52</v>
      </c>
      <c r="G6" s="32" t="s">
        <v>53</v>
      </c>
      <c r="H6" s="32" t="s">
        <v>49</v>
      </c>
      <c r="I6" s="22"/>
      <c r="J6" s="42">
        <v>5</v>
      </c>
      <c r="K6" s="42">
        <f>SUM(P2:P5)*5</f>
        <v>0</v>
      </c>
    </row>
    <row r="7" spans="2:24">
      <c r="B7" s="34" t="s">
        <v>54</v>
      </c>
      <c r="C7" s="35" t="s">
        <v>55</v>
      </c>
      <c r="D7" s="36" t="s">
        <v>56</v>
      </c>
      <c r="E7" s="31"/>
      <c r="F7" s="36" t="s">
        <v>57</v>
      </c>
      <c r="G7" s="34" t="s">
        <v>58</v>
      </c>
      <c r="H7" s="34" t="s">
        <v>59</v>
      </c>
      <c r="J7" s="42">
        <v>6</v>
      </c>
      <c r="K7" s="42">
        <f>SUM(Q2:Q5)*6</f>
        <v>0</v>
      </c>
    </row>
    <row r="8" spans="2:24">
      <c r="B8" s="34" t="s">
        <v>60</v>
      </c>
      <c r="C8" s="35" t="s">
        <v>61</v>
      </c>
      <c r="D8" s="36" t="s">
        <v>56</v>
      </c>
      <c r="E8" s="31"/>
      <c r="F8" s="36" t="s">
        <v>62</v>
      </c>
      <c r="G8" s="34" t="s">
        <v>63</v>
      </c>
      <c r="H8" s="34" t="s">
        <v>64</v>
      </c>
      <c r="J8" s="42">
        <v>7</v>
      </c>
      <c r="K8" s="42">
        <f>SUM(R2:R5)*7</f>
        <v>0</v>
      </c>
    </row>
    <row r="9" spans="2:24">
      <c r="B9" s="27" t="s">
        <v>65</v>
      </c>
      <c r="C9" s="29" t="s">
        <v>66</v>
      </c>
      <c r="D9" s="30" t="s">
        <v>51</v>
      </c>
      <c r="E9" s="31"/>
      <c r="F9" s="33" t="s">
        <v>52</v>
      </c>
      <c r="G9" s="32" t="s">
        <v>67</v>
      </c>
      <c r="H9" s="32" t="s">
        <v>68</v>
      </c>
      <c r="J9" s="42">
        <v>8</v>
      </c>
      <c r="K9" s="42">
        <f>SUM(S2:S5)*8</f>
        <v>0</v>
      </c>
    </row>
    <row r="10" spans="2:24">
      <c r="J10" s="42">
        <v>9</v>
      </c>
      <c r="K10" s="42">
        <f>SUM(T2:T5)*9</f>
        <v>0</v>
      </c>
    </row>
    <row r="11" spans="2:24">
      <c r="B11" t="s">
        <v>69</v>
      </c>
      <c r="C11" t="s">
        <v>70</v>
      </c>
      <c r="D11" t="s">
        <v>71</v>
      </c>
      <c r="E11" t="s">
        <v>70</v>
      </c>
      <c r="F11" t="s">
        <v>72</v>
      </c>
      <c r="J11" s="42">
        <v>10</v>
      </c>
      <c r="K11" s="42">
        <f>SUM(U2:U5)*10</f>
        <v>0</v>
      </c>
    </row>
    <row r="12" spans="2:24">
      <c r="B12" s="28">
        <v>10</v>
      </c>
      <c r="C12">
        <v>16</v>
      </c>
      <c r="D12" t="s">
        <v>73</v>
      </c>
      <c r="E12">
        <v>13</v>
      </c>
      <c r="F12" s="28">
        <v>6</v>
      </c>
      <c r="I12" s="37"/>
      <c r="J12" s="37"/>
      <c r="K12" s="44">
        <f>SUM(K2+K3+K4+K5+K6+K7+K8+K9+K10+K11)</f>
        <v>10</v>
      </c>
    </row>
    <row r="13" spans="2:24">
      <c r="B13" s="28">
        <v>5</v>
      </c>
      <c r="C13">
        <v>13</v>
      </c>
      <c r="D13" t="s">
        <v>74</v>
      </c>
      <c r="E13">
        <v>15</v>
      </c>
      <c r="F13" s="28">
        <v>8</v>
      </c>
      <c r="J13" t="s">
        <v>99</v>
      </c>
    </row>
    <row r="14" spans="2:24">
      <c r="B14" s="37" t="s">
        <v>75</v>
      </c>
      <c r="C14" t="s">
        <v>76</v>
      </c>
      <c r="D14" t="s">
        <v>77</v>
      </c>
      <c r="E14" t="s">
        <v>78</v>
      </c>
      <c r="F14" s="28" t="s">
        <v>79</v>
      </c>
      <c r="J14" s="42">
        <v>1</v>
      </c>
      <c r="K14" s="42">
        <f>SUM(L14:L17)</f>
        <v>1</v>
      </c>
      <c r="L14" s="45">
        <f>LEN(F6)-LEN(SUBSTITUTE(F6,"1",""))</f>
        <v>0</v>
      </c>
      <c r="M14" s="45">
        <f>LEN(F6)-LEN(SUBSTITUTE(F6,"2",""))</f>
        <v>1</v>
      </c>
      <c r="N14" s="45">
        <f>LEN(F6)-LEN(SUBSTITUTE(F6,"3",""))</f>
        <v>0</v>
      </c>
      <c r="O14" s="45">
        <f>LEN(F6)-LEN(SUBSTITUTE(F6,"4",""))</f>
        <v>0</v>
      </c>
      <c r="P14" s="45">
        <f>LEN(F6)-LEN(SUBSTITUTE(F6,"5",""))</f>
        <v>0</v>
      </c>
      <c r="Q14" s="45">
        <f>LEN(F6)-LEN(SUBSTITUTE(F6,"6",""))</f>
        <v>0</v>
      </c>
      <c r="R14" s="45">
        <f>LEN(F6)-LEN(SUBSTITUTE(F6,"7",""))</f>
        <v>0</v>
      </c>
      <c r="S14" s="45">
        <f>LEN(F6)-LEN(SUBSTITUTE(F6,"8",""))</f>
        <v>0</v>
      </c>
      <c r="T14" s="45">
        <f>LEN(F6)-LEN(SUBSTITUTE(F6,"9",""))</f>
        <v>0</v>
      </c>
      <c r="U14" s="45">
        <f>LEN(F6)-LEN(SUBSTITUTE(F6,"10",""))</f>
        <v>0</v>
      </c>
    </row>
    <row r="15" spans="2:24">
      <c r="B15" s="37" t="s">
        <v>80</v>
      </c>
      <c r="C15" t="s">
        <v>78</v>
      </c>
      <c r="D15" t="s">
        <v>81</v>
      </c>
      <c r="E15" t="s">
        <v>82</v>
      </c>
      <c r="F15" s="28" t="s">
        <v>83</v>
      </c>
      <c r="J15" s="42">
        <v>2</v>
      </c>
      <c r="K15" s="42">
        <f>SUM(M14:M17)*2</f>
        <v>4</v>
      </c>
      <c r="L15" s="45">
        <f t="shared" ref="L15:L17" si="10">LEN(F7)-LEN(SUBSTITUTE(F7,"1",""))</f>
        <v>1</v>
      </c>
      <c r="M15" s="45">
        <f t="shared" ref="M15:M16" si="11">LEN(F7)-LEN(SUBSTITUTE(F7,"2",""))</f>
        <v>0</v>
      </c>
      <c r="N15" s="45">
        <f t="shared" ref="N15:N17" si="12">LEN(F7)-LEN(SUBSTITUTE(F7,"3",""))</f>
        <v>0</v>
      </c>
      <c r="O15" s="45">
        <f t="shared" ref="O15:O17" si="13">LEN(F7)-LEN(SUBSTITUTE(F7,"4",""))</f>
        <v>0</v>
      </c>
      <c r="P15" s="45">
        <f t="shared" ref="P15:P17" si="14">LEN(F7)-LEN(SUBSTITUTE(F7,"5",""))</f>
        <v>0</v>
      </c>
      <c r="Q15" s="45">
        <f t="shared" ref="Q15:Q17" si="15">LEN(F7)-LEN(SUBSTITUTE(F7,"6",""))</f>
        <v>0</v>
      </c>
      <c r="R15" s="45">
        <f t="shared" ref="R15:R17" si="16">LEN(F7)-LEN(SUBSTITUTE(F7,"7",""))</f>
        <v>0</v>
      </c>
      <c r="S15" s="45">
        <f t="shared" ref="S15:S17" si="17">LEN(F7)-LEN(SUBSTITUTE(F7,"8",""))</f>
        <v>0</v>
      </c>
      <c r="T15" s="45">
        <f t="shared" ref="T15:T17" si="18">LEN(F7)-LEN(SUBSTITUTE(F7,"9",""))</f>
        <v>0</v>
      </c>
      <c r="U15" s="45">
        <f t="shared" ref="U15:U17" si="19">LEN(F7)-LEN(SUBSTITUTE(F7,"10",""))</f>
        <v>0</v>
      </c>
    </row>
    <row r="16" spans="2:24">
      <c r="B16" s="38" t="s">
        <v>84</v>
      </c>
      <c r="C16" s="38" t="s">
        <v>85</v>
      </c>
      <c r="D16" t="s">
        <v>86</v>
      </c>
      <c r="E16" t="s">
        <v>87</v>
      </c>
      <c r="F16" s="28" t="s">
        <v>88</v>
      </c>
      <c r="J16" s="42">
        <v>3</v>
      </c>
      <c r="K16" s="42">
        <f>SUM(N14:N17)*3</f>
        <v>3</v>
      </c>
      <c r="L16" s="45">
        <f t="shared" si="10"/>
        <v>0</v>
      </c>
      <c r="M16" s="45">
        <f t="shared" si="11"/>
        <v>0</v>
      </c>
      <c r="N16" s="45">
        <f t="shared" si="12"/>
        <v>1</v>
      </c>
      <c r="O16" s="45">
        <f t="shared" si="13"/>
        <v>0</v>
      </c>
      <c r="P16" s="45">
        <f t="shared" si="14"/>
        <v>0</v>
      </c>
      <c r="Q16" s="45">
        <f t="shared" si="15"/>
        <v>0</v>
      </c>
      <c r="R16" s="45">
        <f t="shared" si="16"/>
        <v>0</v>
      </c>
      <c r="S16" s="45">
        <f t="shared" si="17"/>
        <v>0</v>
      </c>
      <c r="T16" s="45">
        <f t="shared" si="18"/>
        <v>0</v>
      </c>
      <c r="U16" s="45">
        <f t="shared" si="19"/>
        <v>0</v>
      </c>
    </row>
    <row r="17" spans="2:21">
      <c r="B17" s="39" t="s">
        <v>89</v>
      </c>
      <c r="C17" s="39" t="s">
        <v>90</v>
      </c>
      <c r="D17" t="s">
        <v>91</v>
      </c>
      <c r="E17" t="s">
        <v>92</v>
      </c>
      <c r="F17" s="28" t="s">
        <v>93</v>
      </c>
      <c r="J17" s="42">
        <v>4</v>
      </c>
      <c r="K17" s="42">
        <f>SUM(O14:O17)*4</f>
        <v>0</v>
      </c>
      <c r="L17" s="45">
        <f t="shared" si="10"/>
        <v>0</v>
      </c>
      <c r="M17" s="45">
        <f>LEN(F9)-LEN(SUBSTITUTE(F9,"2",""))</f>
        <v>1</v>
      </c>
      <c r="N17" s="45">
        <f t="shared" si="12"/>
        <v>0</v>
      </c>
      <c r="O17" s="45">
        <f t="shared" si="13"/>
        <v>0</v>
      </c>
      <c r="P17" s="45">
        <f t="shared" si="14"/>
        <v>0</v>
      </c>
      <c r="Q17" s="45">
        <f t="shared" si="15"/>
        <v>0</v>
      </c>
      <c r="R17" s="45">
        <f t="shared" si="16"/>
        <v>0</v>
      </c>
      <c r="S17" s="45">
        <f t="shared" si="17"/>
        <v>0</v>
      </c>
      <c r="T17" s="45">
        <f t="shared" si="18"/>
        <v>0</v>
      </c>
      <c r="U17" s="45">
        <f t="shared" si="19"/>
        <v>0</v>
      </c>
    </row>
    <row r="18" spans="2:21">
      <c r="B18" s="41">
        <v>0.2</v>
      </c>
      <c r="C18" s="40">
        <v>0.18</v>
      </c>
      <c r="D18" t="s">
        <v>94</v>
      </c>
      <c r="E18" s="40">
        <v>0.18</v>
      </c>
      <c r="F18" s="41">
        <v>0.17</v>
      </c>
      <c r="J18" s="42">
        <v>5</v>
      </c>
      <c r="K18" s="42">
        <f>SUM(P14:P17)*5</f>
        <v>0</v>
      </c>
    </row>
    <row r="19" spans="2:21">
      <c r="B19" s="41">
        <v>0.2</v>
      </c>
      <c r="C19" s="40">
        <v>0.09</v>
      </c>
      <c r="D19" t="s">
        <v>95</v>
      </c>
      <c r="E19" s="40">
        <v>0.18</v>
      </c>
      <c r="F19" s="41">
        <v>0.17</v>
      </c>
      <c r="J19" s="42">
        <v>6</v>
      </c>
      <c r="K19" s="42">
        <f>SUM(Q14:Q17)*6</f>
        <v>0</v>
      </c>
    </row>
    <row r="20" spans="2:21">
      <c r="B20" s="41">
        <v>1</v>
      </c>
      <c r="C20" s="40">
        <v>0.73</v>
      </c>
      <c r="D20" t="s">
        <v>96</v>
      </c>
      <c r="E20" s="40">
        <v>0.36</v>
      </c>
      <c r="F20" s="41">
        <v>0.17</v>
      </c>
      <c r="J20" s="42">
        <v>7</v>
      </c>
      <c r="K20" s="42">
        <f>SUM(R14:R17)*7</f>
        <v>0</v>
      </c>
    </row>
    <row r="21" spans="2:21">
      <c r="B21" s="41">
        <v>0</v>
      </c>
      <c r="C21" s="40">
        <v>0.09</v>
      </c>
      <c r="D21" t="s">
        <v>97</v>
      </c>
      <c r="E21" s="40">
        <v>0.27</v>
      </c>
      <c r="F21" s="41">
        <v>0.33</v>
      </c>
      <c r="J21" s="42">
        <v>8</v>
      </c>
      <c r="K21" s="42">
        <f>SUM(S14:S17)*8</f>
        <v>0</v>
      </c>
    </row>
    <row r="22" spans="2:21">
      <c r="B22" s="41">
        <v>0</v>
      </c>
      <c r="C22" s="40">
        <v>0.18</v>
      </c>
      <c r="D22" t="s">
        <v>98</v>
      </c>
      <c r="E22" s="40">
        <v>0.36</v>
      </c>
      <c r="F22" s="41">
        <v>0.5</v>
      </c>
      <c r="J22" s="42">
        <v>9</v>
      </c>
      <c r="K22" s="42">
        <f>SUM(T14:T17)*9</f>
        <v>0</v>
      </c>
    </row>
    <row r="23" spans="2:21">
      <c r="J23" s="42">
        <v>10</v>
      </c>
      <c r="K23" s="42">
        <f>SUM(U14:U17)*10</f>
        <v>0</v>
      </c>
    </row>
    <row r="24" spans="2:21">
      <c r="K24" s="44">
        <f>SUM(K14+K15+K16+K17+K18+K19+K20+K21+K22+K23)</f>
        <v>8</v>
      </c>
    </row>
    <row r="25" spans="2:21">
      <c r="B25" t="str">
        <f>RIGHT(B14,4)</f>
        <v>2.00</v>
      </c>
      <c r="K25" s="44"/>
    </row>
    <row r="26" spans="2:21">
      <c r="J26" s="42"/>
      <c r="K26" s="42"/>
    </row>
    <row r="27" spans="2:21">
      <c r="J27" s="42"/>
      <c r="K27" s="42"/>
    </row>
    <row r="28" spans="2:21">
      <c r="K28" s="44"/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2:J156"/>
  <sheetViews>
    <sheetView topLeftCell="A26" workbookViewId="0">
      <selection activeCell="H28" sqref="H28"/>
    </sheetView>
  </sheetViews>
  <sheetFormatPr baseColWidth="10" defaultRowHeight="15"/>
  <cols>
    <col min="2" max="2" width="81.140625" bestFit="1" customWidth="1"/>
    <col min="3" max="3" width="20.28515625" customWidth="1"/>
    <col min="4" max="4" width="18" customWidth="1"/>
    <col min="5" max="6" width="3.5703125" customWidth="1"/>
    <col min="7" max="7" width="17.140625" customWidth="1"/>
    <col min="8" max="8" width="8.140625" customWidth="1"/>
    <col min="9" max="9" width="6.5703125" customWidth="1"/>
    <col min="10" max="10" width="9.140625" style="57" customWidth="1"/>
    <col min="11" max="11" width="18.42578125" bestFit="1" customWidth="1"/>
    <col min="12" max="12" width="7.5703125" customWidth="1"/>
    <col min="13" max="13" width="81.140625" bestFit="1" customWidth="1"/>
    <col min="14" max="14" width="16.7109375" bestFit="1" customWidth="1"/>
    <col min="15" max="15" width="13" bestFit="1" customWidth="1"/>
    <col min="16" max="16" width="3.7109375" customWidth="1"/>
    <col min="17" max="17" width="2.28515625" customWidth="1"/>
    <col min="18" max="18" width="9" customWidth="1"/>
    <col min="19" max="19" width="13" bestFit="1" customWidth="1"/>
    <col min="20" max="20" width="38.42578125" bestFit="1" customWidth="1"/>
    <col min="21" max="21" width="13" bestFit="1" customWidth="1"/>
    <col min="22" max="22" width="9.28515625" customWidth="1"/>
    <col min="23" max="23" width="13" bestFit="1" customWidth="1"/>
    <col min="24" max="25" width="3" customWidth="1"/>
    <col min="26" max="26" width="2.140625" customWidth="1"/>
    <col min="27" max="27" width="48.28515625" bestFit="1" customWidth="1"/>
    <col min="29" max="29" width="16.42578125" bestFit="1" customWidth="1"/>
    <col min="30" max="30" width="9.5703125" customWidth="1"/>
    <col min="31" max="31" width="5.42578125" customWidth="1"/>
    <col min="32" max="32" width="5.7109375" customWidth="1"/>
    <col min="33" max="33" width="9.140625" customWidth="1"/>
    <col min="34" max="34" width="5.7109375" customWidth="1"/>
  </cols>
  <sheetData>
    <row r="2" spans="2:9">
      <c r="B2" t="s">
        <v>111</v>
      </c>
      <c r="C2" t="s">
        <v>112</v>
      </c>
      <c r="D2" t="s">
        <v>106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</row>
    <row r="3" spans="2:9">
      <c r="B3">
        <v>1</v>
      </c>
      <c r="C3" t="s">
        <v>31</v>
      </c>
      <c r="D3">
        <v>12</v>
      </c>
      <c r="E3">
        <v>9</v>
      </c>
      <c r="F3">
        <v>1</v>
      </c>
      <c r="G3">
        <v>2</v>
      </c>
      <c r="H3" s="58">
        <v>1.1319444444444444</v>
      </c>
      <c r="I3">
        <v>28</v>
      </c>
    </row>
    <row r="4" spans="2:9">
      <c r="B4">
        <v>2</v>
      </c>
      <c r="C4" t="s">
        <v>118</v>
      </c>
      <c r="D4">
        <v>12</v>
      </c>
      <c r="E4">
        <v>6</v>
      </c>
      <c r="F4">
        <v>6</v>
      </c>
      <c r="G4">
        <v>0</v>
      </c>
      <c r="H4" s="59">
        <v>0.96388888888888891</v>
      </c>
      <c r="I4">
        <v>24</v>
      </c>
    </row>
    <row r="5" spans="2:9">
      <c r="B5">
        <v>3</v>
      </c>
      <c r="C5" t="s">
        <v>32</v>
      </c>
      <c r="D5">
        <v>12</v>
      </c>
      <c r="E5">
        <v>7</v>
      </c>
      <c r="F5">
        <v>2</v>
      </c>
      <c r="G5">
        <v>3</v>
      </c>
      <c r="H5" s="58">
        <v>1.0069444444444444</v>
      </c>
      <c r="I5">
        <v>23</v>
      </c>
    </row>
    <row r="6" spans="2:9">
      <c r="B6">
        <v>4</v>
      </c>
      <c r="C6" t="s">
        <v>34</v>
      </c>
      <c r="D6">
        <v>12</v>
      </c>
      <c r="E6">
        <v>6</v>
      </c>
      <c r="F6">
        <v>3</v>
      </c>
      <c r="G6">
        <v>3</v>
      </c>
      <c r="H6" s="59">
        <v>0.7597222222222223</v>
      </c>
      <c r="I6">
        <v>21</v>
      </c>
    </row>
    <row r="7" spans="2:9">
      <c r="B7">
        <v>5</v>
      </c>
      <c r="C7" t="s">
        <v>119</v>
      </c>
      <c r="D7">
        <v>12</v>
      </c>
      <c r="E7">
        <v>6</v>
      </c>
      <c r="F7">
        <v>3</v>
      </c>
      <c r="G7">
        <v>3</v>
      </c>
      <c r="H7" s="59">
        <v>0.50763888888888886</v>
      </c>
      <c r="I7">
        <v>21</v>
      </c>
    </row>
    <row r="8" spans="2:9">
      <c r="B8">
        <v>6</v>
      </c>
      <c r="C8" t="s">
        <v>33</v>
      </c>
      <c r="D8">
        <v>12</v>
      </c>
      <c r="E8">
        <v>5</v>
      </c>
      <c r="F8">
        <v>5</v>
      </c>
      <c r="G8">
        <v>2</v>
      </c>
      <c r="H8" s="59">
        <v>0.46388888888888885</v>
      </c>
      <c r="I8">
        <v>20</v>
      </c>
    </row>
    <row r="9" spans="2:9">
      <c r="B9">
        <v>7</v>
      </c>
      <c r="C9" t="s">
        <v>35</v>
      </c>
      <c r="D9">
        <v>12</v>
      </c>
      <c r="E9">
        <v>5</v>
      </c>
      <c r="F9">
        <v>3</v>
      </c>
      <c r="G9">
        <v>4</v>
      </c>
      <c r="H9" s="59">
        <v>0.59236111111111112</v>
      </c>
      <c r="I9">
        <v>18</v>
      </c>
    </row>
    <row r="10" spans="2:9">
      <c r="B10">
        <v>8</v>
      </c>
      <c r="C10" t="s">
        <v>38</v>
      </c>
      <c r="D10">
        <v>12</v>
      </c>
      <c r="E10">
        <v>5</v>
      </c>
      <c r="F10">
        <v>3</v>
      </c>
      <c r="G10">
        <v>4</v>
      </c>
      <c r="H10" s="59">
        <v>0.54999999999999993</v>
      </c>
      <c r="I10">
        <v>18</v>
      </c>
    </row>
    <row r="11" spans="2:9">
      <c r="B11">
        <v>9</v>
      </c>
      <c r="C11" t="s">
        <v>42</v>
      </c>
      <c r="D11">
        <v>12</v>
      </c>
      <c r="E11">
        <v>5</v>
      </c>
      <c r="F11">
        <v>2</v>
      </c>
      <c r="G11">
        <v>5</v>
      </c>
      <c r="H11" s="59">
        <v>0.46597222222222223</v>
      </c>
      <c r="I11">
        <v>17</v>
      </c>
    </row>
    <row r="12" spans="2:9">
      <c r="B12">
        <v>10</v>
      </c>
      <c r="C12" t="s">
        <v>36</v>
      </c>
      <c r="D12">
        <v>12</v>
      </c>
      <c r="E12">
        <v>5</v>
      </c>
      <c r="F12">
        <v>2</v>
      </c>
      <c r="G12">
        <v>5</v>
      </c>
      <c r="H12" s="59">
        <v>0.72083333333333333</v>
      </c>
      <c r="I12">
        <v>17</v>
      </c>
    </row>
    <row r="13" spans="2:9">
      <c r="B13">
        <v>11</v>
      </c>
      <c r="C13" t="s">
        <v>37</v>
      </c>
      <c r="D13">
        <v>12</v>
      </c>
      <c r="E13">
        <v>4</v>
      </c>
      <c r="F13">
        <v>4</v>
      </c>
      <c r="G13">
        <v>4</v>
      </c>
      <c r="H13" s="59">
        <v>0.59305555555555556</v>
      </c>
      <c r="I13">
        <v>16</v>
      </c>
    </row>
    <row r="14" spans="2:9">
      <c r="B14">
        <v>12</v>
      </c>
      <c r="C14" t="s">
        <v>39</v>
      </c>
      <c r="D14">
        <v>12</v>
      </c>
      <c r="E14">
        <v>4</v>
      </c>
      <c r="F14">
        <v>4</v>
      </c>
      <c r="G14">
        <v>4</v>
      </c>
      <c r="H14" s="59">
        <v>0.38194444444444442</v>
      </c>
      <c r="I14">
        <v>16</v>
      </c>
    </row>
    <row r="15" spans="2:9">
      <c r="B15">
        <v>13</v>
      </c>
      <c r="C15" t="s">
        <v>40</v>
      </c>
      <c r="D15">
        <v>12</v>
      </c>
      <c r="E15">
        <v>4</v>
      </c>
      <c r="F15">
        <v>3</v>
      </c>
      <c r="G15">
        <v>5</v>
      </c>
      <c r="H15" s="59">
        <v>0.51458333333333328</v>
      </c>
      <c r="I15">
        <v>15</v>
      </c>
    </row>
    <row r="16" spans="2:9">
      <c r="B16">
        <v>14</v>
      </c>
      <c r="C16" t="s">
        <v>41</v>
      </c>
      <c r="D16">
        <v>12</v>
      </c>
      <c r="E16">
        <v>4</v>
      </c>
      <c r="F16">
        <v>2</v>
      </c>
      <c r="G16">
        <v>6</v>
      </c>
      <c r="H16" s="59">
        <v>0.59513888888888888</v>
      </c>
      <c r="I16">
        <v>14</v>
      </c>
    </row>
    <row r="17" spans="2:9">
      <c r="B17">
        <v>15</v>
      </c>
      <c r="C17" t="s">
        <v>43</v>
      </c>
      <c r="D17">
        <v>12</v>
      </c>
      <c r="E17">
        <v>3</v>
      </c>
      <c r="F17">
        <v>3</v>
      </c>
      <c r="G17">
        <v>6</v>
      </c>
      <c r="H17" s="59">
        <v>0.59375</v>
      </c>
      <c r="I17">
        <v>12</v>
      </c>
    </row>
    <row r="18" spans="2:9">
      <c r="B18">
        <v>16</v>
      </c>
      <c r="C18" t="s">
        <v>47</v>
      </c>
      <c r="D18">
        <v>12</v>
      </c>
      <c r="E18">
        <v>4</v>
      </c>
      <c r="F18">
        <v>0</v>
      </c>
      <c r="G18">
        <v>8</v>
      </c>
      <c r="H18" s="59">
        <v>0.38958333333333334</v>
      </c>
      <c r="I18">
        <v>12</v>
      </c>
    </row>
    <row r="19" spans="2:9">
      <c r="B19">
        <v>17</v>
      </c>
      <c r="C19" t="s">
        <v>44</v>
      </c>
      <c r="D19">
        <v>12</v>
      </c>
      <c r="E19">
        <v>3</v>
      </c>
      <c r="F19">
        <v>2</v>
      </c>
      <c r="G19">
        <v>7</v>
      </c>
      <c r="H19" s="59">
        <v>0.46875</v>
      </c>
      <c r="I19">
        <v>11</v>
      </c>
    </row>
    <row r="20" spans="2:9">
      <c r="B20">
        <v>18</v>
      </c>
      <c r="C20" t="s">
        <v>45</v>
      </c>
      <c r="D20">
        <v>12</v>
      </c>
      <c r="E20">
        <v>3</v>
      </c>
      <c r="F20">
        <v>1</v>
      </c>
      <c r="G20">
        <v>8</v>
      </c>
      <c r="H20" s="59">
        <v>0.42777777777777781</v>
      </c>
      <c r="I20">
        <v>10</v>
      </c>
    </row>
    <row r="21" spans="2:9">
      <c r="B21">
        <v>19</v>
      </c>
      <c r="C21" t="s">
        <v>48</v>
      </c>
      <c r="D21">
        <v>12</v>
      </c>
      <c r="E21">
        <v>2</v>
      </c>
      <c r="F21">
        <v>4</v>
      </c>
      <c r="G21">
        <v>6</v>
      </c>
      <c r="H21" s="59">
        <v>0.38680555555555557</v>
      </c>
      <c r="I21">
        <v>10</v>
      </c>
    </row>
    <row r="22" spans="2:9">
      <c r="B22">
        <v>20</v>
      </c>
      <c r="C22" t="s">
        <v>46</v>
      </c>
      <c r="D22">
        <v>12</v>
      </c>
      <c r="E22">
        <v>3</v>
      </c>
      <c r="F22">
        <v>1</v>
      </c>
      <c r="G22">
        <v>8</v>
      </c>
      <c r="H22" s="59">
        <v>0.47361111111111115</v>
      </c>
      <c r="I22">
        <v>10</v>
      </c>
    </row>
    <row r="23" spans="2:9">
      <c r="B23" t="s">
        <v>120</v>
      </c>
    </row>
    <row r="25" spans="2:9">
      <c r="B25" t="s">
        <v>108</v>
      </c>
    </row>
    <row r="26" spans="2:9">
      <c r="B26">
        <v>1</v>
      </c>
      <c r="C26" t="s">
        <v>32</v>
      </c>
      <c r="D26">
        <v>7</v>
      </c>
      <c r="E26">
        <v>6</v>
      </c>
      <c r="F26">
        <v>0</v>
      </c>
      <c r="G26">
        <v>1</v>
      </c>
      <c r="H26" s="59">
        <v>0.7104166666666667</v>
      </c>
      <c r="I26">
        <v>18</v>
      </c>
    </row>
    <row r="27" spans="2:9">
      <c r="B27">
        <v>2</v>
      </c>
      <c r="C27" t="s">
        <v>31</v>
      </c>
      <c r="D27">
        <v>6</v>
      </c>
      <c r="E27">
        <v>5</v>
      </c>
      <c r="F27">
        <v>0</v>
      </c>
      <c r="G27">
        <v>1</v>
      </c>
      <c r="H27" s="59">
        <v>0.5444444444444444</v>
      </c>
      <c r="I27">
        <v>15</v>
      </c>
    </row>
    <row r="28" spans="2:9">
      <c r="B28">
        <v>3</v>
      </c>
      <c r="C28" t="s">
        <v>34</v>
      </c>
      <c r="D28">
        <v>6</v>
      </c>
      <c r="E28">
        <v>4</v>
      </c>
      <c r="F28">
        <v>2</v>
      </c>
      <c r="G28">
        <v>0</v>
      </c>
      <c r="H28" s="59">
        <v>0.50416666666666665</v>
      </c>
      <c r="I28">
        <v>14</v>
      </c>
    </row>
    <row r="29" spans="2:9">
      <c r="B29">
        <v>4</v>
      </c>
      <c r="C29" t="s">
        <v>38</v>
      </c>
      <c r="D29">
        <v>6</v>
      </c>
      <c r="E29">
        <v>4</v>
      </c>
      <c r="F29">
        <v>2</v>
      </c>
      <c r="G29">
        <v>0</v>
      </c>
      <c r="H29" s="59">
        <v>0.50347222222222221</v>
      </c>
      <c r="I29">
        <v>14</v>
      </c>
    </row>
    <row r="30" spans="2:9">
      <c r="B30">
        <v>5</v>
      </c>
      <c r="C30" t="s">
        <v>42</v>
      </c>
      <c r="D30">
        <v>6</v>
      </c>
      <c r="E30">
        <v>4</v>
      </c>
      <c r="F30">
        <v>0</v>
      </c>
      <c r="G30">
        <v>2</v>
      </c>
      <c r="H30" s="59">
        <v>0.29375000000000001</v>
      </c>
      <c r="I30">
        <v>12</v>
      </c>
    </row>
    <row r="31" spans="2:9">
      <c r="B31">
        <v>6</v>
      </c>
      <c r="C31" t="s">
        <v>33</v>
      </c>
      <c r="D31">
        <v>7</v>
      </c>
      <c r="E31">
        <v>3</v>
      </c>
      <c r="F31">
        <v>3</v>
      </c>
      <c r="G31">
        <v>1</v>
      </c>
      <c r="H31" s="59">
        <v>0.2951388888888889</v>
      </c>
      <c r="I31">
        <v>12</v>
      </c>
    </row>
    <row r="32" spans="2:9">
      <c r="B32">
        <v>7</v>
      </c>
      <c r="C32" t="s">
        <v>39</v>
      </c>
      <c r="D32">
        <v>7</v>
      </c>
      <c r="E32">
        <v>3</v>
      </c>
      <c r="F32">
        <v>3</v>
      </c>
      <c r="G32">
        <v>1</v>
      </c>
      <c r="H32" s="59">
        <v>0.29375000000000001</v>
      </c>
      <c r="I32">
        <v>12</v>
      </c>
    </row>
    <row r="33" spans="2:9">
      <c r="B33">
        <v>8</v>
      </c>
      <c r="C33" t="s">
        <v>119</v>
      </c>
      <c r="D33">
        <v>6</v>
      </c>
      <c r="E33">
        <v>3</v>
      </c>
      <c r="F33">
        <v>2</v>
      </c>
      <c r="G33">
        <v>1</v>
      </c>
      <c r="H33" s="59">
        <v>0.25208333333333333</v>
      </c>
      <c r="I33">
        <v>11</v>
      </c>
    </row>
    <row r="34" spans="2:9">
      <c r="B34">
        <v>9</v>
      </c>
      <c r="C34" t="s">
        <v>118</v>
      </c>
      <c r="D34">
        <v>5</v>
      </c>
      <c r="E34">
        <v>3</v>
      </c>
      <c r="F34">
        <v>2</v>
      </c>
      <c r="G34">
        <v>0</v>
      </c>
      <c r="H34" s="59">
        <v>0.50138888888888888</v>
      </c>
      <c r="I34">
        <v>11</v>
      </c>
    </row>
    <row r="35" spans="2:9">
      <c r="B35">
        <v>10</v>
      </c>
      <c r="C35" t="s">
        <v>37</v>
      </c>
      <c r="D35">
        <v>5</v>
      </c>
      <c r="E35">
        <v>3</v>
      </c>
      <c r="F35">
        <v>1</v>
      </c>
      <c r="G35">
        <v>1</v>
      </c>
      <c r="H35" s="59">
        <v>0.46249999999999997</v>
      </c>
      <c r="I35">
        <v>10</v>
      </c>
    </row>
    <row r="36" spans="2:9">
      <c r="B36">
        <v>11</v>
      </c>
      <c r="C36" t="s">
        <v>40</v>
      </c>
      <c r="D36">
        <v>6</v>
      </c>
      <c r="E36">
        <v>3</v>
      </c>
      <c r="F36">
        <v>1</v>
      </c>
      <c r="G36">
        <v>2</v>
      </c>
      <c r="H36" s="59">
        <v>0.25625000000000003</v>
      </c>
      <c r="I36">
        <v>10</v>
      </c>
    </row>
    <row r="37" spans="2:9">
      <c r="B37">
        <v>12</v>
      </c>
      <c r="C37" t="s">
        <v>36</v>
      </c>
      <c r="D37">
        <v>7</v>
      </c>
      <c r="E37">
        <v>3</v>
      </c>
      <c r="F37">
        <v>1</v>
      </c>
      <c r="G37">
        <v>3</v>
      </c>
      <c r="H37" s="59">
        <v>0.34027777777777773</v>
      </c>
      <c r="I37">
        <v>10</v>
      </c>
    </row>
    <row r="38" spans="2:9">
      <c r="B38">
        <v>13</v>
      </c>
      <c r="C38" t="s">
        <v>41</v>
      </c>
      <c r="D38">
        <v>5</v>
      </c>
      <c r="E38">
        <v>2</v>
      </c>
      <c r="F38">
        <v>2</v>
      </c>
      <c r="G38">
        <v>1</v>
      </c>
      <c r="H38" s="59">
        <v>0.29652777777777778</v>
      </c>
      <c r="I38">
        <v>8</v>
      </c>
    </row>
    <row r="39" spans="2:9">
      <c r="B39">
        <v>14</v>
      </c>
      <c r="C39" t="s">
        <v>35</v>
      </c>
      <c r="D39">
        <v>6</v>
      </c>
      <c r="E39">
        <v>2</v>
      </c>
      <c r="F39">
        <v>2</v>
      </c>
      <c r="G39">
        <v>2</v>
      </c>
      <c r="H39" s="59">
        <v>0.25347222222222221</v>
      </c>
      <c r="I39">
        <v>8</v>
      </c>
    </row>
    <row r="40" spans="2:9">
      <c r="B40">
        <v>15</v>
      </c>
      <c r="C40" t="s">
        <v>46</v>
      </c>
      <c r="D40">
        <v>6</v>
      </c>
      <c r="E40">
        <v>2</v>
      </c>
      <c r="F40">
        <v>1</v>
      </c>
      <c r="G40">
        <v>3</v>
      </c>
      <c r="H40" s="59">
        <v>0.25625000000000003</v>
      </c>
      <c r="I40">
        <v>7</v>
      </c>
    </row>
    <row r="41" spans="2:9">
      <c r="B41">
        <v>16</v>
      </c>
      <c r="C41" t="s">
        <v>47</v>
      </c>
      <c r="D41">
        <v>7</v>
      </c>
      <c r="E41">
        <v>2</v>
      </c>
      <c r="F41">
        <v>0</v>
      </c>
      <c r="G41">
        <v>5</v>
      </c>
      <c r="H41" s="59">
        <v>0.21736111111111112</v>
      </c>
      <c r="I41">
        <v>6</v>
      </c>
    </row>
    <row r="42" spans="2:9">
      <c r="B42">
        <v>17</v>
      </c>
      <c r="C42" t="s">
        <v>48</v>
      </c>
      <c r="D42">
        <v>6</v>
      </c>
      <c r="E42">
        <v>1</v>
      </c>
      <c r="F42">
        <v>3</v>
      </c>
      <c r="G42">
        <v>2</v>
      </c>
      <c r="H42" s="59">
        <v>0.25625000000000003</v>
      </c>
      <c r="I42">
        <v>6</v>
      </c>
    </row>
    <row r="43" spans="2:9">
      <c r="B43">
        <v>18</v>
      </c>
      <c r="C43" t="s">
        <v>45</v>
      </c>
      <c r="D43">
        <v>6</v>
      </c>
      <c r="E43">
        <v>1</v>
      </c>
      <c r="F43">
        <v>1</v>
      </c>
      <c r="G43">
        <v>4</v>
      </c>
      <c r="H43" s="59">
        <v>0.21249999999999999</v>
      </c>
      <c r="I43">
        <v>4</v>
      </c>
    </row>
    <row r="44" spans="2:9">
      <c r="B44">
        <v>19</v>
      </c>
      <c r="C44" t="s">
        <v>44</v>
      </c>
      <c r="D44">
        <v>5</v>
      </c>
      <c r="E44">
        <v>1</v>
      </c>
      <c r="F44">
        <v>1</v>
      </c>
      <c r="G44">
        <v>3</v>
      </c>
      <c r="H44" s="59">
        <v>0.21319444444444444</v>
      </c>
      <c r="I44">
        <v>4</v>
      </c>
    </row>
    <row r="45" spans="2:9">
      <c r="B45">
        <v>20</v>
      </c>
      <c r="C45" t="s">
        <v>43</v>
      </c>
      <c r="D45">
        <v>5</v>
      </c>
      <c r="E45">
        <v>1</v>
      </c>
      <c r="F45">
        <v>0</v>
      </c>
      <c r="G45">
        <v>4</v>
      </c>
      <c r="H45" s="59">
        <v>0.12986111111111112</v>
      </c>
      <c r="I45">
        <v>3</v>
      </c>
    </row>
    <row r="47" spans="2:9">
      <c r="B47" t="s">
        <v>121</v>
      </c>
    </row>
    <row r="48" spans="2:9">
      <c r="B48">
        <v>1</v>
      </c>
      <c r="C48" t="s">
        <v>118</v>
      </c>
      <c r="D48">
        <v>7</v>
      </c>
      <c r="E48">
        <v>3</v>
      </c>
      <c r="F48">
        <v>4</v>
      </c>
      <c r="G48">
        <v>0</v>
      </c>
      <c r="H48" s="59">
        <v>0.46249999999999997</v>
      </c>
      <c r="I48">
        <v>13</v>
      </c>
    </row>
    <row r="49" spans="2:9">
      <c r="B49">
        <v>2</v>
      </c>
      <c r="C49" t="s">
        <v>31</v>
      </c>
      <c r="D49">
        <v>6</v>
      </c>
      <c r="E49">
        <v>4</v>
      </c>
      <c r="F49">
        <v>1</v>
      </c>
      <c r="G49">
        <v>1</v>
      </c>
      <c r="H49" s="59">
        <v>0.58750000000000002</v>
      </c>
      <c r="I49">
        <v>13</v>
      </c>
    </row>
    <row r="50" spans="2:9">
      <c r="B50">
        <v>3</v>
      </c>
      <c r="C50" t="s">
        <v>119</v>
      </c>
      <c r="D50">
        <v>6</v>
      </c>
      <c r="E50">
        <v>3</v>
      </c>
      <c r="F50">
        <v>1</v>
      </c>
      <c r="G50">
        <v>2</v>
      </c>
      <c r="H50" s="59">
        <v>0.25555555555555559</v>
      </c>
      <c r="I50">
        <v>10</v>
      </c>
    </row>
    <row r="51" spans="2:9">
      <c r="B51">
        <v>4</v>
      </c>
      <c r="C51" t="s">
        <v>35</v>
      </c>
      <c r="D51">
        <v>6</v>
      </c>
      <c r="E51">
        <v>3</v>
      </c>
      <c r="F51">
        <v>1</v>
      </c>
      <c r="G51">
        <v>2</v>
      </c>
      <c r="H51" s="59">
        <v>0.33888888888888885</v>
      </c>
      <c r="I51">
        <v>10</v>
      </c>
    </row>
    <row r="52" spans="2:9">
      <c r="B52">
        <v>5</v>
      </c>
      <c r="C52" t="s">
        <v>43</v>
      </c>
      <c r="D52">
        <v>7</v>
      </c>
      <c r="E52">
        <v>2</v>
      </c>
      <c r="F52">
        <v>3</v>
      </c>
      <c r="G52">
        <v>2</v>
      </c>
      <c r="H52" s="59">
        <v>0.46388888888888885</v>
      </c>
      <c r="I52">
        <v>9</v>
      </c>
    </row>
    <row r="53" spans="2:9">
      <c r="B53">
        <v>6</v>
      </c>
      <c r="C53" t="s">
        <v>33</v>
      </c>
      <c r="D53">
        <v>5</v>
      </c>
      <c r="E53">
        <v>2</v>
      </c>
      <c r="F53">
        <v>2</v>
      </c>
      <c r="G53">
        <v>1</v>
      </c>
      <c r="H53" s="59">
        <v>0.16874999999999998</v>
      </c>
      <c r="I53">
        <v>8</v>
      </c>
    </row>
    <row r="54" spans="2:9">
      <c r="B54">
        <v>7</v>
      </c>
      <c r="C54" t="s">
        <v>36</v>
      </c>
      <c r="D54">
        <v>5</v>
      </c>
      <c r="E54">
        <v>2</v>
      </c>
      <c r="F54">
        <v>1</v>
      </c>
      <c r="G54">
        <v>2</v>
      </c>
      <c r="H54" s="59">
        <v>0.38055555555555554</v>
      </c>
      <c r="I54">
        <v>7</v>
      </c>
    </row>
    <row r="55" spans="2:9">
      <c r="B55">
        <v>8</v>
      </c>
      <c r="C55" t="s">
        <v>34</v>
      </c>
      <c r="D55">
        <v>6</v>
      </c>
      <c r="E55">
        <v>2</v>
      </c>
      <c r="F55">
        <v>1</v>
      </c>
      <c r="G55">
        <v>3</v>
      </c>
      <c r="H55" s="59">
        <v>0.25555555555555559</v>
      </c>
      <c r="I55">
        <v>7</v>
      </c>
    </row>
    <row r="56" spans="2:9">
      <c r="B56">
        <v>9</v>
      </c>
      <c r="C56" t="s">
        <v>44</v>
      </c>
      <c r="D56">
        <v>7</v>
      </c>
      <c r="E56">
        <v>2</v>
      </c>
      <c r="F56">
        <v>1</v>
      </c>
      <c r="G56">
        <v>4</v>
      </c>
      <c r="H56" s="59">
        <v>0.25555555555555559</v>
      </c>
      <c r="I56">
        <v>7</v>
      </c>
    </row>
    <row r="57" spans="2:9">
      <c r="B57">
        <v>10</v>
      </c>
      <c r="C57" t="s">
        <v>41</v>
      </c>
      <c r="D57">
        <v>7</v>
      </c>
      <c r="E57">
        <v>2</v>
      </c>
      <c r="F57">
        <v>0</v>
      </c>
      <c r="G57">
        <v>5</v>
      </c>
      <c r="H57" s="59">
        <v>0.2986111111111111</v>
      </c>
      <c r="I57">
        <v>6</v>
      </c>
    </row>
    <row r="58" spans="2:9">
      <c r="B58">
        <v>11</v>
      </c>
      <c r="C58" t="s">
        <v>37</v>
      </c>
      <c r="D58">
        <v>7</v>
      </c>
      <c r="E58">
        <v>1</v>
      </c>
      <c r="F58">
        <v>3</v>
      </c>
      <c r="G58">
        <v>3</v>
      </c>
      <c r="H58" s="59">
        <v>0.13055555555555556</v>
      </c>
      <c r="I58">
        <v>6</v>
      </c>
    </row>
    <row r="59" spans="2:9">
      <c r="B59">
        <v>12</v>
      </c>
      <c r="C59" t="s">
        <v>47</v>
      </c>
      <c r="D59">
        <v>5</v>
      </c>
      <c r="E59">
        <v>2</v>
      </c>
      <c r="F59">
        <v>0</v>
      </c>
      <c r="G59">
        <v>3</v>
      </c>
      <c r="H59" s="59">
        <v>0.17222222222222225</v>
      </c>
      <c r="I59">
        <v>6</v>
      </c>
    </row>
    <row r="60" spans="2:9">
      <c r="B60">
        <v>13</v>
      </c>
      <c r="C60" t="s">
        <v>45</v>
      </c>
      <c r="D60">
        <v>6</v>
      </c>
      <c r="E60">
        <v>2</v>
      </c>
      <c r="F60">
        <v>0</v>
      </c>
      <c r="G60">
        <v>4</v>
      </c>
      <c r="H60" s="59">
        <v>0.21527777777777779</v>
      </c>
      <c r="I60">
        <v>6</v>
      </c>
    </row>
    <row r="61" spans="2:9">
      <c r="B61">
        <v>14</v>
      </c>
      <c r="C61" t="s">
        <v>42</v>
      </c>
      <c r="D61">
        <v>6</v>
      </c>
      <c r="E61">
        <v>1</v>
      </c>
      <c r="F61">
        <v>2</v>
      </c>
      <c r="G61">
        <v>3</v>
      </c>
      <c r="H61" s="59">
        <v>0.17222222222222225</v>
      </c>
      <c r="I61">
        <v>5</v>
      </c>
    </row>
    <row r="62" spans="2:9">
      <c r="B62">
        <v>15</v>
      </c>
      <c r="C62" t="s">
        <v>40</v>
      </c>
      <c r="D62">
        <v>6</v>
      </c>
      <c r="E62">
        <v>1</v>
      </c>
      <c r="F62">
        <v>2</v>
      </c>
      <c r="G62">
        <v>3</v>
      </c>
      <c r="H62" s="59">
        <v>0.25833333333333336</v>
      </c>
      <c r="I62">
        <v>5</v>
      </c>
    </row>
    <row r="63" spans="2:9">
      <c r="B63">
        <v>16</v>
      </c>
      <c r="C63" t="s">
        <v>32</v>
      </c>
      <c r="D63">
        <v>5</v>
      </c>
      <c r="E63">
        <v>1</v>
      </c>
      <c r="F63">
        <v>2</v>
      </c>
      <c r="G63">
        <v>2</v>
      </c>
      <c r="H63" s="59">
        <v>0.29652777777777778</v>
      </c>
      <c r="I63">
        <v>5</v>
      </c>
    </row>
    <row r="64" spans="2:9">
      <c r="B64">
        <v>17</v>
      </c>
      <c r="C64" t="s">
        <v>39</v>
      </c>
      <c r="D64">
        <v>5</v>
      </c>
      <c r="E64">
        <v>1</v>
      </c>
      <c r="F64">
        <v>1</v>
      </c>
      <c r="G64">
        <v>3</v>
      </c>
      <c r="H64" s="59">
        <v>8.819444444444445E-2</v>
      </c>
      <c r="I64">
        <v>4</v>
      </c>
    </row>
    <row r="65" spans="2:9">
      <c r="B65">
        <v>18</v>
      </c>
      <c r="C65" t="s">
        <v>38</v>
      </c>
      <c r="D65">
        <v>6</v>
      </c>
      <c r="E65">
        <v>1</v>
      </c>
      <c r="F65">
        <v>1</v>
      </c>
      <c r="G65">
        <v>4</v>
      </c>
      <c r="H65" s="59">
        <v>4.6527777777777779E-2</v>
      </c>
      <c r="I65">
        <v>4</v>
      </c>
    </row>
    <row r="66" spans="2:9">
      <c r="B66">
        <v>19</v>
      </c>
      <c r="C66" t="s">
        <v>48</v>
      </c>
      <c r="D66">
        <v>6</v>
      </c>
      <c r="E66">
        <v>1</v>
      </c>
      <c r="F66">
        <v>1</v>
      </c>
      <c r="G66">
        <v>4</v>
      </c>
      <c r="H66" s="59">
        <v>0.13055555555555556</v>
      </c>
      <c r="I66">
        <v>4</v>
      </c>
    </row>
    <row r="67" spans="2:9">
      <c r="B67">
        <v>20</v>
      </c>
      <c r="C67" t="s">
        <v>46</v>
      </c>
      <c r="D67">
        <v>6</v>
      </c>
      <c r="E67">
        <v>1</v>
      </c>
      <c r="F67">
        <v>0</v>
      </c>
      <c r="G67">
        <v>5</v>
      </c>
      <c r="H67" s="59">
        <v>0.21736111111111112</v>
      </c>
      <c r="I67">
        <v>3</v>
      </c>
    </row>
    <row r="69" spans="2:9">
      <c r="B69" t="s">
        <v>111</v>
      </c>
      <c r="C69" t="s">
        <v>112</v>
      </c>
      <c r="D69" t="s">
        <v>106</v>
      </c>
      <c r="E69" t="s">
        <v>113</v>
      </c>
      <c r="F69" t="s">
        <v>114</v>
      </c>
      <c r="G69" t="s">
        <v>115</v>
      </c>
      <c r="H69" t="s">
        <v>116</v>
      </c>
      <c r="I69" t="s">
        <v>117</v>
      </c>
    </row>
    <row r="70" spans="2:9">
      <c r="B70">
        <v>1</v>
      </c>
      <c r="C70" t="s">
        <v>32</v>
      </c>
      <c r="D70">
        <v>5</v>
      </c>
      <c r="E70">
        <v>4</v>
      </c>
      <c r="F70">
        <v>1</v>
      </c>
      <c r="G70">
        <v>0</v>
      </c>
      <c r="H70" s="59">
        <v>0.54375000000000007</v>
      </c>
      <c r="I70">
        <v>13</v>
      </c>
    </row>
    <row r="71" spans="2:9">
      <c r="B71">
        <v>2</v>
      </c>
      <c r="C71" t="s">
        <v>31</v>
      </c>
      <c r="D71">
        <v>5</v>
      </c>
      <c r="E71">
        <v>4</v>
      </c>
      <c r="F71">
        <v>0</v>
      </c>
      <c r="G71">
        <v>1</v>
      </c>
      <c r="H71" s="59">
        <v>0.33611111111111108</v>
      </c>
      <c r="I71">
        <v>12</v>
      </c>
    </row>
    <row r="72" spans="2:9">
      <c r="B72">
        <v>3</v>
      </c>
      <c r="C72" t="s">
        <v>118</v>
      </c>
      <c r="D72">
        <v>5</v>
      </c>
      <c r="E72">
        <v>3</v>
      </c>
      <c r="F72">
        <v>2</v>
      </c>
      <c r="G72">
        <v>0</v>
      </c>
      <c r="H72" s="59">
        <v>0.41944444444444445</v>
      </c>
      <c r="I72">
        <v>11</v>
      </c>
    </row>
    <row r="73" spans="2:9">
      <c r="B73">
        <v>4</v>
      </c>
      <c r="C73" t="s">
        <v>33</v>
      </c>
      <c r="D73">
        <v>5</v>
      </c>
      <c r="E73">
        <v>2</v>
      </c>
      <c r="F73">
        <v>3</v>
      </c>
      <c r="G73">
        <v>0</v>
      </c>
      <c r="H73" s="59">
        <v>0.25208333333333333</v>
      </c>
      <c r="I73">
        <v>9</v>
      </c>
    </row>
    <row r="74" spans="2:9">
      <c r="B74">
        <v>5</v>
      </c>
      <c r="C74" t="s">
        <v>37</v>
      </c>
      <c r="D74">
        <v>5</v>
      </c>
      <c r="E74">
        <v>2</v>
      </c>
      <c r="F74">
        <v>2</v>
      </c>
      <c r="G74">
        <v>1</v>
      </c>
      <c r="H74" s="59">
        <v>0.25208333333333333</v>
      </c>
      <c r="I74">
        <v>8</v>
      </c>
    </row>
    <row r="75" spans="2:9">
      <c r="B75">
        <v>6</v>
      </c>
      <c r="C75" t="s">
        <v>40</v>
      </c>
      <c r="D75">
        <v>5</v>
      </c>
      <c r="E75">
        <v>2</v>
      </c>
      <c r="F75">
        <v>2</v>
      </c>
      <c r="G75">
        <v>1</v>
      </c>
      <c r="H75" s="59">
        <v>0.17013888888888887</v>
      </c>
      <c r="I75">
        <v>8</v>
      </c>
    </row>
    <row r="76" spans="2:9">
      <c r="B76">
        <v>7</v>
      </c>
      <c r="C76" t="s">
        <v>35</v>
      </c>
      <c r="D76">
        <v>5</v>
      </c>
      <c r="E76">
        <v>2</v>
      </c>
      <c r="F76">
        <v>2</v>
      </c>
      <c r="G76">
        <v>1</v>
      </c>
      <c r="H76" s="59">
        <v>0.29444444444444445</v>
      </c>
      <c r="I76">
        <v>8</v>
      </c>
    </row>
    <row r="77" spans="2:9">
      <c r="B77">
        <v>8</v>
      </c>
      <c r="C77" t="s">
        <v>42</v>
      </c>
      <c r="D77">
        <v>5</v>
      </c>
      <c r="E77">
        <v>2</v>
      </c>
      <c r="F77">
        <v>1</v>
      </c>
      <c r="G77">
        <v>2</v>
      </c>
      <c r="H77" s="59">
        <v>0.25555555555555559</v>
      </c>
      <c r="I77">
        <v>7</v>
      </c>
    </row>
    <row r="78" spans="2:9">
      <c r="B78">
        <v>9</v>
      </c>
      <c r="C78" t="s">
        <v>119</v>
      </c>
      <c r="D78">
        <v>5</v>
      </c>
      <c r="E78">
        <v>2</v>
      </c>
      <c r="F78">
        <v>1</v>
      </c>
      <c r="G78">
        <v>2</v>
      </c>
      <c r="H78" s="59">
        <v>0.16944444444444443</v>
      </c>
      <c r="I78">
        <v>7</v>
      </c>
    </row>
    <row r="79" spans="2:9">
      <c r="B79">
        <v>10</v>
      </c>
      <c r="C79" t="s">
        <v>36</v>
      </c>
      <c r="D79">
        <v>5</v>
      </c>
      <c r="E79">
        <v>2</v>
      </c>
      <c r="F79">
        <v>1</v>
      </c>
      <c r="G79">
        <v>2</v>
      </c>
      <c r="H79" s="59">
        <v>0.42152777777777778</v>
      </c>
      <c r="I79">
        <v>7</v>
      </c>
    </row>
    <row r="80" spans="2:9">
      <c r="B80">
        <v>11</v>
      </c>
      <c r="C80" t="s">
        <v>34</v>
      </c>
      <c r="D80">
        <v>5</v>
      </c>
      <c r="E80">
        <v>2</v>
      </c>
      <c r="F80">
        <v>1</v>
      </c>
      <c r="G80">
        <v>2</v>
      </c>
      <c r="H80" s="59">
        <v>0.21319444444444444</v>
      </c>
      <c r="I80">
        <v>7</v>
      </c>
    </row>
    <row r="81" spans="2:9">
      <c r="B81">
        <v>12</v>
      </c>
      <c r="C81" t="s">
        <v>38</v>
      </c>
      <c r="D81">
        <v>5</v>
      </c>
      <c r="E81">
        <v>2</v>
      </c>
      <c r="F81">
        <v>1</v>
      </c>
      <c r="G81">
        <v>2</v>
      </c>
      <c r="H81" s="59">
        <v>0.25416666666666665</v>
      </c>
      <c r="I81">
        <v>7</v>
      </c>
    </row>
    <row r="82" spans="2:9">
      <c r="B82">
        <v>13</v>
      </c>
      <c r="C82" t="s">
        <v>47</v>
      </c>
      <c r="D82">
        <v>5</v>
      </c>
      <c r="E82">
        <v>2</v>
      </c>
      <c r="F82">
        <v>0</v>
      </c>
      <c r="G82">
        <v>3</v>
      </c>
      <c r="H82" s="59">
        <v>0.25763888888888892</v>
      </c>
      <c r="I82">
        <v>6</v>
      </c>
    </row>
    <row r="83" spans="2:9">
      <c r="B83">
        <v>14</v>
      </c>
      <c r="C83" t="s">
        <v>46</v>
      </c>
      <c r="D83">
        <v>5</v>
      </c>
      <c r="E83">
        <v>2</v>
      </c>
      <c r="F83">
        <v>0</v>
      </c>
      <c r="G83">
        <v>3</v>
      </c>
      <c r="H83" s="59">
        <v>0.21249999999999999</v>
      </c>
      <c r="I83">
        <v>6</v>
      </c>
    </row>
    <row r="84" spans="2:9">
      <c r="B84">
        <v>15</v>
      </c>
      <c r="C84" t="s">
        <v>43</v>
      </c>
      <c r="D84">
        <v>5</v>
      </c>
      <c r="E84">
        <v>1</v>
      </c>
      <c r="F84">
        <v>2</v>
      </c>
      <c r="G84">
        <v>2</v>
      </c>
      <c r="H84" s="59">
        <v>0.25486111111111109</v>
      </c>
      <c r="I84">
        <v>5</v>
      </c>
    </row>
    <row r="85" spans="2:9">
      <c r="B85">
        <v>16</v>
      </c>
      <c r="C85" t="s">
        <v>41</v>
      </c>
      <c r="D85">
        <v>5</v>
      </c>
      <c r="E85">
        <v>1</v>
      </c>
      <c r="F85">
        <v>1</v>
      </c>
      <c r="G85">
        <v>3</v>
      </c>
      <c r="H85" s="59">
        <v>0.12986111111111112</v>
      </c>
      <c r="I85">
        <v>4</v>
      </c>
    </row>
    <row r="86" spans="2:9">
      <c r="B86">
        <v>17</v>
      </c>
      <c r="C86" t="s">
        <v>39</v>
      </c>
      <c r="D86">
        <v>5</v>
      </c>
      <c r="E86">
        <v>1</v>
      </c>
      <c r="F86">
        <v>1</v>
      </c>
      <c r="G86">
        <v>3</v>
      </c>
      <c r="H86" s="59">
        <v>0.13055555555555556</v>
      </c>
      <c r="I86">
        <v>4</v>
      </c>
    </row>
    <row r="87" spans="2:9">
      <c r="B87">
        <v>18</v>
      </c>
      <c r="C87" t="s">
        <v>44</v>
      </c>
      <c r="D87">
        <v>5</v>
      </c>
      <c r="E87">
        <v>1</v>
      </c>
      <c r="F87">
        <v>1</v>
      </c>
      <c r="G87">
        <v>3</v>
      </c>
      <c r="H87" s="59">
        <v>0.17152777777777775</v>
      </c>
      <c r="I87">
        <v>4</v>
      </c>
    </row>
    <row r="88" spans="2:9">
      <c r="B88">
        <v>19</v>
      </c>
      <c r="C88" t="s">
        <v>45</v>
      </c>
      <c r="D88">
        <v>5</v>
      </c>
      <c r="E88">
        <v>1</v>
      </c>
      <c r="F88">
        <v>0</v>
      </c>
      <c r="G88">
        <v>4</v>
      </c>
      <c r="H88" s="59">
        <v>0.17152777777777775</v>
      </c>
      <c r="I88">
        <v>3</v>
      </c>
    </row>
    <row r="89" spans="2:9">
      <c r="B89">
        <v>20</v>
      </c>
      <c r="C89" t="s">
        <v>48</v>
      </c>
      <c r="D89">
        <v>5</v>
      </c>
      <c r="E89">
        <v>1</v>
      </c>
      <c r="F89">
        <v>0</v>
      </c>
      <c r="G89">
        <v>4</v>
      </c>
      <c r="H89" s="59">
        <v>8.819444444444445E-2</v>
      </c>
      <c r="I89">
        <v>3</v>
      </c>
    </row>
    <row r="90" spans="2:9">
      <c r="H90" s="59"/>
    </row>
    <row r="91" spans="2:9">
      <c r="B91" t="s">
        <v>108</v>
      </c>
      <c r="H91" s="59"/>
    </row>
    <row r="92" spans="2:9">
      <c r="B92">
        <v>1</v>
      </c>
      <c r="C92" t="s">
        <v>32</v>
      </c>
      <c r="D92">
        <v>5</v>
      </c>
      <c r="E92">
        <v>5</v>
      </c>
      <c r="F92">
        <v>0</v>
      </c>
      <c r="G92">
        <v>0</v>
      </c>
      <c r="H92" s="59">
        <v>0.62638888888888888</v>
      </c>
      <c r="I92">
        <v>15</v>
      </c>
    </row>
    <row r="93" spans="2:9">
      <c r="B93">
        <v>2</v>
      </c>
      <c r="C93" t="s">
        <v>31</v>
      </c>
      <c r="D93">
        <v>5</v>
      </c>
      <c r="E93">
        <v>5</v>
      </c>
      <c r="F93">
        <v>0</v>
      </c>
      <c r="G93">
        <v>0</v>
      </c>
      <c r="H93" s="59">
        <v>0.54305555555555551</v>
      </c>
      <c r="I93">
        <v>15</v>
      </c>
    </row>
    <row r="94" spans="2:9">
      <c r="B94">
        <v>3</v>
      </c>
      <c r="C94" t="s">
        <v>38</v>
      </c>
      <c r="D94">
        <v>5</v>
      </c>
      <c r="E94">
        <v>4</v>
      </c>
      <c r="F94">
        <v>1</v>
      </c>
      <c r="G94">
        <v>0</v>
      </c>
      <c r="H94" s="59">
        <v>0.46111111111111108</v>
      </c>
      <c r="I94">
        <v>13</v>
      </c>
    </row>
    <row r="95" spans="2:9">
      <c r="B95">
        <v>4</v>
      </c>
      <c r="C95" t="s">
        <v>42</v>
      </c>
      <c r="D95">
        <v>5</v>
      </c>
      <c r="E95">
        <v>4</v>
      </c>
      <c r="F95">
        <v>0</v>
      </c>
      <c r="G95">
        <v>1</v>
      </c>
      <c r="H95" s="59">
        <v>0.29305555555555557</v>
      </c>
      <c r="I95">
        <v>12</v>
      </c>
    </row>
    <row r="96" spans="2:9">
      <c r="B96">
        <v>5</v>
      </c>
      <c r="C96" t="s">
        <v>118</v>
      </c>
      <c r="D96">
        <v>5</v>
      </c>
      <c r="E96">
        <v>3</v>
      </c>
      <c r="F96">
        <v>2</v>
      </c>
      <c r="G96">
        <v>0</v>
      </c>
      <c r="H96" s="59">
        <v>0.50138888888888888</v>
      </c>
      <c r="I96">
        <v>11</v>
      </c>
    </row>
    <row r="97" spans="2:9">
      <c r="B97">
        <v>6</v>
      </c>
      <c r="C97" t="s">
        <v>34</v>
      </c>
      <c r="D97">
        <v>5</v>
      </c>
      <c r="E97">
        <v>3</v>
      </c>
      <c r="F97">
        <v>2</v>
      </c>
      <c r="G97">
        <v>0</v>
      </c>
      <c r="H97" s="59">
        <v>0.33680555555555558</v>
      </c>
      <c r="I97">
        <v>11</v>
      </c>
    </row>
    <row r="98" spans="2:9">
      <c r="B98">
        <v>7</v>
      </c>
      <c r="C98" t="s">
        <v>37</v>
      </c>
      <c r="D98">
        <v>5</v>
      </c>
      <c r="E98">
        <v>3</v>
      </c>
      <c r="F98">
        <v>1</v>
      </c>
      <c r="G98">
        <v>1</v>
      </c>
      <c r="H98" s="59">
        <v>0.46249999999999997</v>
      </c>
      <c r="I98">
        <v>10</v>
      </c>
    </row>
    <row r="99" spans="2:9">
      <c r="B99">
        <v>8</v>
      </c>
      <c r="C99" t="s">
        <v>40</v>
      </c>
      <c r="D99">
        <v>5</v>
      </c>
      <c r="E99">
        <v>3</v>
      </c>
      <c r="F99">
        <v>0</v>
      </c>
      <c r="G99">
        <v>2</v>
      </c>
      <c r="H99" s="59">
        <v>0.17152777777777775</v>
      </c>
      <c r="I99">
        <v>9</v>
      </c>
    </row>
    <row r="100" spans="2:9">
      <c r="B100">
        <v>9</v>
      </c>
      <c r="C100" t="s">
        <v>33</v>
      </c>
      <c r="D100">
        <v>5</v>
      </c>
      <c r="E100">
        <v>2</v>
      </c>
      <c r="F100">
        <v>3</v>
      </c>
      <c r="G100">
        <v>0</v>
      </c>
      <c r="H100" s="59">
        <v>0.25277777777777777</v>
      </c>
      <c r="I100">
        <v>9</v>
      </c>
    </row>
    <row r="101" spans="2:9">
      <c r="B101">
        <v>10</v>
      </c>
      <c r="C101" t="s">
        <v>41</v>
      </c>
      <c r="D101">
        <v>5</v>
      </c>
      <c r="E101">
        <v>2</v>
      </c>
      <c r="F101">
        <v>2</v>
      </c>
      <c r="G101">
        <v>1</v>
      </c>
      <c r="H101" s="59">
        <v>0.29652777777777778</v>
      </c>
      <c r="I101">
        <v>8</v>
      </c>
    </row>
    <row r="102" spans="2:9">
      <c r="B102">
        <v>11</v>
      </c>
      <c r="C102" t="s">
        <v>119</v>
      </c>
      <c r="D102">
        <v>5</v>
      </c>
      <c r="E102">
        <v>2</v>
      </c>
      <c r="F102">
        <v>2</v>
      </c>
      <c r="G102">
        <v>1</v>
      </c>
      <c r="H102" s="59">
        <v>0.12638888888888888</v>
      </c>
      <c r="I102">
        <v>8</v>
      </c>
    </row>
    <row r="103" spans="2:9">
      <c r="B103">
        <v>12</v>
      </c>
      <c r="C103" t="s">
        <v>35</v>
      </c>
      <c r="D103">
        <v>5</v>
      </c>
      <c r="E103">
        <v>2</v>
      </c>
      <c r="F103">
        <v>2</v>
      </c>
      <c r="G103">
        <v>1</v>
      </c>
      <c r="H103" s="59">
        <v>0.21041666666666667</v>
      </c>
      <c r="I103">
        <v>8</v>
      </c>
    </row>
    <row r="104" spans="2:9">
      <c r="B104">
        <v>13</v>
      </c>
      <c r="C104" t="s">
        <v>39</v>
      </c>
      <c r="D104">
        <v>5</v>
      </c>
      <c r="E104">
        <v>2</v>
      </c>
      <c r="F104">
        <v>2</v>
      </c>
      <c r="G104">
        <v>1</v>
      </c>
      <c r="H104" s="59">
        <v>0.21041666666666667</v>
      </c>
      <c r="I104">
        <v>8</v>
      </c>
    </row>
    <row r="105" spans="2:9">
      <c r="B105">
        <v>14</v>
      </c>
      <c r="C105" t="s">
        <v>36</v>
      </c>
      <c r="D105">
        <v>5</v>
      </c>
      <c r="E105">
        <v>2</v>
      </c>
      <c r="F105">
        <v>1</v>
      </c>
      <c r="G105">
        <v>2</v>
      </c>
      <c r="H105" s="59">
        <v>0.17013888888888887</v>
      </c>
      <c r="I105">
        <v>7</v>
      </c>
    </row>
    <row r="106" spans="2:9">
      <c r="B106">
        <v>15</v>
      </c>
      <c r="C106" t="s">
        <v>46</v>
      </c>
      <c r="D106">
        <v>5</v>
      </c>
      <c r="E106">
        <v>2</v>
      </c>
      <c r="F106">
        <v>1</v>
      </c>
      <c r="G106">
        <v>2</v>
      </c>
      <c r="H106" s="59">
        <v>0.25416666666666665</v>
      </c>
      <c r="I106">
        <v>7</v>
      </c>
    </row>
    <row r="107" spans="2:9">
      <c r="B107">
        <v>16</v>
      </c>
      <c r="C107" t="s">
        <v>47</v>
      </c>
      <c r="D107">
        <v>5</v>
      </c>
      <c r="E107">
        <v>2</v>
      </c>
      <c r="F107">
        <v>0</v>
      </c>
      <c r="G107">
        <v>3</v>
      </c>
      <c r="H107" s="59">
        <v>0.21527777777777779</v>
      </c>
      <c r="I107">
        <v>6</v>
      </c>
    </row>
    <row r="108" spans="2:9">
      <c r="B108">
        <v>17</v>
      </c>
      <c r="C108" t="s">
        <v>48</v>
      </c>
      <c r="D108">
        <v>5</v>
      </c>
      <c r="E108">
        <v>1</v>
      </c>
      <c r="F108">
        <v>2</v>
      </c>
      <c r="G108">
        <v>2</v>
      </c>
      <c r="H108" s="59">
        <v>0.12916666666666668</v>
      </c>
      <c r="I108">
        <v>5</v>
      </c>
    </row>
    <row r="109" spans="2:9">
      <c r="B109">
        <v>18</v>
      </c>
      <c r="C109" t="s">
        <v>44</v>
      </c>
      <c r="D109">
        <v>5</v>
      </c>
      <c r="E109">
        <v>1</v>
      </c>
      <c r="F109">
        <v>1</v>
      </c>
      <c r="G109">
        <v>3</v>
      </c>
      <c r="H109" s="59">
        <v>0.21319444444444444</v>
      </c>
      <c r="I109">
        <v>4</v>
      </c>
    </row>
    <row r="110" spans="2:9">
      <c r="B110">
        <v>19</v>
      </c>
      <c r="C110" t="s">
        <v>45</v>
      </c>
      <c r="D110">
        <v>5</v>
      </c>
      <c r="E110">
        <v>1</v>
      </c>
      <c r="F110">
        <v>0</v>
      </c>
      <c r="G110">
        <v>4</v>
      </c>
      <c r="H110" s="59">
        <v>0.21249999999999999</v>
      </c>
      <c r="I110">
        <v>3</v>
      </c>
    </row>
    <row r="111" spans="2:9">
      <c r="B111">
        <v>20</v>
      </c>
      <c r="C111" t="s">
        <v>43</v>
      </c>
      <c r="D111">
        <v>5</v>
      </c>
      <c r="E111">
        <v>1</v>
      </c>
      <c r="F111">
        <v>0</v>
      </c>
      <c r="G111">
        <v>4</v>
      </c>
      <c r="H111" s="59">
        <v>0.12986111111111112</v>
      </c>
      <c r="I111">
        <v>3</v>
      </c>
    </row>
    <row r="112" spans="2:9">
      <c r="H112" s="59"/>
    </row>
    <row r="113" spans="2:9">
      <c r="B113" t="s">
        <v>121</v>
      </c>
      <c r="H113" s="59"/>
    </row>
    <row r="114" spans="2:9">
      <c r="B114">
        <v>1</v>
      </c>
      <c r="C114" t="s">
        <v>31</v>
      </c>
      <c r="D114">
        <v>5</v>
      </c>
      <c r="E114">
        <v>4</v>
      </c>
      <c r="F114">
        <v>0</v>
      </c>
      <c r="G114">
        <v>1</v>
      </c>
      <c r="H114" s="59">
        <v>0.4604166666666667</v>
      </c>
      <c r="I114">
        <v>12</v>
      </c>
    </row>
    <row r="115" spans="2:9">
      <c r="B115">
        <v>2</v>
      </c>
      <c r="C115" t="s">
        <v>118</v>
      </c>
      <c r="D115">
        <v>5</v>
      </c>
      <c r="E115">
        <v>3</v>
      </c>
      <c r="F115">
        <v>2</v>
      </c>
      <c r="G115">
        <v>0</v>
      </c>
      <c r="H115" s="59">
        <v>0.37777777777777777</v>
      </c>
      <c r="I115">
        <v>11</v>
      </c>
    </row>
    <row r="116" spans="2:9">
      <c r="B116">
        <v>3</v>
      </c>
      <c r="C116" t="s">
        <v>35</v>
      </c>
      <c r="D116">
        <v>5</v>
      </c>
      <c r="E116">
        <v>3</v>
      </c>
      <c r="F116">
        <v>1</v>
      </c>
      <c r="G116">
        <v>1</v>
      </c>
      <c r="H116" s="59">
        <v>0.29444444444444445</v>
      </c>
      <c r="I116">
        <v>10</v>
      </c>
    </row>
    <row r="117" spans="2:9">
      <c r="B117">
        <v>4</v>
      </c>
      <c r="C117" t="s">
        <v>33</v>
      </c>
      <c r="D117">
        <v>5</v>
      </c>
      <c r="E117">
        <v>2</v>
      </c>
      <c r="F117">
        <v>2</v>
      </c>
      <c r="G117">
        <v>1</v>
      </c>
      <c r="H117" s="59">
        <v>0.16874999999999998</v>
      </c>
      <c r="I117">
        <v>8</v>
      </c>
    </row>
    <row r="118" spans="2:9">
      <c r="B118">
        <v>5</v>
      </c>
      <c r="C118" t="s">
        <v>119</v>
      </c>
      <c r="D118">
        <v>5</v>
      </c>
      <c r="E118">
        <v>2</v>
      </c>
      <c r="F118">
        <v>1</v>
      </c>
      <c r="G118">
        <v>2</v>
      </c>
      <c r="H118" s="59">
        <v>0.17222222222222225</v>
      </c>
      <c r="I118">
        <v>7</v>
      </c>
    </row>
    <row r="119" spans="2:9">
      <c r="B119">
        <v>6</v>
      </c>
      <c r="C119" t="s">
        <v>36</v>
      </c>
      <c r="D119">
        <v>5</v>
      </c>
      <c r="E119">
        <v>2</v>
      </c>
      <c r="F119">
        <v>1</v>
      </c>
      <c r="G119">
        <v>2</v>
      </c>
      <c r="H119" s="59">
        <v>0.38055555555555554</v>
      </c>
      <c r="I119">
        <v>7</v>
      </c>
    </row>
    <row r="120" spans="2:9">
      <c r="B120">
        <v>7</v>
      </c>
      <c r="C120" t="s">
        <v>41</v>
      </c>
      <c r="D120">
        <v>5</v>
      </c>
      <c r="E120">
        <v>2</v>
      </c>
      <c r="F120">
        <v>0</v>
      </c>
      <c r="G120">
        <v>3</v>
      </c>
      <c r="H120" s="59">
        <v>0.21249999999999999</v>
      </c>
      <c r="I120">
        <v>6</v>
      </c>
    </row>
    <row r="121" spans="2:9">
      <c r="B121">
        <v>8</v>
      </c>
      <c r="C121" t="s">
        <v>47</v>
      </c>
      <c r="D121">
        <v>5</v>
      </c>
      <c r="E121">
        <v>2</v>
      </c>
      <c r="F121">
        <v>0</v>
      </c>
      <c r="G121">
        <v>3</v>
      </c>
      <c r="H121" s="59">
        <v>0.17222222222222225</v>
      </c>
      <c r="I121">
        <v>6</v>
      </c>
    </row>
    <row r="122" spans="2:9">
      <c r="B122">
        <v>9</v>
      </c>
      <c r="C122" t="s">
        <v>37</v>
      </c>
      <c r="D122">
        <v>5</v>
      </c>
      <c r="E122">
        <v>1</v>
      </c>
      <c r="F122">
        <v>2</v>
      </c>
      <c r="G122">
        <v>2</v>
      </c>
      <c r="H122" s="59">
        <v>0.12916666666666668</v>
      </c>
      <c r="I122">
        <v>5</v>
      </c>
    </row>
    <row r="123" spans="2:9">
      <c r="B123">
        <v>10</v>
      </c>
      <c r="C123" t="s">
        <v>40</v>
      </c>
      <c r="D123">
        <v>5</v>
      </c>
      <c r="E123">
        <v>1</v>
      </c>
      <c r="F123">
        <v>2</v>
      </c>
      <c r="G123">
        <v>2</v>
      </c>
      <c r="H123" s="59">
        <v>0.21458333333333335</v>
      </c>
      <c r="I123">
        <v>5</v>
      </c>
    </row>
    <row r="124" spans="2:9">
      <c r="B124">
        <v>11</v>
      </c>
      <c r="C124" t="s">
        <v>32</v>
      </c>
      <c r="D124">
        <v>5</v>
      </c>
      <c r="E124">
        <v>1</v>
      </c>
      <c r="F124">
        <v>2</v>
      </c>
      <c r="G124">
        <v>2</v>
      </c>
      <c r="H124" s="59">
        <v>0.29652777777777778</v>
      </c>
      <c r="I124">
        <v>5</v>
      </c>
    </row>
    <row r="125" spans="2:9">
      <c r="B125">
        <v>12</v>
      </c>
      <c r="C125" t="s">
        <v>34</v>
      </c>
      <c r="D125">
        <v>5</v>
      </c>
      <c r="E125">
        <v>1</v>
      </c>
      <c r="F125">
        <v>1</v>
      </c>
      <c r="G125">
        <v>3</v>
      </c>
      <c r="H125" s="59">
        <v>0.21388888888888891</v>
      </c>
      <c r="I125">
        <v>4</v>
      </c>
    </row>
    <row r="126" spans="2:9">
      <c r="B126">
        <v>13</v>
      </c>
      <c r="C126" t="s">
        <v>39</v>
      </c>
      <c r="D126">
        <v>5</v>
      </c>
      <c r="E126">
        <v>1</v>
      </c>
      <c r="F126">
        <v>1</v>
      </c>
      <c r="G126">
        <v>3</v>
      </c>
      <c r="H126" s="59">
        <v>8.819444444444445E-2</v>
      </c>
      <c r="I126">
        <v>4</v>
      </c>
    </row>
    <row r="127" spans="2:9">
      <c r="B127">
        <v>14</v>
      </c>
      <c r="C127" t="s">
        <v>44</v>
      </c>
      <c r="D127">
        <v>5</v>
      </c>
      <c r="E127">
        <v>1</v>
      </c>
      <c r="F127">
        <v>1</v>
      </c>
      <c r="G127">
        <v>3</v>
      </c>
      <c r="H127" s="59">
        <v>0.21319444444444444</v>
      </c>
      <c r="I127">
        <v>4</v>
      </c>
    </row>
    <row r="128" spans="2:9">
      <c r="B128">
        <v>15</v>
      </c>
      <c r="C128" t="s">
        <v>48</v>
      </c>
      <c r="D128">
        <v>5</v>
      </c>
      <c r="E128">
        <v>1</v>
      </c>
      <c r="F128">
        <v>1</v>
      </c>
      <c r="G128">
        <v>3</v>
      </c>
      <c r="H128" s="59">
        <v>0.12916666666666668</v>
      </c>
      <c r="I128">
        <v>4</v>
      </c>
    </row>
    <row r="129" spans="2:9">
      <c r="B129">
        <v>16</v>
      </c>
      <c r="C129" t="s">
        <v>45</v>
      </c>
      <c r="D129">
        <v>5</v>
      </c>
      <c r="E129">
        <v>1</v>
      </c>
      <c r="F129">
        <v>0</v>
      </c>
      <c r="G129">
        <v>4</v>
      </c>
      <c r="H129" s="59">
        <v>0.13125000000000001</v>
      </c>
      <c r="I129">
        <v>3</v>
      </c>
    </row>
    <row r="130" spans="2:9">
      <c r="B130">
        <v>17</v>
      </c>
      <c r="C130" t="s">
        <v>38</v>
      </c>
      <c r="D130">
        <v>5</v>
      </c>
      <c r="E130">
        <v>1</v>
      </c>
      <c r="F130">
        <v>0</v>
      </c>
      <c r="G130">
        <v>4</v>
      </c>
      <c r="H130" s="59">
        <v>4.6527777777777779E-2</v>
      </c>
      <c r="I130">
        <v>3</v>
      </c>
    </row>
    <row r="131" spans="2:9">
      <c r="B131">
        <v>18</v>
      </c>
      <c r="C131" t="s">
        <v>43</v>
      </c>
      <c r="D131">
        <v>5</v>
      </c>
      <c r="E131">
        <v>0</v>
      </c>
      <c r="F131">
        <v>3</v>
      </c>
      <c r="G131">
        <v>2</v>
      </c>
      <c r="H131" s="59">
        <v>0.25555555555555559</v>
      </c>
      <c r="I131">
        <v>3</v>
      </c>
    </row>
    <row r="132" spans="2:9">
      <c r="B132">
        <v>19</v>
      </c>
      <c r="C132" t="s">
        <v>46</v>
      </c>
      <c r="D132">
        <v>5</v>
      </c>
      <c r="E132">
        <v>1</v>
      </c>
      <c r="F132">
        <v>0</v>
      </c>
      <c r="G132">
        <v>4</v>
      </c>
      <c r="H132" s="59">
        <v>0.12986111111111112</v>
      </c>
      <c r="I132">
        <v>3</v>
      </c>
    </row>
    <row r="133" spans="2:9">
      <c r="B133">
        <v>20</v>
      </c>
      <c r="C133" t="s">
        <v>42</v>
      </c>
      <c r="D133">
        <v>5</v>
      </c>
      <c r="E133">
        <v>0</v>
      </c>
      <c r="F133">
        <v>2</v>
      </c>
      <c r="G133">
        <v>3</v>
      </c>
      <c r="H133" s="59">
        <v>8.8888888888888892E-2</v>
      </c>
      <c r="I133">
        <v>2</v>
      </c>
    </row>
    <row r="134" spans="2:9">
      <c r="H134" s="59"/>
    </row>
    <row r="135" spans="2:9">
      <c r="D135" t="s">
        <v>122</v>
      </c>
      <c r="G135" t="s">
        <v>123</v>
      </c>
      <c r="H135" s="59"/>
    </row>
    <row r="136" spans="2:9">
      <c r="D136" t="s">
        <v>109</v>
      </c>
      <c r="E136" t="s">
        <v>124</v>
      </c>
      <c r="F136" t="s">
        <v>125</v>
      </c>
      <c r="G136" t="s">
        <v>108</v>
      </c>
      <c r="H136" s="59" t="s">
        <v>121</v>
      </c>
      <c r="I136" t="s">
        <v>105</v>
      </c>
    </row>
    <row r="137" spans="2:9">
      <c r="B137">
        <v>1</v>
      </c>
      <c r="C137" t="s">
        <v>31</v>
      </c>
      <c r="D137">
        <v>83</v>
      </c>
      <c r="E137">
        <v>67</v>
      </c>
      <c r="F137">
        <v>33</v>
      </c>
      <c r="G137" t="s">
        <v>126</v>
      </c>
      <c r="H137" s="59" t="s">
        <v>127</v>
      </c>
      <c r="I137" t="s">
        <v>128</v>
      </c>
    </row>
    <row r="138" spans="2:9">
      <c r="B138">
        <v>2</v>
      </c>
      <c r="C138" t="s">
        <v>36</v>
      </c>
      <c r="D138">
        <v>58</v>
      </c>
      <c r="E138">
        <v>50</v>
      </c>
      <c r="F138">
        <v>42</v>
      </c>
      <c r="G138" t="s">
        <v>129</v>
      </c>
      <c r="H138" s="59" t="s">
        <v>130</v>
      </c>
      <c r="I138" t="s">
        <v>131</v>
      </c>
    </row>
    <row r="139" spans="2:9">
      <c r="B139">
        <v>3</v>
      </c>
      <c r="C139" t="s">
        <v>32</v>
      </c>
      <c r="D139">
        <v>83</v>
      </c>
      <c r="E139">
        <v>58</v>
      </c>
      <c r="F139">
        <v>25</v>
      </c>
      <c r="G139" t="s">
        <v>132</v>
      </c>
      <c r="H139" s="59" t="s">
        <v>133</v>
      </c>
      <c r="I139" t="s">
        <v>126</v>
      </c>
    </row>
    <row r="140" spans="2:9">
      <c r="B140">
        <v>4</v>
      </c>
      <c r="C140" t="s">
        <v>40</v>
      </c>
      <c r="D140">
        <v>75</v>
      </c>
      <c r="E140">
        <v>42</v>
      </c>
      <c r="F140">
        <v>33</v>
      </c>
      <c r="G140" t="s">
        <v>124</v>
      </c>
      <c r="H140" s="59">
        <v>3</v>
      </c>
      <c r="I140" t="s">
        <v>134</v>
      </c>
    </row>
    <row r="141" spans="2:9">
      <c r="B141">
        <v>5</v>
      </c>
      <c r="C141" t="s">
        <v>46</v>
      </c>
      <c r="D141">
        <v>83</v>
      </c>
      <c r="E141">
        <v>50</v>
      </c>
      <c r="F141">
        <v>17</v>
      </c>
      <c r="G141" t="s">
        <v>124</v>
      </c>
      <c r="H141" s="59">
        <v>3</v>
      </c>
      <c r="I141" t="s">
        <v>134</v>
      </c>
    </row>
    <row r="142" spans="2:9">
      <c r="B142">
        <v>6</v>
      </c>
      <c r="C142" t="s">
        <v>34</v>
      </c>
      <c r="D142">
        <v>83</v>
      </c>
      <c r="E142">
        <v>58</v>
      </c>
      <c r="F142">
        <v>17</v>
      </c>
      <c r="G142" s="60">
        <v>3</v>
      </c>
      <c r="H142" s="59" t="s">
        <v>135</v>
      </c>
      <c r="I142" t="s">
        <v>136</v>
      </c>
    </row>
    <row r="143" spans="2:9">
      <c r="B143">
        <v>7</v>
      </c>
      <c r="C143" t="s">
        <v>118</v>
      </c>
      <c r="D143">
        <v>92</v>
      </c>
      <c r="E143">
        <v>42</v>
      </c>
      <c r="F143">
        <v>25</v>
      </c>
      <c r="G143" t="s">
        <v>133</v>
      </c>
      <c r="H143" s="59" t="s">
        <v>137</v>
      </c>
      <c r="I143" t="s">
        <v>138</v>
      </c>
    </row>
    <row r="144" spans="2:9">
      <c r="B144">
        <v>8</v>
      </c>
      <c r="C144" t="s">
        <v>41</v>
      </c>
      <c r="D144">
        <v>75</v>
      </c>
      <c r="E144">
        <v>42</v>
      </c>
      <c r="F144">
        <v>17</v>
      </c>
      <c r="G144" t="s">
        <v>133</v>
      </c>
      <c r="H144" s="59" t="s">
        <v>137</v>
      </c>
      <c r="I144" t="s">
        <v>138</v>
      </c>
    </row>
    <row r="145" spans="2:9">
      <c r="B145">
        <v>9</v>
      </c>
      <c r="C145" t="s">
        <v>47</v>
      </c>
      <c r="D145">
        <v>50</v>
      </c>
      <c r="E145">
        <v>42</v>
      </c>
      <c r="F145">
        <v>17</v>
      </c>
      <c r="G145" t="s">
        <v>129</v>
      </c>
      <c r="H145" s="59" t="s">
        <v>139</v>
      </c>
      <c r="I145" t="s">
        <v>124</v>
      </c>
    </row>
    <row r="146" spans="2:9">
      <c r="B146">
        <v>10</v>
      </c>
      <c r="C146" t="s">
        <v>43</v>
      </c>
      <c r="D146">
        <v>67</v>
      </c>
      <c r="E146">
        <v>42</v>
      </c>
      <c r="F146">
        <v>17</v>
      </c>
      <c r="G146">
        <v>2</v>
      </c>
      <c r="H146" s="59" t="s">
        <v>140</v>
      </c>
      <c r="I146" t="s">
        <v>107</v>
      </c>
    </row>
    <row r="147" spans="2:9">
      <c r="B147">
        <v>11</v>
      </c>
      <c r="C147" t="s">
        <v>37</v>
      </c>
      <c r="D147">
        <v>75</v>
      </c>
      <c r="E147">
        <v>33</v>
      </c>
      <c r="F147">
        <v>8</v>
      </c>
      <c r="G147" t="s">
        <v>130</v>
      </c>
      <c r="H147" s="59" t="s">
        <v>141</v>
      </c>
      <c r="I147" t="s">
        <v>135</v>
      </c>
    </row>
    <row r="148" spans="2:9">
      <c r="B148">
        <v>12</v>
      </c>
      <c r="C148" t="s">
        <v>35</v>
      </c>
      <c r="D148">
        <v>67</v>
      </c>
      <c r="E148">
        <v>33</v>
      </c>
      <c r="F148">
        <v>17</v>
      </c>
      <c r="G148" t="s">
        <v>142</v>
      </c>
      <c r="H148" s="59" t="s">
        <v>136</v>
      </c>
      <c r="I148" t="s">
        <v>143</v>
      </c>
    </row>
    <row r="149" spans="2:9">
      <c r="B149">
        <v>13</v>
      </c>
      <c r="C149" t="s">
        <v>44</v>
      </c>
      <c r="D149">
        <v>58</v>
      </c>
      <c r="E149">
        <v>33</v>
      </c>
      <c r="F149">
        <v>17</v>
      </c>
      <c r="G149" t="s">
        <v>139</v>
      </c>
      <c r="H149" s="59">
        <v>2</v>
      </c>
      <c r="I149" t="s">
        <v>144</v>
      </c>
    </row>
    <row r="150" spans="2:9">
      <c r="B150">
        <v>14</v>
      </c>
      <c r="C150" t="s">
        <v>45</v>
      </c>
      <c r="D150">
        <v>67</v>
      </c>
      <c r="E150">
        <v>42</v>
      </c>
      <c r="F150">
        <v>17</v>
      </c>
      <c r="G150" t="s">
        <v>142</v>
      </c>
      <c r="H150" s="59" t="s">
        <v>124</v>
      </c>
      <c r="I150" t="s">
        <v>144</v>
      </c>
    </row>
    <row r="151" spans="2:9">
      <c r="B151">
        <v>15</v>
      </c>
      <c r="C151" t="s">
        <v>48</v>
      </c>
      <c r="D151">
        <v>58</v>
      </c>
      <c r="E151">
        <v>25</v>
      </c>
      <c r="F151">
        <v>25</v>
      </c>
      <c r="G151" t="s">
        <v>124</v>
      </c>
      <c r="H151" s="59" t="s">
        <v>142</v>
      </c>
      <c r="I151" t="s">
        <v>144</v>
      </c>
    </row>
    <row r="152" spans="2:9">
      <c r="B152">
        <v>16</v>
      </c>
      <c r="C152" t="s">
        <v>38</v>
      </c>
      <c r="D152">
        <v>58</v>
      </c>
      <c r="E152">
        <v>42</v>
      </c>
      <c r="F152">
        <v>17</v>
      </c>
      <c r="G152" t="s">
        <v>126</v>
      </c>
      <c r="H152" s="59" t="s">
        <v>110</v>
      </c>
      <c r="I152" t="s">
        <v>145</v>
      </c>
    </row>
    <row r="153" spans="2:9">
      <c r="B153">
        <v>17</v>
      </c>
      <c r="C153" t="s">
        <v>119</v>
      </c>
      <c r="D153">
        <v>50</v>
      </c>
      <c r="E153">
        <v>25</v>
      </c>
      <c r="F153">
        <v>17</v>
      </c>
      <c r="G153" t="s">
        <v>109</v>
      </c>
      <c r="H153" s="59" t="s">
        <v>135</v>
      </c>
      <c r="I153" t="s">
        <v>146</v>
      </c>
    </row>
    <row r="154" spans="2:9">
      <c r="B154">
        <v>18</v>
      </c>
      <c r="C154" t="s">
        <v>42</v>
      </c>
      <c r="D154">
        <v>50</v>
      </c>
      <c r="E154">
        <v>17</v>
      </c>
      <c r="F154">
        <v>8</v>
      </c>
      <c r="G154" t="s">
        <v>147</v>
      </c>
      <c r="H154" s="59">
        <v>2</v>
      </c>
      <c r="I154" t="s">
        <v>142</v>
      </c>
    </row>
    <row r="155" spans="2:9">
      <c r="B155">
        <v>19</v>
      </c>
      <c r="C155" t="s">
        <v>39</v>
      </c>
      <c r="D155">
        <v>58</v>
      </c>
      <c r="E155">
        <v>17</v>
      </c>
      <c r="F155">
        <v>0</v>
      </c>
      <c r="G155" t="s">
        <v>148</v>
      </c>
      <c r="H155" s="59" t="s">
        <v>149</v>
      </c>
      <c r="I155" t="s">
        <v>150</v>
      </c>
    </row>
    <row r="156" spans="2:9">
      <c r="B156">
        <v>20</v>
      </c>
      <c r="C156" t="s">
        <v>33</v>
      </c>
      <c r="D156">
        <v>58</v>
      </c>
      <c r="E156">
        <v>8</v>
      </c>
      <c r="F156">
        <v>0</v>
      </c>
      <c r="G156" t="s">
        <v>151</v>
      </c>
      <c r="H156" s="59" t="s">
        <v>152</v>
      </c>
      <c r="I156" t="s">
        <v>150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BF196"/>
  <sheetViews>
    <sheetView zoomScaleNormal="100" workbookViewId="0">
      <selection activeCell="R26" sqref="R26"/>
    </sheetView>
  </sheetViews>
  <sheetFormatPr baseColWidth="10" defaultColWidth="11.42578125" defaultRowHeight="12.75"/>
  <cols>
    <col min="1" max="1" width="3" style="62" customWidth="1"/>
    <col min="2" max="2" width="11.7109375" style="62" customWidth="1"/>
    <col min="3" max="3" width="3.42578125" style="62" customWidth="1"/>
    <col min="4" max="4" width="4" style="62" customWidth="1"/>
    <col min="5" max="5" width="7.28515625" style="62" customWidth="1"/>
    <col min="6" max="6" width="5.140625" style="62" customWidth="1"/>
    <col min="7" max="7" width="4.28515625" style="62" customWidth="1"/>
    <col min="8" max="9" width="3" style="62" customWidth="1"/>
    <col min="10" max="10" width="3.5703125" style="62" customWidth="1"/>
    <col min="11" max="11" width="5.42578125" style="62" customWidth="1"/>
    <col min="12" max="12" width="4.5703125" style="62" customWidth="1"/>
    <col min="13" max="14" width="4.7109375" style="62" customWidth="1"/>
    <col min="15" max="15" width="4.42578125" style="62" customWidth="1"/>
    <col min="16" max="17" width="4.85546875" style="62" customWidth="1"/>
    <col min="18" max="18" width="13.28515625" style="62" customWidth="1"/>
    <col min="19" max="19" width="13.7109375" style="62" customWidth="1"/>
    <col min="20" max="20" width="9.42578125" style="62" customWidth="1"/>
    <col min="21" max="32" width="5.140625" style="62" customWidth="1"/>
    <col min="33" max="58" width="3.7109375" style="62" customWidth="1"/>
    <col min="59" max="16384" width="11.42578125" style="62"/>
  </cols>
  <sheetData>
    <row r="1" spans="1:58" ht="18" customHeight="1">
      <c r="A1" s="65">
        <v>2</v>
      </c>
      <c r="B1" s="62" t="s">
        <v>173</v>
      </c>
      <c r="C1" s="62">
        <v>24</v>
      </c>
      <c r="D1" s="62">
        <v>12</v>
      </c>
      <c r="E1" s="62">
        <v>6</v>
      </c>
      <c r="F1" s="62">
        <v>6</v>
      </c>
      <c r="G1" s="62">
        <v>0</v>
      </c>
      <c r="H1" s="65">
        <v>23</v>
      </c>
      <c r="I1" s="65">
        <v>8</v>
      </c>
      <c r="J1" s="65">
        <v>15</v>
      </c>
      <c r="K1" s="66"/>
      <c r="L1" s="62" t="s">
        <v>174</v>
      </c>
      <c r="M1" s="67">
        <v>0.67</v>
      </c>
      <c r="N1" s="67">
        <v>0.42</v>
      </c>
      <c r="O1" s="67">
        <v>0.08</v>
      </c>
      <c r="P1"/>
      <c r="T1" s="64"/>
      <c r="U1" s="64">
        <v>1</v>
      </c>
      <c r="V1" s="64">
        <v>2</v>
      </c>
      <c r="W1" s="64">
        <v>3</v>
      </c>
      <c r="X1" s="64">
        <v>4</v>
      </c>
      <c r="Y1" s="64">
        <v>5</v>
      </c>
      <c r="Z1" s="64">
        <v>6</v>
      </c>
      <c r="AA1" s="64">
        <v>7</v>
      </c>
      <c r="AB1" s="64">
        <v>8</v>
      </c>
      <c r="AC1" s="64">
        <v>9</v>
      </c>
      <c r="AD1" s="64">
        <v>10</v>
      </c>
      <c r="AE1" s="64">
        <v>11</v>
      </c>
      <c r="AF1" s="64">
        <v>12</v>
      </c>
      <c r="AG1" s="64">
        <v>13</v>
      </c>
      <c r="AH1" s="62">
        <v>14</v>
      </c>
      <c r="AI1" s="64">
        <v>15</v>
      </c>
      <c r="AJ1" s="62">
        <v>16</v>
      </c>
      <c r="AK1" s="64">
        <v>17</v>
      </c>
      <c r="AL1" s="62">
        <v>18</v>
      </c>
      <c r="AM1" s="64">
        <v>19</v>
      </c>
      <c r="AN1" s="62">
        <v>20</v>
      </c>
      <c r="AO1" s="64">
        <v>21</v>
      </c>
      <c r="AP1" s="62">
        <v>22</v>
      </c>
      <c r="AQ1" s="64">
        <v>23</v>
      </c>
      <c r="AR1" s="62">
        <v>24</v>
      </c>
      <c r="AS1" s="64">
        <v>25</v>
      </c>
      <c r="AT1" s="62">
        <v>26</v>
      </c>
      <c r="AU1" s="64">
        <v>27</v>
      </c>
      <c r="AV1" s="62">
        <v>28</v>
      </c>
      <c r="AW1" s="64">
        <v>29</v>
      </c>
      <c r="AX1" s="62">
        <v>30</v>
      </c>
      <c r="AY1" s="64">
        <v>31</v>
      </c>
      <c r="AZ1" s="62">
        <v>32</v>
      </c>
      <c r="BA1" s="64">
        <v>33</v>
      </c>
      <c r="BB1" s="62">
        <v>34</v>
      </c>
      <c r="BC1" s="64">
        <v>35</v>
      </c>
      <c r="BD1" s="62">
        <v>36</v>
      </c>
      <c r="BE1" s="64">
        <v>37</v>
      </c>
      <c r="BF1" s="62">
        <v>38</v>
      </c>
    </row>
    <row r="2" spans="1:58" ht="15">
      <c r="A2" s="65">
        <v>6</v>
      </c>
      <c r="B2" s="62" t="s">
        <v>177</v>
      </c>
      <c r="C2" s="62">
        <v>20</v>
      </c>
      <c r="D2" s="62">
        <v>12</v>
      </c>
      <c r="E2" s="62">
        <v>5</v>
      </c>
      <c r="F2" s="62">
        <v>5</v>
      </c>
      <c r="G2" s="62">
        <v>2</v>
      </c>
      <c r="H2" s="65">
        <v>11</v>
      </c>
      <c r="I2" s="65">
        <v>8</v>
      </c>
      <c r="J2" s="65">
        <v>3</v>
      </c>
      <c r="K2" s="68"/>
      <c r="L2" s="62" t="s">
        <v>147</v>
      </c>
      <c r="M2" s="67">
        <v>0.56000000000000005</v>
      </c>
      <c r="N2" s="67">
        <v>0.42</v>
      </c>
      <c r="O2" s="67">
        <v>0.25</v>
      </c>
      <c r="P2"/>
      <c r="Q2" s="67"/>
      <c r="R2" s="62" t="s">
        <v>172</v>
      </c>
      <c r="S2" s="62">
        <f>SUM(T2:BF2)</f>
        <v>37</v>
      </c>
      <c r="T2" s="62">
        <v>0</v>
      </c>
      <c r="U2" s="62">
        <v>6</v>
      </c>
      <c r="V2" s="62">
        <v>2</v>
      </c>
      <c r="W2" s="62">
        <v>1</v>
      </c>
      <c r="X2" s="62">
        <v>4</v>
      </c>
      <c r="Y2" s="62">
        <v>4</v>
      </c>
      <c r="Z2" s="62">
        <v>3</v>
      </c>
      <c r="AA2" s="62">
        <v>5</v>
      </c>
      <c r="AB2" s="62">
        <v>3</v>
      </c>
      <c r="AC2" s="65">
        <v>3</v>
      </c>
      <c r="AD2" s="65">
        <v>2</v>
      </c>
      <c r="AE2" s="65">
        <v>1</v>
      </c>
      <c r="AF2" s="65">
        <v>3</v>
      </c>
      <c r="AG2" s="62">
        <v>0</v>
      </c>
      <c r="AH2" s="62">
        <v>0</v>
      </c>
      <c r="AI2" s="62">
        <v>0</v>
      </c>
      <c r="AJ2" s="62">
        <v>0</v>
      </c>
      <c r="AK2" s="62">
        <v>0</v>
      </c>
      <c r="AL2" s="62">
        <v>0</v>
      </c>
      <c r="AM2" s="62">
        <v>0</v>
      </c>
      <c r="AN2" s="62">
        <v>0</v>
      </c>
      <c r="AO2" s="62">
        <v>0</v>
      </c>
      <c r="AP2" s="62">
        <v>0</v>
      </c>
      <c r="AQ2" s="62">
        <v>0</v>
      </c>
      <c r="AR2" s="62">
        <v>0</v>
      </c>
      <c r="AS2" s="62">
        <v>0</v>
      </c>
      <c r="AT2" s="62">
        <v>0</v>
      </c>
      <c r="AU2" s="62">
        <v>0</v>
      </c>
      <c r="AV2" s="62">
        <v>0</v>
      </c>
      <c r="AW2" s="62">
        <v>0</v>
      </c>
      <c r="AX2" s="62">
        <v>0</v>
      </c>
      <c r="AY2" s="62">
        <v>0</v>
      </c>
      <c r="AZ2" s="62">
        <v>0</v>
      </c>
      <c r="BA2" s="62">
        <v>0</v>
      </c>
      <c r="BB2" s="62">
        <v>0</v>
      </c>
      <c r="BC2" s="62">
        <v>0</v>
      </c>
      <c r="BD2" s="62">
        <v>0</v>
      </c>
      <c r="BE2" s="62">
        <v>0</v>
      </c>
      <c r="BF2" s="62">
        <v>0</v>
      </c>
    </row>
    <row r="3" spans="1:58" ht="15">
      <c r="A3" s="65">
        <v>1</v>
      </c>
      <c r="B3" s="62" t="s">
        <v>172</v>
      </c>
      <c r="C3" s="62">
        <v>28</v>
      </c>
      <c r="D3" s="62">
        <v>12</v>
      </c>
      <c r="E3" s="62">
        <v>9</v>
      </c>
      <c r="F3" s="62">
        <v>1</v>
      </c>
      <c r="G3" s="62">
        <v>2</v>
      </c>
      <c r="H3" s="65">
        <v>27</v>
      </c>
      <c r="I3" s="65">
        <v>10</v>
      </c>
      <c r="J3" s="65">
        <v>17</v>
      </c>
      <c r="K3" s="66"/>
      <c r="L3" s="62" t="s">
        <v>135</v>
      </c>
      <c r="M3" s="67">
        <v>0.78</v>
      </c>
      <c r="N3" s="67">
        <v>0.42</v>
      </c>
      <c r="O3" s="67">
        <v>0.17</v>
      </c>
      <c r="P3"/>
      <c r="Q3" s="67"/>
      <c r="R3" s="62" t="s">
        <v>173</v>
      </c>
      <c r="S3" s="62">
        <f t="shared" ref="S3:S21" si="0">SUM(U3:BF3)</f>
        <v>31</v>
      </c>
      <c r="T3" s="62">
        <v>0</v>
      </c>
      <c r="U3" s="62">
        <v>4</v>
      </c>
      <c r="V3" s="62">
        <v>2</v>
      </c>
      <c r="W3" s="62">
        <v>0</v>
      </c>
      <c r="X3" s="62">
        <v>5</v>
      </c>
      <c r="Y3" s="62">
        <v>2</v>
      </c>
      <c r="Z3" s="62">
        <v>2</v>
      </c>
      <c r="AA3" s="62">
        <v>2</v>
      </c>
      <c r="AB3" s="62">
        <v>2</v>
      </c>
      <c r="AC3" s="65">
        <v>2</v>
      </c>
      <c r="AD3" s="65">
        <v>4</v>
      </c>
      <c r="AE3" s="65">
        <v>3</v>
      </c>
      <c r="AF3" s="65">
        <v>3</v>
      </c>
      <c r="AG3" s="62">
        <v>0</v>
      </c>
      <c r="AH3" s="62">
        <v>0</v>
      </c>
      <c r="AI3" s="62">
        <v>0</v>
      </c>
      <c r="AJ3" s="62">
        <v>0</v>
      </c>
      <c r="AK3" s="62">
        <v>0</v>
      </c>
      <c r="AL3" s="62">
        <v>0</v>
      </c>
      <c r="AM3" s="62">
        <v>0</v>
      </c>
      <c r="AN3" s="62">
        <v>0</v>
      </c>
      <c r="AO3" s="62">
        <v>0</v>
      </c>
      <c r="AP3" s="62">
        <v>0</v>
      </c>
      <c r="AQ3" s="62">
        <v>0</v>
      </c>
      <c r="AR3" s="62">
        <v>0</v>
      </c>
      <c r="AS3" s="62">
        <v>0</v>
      </c>
      <c r="AT3" s="62">
        <v>0</v>
      </c>
      <c r="AU3" s="62">
        <v>0</v>
      </c>
      <c r="AV3" s="62">
        <v>0</v>
      </c>
      <c r="AW3" s="62">
        <v>0</v>
      </c>
      <c r="AX3" s="62">
        <v>0</v>
      </c>
      <c r="AY3" s="62">
        <v>0</v>
      </c>
      <c r="AZ3" s="62">
        <v>0</v>
      </c>
      <c r="BA3" s="62">
        <v>0</v>
      </c>
      <c r="BB3" s="62">
        <v>0</v>
      </c>
      <c r="BC3" s="62">
        <v>0</v>
      </c>
      <c r="BD3" s="62">
        <v>0</v>
      </c>
      <c r="BE3" s="62">
        <v>0</v>
      </c>
      <c r="BF3" s="62">
        <v>0</v>
      </c>
    </row>
    <row r="4" spans="1:58" ht="15">
      <c r="A4" s="65">
        <v>3</v>
      </c>
      <c r="B4" s="62" t="s">
        <v>175</v>
      </c>
      <c r="C4" s="62">
        <v>23</v>
      </c>
      <c r="D4" s="62">
        <v>12</v>
      </c>
      <c r="E4" s="62">
        <v>7</v>
      </c>
      <c r="F4" s="62">
        <v>2</v>
      </c>
      <c r="G4" s="62">
        <v>3</v>
      </c>
      <c r="H4" s="65">
        <v>24</v>
      </c>
      <c r="I4" s="65">
        <v>10</v>
      </c>
      <c r="J4" s="65">
        <v>14</v>
      </c>
      <c r="K4" s="66"/>
      <c r="L4" s="62" t="s">
        <v>146</v>
      </c>
      <c r="M4" s="67">
        <v>0.64</v>
      </c>
      <c r="N4" s="67">
        <v>0.33</v>
      </c>
      <c r="O4" s="67">
        <v>0.08</v>
      </c>
      <c r="P4"/>
      <c r="Q4" s="67"/>
      <c r="R4" s="62" t="s">
        <v>175</v>
      </c>
      <c r="S4" s="62">
        <f t="shared" si="0"/>
        <v>34</v>
      </c>
      <c r="T4" s="62">
        <v>0</v>
      </c>
      <c r="U4" s="62">
        <v>2</v>
      </c>
      <c r="V4" s="62">
        <v>3</v>
      </c>
      <c r="W4" s="62">
        <v>1</v>
      </c>
      <c r="X4" s="62">
        <v>3</v>
      </c>
      <c r="Y4" s="62">
        <v>3</v>
      </c>
      <c r="Z4" s="62">
        <v>2</v>
      </c>
      <c r="AA4" s="62">
        <v>4</v>
      </c>
      <c r="AB4" s="62">
        <v>2</v>
      </c>
      <c r="AC4" s="65">
        <v>3</v>
      </c>
      <c r="AD4" s="65">
        <v>6</v>
      </c>
      <c r="AE4" s="65">
        <v>1</v>
      </c>
      <c r="AF4" s="65">
        <v>4</v>
      </c>
      <c r="AG4" s="62">
        <v>0</v>
      </c>
      <c r="AH4" s="62">
        <v>0</v>
      </c>
      <c r="AI4" s="62">
        <v>0</v>
      </c>
      <c r="AJ4" s="62">
        <v>0</v>
      </c>
      <c r="AK4" s="62">
        <v>0</v>
      </c>
      <c r="AL4" s="62">
        <v>0</v>
      </c>
      <c r="AM4" s="62">
        <v>0</v>
      </c>
      <c r="AN4" s="62">
        <v>0</v>
      </c>
      <c r="AO4" s="62">
        <v>0</v>
      </c>
      <c r="AP4" s="62">
        <v>0</v>
      </c>
      <c r="AQ4" s="62">
        <v>0</v>
      </c>
      <c r="AR4" s="62">
        <v>0</v>
      </c>
      <c r="AS4" s="62">
        <v>0</v>
      </c>
      <c r="AT4" s="62">
        <v>0</v>
      </c>
      <c r="AU4" s="62">
        <v>0</v>
      </c>
      <c r="AV4" s="62">
        <v>0</v>
      </c>
      <c r="AW4" s="62">
        <v>0</v>
      </c>
      <c r="AX4" s="62">
        <v>0</v>
      </c>
      <c r="AY4" s="62">
        <v>0</v>
      </c>
      <c r="AZ4" s="62">
        <v>0</v>
      </c>
      <c r="BA4" s="62">
        <v>0</v>
      </c>
      <c r="BB4" s="62">
        <v>0</v>
      </c>
      <c r="BC4" s="62">
        <v>0</v>
      </c>
      <c r="BD4" s="62">
        <v>0</v>
      </c>
      <c r="BE4" s="62">
        <v>0</v>
      </c>
      <c r="BF4" s="62">
        <v>0</v>
      </c>
    </row>
    <row r="5" spans="1:58" ht="15">
      <c r="A5" s="65">
        <v>12</v>
      </c>
      <c r="B5" s="62" t="s">
        <v>184</v>
      </c>
      <c r="C5" s="62">
        <v>16</v>
      </c>
      <c r="D5" s="62">
        <v>12</v>
      </c>
      <c r="E5" s="62">
        <v>4</v>
      </c>
      <c r="F5" s="62">
        <v>4</v>
      </c>
      <c r="G5" s="62">
        <v>4</v>
      </c>
      <c r="H5" s="65">
        <v>9</v>
      </c>
      <c r="I5" s="65">
        <v>10</v>
      </c>
      <c r="J5" s="65">
        <v>-1</v>
      </c>
      <c r="K5" s="68"/>
      <c r="L5" s="105" t="s">
        <v>110</v>
      </c>
      <c r="M5" s="67">
        <v>0.44</v>
      </c>
      <c r="N5" s="67">
        <v>0.5</v>
      </c>
      <c r="O5" s="67">
        <v>0.42</v>
      </c>
      <c r="P5"/>
      <c r="Q5" s="67"/>
      <c r="R5" s="62" t="s">
        <v>156</v>
      </c>
      <c r="S5" s="62">
        <f t="shared" si="0"/>
        <v>32</v>
      </c>
      <c r="T5" s="62">
        <v>0</v>
      </c>
      <c r="U5" s="62">
        <v>1</v>
      </c>
      <c r="V5" s="62">
        <v>5</v>
      </c>
      <c r="W5" s="62">
        <v>4</v>
      </c>
      <c r="X5" s="62">
        <v>2</v>
      </c>
      <c r="Y5" s="62">
        <v>3</v>
      </c>
      <c r="Z5" s="62">
        <v>3</v>
      </c>
      <c r="AA5" s="62">
        <v>2</v>
      </c>
      <c r="AB5" s="62">
        <v>3</v>
      </c>
      <c r="AC5" s="65">
        <v>1</v>
      </c>
      <c r="AD5" s="65">
        <v>2</v>
      </c>
      <c r="AE5" s="65">
        <v>3</v>
      </c>
      <c r="AF5" s="65">
        <v>3</v>
      </c>
      <c r="AG5" s="62">
        <v>0</v>
      </c>
      <c r="AH5" s="62">
        <v>0</v>
      </c>
      <c r="AI5" s="62">
        <v>0</v>
      </c>
      <c r="AJ5" s="62">
        <v>0</v>
      </c>
      <c r="AK5" s="62">
        <v>0</v>
      </c>
      <c r="AL5" s="62">
        <v>0</v>
      </c>
      <c r="AM5" s="62">
        <v>0</v>
      </c>
      <c r="AN5" s="62">
        <v>0</v>
      </c>
      <c r="AO5" s="62">
        <v>0</v>
      </c>
      <c r="AP5" s="62">
        <v>0</v>
      </c>
      <c r="AQ5" s="62">
        <v>0</v>
      </c>
      <c r="AR5" s="62">
        <v>0</v>
      </c>
      <c r="AS5" s="62">
        <v>0</v>
      </c>
      <c r="AT5" s="62">
        <v>0</v>
      </c>
      <c r="AU5" s="62">
        <v>0</v>
      </c>
      <c r="AV5" s="62">
        <v>0</v>
      </c>
      <c r="AW5" s="62">
        <v>0</v>
      </c>
      <c r="AX5" s="62">
        <v>0</v>
      </c>
      <c r="AY5" s="62">
        <v>0</v>
      </c>
      <c r="AZ5" s="62">
        <v>0</v>
      </c>
      <c r="BA5" s="62">
        <v>0</v>
      </c>
      <c r="BB5" s="62">
        <v>0</v>
      </c>
      <c r="BC5" s="62">
        <v>0</v>
      </c>
      <c r="BD5" s="62">
        <v>0</v>
      </c>
      <c r="BE5" s="62">
        <v>0</v>
      </c>
      <c r="BF5" s="62">
        <v>0</v>
      </c>
    </row>
    <row r="6" spans="1:58" ht="15">
      <c r="A6" s="65">
        <v>5</v>
      </c>
      <c r="B6" s="105" t="s">
        <v>176</v>
      </c>
      <c r="C6" s="62">
        <v>21</v>
      </c>
      <c r="D6" s="62">
        <v>12</v>
      </c>
      <c r="E6" s="62">
        <v>6</v>
      </c>
      <c r="F6" s="62">
        <v>3</v>
      </c>
      <c r="G6" s="62">
        <v>3</v>
      </c>
      <c r="H6" s="65">
        <v>12</v>
      </c>
      <c r="I6" s="65">
        <v>11</v>
      </c>
      <c r="J6" s="65">
        <v>1</v>
      </c>
      <c r="K6" s="68"/>
      <c r="L6" s="71" t="s">
        <v>153</v>
      </c>
      <c r="M6" s="73">
        <v>0.57999999999999996</v>
      </c>
      <c r="N6" s="70">
        <v>0.5</v>
      </c>
      <c r="O6" s="67">
        <v>0.25</v>
      </c>
      <c r="P6"/>
      <c r="Q6" s="67"/>
      <c r="R6" s="62" t="s">
        <v>176</v>
      </c>
      <c r="S6" s="62">
        <f t="shared" si="0"/>
        <v>23</v>
      </c>
      <c r="T6" s="62">
        <v>0</v>
      </c>
      <c r="U6" s="62">
        <v>2</v>
      </c>
      <c r="V6" s="62">
        <v>4</v>
      </c>
      <c r="W6" s="62">
        <v>0</v>
      </c>
      <c r="X6" s="62">
        <v>5</v>
      </c>
      <c r="Y6" s="62">
        <v>1</v>
      </c>
      <c r="Z6" s="62">
        <v>1</v>
      </c>
      <c r="AA6" s="62">
        <v>2</v>
      </c>
      <c r="AB6" s="62">
        <v>3</v>
      </c>
      <c r="AC6" s="65">
        <v>1</v>
      </c>
      <c r="AD6" s="65">
        <v>1</v>
      </c>
      <c r="AE6" s="65">
        <v>1</v>
      </c>
      <c r="AF6" s="65">
        <v>2</v>
      </c>
      <c r="AG6" s="62">
        <v>0</v>
      </c>
      <c r="AH6" s="62">
        <v>0</v>
      </c>
      <c r="AI6" s="62">
        <v>0</v>
      </c>
      <c r="AJ6" s="62">
        <v>0</v>
      </c>
      <c r="AK6" s="62">
        <v>0</v>
      </c>
      <c r="AL6" s="62">
        <v>0</v>
      </c>
      <c r="AM6" s="62">
        <v>0</v>
      </c>
      <c r="AN6" s="62">
        <v>0</v>
      </c>
      <c r="AO6" s="62">
        <v>0</v>
      </c>
      <c r="AP6" s="62">
        <v>0</v>
      </c>
      <c r="AQ6" s="62">
        <v>0</v>
      </c>
      <c r="AR6" s="62">
        <v>0</v>
      </c>
      <c r="AS6" s="62">
        <v>0</v>
      </c>
      <c r="AT6" s="62">
        <v>0</v>
      </c>
      <c r="AU6" s="62">
        <v>0</v>
      </c>
      <c r="AV6" s="62">
        <v>0</v>
      </c>
      <c r="AW6" s="62">
        <v>0</v>
      </c>
      <c r="AX6" s="62">
        <v>0</v>
      </c>
      <c r="AY6" s="62">
        <v>0</v>
      </c>
      <c r="AZ6" s="62">
        <v>0</v>
      </c>
      <c r="BA6" s="62">
        <v>0</v>
      </c>
      <c r="BB6" s="62">
        <v>0</v>
      </c>
      <c r="BC6" s="62">
        <v>0</v>
      </c>
      <c r="BD6" s="62">
        <v>0</v>
      </c>
      <c r="BE6" s="62">
        <v>0</v>
      </c>
      <c r="BF6" s="62">
        <v>0</v>
      </c>
    </row>
    <row r="7" spans="1:58" ht="15">
      <c r="A7" s="65">
        <v>9</v>
      </c>
      <c r="B7" s="62" t="s">
        <v>180</v>
      </c>
      <c r="C7" s="62">
        <v>17</v>
      </c>
      <c r="D7" s="62">
        <v>12</v>
      </c>
      <c r="E7" s="62">
        <v>5</v>
      </c>
      <c r="F7" s="62">
        <v>2</v>
      </c>
      <c r="G7" s="62">
        <v>5</v>
      </c>
      <c r="H7" s="65">
        <v>11</v>
      </c>
      <c r="I7" s="65">
        <v>11</v>
      </c>
      <c r="J7" s="65">
        <v>0</v>
      </c>
      <c r="K7" s="68"/>
      <c r="L7" s="69" t="s">
        <v>181</v>
      </c>
      <c r="M7" s="72">
        <v>0.47</v>
      </c>
      <c r="N7" s="70">
        <v>0.42</v>
      </c>
      <c r="O7" s="67">
        <v>0.42</v>
      </c>
      <c r="P7"/>
      <c r="Q7" s="67"/>
      <c r="R7" s="62" t="s">
        <v>177</v>
      </c>
      <c r="S7" s="62">
        <f t="shared" si="0"/>
        <v>19</v>
      </c>
      <c r="T7" s="62">
        <v>0</v>
      </c>
      <c r="U7" s="62">
        <v>1</v>
      </c>
      <c r="V7" s="62">
        <v>2</v>
      </c>
      <c r="W7" s="62">
        <v>1</v>
      </c>
      <c r="X7" s="62">
        <v>1</v>
      </c>
      <c r="Y7" s="62">
        <v>2</v>
      </c>
      <c r="Z7" s="62">
        <v>3</v>
      </c>
      <c r="AA7" s="62">
        <v>0</v>
      </c>
      <c r="AB7" s="62">
        <v>2</v>
      </c>
      <c r="AC7" s="65">
        <v>1</v>
      </c>
      <c r="AD7" s="65">
        <v>2</v>
      </c>
      <c r="AE7" s="65">
        <v>2</v>
      </c>
      <c r="AF7" s="65">
        <v>2</v>
      </c>
      <c r="AG7" s="62">
        <v>0</v>
      </c>
      <c r="AH7" s="62">
        <v>0</v>
      </c>
      <c r="AI7" s="62">
        <v>0</v>
      </c>
      <c r="AJ7" s="62">
        <v>0</v>
      </c>
      <c r="AK7" s="62">
        <v>0</v>
      </c>
      <c r="AL7" s="62">
        <v>0</v>
      </c>
      <c r="AM7" s="62">
        <v>0</v>
      </c>
      <c r="AN7" s="62">
        <v>0</v>
      </c>
      <c r="AO7" s="62">
        <v>0</v>
      </c>
      <c r="AP7" s="62">
        <v>0</v>
      </c>
      <c r="AQ7" s="62">
        <v>0</v>
      </c>
      <c r="AR7" s="62">
        <v>0</v>
      </c>
      <c r="AS7" s="62">
        <v>0</v>
      </c>
      <c r="AT7" s="62">
        <v>0</v>
      </c>
      <c r="AU7" s="62">
        <v>0</v>
      </c>
      <c r="AV7" s="62">
        <v>0</v>
      </c>
      <c r="AW7" s="62">
        <v>0</v>
      </c>
      <c r="AX7" s="62">
        <v>0</v>
      </c>
      <c r="AY7" s="62">
        <v>0</v>
      </c>
      <c r="AZ7" s="62">
        <v>0</v>
      </c>
      <c r="BA7" s="62">
        <v>0</v>
      </c>
      <c r="BB7" s="62">
        <v>0</v>
      </c>
      <c r="BC7" s="62">
        <v>0</v>
      </c>
      <c r="BD7" s="62">
        <v>0</v>
      </c>
      <c r="BE7" s="62">
        <v>0</v>
      </c>
      <c r="BF7" s="62">
        <v>0</v>
      </c>
    </row>
    <row r="8" spans="1:58" ht="15">
      <c r="A8" s="65">
        <v>8</v>
      </c>
      <c r="B8" s="62" t="s">
        <v>179</v>
      </c>
      <c r="C8" s="62">
        <v>18</v>
      </c>
      <c r="D8" s="62">
        <v>12</v>
      </c>
      <c r="E8" s="62">
        <v>5</v>
      </c>
      <c r="F8" s="62">
        <v>3</v>
      </c>
      <c r="G8" s="62">
        <v>4</v>
      </c>
      <c r="H8" s="65">
        <v>13</v>
      </c>
      <c r="I8" s="65">
        <v>12</v>
      </c>
      <c r="J8" s="65">
        <v>1</v>
      </c>
      <c r="K8" s="68"/>
      <c r="L8" s="62" t="s">
        <v>154</v>
      </c>
      <c r="M8" s="67">
        <v>0.5</v>
      </c>
      <c r="N8" s="67">
        <v>0.33</v>
      </c>
      <c r="O8" s="67">
        <v>0.5</v>
      </c>
      <c r="P8"/>
      <c r="Q8" s="67"/>
      <c r="R8" s="62" t="s">
        <v>178</v>
      </c>
      <c r="S8" s="62">
        <f t="shared" si="0"/>
        <v>27</v>
      </c>
      <c r="T8" s="62">
        <v>0</v>
      </c>
      <c r="U8" s="62">
        <v>3</v>
      </c>
      <c r="V8" s="62">
        <v>5</v>
      </c>
      <c r="W8" s="62">
        <v>1</v>
      </c>
      <c r="X8" s="62">
        <v>2</v>
      </c>
      <c r="Y8" s="62">
        <v>3</v>
      </c>
      <c r="Z8" s="62">
        <v>1</v>
      </c>
      <c r="AA8" s="62">
        <v>1</v>
      </c>
      <c r="AB8" s="62">
        <v>1</v>
      </c>
      <c r="AC8" s="65">
        <v>2</v>
      </c>
      <c r="AD8" s="65">
        <v>2</v>
      </c>
      <c r="AE8" s="65">
        <v>4</v>
      </c>
      <c r="AF8" s="65">
        <v>2</v>
      </c>
      <c r="AG8" s="62">
        <v>0</v>
      </c>
      <c r="AH8" s="62">
        <v>0</v>
      </c>
      <c r="AI8" s="62">
        <v>0</v>
      </c>
      <c r="AJ8" s="62">
        <v>0</v>
      </c>
      <c r="AK8" s="62">
        <v>0</v>
      </c>
      <c r="AL8" s="62">
        <v>0</v>
      </c>
      <c r="AM8" s="62">
        <v>0</v>
      </c>
      <c r="AN8" s="62">
        <v>0</v>
      </c>
      <c r="AO8" s="62">
        <v>0</v>
      </c>
      <c r="AP8" s="62">
        <v>0</v>
      </c>
      <c r="AQ8" s="62">
        <v>0</v>
      </c>
      <c r="AR8" s="62">
        <v>0</v>
      </c>
      <c r="AS8" s="62">
        <v>0</v>
      </c>
      <c r="AT8" s="62">
        <v>0</v>
      </c>
      <c r="AU8" s="62">
        <v>0</v>
      </c>
      <c r="AV8" s="62">
        <v>0</v>
      </c>
      <c r="AW8" s="62">
        <v>0</v>
      </c>
      <c r="AX8" s="62">
        <v>0</v>
      </c>
      <c r="AY8" s="62">
        <v>0</v>
      </c>
      <c r="AZ8" s="62">
        <v>0</v>
      </c>
      <c r="BA8" s="62">
        <v>0</v>
      </c>
      <c r="BB8" s="62">
        <v>0</v>
      </c>
      <c r="BC8" s="62">
        <v>0</v>
      </c>
      <c r="BD8" s="62">
        <v>0</v>
      </c>
      <c r="BE8" s="62">
        <v>0</v>
      </c>
      <c r="BF8" s="62">
        <v>0</v>
      </c>
    </row>
    <row r="9" spans="1:58" ht="15">
      <c r="A9" s="65">
        <v>7</v>
      </c>
      <c r="B9" s="62" t="s">
        <v>178</v>
      </c>
      <c r="C9" s="62">
        <v>18</v>
      </c>
      <c r="D9" s="62">
        <v>12</v>
      </c>
      <c r="E9" s="62">
        <v>5</v>
      </c>
      <c r="F9" s="62">
        <v>3</v>
      </c>
      <c r="G9" s="62">
        <v>4</v>
      </c>
      <c r="H9" s="65">
        <v>14</v>
      </c>
      <c r="I9" s="65">
        <v>13</v>
      </c>
      <c r="J9" s="65">
        <v>1</v>
      </c>
      <c r="K9" s="68"/>
      <c r="L9" s="62" t="s">
        <v>154</v>
      </c>
      <c r="M9" s="67">
        <v>0.5</v>
      </c>
      <c r="N9" s="67">
        <v>0.33</v>
      </c>
      <c r="O9" s="67">
        <v>0.08</v>
      </c>
      <c r="P9"/>
      <c r="Q9" s="67"/>
      <c r="R9" s="62" t="s">
        <v>179</v>
      </c>
      <c r="S9" s="62">
        <f t="shared" si="0"/>
        <v>25</v>
      </c>
      <c r="T9" s="62">
        <v>0</v>
      </c>
      <c r="U9" s="62">
        <v>0</v>
      </c>
      <c r="V9" s="62">
        <v>2</v>
      </c>
      <c r="W9" s="62">
        <v>2</v>
      </c>
      <c r="X9" s="62">
        <v>3</v>
      </c>
      <c r="Y9" s="62">
        <v>1</v>
      </c>
      <c r="Z9" s="62">
        <v>4</v>
      </c>
      <c r="AA9" s="62">
        <v>1</v>
      </c>
      <c r="AB9" s="62">
        <v>3</v>
      </c>
      <c r="AC9" s="65">
        <v>3</v>
      </c>
      <c r="AD9" s="65">
        <v>0</v>
      </c>
      <c r="AE9" s="65">
        <v>1</v>
      </c>
      <c r="AF9" s="65">
        <v>5</v>
      </c>
      <c r="AG9" s="62">
        <v>0</v>
      </c>
      <c r="AH9" s="62">
        <v>0</v>
      </c>
      <c r="AI9" s="62">
        <v>0</v>
      </c>
      <c r="AJ9" s="62">
        <v>0</v>
      </c>
      <c r="AK9" s="62">
        <v>0</v>
      </c>
      <c r="AL9" s="62">
        <v>0</v>
      </c>
      <c r="AM9" s="62">
        <v>0</v>
      </c>
      <c r="AN9" s="62">
        <v>0</v>
      </c>
      <c r="AO9" s="62">
        <v>0</v>
      </c>
      <c r="AP9" s="62">
        <v>0</v>
      </c>
      <c r="AQ9" s="62">
        <v>0</v>
      </c>
      <c r="AR9" s="62">
        <v>0</v>
      </c>
      <c r="AS9" s="62">
        <v>0</v>
      </c>
      <c r="AT9" s="62">
        <v>0</v>
      </c>
      <c r="AU9" s="62">
        <v>0</v>
      </c>
      <c r="AV9" s="62">
        <v>0</v>
      </c>
      <c r="AW9" s="62">
        <v>0</v>
      </c>
      <c r="AX9" s="62">
        <v>0</v>
      </c>
      <c r="AY9" s="62">
        <v>0</v>
      </c>
      <c r="AZ9" s="62">
        <v>0</v>
      </c>
      <c r="BA9" s="62">
        <v>0</v>
      </c>
      <c r="BB9" s="62">
        <v>0</v>
      </c>
      <c r="BC9" s="62">
        <v>0</v>
      </c>
      <c r="BD9" s="62">
        <v>0</v>
      </c>
      <c r="BE9" s="62">
        <v>0</v>
      </c>
      <c r="BF9" s="62">
        <v>0</v>
      </c>
    </row>
    <row r="10" spans="1:58" ht="15">
      <c r="A10" s="65">
        <v>4</v>
      </c>
      <c r="B10" s="62" t="s">
        <v>156</v>
      </c>
      <c r="C10" s="62">
        <v>21</v>
      </c>
      <c r="D10" s="62">
        <v>12</v>
      </c>
      <c r="E10" s="62">
        <v>6</v>
      </c>
      <c r="F10" s="62">
        <v>3</v>
      </c>
      <c r="G10" s="62">
        <v>3</v>
      </c>
      <c r="H10" s="65">
        <v>18</v>
      </c>
      <c r="I10" s="65">
        <v>14</v>
      </c>
      <c r="J10" s="65">
        <v>4</v>
      </c>
      <c r="K10" s="68"/>
      <c r="L10" s="69" t="s">
        <v>153</v>
      </c>
      <c r="M10" s="72">
        <v>0.57999999999999996</v>
      </c>
      <c r="N10" s="70">
        <v>0.08</v>
      </c>
      <c r="O10" s="67">
        <v>0.17</v>
      </c>
      <c r="P10"/>
      <c r="Q10" s="67"/>
      <c r="R10" s="62" t="s">
        <v>180</v>
      </c>
      <c r="S10" s="62">
        <f t="shared" si="0"/>
        <v>22</v>
      </c>
      <c r="T10" s="62">
        <v>0</v>
      </c>
      <c r="U10" s="62">
        <v>1</v>
      </c>
      <c r="V10" s="62">
        <v>2</v>
      </c>
      <c r="W10" s="62">
        <v>2</v>
      </c>
      <c r="X10" s="62">
        <v>1</v>
      </c>
      <c r="Y10" s="62">
        <v>1</v>
      </c>
      <c r="Z10" s="62">
        <v>0</v>
      </c>
      <c r="AA10" s="62">
        <v>1</v>
      </c>
      <c r="AB10" s="62">
        <v>3</v>
      </c>
      <c r="AC10" s="65">
        <v>2</v>
      </c>
      <c r="AD10" s="65">
        <v>6</v>
      </c>
      <c r="AE10" s="65">
        <v>1</v>
      </c>
      <c r="AF10" s="65">
        <v>2</v>
      </c>
      <c r="AG10" s="62">
        <v>0</v>
      </c>
      <c r="AH10" s="62">
        <v>0</v>
      </c>
      <c r="AI10" s="62">
        <v>0</v>
      </c>
      <c r="AJ10" s="62">
        <v>0</v>
      </c>
      <c r="AK10" s="62">
        <v>0</v>
      </c>
      <c r="AL10" s="62">
        <v>0</v>
      </c>
      <c r="AM10" s="62">
        <v>0</v>
      </c>
      <c r="AN10" s="62">
        <v>0</v>
      </c>
      <c r="AO10" s="62">
        <v>0</v>
      </c>
      <c r="AP10" s="62">
        <v>0</v>
      </c>
      <c r="AQ10" s="62">
        <v>0</v>
      </c>
      <c r="AR10" s="62">
        <v>0</v>
      </c>
      <c r="AS10" s="62">
        <v>0</v>
      </c>
      <c r="AT10" s="62">
        <v>0</v>
      </c>
      <c r="AU10" s="62">
        <v>0</v>
      </c>
      <c r="AV10" s="62">
        <v>0</v>
      </c>
      <c r="AW10" s="62">
        <v>0</v>
      </c>
      <c r="AX10" s="62">
        <v>0</v>
      </c>
      <c r="AY10" s="62">
        <v>0</v>
      </c>
      <c r="AZ10" s="62">
        <v>0</v>
      </c>
      <c r="BA10" s="62">
        <v>0</v>
      </c>
      <c r="BB10" s="62">
        <v>0</v>
      </c>
      <c r="BC10" s="62">
        <v>0</v>
      </c>
      <c r="BD10" s="62">
        <v>0</v>
      </c>
      <c r="BE10" s="62">
        <v>0</v>
      </c>
      <c r="BF10" s="62">
        <v>0</v>
      </c>
    </row>
    <row r="11" spans="1:58" ht="15">
      <c r="A11" s="65">
        <v>11</v>
      </c>
      <c r="B11" s="62" t="s">
        <v>183</v>
      </c>
      <c r="C11" s="62">
        <v>16</v>
      </c>
      <c r="D11" s="62">
        <v>12</v>
      </c>
      <c r="E11" s="62">
        <v>4</v>
      </c>
      <c r="F11" s="62">
        <v>4</v>
      </c>
      <c r="G11" s="62">
        <v>4</v>
      </c>
      <c r="H11" s="65">
        <v>14</v>
      </c>
      <c r="I11" s="65">
        <v>14</v>
      </c>
      <c r="J11" s="65">
        <v>0</v>
      </c>
      <c r="K11" s="68"/>
      <c r="L11" s="105" t="s">
        <v>110</v>
      </c>
      <c r="M11" s="67">
        <v>0.44</v>
      </c>
      <c r="N11" s="67">
        <v>0.42</v>
      </c>
      <c r="O11" s="67">
        <v>0.42</v>
      </c>
      <c r="P11"/>
      <c r="Q11" s="67"/>
      <c r="R11" s="62" t="s">
        <v>182</v>
      </c>
      <c r="S11" s="62">
        <f t="shared" si="0"/>
        <v>35</v>
      </c>
      <c r="T11" s="62">
        <v>0</v>
      </c>
      <c r="U11" s="62">
        <v>5</v>
      </c>
      <c r="V11" s="62">
        <v>0</v>
      </c>
      <c r="W11" s="62">
        <v>4</v>
      </c>
      <c r="X11" s="62">
        <v>4</v>
      </c>
      <c r="Y11" s="62">
        <v>1</v>
      </c>
      <c r="Z11" s="62">
        <v>3</v>
      </c>
      <c r="AA11" s="62">
        <v>1</v>
      </c>
      <c r="AB11" s="62">
        <v>1</v>
      </c>
      <c r="AC11" s="65">
        <v>2</v>
      </c>
      <c r="AD11" s="65">
        <v>1</v>
      </c>
      <c r="AE11" s="65">
        <v>9</v>
      </c>
      <c r="AF11" s="65">
        <v>4</v>
      </c>
      <c r="AG11" s="62">
        <v>0</v>
      </c>
      <c r="AH11" s="62">
        <v>0</v>
      </c>
      <c r="AI11" s="62">
        <v>0</v>
      </c>
      <c r="AJ11" s="62">
        <v>0</v>
      </c>
      <c r="AK11" s="62">
        <v>0</v>
      </c>
      <c r="AL11" s="62">
        <v>0</v>
      </c>
      <c r="AM11" s="62">
        <v>0</v>
      </c>
      <c r="AN11" s="62">
        <v>0</v>
      </c>
      <c r="AO11" s="62">
        <v>0</v>
      </c>
      <c r="AP11" s="62">
        <v>0</v>
      </c>
      <c r="AQ11" s="62">
        <v>0</v>
      </c>
      <c r="AR11" s="62">
        <v>0</v>
      </c>
      <c r="AS11" s="62">
        <v>0</v>
      </c>
      <c r="AT11" s="62">
        <v>0</v>
      </c>
      <c r="AU11" s="62">
        <v>0</v>
      </c>
      <c r="AV11" s="62">
        <v>0</v>
      </c>
      <c r="AW11" s="62">
        <v>0</v>
      </c>
      <c r="AX11" s="62">
        <v>0</v>
      </c>
      <c r="AY11" s="62">
        <v>0</v>
      </c>
      <c r="AZ11" s="62">
        <v>0</v>
      </c>
      <c r="BA11" s="62">
        <v>0</v>
      </c>
      <c r="BB11" s="62">
        <v>0</v>
      </c>
      <c r="BC11" s="62">
        <v>0</v>
      </c>
      <c r="BD11" s="62">
        <v>0</v>
      </c>
      <c r="BE11" s="62">
        <v>0</v>
      </c>
      <c r="BF11" s="62">
        <v>0</v>
      </c>
    </row>
    <row r="12" spans="1:58" ht="15">
      <c r="A12" s="65">
        <v>15</v>
      </c>
      <c r="B12" s="62" t="s">
        <v>188</v>
      </c>
      <c r="C12" s="62">
        <v>12</v>
      </c>
      <c r="D12" s="62">
        <v>12</v>
      </c>
      <c r="E12" s="62">
        <v>3</v>
      </c>
      <c r="F12" s="62">
        <v>3</v>
      </c>
      <c r="G12" s="62">
        <v>6</v>
      </c>
      <c r="H12" s="65">
        <v>14</v>
      </c>
      <c r="I12" s="65">
        <v>15</v>
      </c>
      <c r="J12" s="65">
        <v>-1</v>
      </c>
      <c r="K12" s="68"/>
      <c r="L12" s="71" t="s">
        <v>189</v>
      </c>
      <c r="M12" s="73">
        <v>0.33</v>
      </c>
      <c r="N12" s="70">
        <v>0.25</v>
      </c>
      <c r="O12" s="67">
        <v>0.42</v>
      </c>
      <c r="P12"/>
      <c r="Q12" s="67"/>
      <c r="R12" s="62" t="s">
        <v>183</v>
      </c>
      <c r="S12" s="62">
        <f t="shared" si="0"/>
        <v>28</v>
      </c>
      <c r="T12" s="62">
        <v>0</v>
      </c>
      <c r="U12" s="62">
        <v>2</v>
      </c>
      <c r="V12" s="62">
        <v>8</v>
      </c>
      <c r="W12" s="62">
        <v>0</v>
      </c>
      <c r="X12" s="62">
        <v>1</v>
      </c>
      <c r="Y12" s="62">
        <v>2</v>
      </c>
      <c r="Z12" s="62">
        <v>3</v>
      </c>
      <c r="AA12" s="62">
        <v>3</v>
      </c>
      <c r="AB12" s="62">
        <v>3</v>
      </c>
      <c r="AC12" s="65">
        <v>2</v>
      </c>
      <c r="AD12" s="65">
        <v>0</v>
      </c>
      <c r="AE12" s="65">
        <v>2</v>
      </c>
      <c r="AF12" s="65">
        <v>2</v>
      </c>
      <c r="AG12" s="62">
        <v>0</v>
      </c>
      <c r="AH12" s="62">
        <v>0</v>
      </c>
      <c r="AI12" s="62">
        <v>0</v>
      </c>
      <c r="AJ12" s="62">
        <v>0</v>
      </c>
      <c r="AK12" s="62">
        <v>0</v>
      </c>
      <c r="AL12" s="62">
        <v>0</v>
      </c>
      <c r="AM12" s="62">
        <v>0</v>
      </c>
      <c r="AN12" s="62">
        <v>0</v>
      </c>
      <c r="AO12" s="62">
        <v>0</v>
      </c>
      <c r="AP12" s="62">
        <v>0</v>
      </c>
      <c r="AQ12" s="62">
        <v>0</v>
      </c>
      <c r="AR12" s="62">
        <v>0</v>
      </c>
      <c r="AS12" s="62">
        <v>0</v>
      </c>
      <c r="AT12" s="62">
        <v>0</v>
      </c>
      <c r="AU12" s="62">
        <v>0</v>
      </c>
      <c r="AV12" s="62">
        <v>0</v>
      </c>
      <c r="AW12" s="62">
        <v>0</v>
      </c>
      <c r="AX12" s="62">
        <v>0</v>
      </c>
      <c r="AY12" s="62">
        <v>0</v>
      </c>
      <c r="AZ12" s="62">
        <v>0</v>
      </c>
      <c r="BA12" s="62">
        <v>0</v>
      </c>
      <c r="BB12" s="62">
        <v>0</v>
      </c>
      <c r="BC12" s="62">
        <v>0</v>
      </c>
      <c r="BD12" s="62">
        <v>0</v>
      </c>
      <c r="BE12" s="62">
        <v>0</v>
      </c>
      <c r="BF12" s="62">
        <v>0</v>
      </c>
    </row>
    <row r="13" spans="1:58" ht="15">
      <c r="A13" s="65">
        <v>17</v>
      </c>
      <c r="B13" s="62" t="s">
        <v>191</v>
      </c>
      <c r="C13" s="62">
        <v>11</v>
      </c>
      <c r="D13" s="62">
        <v>12</v>
      </c>
      <c r="E13" s="62">
        <v>3</v>
      </c>
      <c r="F13" s="62">
        <v>2</v>
      </c>
      <c r="G13" s="62">
        <v>7</v>
      </c>
      <c r="H13" s="65">
        <v>11</v>
      </c>
      <c r="I13" s="65">
        <v>15</v>
      </c>
      <c r="J13" s="65">
        <v>-4</v>
      </c>
      <c r="K13" s="68"/>
      <c r="L13" s="62" t="s">
        <v>192</v>
      </c>
      <c r="M13" s="67">
        <v>0.31</v>
      </c>
      <c r="N13" s="67">
        <v>0.25</v>
      </c>
      <c r="O13" s="67">
        <v>0.42</v>
      </c>
      <c r="P13"/>
      <c r="Q13" s="67"/>
      <c r="R13" s="62" t="s">
        <v>184</v>
      </c>
      <c r="S13" s="62">
        <f t="shared" si="0"/>
        <v>19</v>
      </c>
      <c r="T13" s="62">
        <v>0</v>
      </c>
      <c r="U13" s="62">
        <v>0</v>
      </c>
      <c r="V13" s="62">
        <v>1</v>
      </c>
      <c r="W13" s="62">
        <v>2</v>
      </c>
      <c r="X13" s="62">
        <v>2</v>
      </c>
      <c r="Y13" s="62">
        <v>2</v>
      </c>
      <c r="Z13" s="62">
        <v>0</v>
      </c>
      <c r="AA13" s="62">
        <v>1</v>
      </c>
      <c r="AB13" s="62">
        <v>1</v>
      </c>
      <c r="AC13" s="65">
        <v>3</v>
      </c>
      <c r="AD13" s="65">
        <v>3</v>
      </c>
      <c r="AE13" s="65">
        <v>2</v>
      </c>
      <c r="AF13" s="65">
        <v>2</v>
      </c>
      <c r="AG13" s="62">
        <v>0</v>
      </c>
      <c r="AH13" s="62">
        <v>0</v>
      </c>
      <c r="AI13" s="62">
        <v>0</v>
      </c>
      <c r="AJ13" s="62">
        <v>0</v>
      </c>
      <c r="AK13" s="62">
        <v>0</v>
      </c>
      <c r="AL13" s="62">
        <v>0</v>
      </c>
      <c r="AM13" s="62">
        <v>0</v>
      </c>
      <c r="AN13" s="62">
        <v>0</v>
      </c>
      <c r="AO13" s="62">
        <v>0</v>
      </c>
      <c r="AP13" s="62">
        <v>0</v>
      </c>
      <c r="AQ13" s="62">
        <v>0</v>
      </c>
      <c r="AR13" s="62">
        <v>0</v>
      </c>
      <c r="AS13" s="62">
        <v>0</v>
      </c>
      <c r="AT13" s="62">
        <v>0</v>
      </c>
      <c r="AU13" s="62">
        <v>0</v>
      </c>
      <c r="AV13" s="62">
        <v>0</v>
      </c>
      <c r="AW13" s="62">
        <v>0</v>
      </c>
      <c r="AX13" s="62">
        <v>0</v>
      </c>
      <c r="AY13" s="62">
        <v>0</v>
      </c>
      <c r="AZ13" s="62">
        <v>0</v>
      </c>
      <c r="BA13" s="62">
        <v>0</v>
      </c>
      <c r="BB13" s="62">
        <v>0</v>
      </c>
      <c r="BC13" s="62">
        <v>0</v>
      </c>
      <c r="BD13" s="62">
        <v>0</v>
      </c>
      <c r="BE13" s="62">
        <v>0</v>
      </c>
      <c r="BF13" s="62">
        <v>0</v>
      </c>
    </row>
    <row r="14" spans="1:58" ht="15">
      <c r="A14" s="65">
        <v>18</v>
      </c>
      <c r="B14" s="62" t="s">
        <v>193</v>
      </c>
      <c r="C14" s="62">
        <v>10</v>
      </c>
      <c r="D14" s="62">
        <v>12</v>
      </c>
      <c r="E14" s="62">
        <v>3</v>
      </c>
      <c r="F14" s="62">
        <v>1</v>
      </c>
      <c r="G14" s="62">
        <v>8</v>
      </c>
      <c r="H14" s="65">
        <v>10</v>
      </c>
      <c r="I14" s="65">
        <v>16</v>
      </c>
      <c r="J14" s="65">
        <v>-6</v>
      </c>
      <c r="K14" s="68"/>
      <c r="L14" s="62" t="s">
        <v>194</v>
      </c>
      <c r="M14" s="67">
        <v>0.28000000000000003</v>
      </c>
      <c r="N14" s="67">
        <v>0.25</v>
      </c>
      <c r="O14" s="67">
        <v>0.57999999999999996</v>
      </c>
      <c r="P14"/>
      <c r="Q14" s="67"/>
      <c r="R14" s="62" t="s">
        <v>185</v>
      </c>
      <c r="S14" s="62">
        <f t="shared" si="0"/>
        <v>33</v>
      </c>
      <c r="T14" s="62">
        <v>0</v>
      </c>
      <c r="U14" s="62">
        <v>4</v>
      </c>
      <c r="V14" s="62">
        <v>4</v>
      </c>
      <c r="W14" s="62">
        <v>2</v>
      </c>
      <c r="X14" s="62">
        <v>6</v>
      </c>
      <c r="Y14" s="62">
        <v>2</v>
      </c>
      <c r="Z14" s="62">
        <v>1</v>
      </c>
      <c r="AA14" s="62">
        <v>5</v>
      </c>
      <c r="AB14" s="62">
        <v>3</v>
      </c>
      <c r="AC14" s="65">
        <v>1</v>
      </c>
      <c r="AD14" s="65">
        <v>2</v>
      </c>
      <c r="AE14" s="65">
        <v>1</v>
      </c>
      <c r="AF14" s="65">
        <v>2</v>
      </c>
      <c r="AG14" s="62">
        <v>0</v>
      </c>
      <c r="AH14" s="62">
        <v>0</v>
      </c>
      <c r="AI14" s="62">
        <v>0</v>
      </c>
      <c r="AJ14" s="62">
        <v>0</v>
      </c>
      <c r="AK14" s="62">
        <v>0</v>
      </c>
      <c r="AL14" s="62">
        <v>0</v>
      </c>
      <c r="AM14" s="62">
        <v>0</v>
      </c>
      <c r="AN14" s="62">
        <v>0</v>
      </c>
      <c r="AO14" s="62">
        <v>0</v>
      </c>
      <c r="AP14" s="62">
        <v>0</v>
      </c>
      <c r="AQ14" s="62">
        <v>0</v>
      </c>
      <c r="AR14" s="62">
        <v>0</v>
      </c>
      <c r="AS14" s="62">
        <v>0</v>
      </c>
      <c r="AT14" s="62">
        <v>0</v>
      </c>
      <c r="AU14" s="62">
        <v>0</v>
      </c>
      <c r="AV14" s="62">
        <v>0</v>
      </c>
      <c r="AW14" s="62">
        <v>0</v>
      </c>
      <c r="AX14" s="62">
        <v>0</v>
      </c>
      <c r="AY14" s="62">
        <v>0</v>
      </c>
      <c r="AZ14" s="62">
        <v>0</v>
      </c>
      <c r="BA14" s="62">
        <v>0</v>
      </c>
      <c r="BB14" s="62">
        <v>0</v>
      </c>
      <c r="BC14" s="62">
        <v>0</v>
      </c>
      <c r="BD14" s="62">
        <v>0</v>
      </c>
      <c r="BE14" s="62">
        <v>0</v>
      </c>
      <c r="BF14" s="62">
        <v>0</v>
      </c>
    </row>
    <row r="15" spans="1:58" ht="15">
      <c r="A15" s="65">
        <v>14</v>
      </c>
      <c r="B15" s="62" t="s">
        <v>187</v>
      </c>
      <c r="C15" s="62">
        <v>14</v>
      </c>
      <c r="D15" s="62">
        <v>12</v>
      </c>
      <c r="E15" s="62">
        <v>4</v>
      </c>
      <c r="F15" s="62">
        <v>2</v>
      </c>
      <c r="G15" s="62">
        <v>6</v>
      </c>
      <c r="H15" s="65">
        <v>14</v>
      </c>
      <c r="I15" s="65">
        <v>17</v>
      </c>
      <c r="J15" s="65">
        <v>-3</v>
      </c>
      <c r="K15" s="68"/>
      <c r="L15" s="74" t="s">
        <v>155</v>
      </c>
      <c r="M15" s="75">
        <v>0.39</v>
      </c>
      <c r="N15" s="70">
        <v>0.25</v>
      </c>
      <c r="O15" s="67">
        <v>0.33</v>
      </c>
      <c r="P15"/>
      <c r="Q15" s="67"/>
      <c r="R15" s="62" t="s">
        <v>187</v>
      </c>
      <c r="S15" s="62">
        <f t="shared" si="0"/>
        <v>31</v>
      </c>
      <c r="T15" s="62">
        <v>0</v>
      </c>
      <c r="U15" s="62">
        <v>5</v>
      </c>
      <c r="V15" s="62">
        <v>3</v>
      </c>
      <c r="W15" s="62">
        <v>1</v>
      </c>
      <c r="X15" s="62">
        <v>1</v>
      </c>
      <c r="Y15" s="62">
        <v>2</v>
      </c>
      <c r="Z15" s="62">
        <v>6</v>
      </c>
      <c r="AA15" s="62">
        <v>3</v>
      </c>
      <c r="AB15" s="62">
        <v>2</v>
      </c>
      <c r="AC15" s="65">
        <v>1</v>
      </c>
      <c r="AD15" s="65">
        <v>2</v>
      </c>
      <c r="AE15" s="65">
        <v>2</v>
      </c>
      <c r="AF15" s="65">
        <v>3</v>
      </c>
      <c r="AG15" s="62">
        <v>0</v>
      </c>
      <c r="AH15" s="62">
        <v>0</v>
      </c>
      <c r="AI15" s="62">
        <v>0</v>
      </c>
      <c r="AJ15" s="62">
        <v>0</v>
      </c>
      <c r="AK15" s="62">
        <v>0</v>
      </c>
      <c r="AL15" s="62">
        <v>0</v>
      </c>
      <c r="AM15" s="62">
        <v>0</v>
      </c>
      <c r="AN15" s="62">
        <v>0</v>
      </c>
      <c r="AO15" s="62">
        <v>0</v>
      </c>
      <c r="AP15" s="62">
        <v>0</v>
      </c>
      <c r="AQ15" s="62">
        <v>0</v>
      </c>
      <c r="AR15" s="62">
        <v>0</v>
      </c>
      <c r="AS15" s="62">
        <v>0</v>
      </c>
      <c r="AT15" s="62">
        <v>0</v>
      </c>
      <c r="AU15" s="62">
        <v>0</v>
      </c>
      <c r="AV15" s="62">
        <v>0</v>
      </c>
      <c r="AW15" s="62">
        <v>0</v>
      </c>
      <c r="AX15" s="62">
        <v>0</v>
      </c>
      <c r="AY15" s="62">
        <v>0</v>
      </c>
      <c r="AZ15" s="62">
        <v>0</v>
      </c>
      <c r="BA15" s="62">
        <v>0</v>
      </c>
      <c r="BB15" s="62">
        <v>0</v>
      </c>
      <c r="BC15" s="62">
        <v>0</v>
      </c>
      <c r="BD15" s="62">
        <v>0</v>
      </c>
      <c r="BE15" s="62">
        <v>0</v>
      </c>
      <c r="BF15" s="62">
        <v>0</v>
      </c>
    </row>
    <row r="16" spans="1:58" ht="15">
      <c r="A16" s="65">
        <v>19</v>
      </c>
      <c r="B16" s="62" t="s">
        <v>195</v>
      </c>
      <c r="C16" s="62">
        <v>10</v>
      </c>
      <c r="D16" s="62">
        <v>12</v>
      </c>
      <c r="E16" s="62">
        <v>2</v>
      </c>
      <c r="F16" s="62">
        <v>4</v>
      </c>
      <c r="G16" s="62">
        <v>6</v>
      </c>
      <c r="H16" s="65">
        <v>9</v>
      </c>
      <c r="I16" s="65">
        <v>17</v>
      </c>
      <c r="J16" s="65">
        <v>-8</v>
      </c>
      <c r="K16" s="68"/>
      <c r="L16" s="69" t="s">
        <v>194</v>
      </c>
      <c r="M16" s="72">
        <v>0.28000000000000003</v>
      </c>
      <c r="N16" s="70">
        <v>0.25</v>
      </c>
      <c r="O16" s="67">
        <v>0.42</v>
      </c>
      <c r="P16"/>
      <c r="Q16" s="67"/>
      <c r="R16" s="62" t="s">
        <v>188</v>
      </c>
      <c r="S16" s="62">
        <f t="shared" si="0"/>
        <v>29</v>
      </c>
      <c r="T16" s="62">
        <v>0</v>
      </c>
      <c r="U16" s="62">
        <v>3</v>
      </c>
      <c r="V16" s="62">
        <v>1</v>
      </c>
      <c r="W16" s="62">
        <v>2</v>
      </c>
      <c r="X16" s="62">
        <v>1</v>
      </c>
      <c r="Y16" s="62">
        <v>1</v>
      </c>
      <c r="Z16" s="62">
        <v>6</v>
      </c>
      <c r="AA16" s="62">
        <v>2</v>
      </c>
      <c r="AB16" s="62">
        <v>0</v>
      </c>
      <c r="AC16" s="65">
        <v>3</v>
      </c>
      <c r="AD16" s="65">
        <v>2</v>
      </c>
      <c r="AE16" s="65">
        <v>3</v>
      </c>
      <c r="AF16" s="65">
        <v>5</v>
      </c>
      <c r="AG16" s="62">
        <v>0</v>
      </c>
      <c r="AH16" s="62">
        <v>0</v>
      </c>
      <c r="AI16" s="62">
        <v>0</v>
      </c>
      <c r="AJ16" s="62">
        <v>0</v>
      </c>
      <c r="AK16" s="62">
        <v>0</v>
      </c>
      <c r="AL16" s="62">
        <v>0</v>
      </c>
      <c r="AM16" s="62">
        <v>0</v>
      </c>
      <c r="AN16" s="62">
        <v>0</v>
      </c>
      <c r="AO16" s="62">
        <v>0</v>
      </c>
      <c r="AP16" s="62">
        <v>0</v>
      </c>
      <c r="AQ16" s="62">
        <v>0</v>
      </c>
      <c r="AR16" s="62">
        <v>0</v>
      </c>
      <c r="AS16" s="62">
        <v>0</v>
      </c>
      <c r="AT16" s="62">
        <v>0</v>
      </c>
      <c r="AU16" s="62">
        <v>0</v>
      </c>
      <c r="AV16" s="62">
        <v>0</v>
      </c>
      <c r="AW16" s="62">
        <v>0</v>
      </c>
      <c r="AX16" s="62">
        <v>0</v>
      </c>
      <c r="AY16" s="62">
        <v>0</v>
      </c>
      <c r="AZ16" s="62">
        <v>0</v>
      </c>
      <c r="BA16" s="62">
        <v>0</v>
      </c>
      <c r="BB16" s="62">
        <v>0</v>
      </c>
      <c r="BC16" s="62">
        <v>0</v>
      </c>
      <c r="BD16" s="62">
        <v>0</v>
      </c>
      <c r="BE16" s="62">
        <v>0</v>
      </c>
      <c r="BF16" s="62">
        <v>0</v>
      </c>
    </row>
    <row r="17" spans="1:58" ht="15">
      <c r="A17" s="65">
        <v>10</v>
      </c>
      <c r="B17" s="62" t="s">
        <v>182</v>
      </c>
      <c r="C17" s="62">
        <v>17</v>
      </c>
      <c r="D17" s="62">
        <v>12</v>
      </c>
      <c r="E17" s="62">
        <v>5</v>
      </c>
      <c r="F17" s="62">
        <v>2</v>
      </c>
      <c r="G17" s="62">
        <v>5</v>
      </c>
      <c r="H17" s="65">
        <v>17</v>
      </c>
      <c r="I17" s="65">
        <v>18</v>
      </c>
      <c r="J17" s="65">
        <v>-1</v>
      </c>
      <c r="K17" s="68"/>
      <c r="L17" s="71" t="s">
        <v>181</v>
      </c>
      <c r="M17" s="73">
        <v>0.47</v>
      </c>
      <c r="N17" s="70">
        <v>0.33</v>
      </c>
      <c r="O17" s="67">
        <v>0.25</v>
      </c>
      <c r="P17"/>
      <c r="Q17" s="67"/>
      <c r="R17" s="62" t="s">
        <v>190</v>
      </c>
      <c r="S17" s="62">
        <f t="shared" si="0"/>
        <v>30</v>
      </c>
      <c r="T17" s="62">
        <v>0</v>
      </c>
      <c r="U17" s="62">
        <v>2</v>
      </c>
      <c r="V17" s="62">
        <v>1</v>
      </c>
      <c r="W17" s="62">
        <v>1</v>
      </c>
      <c r="X17" s="62">
        <v>4</v>
      </c>
      <c r="Y17" s="62">
        <v>3</v>
      </c>
      <c r="Z17" s="62">
        <v>1</v>
      </c>
      <c r="AA17" s="62">
        <v>1</v>
      </c>
      <c r="AB17" s="62">
        <v>3</v>
      </c>
      <c r="AC17" s="65">
        <v>1</v>
      </c>
      <c r="AD17" s="65">
        <v>3</v>
      </c>
      <c r="AE17" s="65">
        <v>9</v>
      </c>
      <c r="AF17" s="65">
        <v>1</v>
      </c>
      <c r="AG17" s="62">
        <v>0</v>
      </c>
      <c r="AH17" s="62">
        <v>0</v>
      </c>
      <c r="AI17" s="62">
        <v>0</v>
      </c>
      <c r="AJ17" s="62">
        <v>0</v>
      </c>
      <c r="AK17" s="62">
        <v>0</v>
      </c>
      <c r="AL17" s="62">
        <v>0</v>
      </c>
      <c r="AM17" s="62">
        <v>0</v>
      </c>
      <c r="AN17" s="62">
        <v>0</v>
      </c>
      <c r="AO17" s="62">
        <v>0</v>
      </c>
      <c r="AP17" s="62">
        <v>0</v>
      </c>
      <c r="AQ17" s="62">
        <v>0</v>
      </c>
      <c r="AR17" s="62">
        <v>0</v>
      </c>
      <c r="AS17" s="62">
        <v>0</v>
      </c>
      <c r="AT17" s="62">
        <v>0</v>
      </c>
      <c r="AU17" s="62">
        <v>0</v>
      </c>
      <c r="AV17" s="62">
        <v>0</v>
      </c>
      <c r="AW17" s="62">
        <v>0</v>
      </c>
      <c r="AX17" s="62">
        <v>0</v>
      </c>
      <c r="AY17" s="62">
        <v>0</v>
      </c>
      <c r="AZ17" s="62">
        <v>0</v>
      </c>
      <c r="BA17" s="62">
        <v>0</v>
      </c>
      <c r="BB17" s="62">
        <v>0</v>
      </c>
      <c r="BC17" s="62">
        <v>0</v>
      </c>
      <c r="BD17" s="62">
        <v>0</v>
      </c>
      <c r="BE17" s="62">
        <v>0</v>
      </c>
      <c r="BF17" s="62">
        <v>0</v>
      </c>
    </row>
    <row r="18" spans="1:58" ht="15">
      <c r="A18" s="65">
        <v>13</v>
      </c>
      <c r="B18" s="62" t="s">
        <v>185</v>
      </c>
      <c r="C18" s="62">
        <v>15</v>
      </c>
      <c r="D18" s="62">
        <v>12</v>
      </c>
      <c r="E18" s="62">
        <v>4</v>
      </c>
      <c r="F18" s="62">
        <v>3</v>
      </c>
      <c r="G18" s="62">
        <v>5</v>
      </c>
      <c r="H18" s="65">
        <v>12</v>
      </c>
      <c r="I18" s="65">
        <v>21</v>
      </c>
      <c r="J18" s="65">
        <v>-9</v>
      </c>
      <c r="K18" s="68"/>
      <c r="L18" s="62" t="s">
        <v>186</v>
      </c>
      <c r="M18" s="67">
        <v>0.42</v>
      </c>
      <c r="N18" s="67">
        <v>0.33</v>
      </c>
      <c r="O18" s="67">
        <v>0.25</v>
      </c>
      <c r="P18"/>
      <c r="Q18" s="67"/>
      <c r="R18" s="62" t="s">
        <v>191</v>
      </c>
      <c r="S18" s="62">
        <f t="shared" si="0"/>
        <v>26</v>
      </c>
      <c r="T18" s="62">
        <v>0</v>
      </c>
      <c r="U18" s="62">
        <v>1</v>
      </c>
      <c r="V18" s="62">
        <v>1</v>
      </c>
      <c r="W18" s="62">
        <v>1</v>
      </c>
      <c r="X18" s="62">
        <v>6</v>
      </c>
      <c r="Y18" s="62">
        <v>2</v>
      </c>
      <c r="Z18" s="62">
        <v>1</v>
      </c>
      <c r="AA18" s="62">
        <v>3</v>
      </c>
      <c r="AB18" s="62">
        <v>0</v>
      </c>
      <c r="AC18" s="65">
        <v>2</v>
      </c>
      <c r="AD18" s="65">
        <v>4</v>
      </c>
      <c r="AE18" s="65">
        <v>2</v>
      </c>
      <c r="AF18" s="65">
        <v>3</v>
      </c>
      <c r="AG18" s="62">
        <v>0</v>
      </c>
      <c r="AH18" s="62">
        <v>0</v>
      </c>
      <c r="AI18" s="62">
        <v>0</v>
      </c>
      <c r="AJ18" s="62">
        <v>0</v>
      </c>
      <c r="AK18" s="62">
        <v>0</v>
      </c>
      <c r="AL18" s="62">
        <v>0</v>
      </c>
      <c r="AM18" s="62">
        <v>0</v>
      </c>
      <c r="AN18" s="62">
        <v>0</v>
      </c>
      <c r="AO18" s="62">
        <v>0</v>
      </c>
      <c r="AP18" s="62">
        <v>0</v>
      </c>
      <c r="AQ18" s="62">
        <v>0</v>
      </c>
      <c r="AR18" s="62">
        <v>0</v>
      </c>
      <c r="AS18" s="62">
        <v>0</v>
      </c>
      <c r="AT18" s="62">
        <v>0</v>
      </c>
      <c r="AU18" s="62">
        <v>0</v>
      </c>
      <c r="AV18" s="62">
        <v>0</v>
      </c>
      <c r="AW18" s="62">
        <v>0</v>
      </c>
      <c r="AX18" s="62">
        <v>0</v>
      </c>
      <c r="AY18" s="62">
        <v>0</v>
      </c>
      <c r="AZ18" s="62">
        <v>0</v>
      </c>
      <c r="BA18" s="62">
        <v>0</v>
      </c>
      <c r="BB18" s="62">
        <v>0</v>
      </c>
      <c r="BC18" s="62">
        <v>0</v>
      </c>
      <c r="BD18" s="62">
        <v>0</v>
      </c>
      <c r="BE18" s="62">
        <v>0</v>
      </c>
      <c r="BF18" s="62">
        <v>0</v>
      </c>
    </row>
    <row r="19" spans="1:58" ht="15">
      <c r="A19" s="65">
        <v>16</v>
      </c>
      <c r="B19" s="62" t="s">
        <v>190</v>
      </c>
      <c r="C19" s="62">
        <v>12</v>
      </c>
      <c r="D19" s="62">
        <v>12</v>
      </c>
      <c r="E19" s="62">
        <v>4</v>
      </c>
      <c r="F19" s="62">
        <v>0</v>
      </c>
      <c r="G19" s="62">
        <v>8</v>
      </c>
      <c r="H19" s="65">
        <v>9</v>
      </c>
      <c r="I19" s="65">
        <v>21</v>
      </c>
      <c r="J19" s="65">
        <v>-12</v>
      </c>
      <c r="K19" s="68"/>
      <c r="L19" s="62" t="s">
        <v>189</v>
      </c>
      <c r="M19" s="67">
        <v>0.33</v>
      </c>
      <c r="N19" s="67">
        <v>0.17</v>
      </c>
      <c r="O19" s="67">
        <v>0.5</v>
      </c>
      <c r="P19"/>
      <c r="Q19" s="67"/>
      <c r="R19" s="62" t="s">
        <v>193</v>
      </c>
      <c r="S19" s="62">
        <f t="shared" si="0"/>
        <v>26</v>
      </c>
      <c r="T19" s="62">
        <v>0</v>
      </c>
      <c r="U19" s="62">
        <v>3</v>
      </c>
      <c r="V19" s="62">
        <v>0</v>
      </c>
      <c r="W19" s="62">
        <v>2</v>
      </c>
      <c r="X19" s="62">
        <v>4</v>
      </c>
      <c r="Y19" s="62">
        <v>1</v>
      </c>
      <c r="Z19" s="62">
        <v>1</v>
      </c>
      <c r="AA19" s="62">
        <v>4</v>
      </c>
      <c r="AB19" s="62">
        <v>2</v>
      </c>
      <c r="AC19" s="65">
        <v>2</v>
      </c>
      <c r="AD19" s="65">
        <v>1</v>
      </c>
      <c r="AE19" s="65">
        <v>3</v>
      </c>
      <c r="AF19" s="65">
        <v>3</v>
      </c>
      <c r="AG19" s="62">
        <v>0</v>
      </c>
      <c r="AH19" s="62">
        <v>0</v>
      </c>
      <c r="AI19" s="62">
        <v>0</v>
      </c>
      <c r="AJ19" s="62">
        <v>0</v>
      </c>
      <c r="AK19" s="62">
        <v>0</v>
      </c>
      <c r="AL19" s="62">
        <v>0</v>
      </c>
      <c r="AM19" s="62">
        <v>0</v>
      </c>
      <c r="AN19" s="62">
        <v>0</v>
      </c>
      <c r="AO19" s="62">
        <v>0</v>
      </c>
      <c r="AP19" s="62">
        <v>0</v>
      </c>
      <c r="AQ19" s="62">
        <v>0</v>
      </c>
      <c r="AR19" s="62">
        <v>0</v>
      </c>
      <c r="AS19" s="62">
        <v>0</v>
      </c>
      <c r="AT19" s="62">
        <v>0</v>
      </c>
      <c r="AU19" s="62">
        <v>0</v>
      </c>
      <c r="AV19" s="62">
        <v>0</v>
      </c>
      <c r="AW19" s="62">
        <v>0</v>
      </c>
      <c r="AX19" s="62">
        <v>0</v>
      </c>
      <c r="AY19" s="62">
        <v>0</v>
      </c>
      <c r="AZ19" s="62">
        <v>0</v>
      </c>
      <c r="BA19" s="62">
        <v>0</v>
      </c>
      <c r="BB19" s="62">
        <v>0</v>
      </c>
      <c r="BC19" s="62">
        <v>0</v>
      </c>
      <c r="BD19" s="62">
        <v>0</v>
      </c>
      <c r="BE19" s="62">
        <v>0</v>
      </c>
      <c r="BF19" s="62">
        <v>0</v>
      </c>
    </row>
    <row r="20" spans="1:58" ht="15">
      <c r="A20" s="65">
        <v>20</v>
      </c>
      <c r="B20" s="62" t="s">
        <v>196</v>
      </c>
      <c r="C20" s="62">
        <v>10</v>
      </c>
      <c r="D20" s="62">
        <v>12</v>
      </c>
      <c r="E20" s="62">
        <v>3</v>
      </c>
      <c r="F20" s="62">
        <v>1</v>
      </c>
      <c r="G20" s="62">
        <v>8</v>
      </c>
      <c r="H20" s="65">
        <v>11</v>
      </c>
      <c r="I20" s="65">
        <v>22</v>
      </c>
      <c r="J20" s="65">
        <v>-11</v>
      </c>
      <c r="K20" s="68"/>
      <c r="L20" s="71" t="s">
        <v>194</v>
      </c>
      <c r="M20" s="73">
        <v>0.28000000000000003</v>
      </c>
      <c r="N20" s="70">
        <v>0.25</v>
      </c>
      <c r="O20" s="67">
        <v>0.5</v>
      </c>
      <c r="P20"/>
      <c r="Q20" s="67"/>
      <c r="R20" s="62" t="s">
        <v>195</v>
      </c>
      <c r="S20" s="62">
        <f t="shared" si="0"/>
        <v>26</v>
      </c>
      <c r="T20" s="62">
        <v>0</v>
      </c>
      <c r="U20" s="62">
        <v>6</v>
      </c>
      <c r="V20" s="62">
        <v>2</v>
      </c>
      <c r="W20" s="62">
        <v>1</v>
      </c>
      <c r="X20" s="62">
        <v>2</v>
      </c>
      <c r="Y20" s="62">
        <v>2</v>
      </c>
      <c r="Z20" s="62">
        <v>4</v>
      </c>
      <c r="AA20" s="62">
        <v>0</v>
      </c>
      <c r="AB20" s="62">
        <v>1</v>
      </c>
      <c r="AC20" s="65">
        <v>2</v>
      </c>
      <c r="AD20" s="65">
        <v>1</v>
      </c>
      <c r="AE20" s="65">
        <v>4</v>
      </c>
      <c r="AF20" s="65">
        <v>1</v>
      </c>
      <c r="AG20" s="62">
        <v>0</v>
      </c>
      <c r="AH20" s="62">
        <v>0</v>
      </c>
      <c r="AI20" s="62">
        <v>0</v>
      </c>
      <c r="AJ20" s="62">
        <v>0</v>
      </c>
      <c r="AK20" s="62">
        <v>0</v>
      </c>
      <c r="AL20" s="62">
        <v>0</v>
      </c>
      <c r="AM20" s="62">
        <v>0</v>
      </c>
      <c r="AN20" s="62">
        <v>0</v>
      </c>
      <c r="AO20" s="62">
        <v>0</v>
      </c>
      <c r="AP20" s="62">
        <v>0</v>
      </c>
      <c r="AQ20" s="62">
        <v>0</v>
      </c>
      <c r="AR20" s="62">
        <v>0</v>
      </c>
      <c r="AS20" s="62">
        <v>0</v>
      </c>
      <c r="AT20" s="62">
        <v>0</v>
      </c>
      <c r="AU20" s="62">
        <v>0</v>
      </c>
      <c r="AV20" s="62">
        <v>0</v>
      </c>
      <c r="AW20" s="62">
        <v>0</v>
      </c>
      <c r="AX20" s="62">
        <v>0</v>
      </c>
      <c r="AY20" s="62">
        <v>0</v>
      </c>
      <c r="AZ20" s="62">
        <v>0</v>
      </c>
      <c r="BA20" s="62">
        <v>0</v>
      </c>
      <c r="BB20" s="62">
        <v>0</v>
      </c>
      <c r="BC20" s="62">
        <v>0</v>
      </c>
      <c r="BD20" s="62">
        <v>0</v>
      </c>
      <c r="BE20" s="62">
        <v>0</v>
      </c>
      <c r="BF20" s="62">
        <v>0</v>
      </c>
    </row>
    <row r="21" spans="1:58" ht="15">
      <c r="A21" s="105"/>
      <c r="C21" s="62" t="s">
        <v>160</v>
      </c>
      <c r="D21" s="62" t="s">
        <v>161</v>
      </c>
      <c r="E21" s="62" t="s">
        <v>106</v>
      </c>
      <c r="F21" s="62" t="s">
        <v>162</v>
      </c>
      <c r="G21" s="62" t="s">
        <v>163</v>
      </c>
      <c r="H21" s="105" t="s">
        <v>164</v>
      </c>
      <c r="I21" s="105" t="s">
        <v>165</v>
      </c>
      <c r="J21" s="105" t="s">
        <v>166</v>
      </c>
      <c r="K21" s="63" t="s">
        <v>167</v>
      </c>
      <c r="L21" s="105" t="s">
        <v>168</v>
      </c>
      <c r="M21" s="105" t="s">
        <v>169</v>
      </c>
      <c r="N21" s="105" t="s">
        <v>170</v>
      </c>
      <c r="O21" s="105" t="s">
        <v>171</v>
      </c>
      <c r="P21"/>
      <c r="Q21" s="67"/>
      <c r="R21" s="62" t="s">
        <v>196</v>
      </c>
      <c r="S21" s="62">
        <f t="shared" si="0"/>
        <v>33</v>
      </c>
      <c r="T21" s="62">
        <v>0</v>
      </c>
      <c r="U21" s="62">
        <v>3</v>
      </c>
      <c r="V21" s="62">
        <v>8</v>
      </c>
      <c r="W21" s="62">
        <v>0</v>
      </c>
      <c r="X21" s="62">
        <v>1</v>
      </c>
      <c r="Y21" s="62">
        <v>4</v>
      </c>
      <c r="Z21" s="62">
        <v>3</v>
      </c>
      <c r="AA21" s="62">
        <v>3</v>
      </c>
      <c r="AB21" s="62">
        <v>2</v>
      </c>
      <c r="AC21" s="65">
        <v>3</v>
      </c>
      <c r="AD21" s="65">
        <v>2</v>
      </c>
      <c r="AE21" s="65">
        <v>2</v>
      </c>
      <c r="AF21" s="65">
        <v>2</v>
      </c>
      <c r="AG21" s="62">
        <v>0</v>
      </c>
      <c r="AH21" s="62">
        <v>0</v>
      </c>
      <c r="AI21" s="62">
        <v>0</v>
      </c>
      <c r="AJ21" s="62">
        <v>0</v>
      </c>
      <c r="AK21" s="62">
        <v>0</v>
      </c>
      <c r="AL21" s="62">
        <v>0</v>
      </c>
      <c r="AM21" s="62">
        <v>0</v>
      </c>
      <c r="AN21" s="62">
        <v>0</v>
      </c>
      <c r="AO21" s="62">
        <v>0</v>
      </c>
      <c r="AP21" s="62">
        <v>0</v>
      </c>
      <c r="AQ21" s="62">
        <v>0</v>
      </c>
      <c r="AR21" s="62">
        <v>0</v>
      </c>
      <c r="AS21" s="62">
        <v>0</v>
      </c>
      <c r="AT21" s="62">
        <v>0</v>
      </c>
      <c r="AU21" s="62">
        <v>0</v>
      </c>
      <c r="AV21" s="62">
        <v>0</v>
      </c>
      <c r="AW21" s="62">
        <v>0</v>
      </c>
      <c r="AX21" s="62">
        <v>0</v>
      </c>
      <c r="AY21" s="62">
        <v>0</v>
      </c>
      <c r="AZ21" s="62">
        <v>0</v>
      </c>
      <c r="BA21" s="62">
        <v>0</v>
      </c>
      <c r="BB21" s="62">
        <v>0</v>
      </c>
      <c r="BC21" s="62">
        <v>0</v>
      </c>
      <c r="BD21" s="62">
        <v>0</v>
      </c>
      <c r="BE21" s="62">
        <v>0</v>
      </c>
      <c r="BF21" s="62">
        <v>0</v>
      </c>
    </row>
    <row r="22" spans="1:58">
      <c r="K22" s="68"/>
    </row>
    <row r="23" spans="1:58" ht="15">
      <c r="C23" s="62" t="s">
        <v>160</v>
      </c>
      <c r="D23" s="65" t="s">
        <v>161</v>
      </c>
      <c r="E23" s="62" t="s">
        <v>106</v>
      </c>
      <c r="F23" s="62" t="s">
        <v>162</v>
      </c>
      <c r="G23" s="62" t="s">
        <v>163</v>
      </c>
      <c r="H23" s="62" t="s">
        <v>164</v>
      </c>
      <c r="I23" s="62" t="s">
        <v>165</v>
      </c>
      <c r="J23" s="62" t="s">
        <v>197</v>
      </c>
      <c r="K23"/>
    </row>
    <row r="24" spans="1:58" ht="15">
      <c r="A24" s="62">
        <v>1</v>
      </c>
      <c r="B24" s="62" t="s">
        <v>32</v>
      </c>
      <c r="C24" s="62">
        <v>18</v>
      </c>
      <c r="D24" s="78">
        <v>7</v>
      </c>
      <c r="E24" s="62">
        <v>6</v>
      </c>
      <c r="F24" s="62">
        <v>0</v>
      </c>
      <c r="G24" s="77">
        <v>1</v>
      </c>
      <c r="H24" s="65">
        <v>17</v>
      </c>
      <c r="I24" s="65">
        <v>3</v>
      </c>
      <c r="J24" s="62">
        <v>14</v>
      </c>
      <c r="K24"/>
      <c r="L24" s="69"/>
      <c r="M24" s="69"/>
      <c r="N24" s="68"/>
      <c r="Q24" s="162" t="s">
        <v>339</v>
      </c>
      <c r="R24" s="162"/>
      <c r="U24" s="61"/>
    </row>
    <row r="25" spans="1:58" ht="15">
      <c r="A25" s="62">
        <v>2</v>
      </c>
      <c r="B25" s="62" t="s">
        <v>31</v>
      </c>
      <c r="C25" s="62">
        <v>15</v>
      </c>
      <c r="D25" s="78">
        <v>6</v>
      </c>
      <c r="E25" s="62">
        <v>5</v>
      </c>
      <c r="F25" s="62">
        <v>0</v>
      </c>
      <c r="G25" s="77">
        <v>1</v>
      </c>
      <c r="H25" s="65">
        <v>13</v>
      </c>
      <c r="I25" s="65">
        <v>4</v>
      </c>
      <c r="J25" s="62">
        <v>9</v>
      </c>
      <c r="K25"/>
      <c r="L25" s="71"/>
      <c r="M25" s="71"/>
      <c r="N25" s="68"/>
    </row>
    <row r="26" spans="1:58" ht="15">
      <c r="A26" s="62">
        <v>3</v>
      </c>
      <c r="B26" s="62" t="s">
        <v>38</v>
      </c>
      <c r="C26" s="62">
        <v>14</v>
      </c>
      <c r="D26" s="78">
        <v>6</v>
      </c>
      <c r="E26" s="62">
        <v>4</v>
      </c>
      <c r="F26" s="62">
        <v>2</v>
      </c>
      <c r="G26" s="77">
        <v>0</v>
      </c>
      <c r="H26" s="65">
        <v>12</v>
      </c>
      <c r="I26" s="65">
        <v>5</v>
      </c>
      <c r="J26" s="62">
        <v>7</v>
      </c>
      <c r="K26"/>
      <c r="Q26" s="62">
        <v>1</v>
      </c>
      <c r="R26" s="62" t="str">
        <f>B1</f>
        <v xml:space="preserve"> Paris SG</v>
      </c>
      <c r="S26" s="62">
        <f>I1</f>
        <v>8</v>
      </c>
      <c r="T26" s="105" t="str">
        <f>IF(COUNTIF($B$1,"*Paris SG*"),"1","0")</f>
        <v>1</v>
      </c>
      <c r="U26" s="105" t="str">
        <f>IF(COUNTIF($B1,"*Nantes*"),"1","0")</f>
        <v>0</v>
      </c>
      <c r="V26" s="105" t="str">
        <f>IF(COUNTIF($B1,"*Marseille*"),"1","0")</f>
        <v>0</v>
      </c>
      <c r="W26" s="105" t="str">
        <f>IF(COUNTIF($B1,"*Lyon*"),"1","0")</f>
        <v>0</v>
      </c>
      <c r="X26" s="105" t="str">
        <f>IF(COUNTIF($B1,"*Lilles*"),"1","0")</f>
        <v>0</v>
      </c>
      <c r="Y26" s="105" t="str">
        <f>IF(COUNTIF($B1,"*Saint-Etienne*"),"1","0")</f>
        <v>0</v>
      </c>
    </row>
    <row r="27" spans="1:58" ht="15">
      <c r="A27" s="62">
        <v>4</v>
      </c>
      <c r="B27" s="62" t="s">
        <v>34</v>
      </c>
      <c r="C27" s="62">
        <v>14</v>
      </c>
      <c r="D27" s="78">
        <v>6</v>
      </c>
      <c r="E27" s="62">
        <v>4</v>
      </c>
      <c r="F27" s="62">
        <v>2</v>
      </c>
      <c r="G27" s="77">
        <v>0</v>
      </c>
      <c r="H27" s="65">
        <v>12</v>
      </c>
      <c r="I27" s="65">
        <v>6</v>
      </c>
      <c r="J27" s="62">
        <v>6</v>
      </c>
      <c r="K27"/>
      <c r="Q27" s="62">
        <v>2</v>
      </c>
      <c r="R27" s="62" t="str">
        <f>B2</f>
        <v xml:space="preserve"> Nantes</v>
      </c>
      <c r="S27" s="62">
        <f>I2</f>
        <v>8</v>
      </c>
      <c r="T27" s="105" t="str">
        <f>IF(COUNTIF($B$2,"*Paris SG*"),"1","0")</f>
        <v>0</v>
      </c>
      <c r="U27" s="105" t="str">
        <f t="shared" ref="U27:U28" si="1">IF(COUNTIF($B2,"*Nantes*"),"1","0")</f>
        <v>1</v>
      </c>
      <c r="V27" s="105" t="str">
        <f t="shared" ref="V27:V28" si="2">IF(COUNTIF($B2,"*Marseille*"),"1","0")</f>
        <v>0</v>
      </c>
      <c r="W27" s="105" t="str">
        <f t="shared" ref="W27:W28" si="3">IF(COUNTIF($B2,"*Lyon*"),"1","0")</f>
        <v>0</v>
      </c>
      <c r="X27" s="105" t="str">
        <f t="shared" ref="X27:X28" si="4">IF(COUNTIF($B2,"*Lilles*"),"1","0")</f>
        <v>0</v>
      </c>
      <c r="Y27" s="105" t="str">
        <f t="shared" ref="Y27:Y28" si="5">IF(COUNTIF($B2,"*Saint-Etienne*"),"1","0")</f>
        <v>0</v>
      </c>
    </row>
    <row r="28" spans="1:58" ht="15">
      <c r="A28" s="62">
        <v>5</v>
      </c>
      <c r="B28" s="62" t="s">
        <v>39</v>
      </c>
      <c r="C28" s="62">
        <v>12</v>
      </c>
      <c r="D28" s="78">
        <v>7</v>
      </c>
      <c r="E28" s="62">
        <v>3</v>
      </c>
      <c r="F28" s="62">
        <v>3</v>
      </c>
      <c r="G28" s="77">
        <v>1</v>
      </c>
      <c r="H28" s="65">
        <v>7</v>
      </c>
      <c r="I28" s="65">
        <v>3</v>
      </c>
      <c r="J28" s="62">
        <v>4</v>
      </c>
      <c r="K28"/>
      <c r="O28" s="76"/>
      <c r="Q28" s="62">
        <v>3</v>
      </c>
      <c r="R28" s="62" t="str">
        <f>B3</f>
        <v xml:space="preserve"> Marseille</v>
      </c>
      <c r="S28" s="62">
        <f>I3</f>
        <v>10</v>
      </c>
      <c r="T28" s="105" t="str">
        <f>IF(COUNTIF($B$3,"*Paris SG*"),"1","0")</f>
        <v>0</v>
      </c>
      <c r="U28" s="105" t="str">
        <f t="shared" si="1"/>
        <v>0</v>
      </c>
      <c r="V28" s="105" t="str">
        <f t="shared" si="2"/>
        <v>1</v>
      </c>
      <c r="W28" s="105" t="str">
        <f t="shared" si="3"/>
        <v>0</v>
      </c>
      <c r="X28" s="105" t="str">
        <f t="shared" si="4"/>
        <v>0</v>
      </c>
      <c r="Y28" s="105" t="str">
        <f t="shared" si="5"/>
        <v>0</v>
      </c>
    </row>
    <row r="29" spans="1:58" ht="15">
      <c r="A29" s="62">
        <v>6</v>
      </c>
      <c r="B29" s="62" t="s">
        <v>42</v>
      </c>
      <c r="C29" s="62">
        <v>12</v>
      </c>
      <c r="D29" s="78">
        <v>6</v>
      </c>
      <c r="E29" s="62">
        <v>4</v>
      </c>
      <c r="F29" s="62">
        <v>0</v>
      </c>
      <c r="G29" s="77">
        <v>2</v>
      </c>
      <c r="H29" s="65">
        <v>7</v>
      </c>
      <c r="I29" s="65">
        <v>3</v>
      </c>
      <c r="J29" s="62">
        <v>4</v>
      </c>
      <c r="K29"/>
      <c r="L29" s="69"/>
      <c r="M29" s="69"/>
      <c r="N29" s="68"/>
    </row>
    <row r="30" spans="1:58" ht="15">
      <c r="A30" s="62">
        <v>7</v>
      </c>
      <c r="B30" s="62" t="s">
        <v>33</v>
      </c>
      <c r="C30" s="62">
        <v>12</v>
      </c>
      <c r="D30" s="78">
        <v>7</v>
      </c>
      <c r="E30" s="62">
        <v>3</v>
      </c>
      <c r="F30" s="62">
        <v>3</v>
      </c>
      <c r="G30" s="77">
        <v>1</v>
      </c>
      <c r="H30" s="65">
        <v>7</v>
      </c>
      <c r="I30" s="65">
        <v>5</v>
      </c>
      <c r="J30" s="62">
        <v>2</v>
      </c>
      <c r="K30"/>
      <c r="L30" s="71"/>
      <c r="M30" s="71"/>
      <c r="N30" s="68"/>
      <c r="R30" s="105" t="str">
        <f>IF(COUNTIF(A18,"*Paris SG*"),"1","0")</f>
        <v>0</v>
      </c>
    </row>
    <row r="31" spans="1:58" ht="15">
      <c r="A31" s="62">
        <v>8</v>
      </c>
      <c r="B31" s="62" t="s">
        <v>198</v>
      </c>
      <c r="C31" s="62">
        <v>11</v>
      </c>
      <c r="D31" s="78">
        <v>5</v>
      </c>
      <c r="E31" s="62">
        <v>3</v>
      </c>
      <c r="F31" s="62">
        <v>2</v>
      </c>
      <c r="G31" s="77">
        <v>0</v>
      </c>
      <c r="H31" s="65">
        <v>12</v>
      </c>
      <c r="I31" s="65">
        <v>2</v>
      </c>
      <c r="J31" s="62">
        <v>10</v>
      </c>
      <c r="K31"/>
    </row>
    <row r="32" spans="1:58" ht="15">
      <c r="A32" s="62">
        <v>9</v>
      </c>
      <c r="B32" s="62" t="s">
        <v>199</v>
      </c>
      <c r="C32" s="62">
        <v>11</v>
      </c>
      <c r="D32" s="78">
        <v>6</v>
      </c>
      <c r="E32" s="62">
        <v>3</v>
      </c>
      <c r="F32" s="62">
        <v>2</v>
      </c>
      <c r="G32" s="77">
        <v>1</v>
      </c>
      <c r="H32" s="65">
        <v>6</v>
      </c>
      <c r="I32" s="65">
        <v>3</v>
      </c>
      <c r="J32" s="62">
        <v>3</v>
      </c>
      <c r="K32"/>
    </row>
    <row r="33" spans="1:14" ht="15">
      <c r="A33" s="62">
        <v>10</v>
      </c>
      <c r="B33" s="62" t="s">
        <v>37</v>
      </c>
      <c r="C33" s="62">
        <v>10</v>
      </c>
      <c r="D33" s="78">
        <v>5</v>
      </c>
      <c r="E33" s="62">
        <v>3</v>
      </c>
      <c r="F33" s="62">
        <v>1</v>
      </c>
      <c r="G33" s="77">
        <v>1</v>
      </c>
      <c r="H33" s="65">
        <v>11</v>
      </c>
      <c r="I33" s="65">
        <v>6</v>
      </c>
      <c r="J33" s="62">
        <v>5</v>
      </c>
      <c r="K33"/>
    </row>
    <row r="34" spans="1:14" ht="15">
      <c r="A34" s="62">
        <v>11</v>
      </c>
      <c r="B34" s="62" t="s">
        <v>36</v>
      </c>
      <c r="C34" s="62">
        <v>10</v>
      </c>
      <c r="D34" s="78">
        <v>7</v>
      </c>
      <c r="E34" s="62">
        <v>3</v>
      </c>
      <c r="F34" s="62">
        <v>1</v>
      </c>
      <c r="G34" s="77">
        <v>3</v>
      </c>
      <c r="H34" s="65">
        <v>8</v>
      </c>
      <c r="I34" s="65">
        <v>10</v>
      </c>
      <c r="J34" s="62">
        <v>-2</v>
      </c>
      <c r="K34"/>
      <c r="L34" s="74"/>
      <c r="M34" s="74"/>
      <c r="N34" s="68"/>
    </row>
    <row r="35" spans="1:14" ht="15">
      <c r="A35" s="62">
        <v>12</v>
      </c>
      <c r="B35" s="62" t="s">
        <v>40</v>
      </c>
      <c r="C35" s="62">
        <v>10</v>
      </c>
      <c r="D35" s="78">
        <v>6</v>
      </c>
      <c r="E35" s="62">
        <v>3</v>
      </c>
      <c r="F35" s="62">
        <v>1</v>
      </c>
      <c r="G35" s="77">
        <v>2</v>
      </c>
      <c r="H35" s="65">
        <v>6</v>
      </c>
      <c r="I35" s="65">
        <v>9</v>
      </c>
      <c r="J35" s="62">
        <v>-3</v>
      </c>
      <c r="K35"/>
      <c r="L35" s="71"/>
      <c r="M35" s="71"/>
      <c r="N35" s="68"/>
    </row>
    <row r="36" spans="1:14" ht="15">
      <c r="A36" s="62">
        <v>13</v>
      </c>
      <c r="B36" s="62" t="s">
        <v>35</v>
      </c>
      <c r="C36" s="62">
        <v>8</v>
      </c>
      <c r="D36" s="78">
        <v>6</v>
      </c>
      <c r="E36" s="62">
        <v>2</v>
      </c>
      <c r="F36" s="62">
        <v>2</v>
      </c>
      <c r="G36" s="77">
        <v>2</v>
      </c>
      <c r="H36" s="65">
        <v>6</v>
      </c>
      <c r="I36" s="65">
        <v>5</v>
      </c>
      <c r="J36" s="62">
        <v>1</v>
      </c>
      <c r="K36"/>
    </row>
    <row r="37" spans="1:14" ht="15">
      <c r="A37" s="62">
        <v>14</v>
      </c>
      <c r="B37" s="62" t="s">
        <v>41</v>
      </c>
      <c r="C37" s="62">
        <v>8</v>
      </c>
      <c r="D37" s="78">
        <v>5</v>
      </c>
      <c r="E37" s="62">
        <v>2</v>
      </c>
      <c r="F37" s="62">
        <v>2</v>
      </c>
      <c r="G37" s="77">
        <v>1</v>
      </c>
      <c r="H37" s="65">
        <v>7</v>
      </c>
      <c r="I37" s="65">
        <v>7</v>
      </c>
      <c r="J37" s="62">
        <v>0</v>
      </c>
      <c r="K37"/>
    </row>
    <row r="38" spans="1:14" ht="15">
      <c r="A38" s="62">
        <v>15</v>
      </c>
      <c r="B38" s="62" t="s">
        <v>200</v>
      </c>
      <c r="C38" s="62">
        <v>7</v>
      </c>
      <c r="D38" s="78">
        <v>6</v>
      </c>
      <c r="E38" s="62">
        <v>2</v>
      </c>
      <c r="F38" s="62">
        <v>1</v>
      </c>
      <c r="G38" s="77">
        <v>3</v>
      </c>
      <c r="H38" s="65">
        <v>6</v>
      </c>
      <c r="I38" s="65">
        <v>9</v>
      </c>
      <c r="J38" s="62">
        <v>-3</v>
      </c>
      <c r="K38"/>
    </row>
    <row r="39" spans="1:14" ht="15">
      <c r="A39" s="62">
        <v>16</v>
      </c>
      <c r="B39" s="62" t="s">
        <v>48</v>
      </c>
      <c r="C39" s="62">
        <v>6</v>
      </c>
      <c r="D39" s="78">
        <v>6</v>
      </c>
      <c r="E39" s="62">
        <v>1</v>
      </c>
      <c r="F39" s="62">
        <v>3</v>
      </c>
      <c r="G39" s="77">
        <v>2</v>
      </c>
      <c r="H39" s="65">
        <v>6</v>
      </c>
      <c r="I39" s="65">
        <v>9</v>
      </c>
      <c r="J39" s="62">
        <v>-3</v>
      </c>
      <c r="K39"/>
      <c r="L39" s="74"/>
      <c r="M39" s="74"/>
      <c r="N39" s="68"/>
    </row>
    <row r="40" spans="1:14" ht="15">
      <c r="A40" s="62">
        <v>17</v>
      </c>
      <c r="B40" s="62" t="s">
        <v>47</v>
      </c>
      <c r="C40" s="62">
        <v>6</v>
      </c>
      <c r="D40" s="78">
        <v>7</v>
      </c>
      <c r="E40" s="62">
        <v>2</v>
      </c>
      <c r="F40" s="62">
        <v>0</v>
      </c>
      <c r="G40" s="77">
        <v>5</v>
      </c>
      <c r="H40" s="65">
        <v>5</v>
      </c>
      <c r="I40" s="65">
        <v>13</v>
      </c>
      <c r="J40" s="62">
        <v>-8</v>
      </c>
      <c r="K40"/>
      <c r="L40" s="71"/>
      <c r="M40" s="73"/>
      <c r="N40" s="68"/>
    </row>
    <row r="41" spans="1:14" ht="15">
      <c r="A41" s="62">
        <v>18</v>
      </c>
      <c r="B41" s="62" t="s">
        <v>45</v>
      </c>
      <c r="C41" s="62">
        <v>4</v>
      </c>
      <c r="D41" s="78">
        <v>6</v>
      </c>
      <c r="E41" s="62">
        <v>1</v>
      </c>
      <c r="F41" s="62">
        <v>1</v>
      </c>
      <c r="G41" s="77">
        <v>4</v>
      </c>
      <c r="H41" s="65">
        <v>5</v>
      </c>
      <c r="I41" s="65">
        <v>6</v>
      </c>
      <c r="J41" s="62">
        <v>-1</v>
      </c>
      <c r="K41"/>
    </row>
    <row r="42" spans="1:14" ht="15">
      <c r="A42" s="62">
        <v>19</v>
      </c>
      <c r="B42" s="62" t="s">
        <v>44</v>
      </c>
      <c r="C42" s="62">
        <v>4</v>
      </c>
      <c r="D42" s="78">
        <v>5</v>
      </c>
      <c r="E42" s="62">
        <v>1</v>
      </c>
      <c r="F42" s="62">
        <v>1</v>
      </c>
      <c r="G42" s="77">
        <v>3</v>
      </c>
      <c r="H42" s="65">
        <v>5</v>
      </c>
      <c r="I42" s="65">
        <v>7</v>
      </c>
      <c r="J42" s="62">
        <v>-2</v>
      </c>
      <c r="K42"/>
    </row>
    <row r="43" spans="1:14" ht="15">
      <c r="A43" s="62">
        <v>20</v>
      </c>
      <c r="B43" s="62" t="s">
        <v>43</v>
      </c>
      <c r="C43" s="62">
        <v>3</v>
      </c>
      <c r="D43" s="78">
        <v>5</v>
      </c>
      <c r="E43" s="62">
        <v>1</v>
      </c>
      <c r="F43" s="62">
        <v>0</v>
      </c>
      <c r="G43" s="77">
        <v>4</v>
      </c>
      <c r="H43" s="65">
        <v>3</v>
      </c>
      <c r="I43" s="65">
        <v>7</v>
      </c>
      <c r="J43" s="62">
        <v>-4</v>
      </c>
      <c r="K43"/>
    </row>
    <row r="44" spans="1:14" ht="15">
      <c r="D44" s="67"/>
      <c r="G44" s="67"/>
      <c r="K44"/>
    </row>
    <row r="45" spans="1:14" ht="15">
      <c r="C45" s="62" t="s">
        <v>160</v>
      </c>
      <c r="D45" s="67" t="s">
        <v>161</v>
      </c>
      <c r="E45" s="62" t="s">
        <v>106</v>
      </c>
      <c r="F45" s="62" t="s">
        <v>162</v>
      </c>
      <c r="G45" s="67" t="s">
        <v>163</v>
      </c>
      <c r="H45" s="62" t="s">
        <v>164</v>
      </c>
      <c r="I45" s="62" t="s">
        <v>165</v>
      </c>
      <c r="J45" s="62" t="s">
        <v>197</v>
      </c>
      <c r="K45"/>
    </row>
    <row r="46" spans="1:14" ht="15">
      <c r="A46" s="62">
        <v>1</v>
      </c>
      <c r="B46" s="62" t="s">
        <v>31</v>
      </c>
      <c r="C46" s="62">
        <v>13</v>
      </c>
      <c r="D46" s="78">
        <v>6</v>
      </c>
      <c r="E46" s="62">
        <v>4</v>
      </c>
      <c r="F46" s="62">
        <v>1</v>
      </c>
      <c r="G46" s="62">
        <v>1</v>
      </c>
      <c r="H46" s="65">
        <v>14</v>
      </c>
      <c r="I46" s="65">
        <v>6</v>
      </c>
      <c r="J46" s="62">
        <v>8</v>
      </c>
      <c r="K46"/>
    </row>
    <row r="47" spans="1:14" ht="15">
      <c r="A47" s="62">
        <v>2</v>
      </c>
      <c r="B47" s="62" t="s">
        <v>198</v>
      </c>
      <c r="C47" s="62">
        <v>13</v>
      </c>
      <c r="D47" s="78">
        <v>7</v>
      </c>
      <c r="E47" s="62">
        <v>3</v>
      </c>
      <c r="F47" s="62">
        <v>4</v>
      </c>
      <c r="G47" s="77">
        <v>0</v>
      </c>
      <c r="H47" s="65">
        <v>11</v>
      </c>
      <c r="I47" s="65">
        <v>6</v>
      </c>
      <c r="J47" s="62">
        <v>5</v>
      </c>
      <c r="K47"/>
    </row>
    <row r="48" spans="1:14" ht="15">
      <c r="A48" s="62">
        <v>3</v>
      </c>
      <c r="B48" s="62" t="s">
        <v>35</v>
      </c>
      <c r="C48" s="62">
        <v>10</v>
      </c>
      <c r="D48" s="78">
        <v>6</v>
      </c>
      <c r="E48" s="62">
        <v>3</v>
      </c>
      <c r="F48" s="62">
        <v>1</v>
      </c>
      <c r="G48" s="77">
        <v>2</v>
      </c>
      <c r="H48" s="65">
        <v>8</v>
      </c>
      <c r="I48" s="65">
        <v>8</v>
      </c>
      <c r="J48" s="62">
        <v>0</v>
      </c>
      <c r="K48"/>
    </row>
    <row r="49" spans="1:11" ht="15">
      <c r="A49" s="62">
        <v>4</v>
      </c>
      <c r="B49" s="62" t="s">
        <v>199</v>
      </c>
      <c r="C49" s="62">
        <v>10</v>
      </c>
      <c r="D49" s="78">
        <v>6</v>
      </c>
      <c r="E49" s="62">
        <v>3</v>
      </c>
      <c r="F49" s="62">
        <v>1</v>
      </c>
      <c r="G49" s="77">
        <v>2</v>
      </c>
      <c r="H49" s="65">
        <v>6</v>
      </c>
      <c r="I49" s="65">
        <v>8</v>
      </c>
      <c r="J49" s="62">
        <v>-2</v>
      </c>
      <c r="K49"/>
    </row>
    <row r="50" spans="1:11" ht="15">
      <c r="A50" s="62">
        <v>5</v>
      </c>
      <c r="B50" s="62" t="s">
        <v>43</v>
      </c>
      <c r="C50" s="62">
        <v>9</v>
      </c>
      <c r="D50" s="78">
        <v>7</v>
      </c>
      <c r="E50" s="62">
        <v>2</v>
      </c>
      <c r="F50" s="62">
        <v>3</v>
      </c>
      <c r="G50" s="77">
        <v>2</v>
      </c>
      <c r="H50" s="65">
        <v>11</v>
      </c>
      <c r="I50" s="65">
        <v>8</v>
      </c>
      <c r="J50" s="62">
        <v>3</v>
      </c>
      <c r="K50"/>
    </row>
    <row r="51" spans="1:11" ht="15">
      <c r="A51" s="62">
        <v>6</v>
      </c>
      <c r="B51" s="62" t="s">
        <v>33</v>
      </c>
      <c r="C51" s="62">
        <v>8</v>
      </c>
      <c r="D51" s="78">
        <v>5</v>
      </c>
      <c r="E51" s="62">
        <v>2</v>
      </c>
      <c r="F51" s="62">
        <v>2</v>
      </c>
      <c r="G51" s="77">
        <v>1</v>
      </c>
      <c r="H51" s="65">
        <v>4</v>
      </c>
      <c r="I51" s="65">
        <v>3</v>
      </c>
      <c r="J51" s="62">
        <v>1</v>
      </c>
      <c r="K51"/>
    </row>
    <row r="52" spans="1:11" ht="15">
      <c r="A52" s="62">
        <v>7</v>
      </c>
      <c r="B52" s="62" t="s">
        <v>36</v>
      </c>
      <c r="C52" s="62">
        <v>7</v>
      </c>
      <c r="D52" s="78">
        <v>5</v>
      </c>
      <c r="E52" s="62">
        <v>2</v>
      </c>
      <c r="F52" s="62">
        <v>1</v>
      </c>
      <c r="G52" s="77">
        <v>2</v>
      </c>
      <c r="H52" s="65">
        <v>9</v>
      </c>
      <c r="I52" s="65">
        <v>8</v>
      </c>
      <c r="J52" s="62">
        <v>1</v>
      </c>
      <c r="K52"/>
    </row>
    <row r="53" spans="1:11" ht="15">
      <c r="A53" s="62">
        <v>8</v>
      </c>
      <c r="B53" s="62" t="s">
        <v>34</v>
      </c>
      <c r="C53" s="62">
        <v>7</v>
      </c>
      <c r="D53" s="78">
        <v>6</v>
      </c>
      <c r="E53" s="62">
        <v>2</v>
      </c>
      <c r="F53" s="62">
        <v>1</v>
      </c>
      <c r="G53" s="77">
        <v>3</v>
      </c>
      <c r="H53" s="65">
        <v>6</v>
      </c>
      <c r="I53" s="65">
        <v>8</v>
      </c>
      <c r="J53" s="62">
        <v>-2</v>
      </c>
      <c r="K53"/>
    </row>
    <row r="54" spans="1:11" ht="15">
      <c r="A54" s="62">
        <v>9</v>
      </c>
      <c r="B54" s="62" t="s">
        <v>44</v>
      </c>
      <c r="C54" s="62">
        <v>7</v>
      </c>
      <c r="D54" s="78">
        <v>7</v>
      </c>
      <c r="E54" s="62">
        <v>2</v>
      </c>
      <c r="F54" s="62">
        <v>1</v>
      </c>
      <c r="G54" s="77">
        <v>4</v>
      </c>
      <c r="H54" s="65">
        <v>6</v>
      </c>
      <c r="I54" s="65">
        <v>8</v>
      </c>
      <c r="J54" s="62">
        <v>-2</v>
      </c>
      <c r="K54"/>
    </row>
    <row r="55" spans="1:11" ht="15">
      <c r="A55" s="62">
        <v>10</v>
      </c>
      <c r="B55" s="62" t="s">
        <v>41</v>
      </c>
      <c r="C55" s="62">
        <v>6</v>
      </c>
      <c r="D55" s="78">
        <v>7</v>
      </c>
      <c r="E55" s="62">
        <v>2</v>
      </c>
      <c r="F55" s="62">
        <v>0</v>
      </c>
      <c r="G55" s="77">
        <v>5</v>
      </c>
      <c r="H55" s="65">
        <v>7</v>
      </c>
      <c r="I55" s="65">
        <v>10</v>
      </c>
      <c r="J55" s="62">
        <v>-3</v>
      </c>
      <c r="K55"/>
    </row>
    <row r="56" spans="1:11">
      <c r="A56" s="62">
        <v>11</v>
      </c>
      <c r="B56" s="62" t="s">
        <v>47</v>
      </c>
      <c r="C56" s="62">
        <v>6</v>
      </c>
      <c r="D56" s="78">
        <v>5</v>
      </c>
      <c r="E56" s="62">
        <v>2</v>
      </c>
      <c r="F56" s="62">
        <v>0</v>
      </c>
      <c r="G56" s="77">
        <v>3</v>
      </c>
      <c r="H56" s="65">
        <v>4</v>
      </c>
      <c r="I56" s="65">
        <v>8</v>
      </c>
      <c r="J56" s="62">
        <v>-4</v>
      </c>
    </row>
    <row r="57" spans="1:11">
      <c r="A57" s="62">
        <v>12</v>
      </c>
      <c r="B57" s="62" t="s">
        <v>45</v>
      </c>
      <c r="C57" s="62">
        <v>6</v>
      </c>
      <c r="D57" s="78">
        <v>6</v>
      </c>
      <c r="E57" s="62">
        <v>2</v>
      </c>
      <c r="F57" s="62">
        <v>0</v>
      </c>
      <c r="G57" s="77">
        <v>4</v>
      </c>
      <c r="H57" s="65">
        <v>5</v>
      </c>
      <c r="I57" s="65">
        <v>10</v>
      </c>
      <c r="J57" s="62">
        <v>-5</v>
      </c>
    </row>
    <row r="58" spans="1:11">
      <c r="A58" s="62">
        <v>13</v>
      </c>
      <c r="B58" s="62" t="s">
        <v>37</v>
      </c>
      <c r="C58" s="62">
        <v>6</v>
      </c>
      <c r="D58" s="78">
        <v>7</v>
      </c>
      <c r="E58" s="62">
        <v>1</v>
      </c>
      <c r="F58" s="62">
        <v>3</v>
      </c>
      <c r="G58" s="77">
        <v>3</v>
      </c>
      <c r="H58" s="65">
        <v>3</v>
      </c>
      <c r="I58" s="65">
        <v>8</v>
      </c>
      <c r="J58" s="62">
        <v>-5</v>
      </c>
    </row>
    <row r="59" spans="1:11">
      <c r="A59" s="62">
        <v>14</v>
      </c>
      <c r="B59" s="62" t="s">
        <v>32</v>
      </c>
      <c r="C59" s="62">
        <v>5</v>
      </c>
      <c r="D59" s="78">
        <v>5</v>
      </c>
      <c r="E59" s="62">
        <v>1</v>
      </c>
      <c r="F59" s="62">
        <v>2</v>
      </c>
      <c r="G59" s="77">
        <v>2</v>
      </c>
      <c r="H59" s="65">
        <v>7</v>
      </c>
      <c r="I59" s="65">
        <v>7</v>
      </c>
      <c r="J59" s="62">
        <v>0</v>
      </c>
    </row>
    <row r="60" spans="1:11">
      <c r="A60" s="62">
        <v>15</v>
      </c>
      <c r="B60" s="62" t="s">
        <v>42</v>
      </c>
      <c r="C60" s="62">
        <v>5</v>
      </c>
      <c r="D60" s="78">
        <v>6</v>
      </c>
      <c r="E60" s="62">
        <v>1</v>
      </c>
      <c r="F60" s="62">
        <v>2</v>
      </c>
      <c r="G60" s="77">
        <v>3</v>
      </c>
      <c r="H60" s="65">
        <v>4</v>
      </c>
      <c r="I60" s="65">
        <v>8</v>
      </c>
      <c r="J60" s="62">
        <v>-4</v>
      </c>
    </row>
    <row r="61" spans="1:11">
      <c r="A61" s="62">
        <v>16</v>
      </c>
      <c r="B61" s="62" t="s">
        <v>40</v>
      </c>
      <c r="C61" s="62">
        <v>5</v>
      </c>
      <c r="D61" s="78">
        <v>6</v>
      </c>
      <c r="E61" s="62">
        <v>1</v>
      </c>
      <c r="F61" s="62">
        <v>2</v>
      </c>
      <c r="G61" s="77">
        <v>3</v>
      </c>
      <c r="H61" s="65">
        <v>6</v>
      </c>
      <c r="I61" s="65">
        <v>12</v>
      </c>
      <c r="J61" s="62">
        <v>-6</v>
      </c>
    </row>
    <row r="62" spans="1:11">
      <c r="A62" s="62">
        <v>17</v>
      </c>
      <c r="B62" s="62" t="s">
        <v>48</v>
      </c>
      <c r="C62" s="62">
        <v>4</v>
      </c>
      <c r="D62" s="78">
        <v>6</v>
      </c>
      <c r="E62" s="62">
        <v>1</v>
      </c>
      <c r="F62" s="62">
        <v>1</v>
      </c>
      <c r="G62" s="77">
        <v>4</v>
      </c>
      <c r="H62" s="65">
        <v>3</v>
      </c>
      <c r="I62" s="65">
        <v>8</v>
      </c>
      <c r="J62" s="62">
        <v>-5</v>
      </c>
    </row>
    <row r="63" spans="1:11">
      <c r="A63" s="62">
        <v>18</v>
      </c>
      <c r="B63" s="62" t="s">
        <v>39</v>
      </c>
      <c r="C63" s="62">
        <v>4</v>
      </c>
      <c r="D63" s="78">
        <v>5</v>
      </c>
      <c r="E63" s="62">
        <v>1</v>
      </c>
      <c r="F63" s="62">
        <v>1</v>
      </c>
      <c r="G63" s="77">
        <v>3</v>
      </c>
      <c r="H63" s="65">
        <v>2</v>
      </c>
      <c r="I63" s="65">
        <v>7</v>
      </c>
      <c r="J63" s="62">
        <v>-5</v>
      </c>
    </row>
    <row r="64" spans="1:11">
      <c r="A64" s="62">
        <v>19</v>
      </c>
      <c r="B64" s="62" t="s">
        <v>38</v>
      </c>
      <c r="C64" s="62">
        <v>4</v>
      </c>
      <c r="D64" s="78">
        <v>6</v>
      </c>
      <c r="E64" s="62">
        <v>1</v>
      </c>
      <c r="F64" s="62">
        <v>1</v>
      </c>
      <c r="G64" s="77">
        <v>4</v>
      </c>
      <c r="H64" s="65">
        <v>1</v>
      </c>
      <c r="I64" s="65">
        <v>7</v>
      </c>
      <c r="J64" s="62">
        <v>-6</v>
      </c>
    </row>
    <row r="65" spans="1:10">
      <c r="A65" s="62">
        <v>20</v>
      </c>
      <c r="B65" s="62" t="s">
        <v>200</v>
      </c>
      <c r="C65" s="62">
        <v>3</v>
      </c>
      <c r="D65" s="78">
        <v>6</v>
      </c>
      <c r="E65" s="62">
        <v>1</v>
      </c>
      <c r="F65" s="62">
        <v>0</v>
      </c>
      <c r="G65" s="62">
        <v>5</v>
      </c>
      <c r="H65" s="65">
        <v>5</v>
      </c>
      <c r="I65" s="65">
        <v>13</v>
      </c>
      <c r="J65" s="62">
        <v>-8</v>
      </c>
    </row>
    <row r="67" spans="1:10" ht="318.75">
      <c r="A67" s="62" t="s">
        <v>203</v>
      </c>
      <c r="B67" s="62" t="s">
        <v>204</v>
      </c>
      <c r="C67" s="64" t="s">
        <v>205</v>
      </c>
    </row>
    <row r="68" spans="1:10">
      <c r="C68" s="62" t="s">
        <v>206</v>
      </c>
      <c r="E68" s="62" t="s">
        <v>207</v>
      </c>
      <c r="F68" s="62" t="s">
        <v>208</v>
      </c>
      <c r="G68" s="62" t="s">
        <v>209</v>
      </c>
      <c r="H68" s="62" t="s">
        <v>210</v>
      </c>
      <c r="I68" s="62" t="s">
        <v>211</v>
      </c>
    </row>
    <row r="69" spans="1:10">
      <c r="A69" s="62" t="s">
        <v>212</v>
      </c>
      <c r="B69" s="62">
        <v>12</v>
      </c>
      <c r="D69" s="62" t="s">
        <v>144</v>
      </c>
      <c r="E69" s="62" t="s">
        <v>213</v>
      </c>
      <c r="F69" s="67">
        <v>0.57999999999999996</v>
      </c>
      <c r="G69" s="81">
        <v>0.25</v>
      </c>
      <c r="H69" s="67">
        <v>0.25</v>
      </c>
      <c r="I69" s="67">
        <v>0.08</v>
      </c>
    </row>
    <row r="70" spans="1:10">
      <c r="A70" s="62" t="s">
        <v>214</v>
      </c>
      <c r="B70" s="62">
        <v>12</v>
      </c>
      <c r="D70" s="62" t="s">
        <v>136</v>
      </c>
      <c r="E70" s="62" t="s">
        <v>215</v>
      </c>
      <c r="F70" s="67">
        <v>0.83</v>
      </c>
      <c r="G70" s="81">
        <v>0.57999999999999996</v>
      </c>
      <c r="H70" s="67">
        <v>0.17</v>
      </c>
      <c r="I70" s="67">
        <v>0.08</v>
      </c>
    </row>
    <row r="71" spans="1:10">
      <c r="A71" s="62" t="s">
        <v>216</v>
      </c>
      <c r="B71" s="62">
        <v>12</v>
      </c>
      <c r="D71" s="62" t="s">
        <v>107</v>
      </c>
      <c r="E71" s="62" t="s">
        <v>213</v>
      </c>
      <c r="F71" s="67">
        <v>0.67</v>
      </c>
      <c r="G71" s="81">
        <v>0.42</v>
      </c>
      <c r="H71" s="67">
        <v>0.17</v>
      </c>
      <c r="I71" s="67">
        <v>0.17</v>
      </c>
    </row>
    <row r="72" spans="1:10">
      <c r="A72" s="62" t="s">
        <v>217</v>
      </c>
      <c r="B72" s="62">
        <v>12</v>
      </c>
      <c r="D72" s="62" t="s">
        <v>134</v>
      </c>
      <c r="E72" s="62" t="s">
        <v>213</v>
      </c>
      <c r="F72" s="67">
        <v>0.83</v>
      </c>
      <c r="G72" s="81">
        <v>0.5</v>
      </c>
      <c r="H72" s="67">
        <v>0.17</v>
      </c>
      <c r="I72" s="67">
        <v>0.08</v>
      </c>
    </row>
    <row r="73" spans="1:10">
      <c r="A73" s="62" t="s">
        <v>218</v>
      </c>
      <c r="B73" s="62">
        <v>12</v>
      </c>
      <c r="D73" s="62" t="s">
        <v>219</v>
      </c>
      <c r="E73" s="62" t="s">
        <v>215</v>
      </c>
      <c r="F73" s="67">
        <v>0.5</v>
      </c>
      <c r="G73" s="81">
        <v>0.42</v>
      </c>
      <c r="H73" s="67">
        <v>0.17</v>
      </c>
      <c r="I73" s="67">
        <v>0.08</v>
      </c>
    </row>
    <row r="74" spans="1:10">
      <c r="A74" s="62" t="s">
        <v>220</v>
      </c>
      <c r="B74" s="62">
        <v>12</v>
      </c>
      <c r="D74" s="62" t="s">
        <v>144</v>
      </c>
      <c r="E74" s="62" t="s">
        <v>213</v>
      </c>
      <c r="F74" s="67">
        <v>0.57999999999999996</v>
      </c>
      <c r="G74" s="81">
        <v>0.33</v>
      </c>
      <c r="H74" s="67">
        <v>0.17</v>
      </c>
      <c r="I74" s="67">
        <v>0.08</v>
      </c>
    </row>
    <row r="75" spans="1:10">
      <c r="A75" s="62" t="s">
        <v>221</v>
      </c>
      <c r="B75" s="62">
        <v>12</v>
      </c>
      <c r="D75" s="62" t="s">
        <v>150</v>
      </c>
      <c r="E75" s="62" t="s">
        <v>222</v>
      </c>
      <c r="F75" s="67">
        <v>0.57999999999999996</v>
      </c>
      <c r="G75" s="81">
        <v>0.17</v>
      </c>
      <c r="H75" s="67">
        <v>0</v>
      </c>
      <c r="I75" s="67">
        <v>0</v>
      </c>
    </row>
    <row r="76" spans="1:10">
      <c r="A76" s="62" t="s">
        <v>223</v>
      </c>
      <c r="B76" s="62">
        <v>12</v>
      </c>
      <c r="D76" s="62" t="s">
        <v>144</v>
      </c>
      <c r="E76" s="62" t="s">
        <v>213</v>
      </c>
      <c r="F76" s="67">
        <v>0.67</v>
      </c>
      <c r="G76" s="81">
        <v>0.42</v>
      </c>
      <c r="H76" s="67">
        <v>0.17</v>
      </c>
      <c r="I76" s="67">
        <v>0</v>
      </c>
    </row>
    <row r="77" spans="1:10">
      <c r="A77" s="62" t="s">
        <v>224</v>
      </c>
      <c r="B77" s="62">
        <v>12</v>
      </c>
      <c r="D77" s="62" t="s">
        <v>126</v>
      </c>
      <c r="E77" s="62" t="s">
        <v>215</v>
      </c>
      <c r="F77" s="67">
        <v>0.83</v>
      </c>
      <c r="G77" s="81">
        <v>0.57999999999999996</v>
      </c>
      <c r="H77" s="67">
        <v>0.25</v>
      </c>
      <c r="I77" s="67">
        <v>0.08</v>
      </c>
    </row>
    <row r="78" spans="1:10">
      <c r="A78" s="62" t="s">
        <v>225</v>
      </c>
      <c r="B78" s="62">
        <v>12</v>
      </c>
      <c r="D78" s="62" t="s">
        <v>128</v>
      </c>
      <c r="E78" s="62" t="s">
        <v>215</v>
      </c>
      <c r="F78" s="67">
        <v>0.83</v>
      </c>
      <c r="G78" s="81">
        <v>0.67</v>
      </c>
      <c r="H78" s="67">
        <v>0.33</v>
      </c>
      <c r="I78" s="67">
        <v>0.17</v>
      </c>
    </row>
    <row r="79" spans="1:10">
      <c r="A79" s="62" t="s">
        <v>226</v>
      </c>
      <c r="B79" s="62">
        <v>12</v>
      </c>
      <c r="D79" s="62" t="s">
        <v>145</v>
      </c>
      <c r="E79" s="62" t="s">
        <v>222</v>
      </c>
      <c r="F79" s="67">
        <v>0.57999999999999996</v>
      </c>
      <c r="G79" s="81">
        <v>0.42</v>
      </c>
      <c r="H79" s="67">
        <v>0.17</v>
      </c>
      <c r="I79" s="67">
        <v>0.08</v>
      </c>
    </row>
    <row r="80" spans="1:10">
      <c r="A80" s="62" t="s">
        <v>227</v>
      </c>
      <c r="B80" s="62">
        <v>12</v>
      </c>
      <c r="D80" s="62" t="s">
        <v>143</v>
      </c>
      <c r="E80" s="62" t="s">
        <v>215</v>
      </c>
      <c r="F80" s="67">
        <v>0.67</v>
      </c>
      <c r="G80" s="81">
        <v>0.33</v>
      </c>
      <c r="H80" s="67">
        <v>0.17</v>
      </c>
      <c r="I80" s="67">
        <v>0.08</v>
      </c>
    </row>
    <row r="81" spans="1:9">
      <c r="A81" s="62" t="s">
        <v>228</v>
      </c>
      <c r="B81" s="62">
        <v>12</v>
      </c>
      <c r="D81" s="62" t="s">
        <v>142</v>
      </c>
      <c r="E81" s="62" t="s">
        <v>213</v>
      </c>
      <c r="F81" s="67">
        <v>0.5</v>
      </c>
      <c r="G81" s="81">
        <v>0.17</v>
      </c>
      <c r="H81" s="67">
        <v>0.08</v>
      </c>
      <c r="I81" s="67">
        <v>0.08</v>
      </c>
    </row>
    <row r="82" spans="1:9">
      <c r="A82" s="62" t="s">
        <v>229</v>
      </c>
      <c r="B82" s="62">
        <v>12</v>
      </c>
      <c r="D82" s="62" t="s">
        <v>150</v>
      </c>
      <c r="E82" s="62" t="s">
        <v>213</v>
      </c>
      <c r="F82" s="67">
        <v>0.57999999999999996</v>
      </c>
      <c r="G82" s="81">
        <v>0.08</v>
      </c>
      <c r="H82" s="67">
        <v>0</v>
      </c>
      <c r="I82" s="67">
        <v>0</v>
      </c>
    </row>
    <row r="83" spans="1:9">
      <c r="A83" s="62" t="s">
        <v>230</v>
      </c>
      <c r="B83" s="62">
        <v>12</v>
      </c>
      <c r="D83" s="62" t="s">
        <v>131</v>
      </c>
      <c r="E83" s="62" t="s">
        <v>213</v>
      </c>
      <c r="F83" s="67">
        <v>0.57999999999999996</v>
      </c>
      <c r="G83" s="81">
        <v>0.5</v>
      </c>
      <c r="H83" s="67">
        <v>0.42</v>
      </c>
      <c r="I83" s="67">
        <v>0.17</v>
      </c>
    </row>
    <row r="84" spans="1:9">
      <c r="A84" s="62" t="s">
        <v>231</v>
      </c>
      <c r="B84" s="62">
        <v>12</v>
      </c>
      <c r="D84" s="62" t="s">
        <v>138</v>
      </c>
      <c r="E84" s="62" t="s">
        <v>213</v>
      </c>
      <c r="F84" s="67">
        <v>0.92</v>
      </c>
      <c r="G84" s="81">
        <v>0.42</v>
      </c>
      <c r="H84" s="67">
        <v>0.25</v>
      </c>
      <c r="I84" s="67">
        <v>0.08</v>
      </c>
    </row>
    <row r="85" spans="1:9">
      <c r="A85" s="62" t="s">
        <v>232</v>
      </c>
      <c r="B85" s="62">
        <v>12</v>
      </c>
      <c r="D85" s="62" t="s">
        <v>134</v>
      </c>
      <c r="E85" s="62" t="s">
        <v>215</v>
      </c>
      <c r="F85" s="67">
        <v>0.75</v>
      </c>
      <c r="G85" s="81">
        <v>0.42</v>
      </c>
      <c r="H85" s="67">
        <v>0.33</v>
      </c>
      <c r="I85" s="67">
        <v>0.17</v>
      </c>
    </row>
    <row r="86" spans="1:9">
      <c r="A86" s="62" t="s">
        <v>233</v>
      </c>
      <c r="B86" s="62">
        <v>12</v>
      </c>
      <c r="D86" s="62" t="s">
        <v>135</v>
      </c>
      <c r="E86" s="62" t="s">
        <v>222</v>
      </c>
      <c r="F86" s="67">
        <v>0.75</v>
      </c>
      <c r="G86" s="81">
        <v>0.33</v>
      </c>
      <c r="H86" s="67">
        <v>0.08</v>
      </c>
      <c r="I86" s="67">
        <v>0.08</v>
      </c>
    </row>
    <row r="87" spans="1:9">
      <c r="A87" s="62" t="s">
        <v>234</v>
      </c>
      <c r="B87" s="62">
        <v>12</v>
      </c>
      <c r="D87" s="62" t="s">
        <v>146</v>
      </c>
      <c r="E87" s="62" t="s">
        <v>213</v>
      </c>
      <c r="F87" s="67">
        <v>0.5</v>
      </c>
      <c r="G87" s="81">
        <v>0.25</v>
      </c>
      <c r="H87" s="67">
        <v>0.17</v>
      </c>
      <c r="I87" s="67">
        <v>0.08</v>
      </c>
    </row>
    <row r="88" spans="1:9">
      <c r="A88" s="62" t="s">
        <v>157</v>
      </c>
      <c r="B88" s="62">
        <v>12</v>
      </c>
      <c r="D88" s="62" t="s">
        <v>138</v>
      </c>
      <c r="E88" s="62" t="s">
        <v>215</v>
      </c>
      <c r="F88" s="67">
        <v>0.75</v>
      </c>
      <c r="G88" s="81">
        <v>0.42</v>
      </c>
      <c r="H88" s="67">
        <v>0.17</v>
      </c>
      <c r="I88" s="67">
        <v>0.17</v>
      </c>
    </row>
    <row r="90" spans="1:9">
      <c r="A90" s="62" t="s">
        <v>235</v>
      </c>
      <c r="E90" s="67">
        <v>0.93</v>
      </c>
      <c r="F90" s="67">
        <v>0.68</v>
      </c>
      <c r="G90" s="67">
        <v>0.38</v>
      </c>
      <c r="H90" s="67">
        <v>0.18</v>
      </c>
      <c r="I90" s="67">
        <v>0.09</v>
      </c>
    </row>
    <row r="91" spans="1:9">
      <c r="A91" s="62" t="s">
        <v>236</v>
      </c>
      <c r="B91" s="62" t="s">
        <v>204</v>
      </c>
      <c r="C91" s="62" t="s">
        <v>205</v>
      </c>
      <c r="F91" s="67"/>
      <c r="G91" s="67"/>
      <c r="H91" s="67"/>
      <c r="I91" s="67"/>
    </row>
    <row r="92" spans="1:9">
      <c r="C92" s="62" t="s">
        <v>206</v>
      </c>
      <c r="E92" s="62" t="s">
        <v>207</v>
      </c>
      <c r="F92" s="67" t="s">
        <v>208</v>
      </c>
      <c r="G92" s="81" t="s">
        <v>209</v>
      </c>
      <c r="H92" s="67" t="s">
        <v>210</v>
      </c>
      <c r="I92" s="67" t="s">
        <v>211</v>
      </c>
    </row>
    <row r="93" spans="1:9">
      <c r="A93" s="62" t="s">
        <v>212</v>
      </c>
      <c r="B93" s="62">
        <v>6</v>
      </c>
      <c r="D93" s="62" t="s">
        <v>219</v>
      </c>
      <c r="E93" s="62" t="s">
        <v>222</v>
      </c>
      <c r="F93" s="67">
        <v>0.67</v>
      </c>
      <c r="G93" s="81">
        <v>0.33</v>
      </c>
      <c r="H93" s="67">
        <v>0.33</v>
      </c>
      <c r="I93" s="67">
        <v>0.17</v>
      </c>
    </row>
    <row r="94" spans="1:9">
      <c r="A94" s="62" t="s">
        <v>214</v>
      </c>
      <c r="B94" s="62">
        <v>6</v>
      </c>
      <c r="D94" s="62" t="s">
        <v>158</v>
      </c>
      <c r="E94" s="62" t="s">
        <v>215</v>
      </c>
      <c r="F94" s="67">
        <v>1</v>
      </c>
      <c r="G94" s="81">
        <v>0.67</v>
      </c>
      <c r="H94" s="67">
        <v>0.17</v>
      </c>
      <c r="I94" s="67">
        <v>0.17</v>
      </c>
    </row>
    <row r="95" spans="1:9">
      <c r="A95" s="62" t="s">
        <v>216</v>
      </c>
      <c r="B95" s="62">
        <v>5</v>
      </c>
      <c r="D95" s="62" t="s">
        <v>174</v>
      </c>
      <c r="E95" s="62" t="s">
        <v>215</v>
      </c>
      <c r="F95" s="67">
        <v>0.6</v>
      </c>
      <c r="G95" s="81">
        <v>0.4</v>
      </c>
      <c r="H95" s="67">
        <v>0</v>
      </c>
      <c r="I95" s="67">
        <v>0</v>
      </c>
    </row>
    <row r="96" spans="1:9">
      <c r="A96" s="62" t="s">
        <v>217</v>
      </c>
      <c r="B96" s="62">
        <v>6</v>
      </c>
      <c r="D96" s="62" t="s">
        <v>219</v>
      </c>
      <c r="E96" s="62" t="s">
        <v>222</v>
      </c>
      <c r="F96" s="67">
        <v>0.83</v>
      </c>
      <c r="G96" s="81">
        <v>0.67</v>
      </c>
      <c r="H96" s="67">
        <v>0.17</v>
      </c>
      <c r="I96" s="67">
        <v>0</v>
      </c>
    </row>
    <row r="97" spans="1:9">
      <c r="A97" s="62" t="s">
        <v>218</v>
      </c>
      <c r="B97" s="62">
        <v>7</v>
      </c>
      <c r="D97" s="62" t="s">
        <v>129</v>
      </c>
      <c r="E97" s="62" t="s">
        <v>215</v>
      </c>
      <c r="F97" s="67">
        <v>0.43</v>
      </c>
      <c r="G97" s="81">
        <v>0.28999999999999998</v>
      </c>
      <c r="H97" s="67">
        <v>0.14000000000000001</v>
      </c>
      <c r="I97" s="67">
        <v>0.14000000000000001</v>
      </c>
    </row>
    <row r="98" spans="1:9">
      <c r="A98" s="62" t="s">
        <v>220</v>
      </c>
      <c r="B98" s="62">
        <v>5</v>
      </c>
      <c r="D98" s="62" t="s">
        <v>237</v>
      </c>
      <c r="E98" s="62" t="s">
        <v>238</v>
      </c>
      <c r="F98" s="67">
        <v>0.4</v>
      </c>
      <c r="G98" s="81">
        <v>0.4</v>
      </c>
      <c r="H98" s="67">
        <v>0.4</v>
      </c>
      <c r="I98" s="67">
        <v>0.2</v>
      </c>
    </row>
    <row r="99" spans="1:9">
      <c r="A99" s="62" t="s">
        <v>221</v>
      </c>
      <c r="B99" s="62">
        <v>7</v>
      </c>
      <c r="D99" s="62" t="s">
        <v>148</v>
      </c>
      <c r="E99" s="62" t="s">
        <v>239</v>
      </c>
      <c r="F99" s="67">
        <v>0.56999999999999995</v>
      </c>
      <c r="G99" s="81">
        <v>0.14000000000000001</v>
      </c>
      <c r="H99" s="67">
        <v>0</v>
      </c>
      <c r="I99" s="67">
        <v>0</v>
      </c>
    </row>
    <row r="100" spans="1:9">
      <c r="A100" s="62" t="s">
        <v>223</v>
      </c>
      <c r="B100" s="62">
        <v>6</v>
      </c>
      <c r="D100" s="62" t="s">
        <v>142</v>
      </c>
      <c r="E100" s="62" t="s">
        <v>222</v>
      </c>
      <c r="F100" s="67">
        <v>0.5</v>
      </c>
      <c r="G100" s="81">
        <v>0.33</v>
      </c>
      <c r="H100" s="67">
        <v>0.17</v>
      </c>
      <c r="I100" s="67">
        <v>0</v>
      </c>
    </row>
    <row r="101" spans="1:9">
      <c r="A101" s="62" t="s">
        <v>224</v>
      </c>
      <c r="B101" s="62">
        <v>7</v>
      </c>
      <c r="D101" s="62" t="s">
        <v>132</v>
      </c>
      <c r="E101" s="62" t="s">
        <v>215</v>
      </c>
      <c r="F101" s="67">
        <v>0.71</v>
      </c>
      <c r="G101" s="81">
        <v>0.56999999999999995</v>
      </c>
      <c r="H101" s="67">
        <v>0.28999999999999998</v>
      </c>
      <c r="I101" s="67">
        <v>0.14000000000000001</v>
      </c>
    </row>
    <row r="102" spans="1:9">
      <c r="A102" s="62" t="s">
        <v>225</v>
      </c>
      <c r="B102" s="62">
        <v>6</v>
      </c>
      <c r="D102" s="62" t="s">
        <v>126</v>
      </c>
      <c r="E102" s="62" t="s">
        <v>215</v>
      </c>
      <c r="F102" s="67">
        <v>1</v>
      </c>
      <c r="G102" s="81">
        <v>0.67</v>
      </c>
      <c r="H102" s="67">
        <v>0.17</v>
      </c>
      <c r="I102" s="67">
        <v>0</v>
      </c>
    </row>
    <row r="103" spans="1:9">
      <c r="A103" s="62" t="s">
        <v>226</v>
      </c>
      <c r="B103" s="62">
        <v>6</v>
      </c>
      <c r="D103" s="62" t="s">
        <v>126</v>
      </c>
      <c r="E103" s="62" t="s">
        <v>222</v>
      </c>
      <c r="F103" s="67">
        <v>0.83</v>
      </c>
      <c r="G103" s="81">
        <v>0.67</v>
      </c>
      <c r="H103" s="67">
        <v>0.33</v>
      </c>
      <c r="I103" s="67">
        <v>0.17</v>
      </c>
    </row>
    <row r="104" spans="1:9">
      <c r="A104" s="62" t="s">
        <v>227</v>
      </c>
      <c r="B104" s="62">
        <v>6</v>
      </c>
      <c r="D104" s="62" t="s">
        <v>142</v>
      </c>
      <c r="E104" s="62" t="s">
        <v>215</v>
      </c>
      <c r="F104" s="67">
        <v>0.67</v>
      </c>
      <c r="G104" s="81">
        <v>0.17</v>
      </c>
      <c r="H104" s="67">
        <v>0</v>
      </c>
      <c r="I104" s="67">
        <v>0</v>
      </c>
    </row>
    <row r="105" spans="1:9">
      <c r="A105" s="62" t="s">
        <v>228</v>
      </c>
      <c r="B105" s="62">
        <v>6</v>
      </c>
      <c r="D105" s="62" t="s">
        <v>147</v>
      </c>
      <c r="E105" s="62" t="s">
        <v>215</v>
      </c>
      <c r="F105" s="67">
        <v>0.5</v>
      </c>
      <c r="G105" s="81">
        <v>0.17</v>
      </c>
      <c r="H105" s="67">
        <v>0</v>
      </c>
      <c r="I105" s="67">
        <v>0</v>
      </c>
    </row>
    <row r="106" spans="1:9">
      <c r="A106" s="62" t="s">
        <v>229</v>
      </c>
      <c r="B106" s="62">
        <v>7</v>
      </c>
      <c r="D106" s="62" t="s">
        <v>151</v>
      </c>
      <c r="E106" s="62" t="s">
        <v>215</v>
      </c>
      <c r="F106" s="67">
        <v>0.56999999999999995</v>
      </c>
      <c r="G106" s="81">
        <v>0.14000000000000001</v>
      </c>
      <c r="H106" s="67">
        <v>0</v>
      </c>
      <c r="I106" s="67">
        <v>0</v>
      </c>
    </row>
    <row r="107" spans="1:9">
      <c r="A107" s="62" t="s">
        <v>230</v>
      </c>
      <c r="B107" s="62">
        <v>7</v>
      </c>
      <c r="D107" s="62" t="s">
        <v>129</v>
      </c>
      <c r="E107" s="62" t="s">
        <v>215</v>
      </c>
      <c r="F107" s="67">
        <v>0.56999999999999995</v>
      </c>
      <c r="G107" s="81">
        <v>0.43</v>
      </c>
      <c r="H107" s="67">
        <v>0.43</v>
      </c>
      <c r="I107" s="67">
        <v>0.14000000000000001</v>
      </c>
    </row>
    <row r="108" spans="1:9">
      <c r="A108" s="62" t="s">
        <v>231</v>
      </c>
      <c r="B108" s="62">
        <v>5</v>
      </c>
      <c r="D108" s="62" t="s">
        <v>240</v>
      </c>
      <c r="E108" s="62" t="s">
        <v>215</v>
      </c>
      <c r="F108" s="67">
        <v>1</v>
      </c>
      <c r="G108" s="81">
        <v>0.4</v>
      </c>
      <c r="H108" s="67">
        <v>0.2</v>
      </c>
      <c r="I108" s="67">
        <v>0.2</v>
      </c>
    </row>
    <row r="109" spans="1:9">
      <c r="A109" s="62" t="s">
        <v>232</v>
      </c>
      <c r="B109" s="62">
        <v>6</v>
      </c>
      <c r="D109" s="62" t="s">
        <v>219</v>
      </c>
      <c r="E109" s="62" t="s">
        <v>215</v>
      </c>
      <c r="F109" s="67">
        <v>0.67</v>
      </c>
      <c r="G109" s="81">
        <v>0.33</v>
      </c>
      <c r="H109" s="67">
        <v>0.33</v>
      </c>
      <c r="I109" s="67">
        <v>0.17</v>
      </c>
    </row>
    <row r="110" spans="1:9">
      <c r="A110" s="62" t="s">
        <v>233</v>
      </c>
      <c r="B110" s="62">
        <v>5</v>
      </c>
      <c r="D110" s="62" t="s">
        <v>241</v>
      </c>
      <c r="E110" s="62" t="s">
        <v>215</v>
      </c>
      <c r="F110" s="67">
        <v>1</v>
      </c>
      <c r="G110" s="81">
        <v>0.4</v>
      </c>
      <c r="H110" s="67">
        <v>0.2</v>
      </c>
      <c r="I110" s="67">
        <v>0.2</v>
      </c>
    </row>
    <row r="111" spans="1:9">
      <c r="A111" s="62" t="s">
        <v>234</v>
      </c>
      <c r="B111" s="62">
        <v>6</v>
      </c>
      <c r="D111" s="62" t="s">
        <v>154</v>
      </c>
      <c r="E111" s="62" t="s">
        <v>222</v>
      </c>
      <c r="F111" s="67">
        <v>0.33</v>
      </c>
      <c r="G111" s="81">
        <v>0.17</v>
      </c>
      <c r="H111" s="67">
        <v>0.17</v>
      </c>
      <c r="I111" s="67">
        <v>0</v>
      </c>
    </row>
    <row r="112" spans="1:9">
      <c r="A112" s="62" t="s">
        <v>157</v>
      </c>
      <c r="B112" s="62">
        <v>5</v>
      </c>
      <c r="D112" s="62" t="s">
        <v>240</v>
      </c>
      <c r="E112" s="62" t="s">
        <v>215</v>
      </c>
      <c r="F112" s="67">
        <v>0.8</v>
      </c>
      <c r="G112" s="81">
        <v>0.4</v>
      </c>
      <c r="H112" s="67">
        <v>0.2</v>
      </c>
      <c r="I112" s="67">
        <v>0.2</v>
      </c>
    </row>
    <row r="113" spans="1:9">
      <c r="F113" s="67"/>
      <c r="G113" s="67"/>
      <c r="H113" s="67"/>
      <c r="I113" s="67"/>
    </row>
    <row r="114" spans="1:9">
      <c r="A114" s="62" t="s">
        <v>235</v>
      </c>
      <c r="E114" s="67">
        <v>0.93</v>
      </c>
      <c r="F114" s="67">
        <v>0.68</v>
      </c>
      <c r="G114" s="67">
        <v>0.38</v>
      </c>
      <c r="H114" s="67">
        <v>0.18</v>
      </c>
      <c r="I114" s="67">
        <v>0.09</v>
      </c>
    </row>
    <row r="115" spans="1:9">
      <c r="A115" s="62" t="s">
        <v>242</v>
      </c>
      <c r="B115" s="62" t="s">
        <v>204</v>
      </c>
      <c r="C115" s="62" t="s">
        <v>205</v>
      </c>
      <c r="F115" s="67"/>
      <c r="G115" s="67"/>
      <c r="H115" s="67"/>
      <c r="I115" s="67"/>
    </row>
    <row r="116" spans="1:9">
      <c r="C116" s="62" t="s">
        <v>206</v>
      </c>
      <c r="E116" s="62" t="s">
        <v>207</v>
      </c>
      <c r="F116" s="67" t="s">
        <v>208</v>
      </c>
      <c r="G116" s="67" t="s">
        <v>209</v>
      </c>
      <c r="H116" s="67" t="s">
        <v>210</v>
      </c>
      <c r="I116" s="67" t="s">
        <v>211</v>
      </c>
    </row>
    <row r="117" spans="1:9">
      <c r="A117" s="62" t="s">
        <v>212</v>
      </c>
      <c r="B117" s="62">
        <v>6</v>
      </c>
      <c r="D117" s="62" t="s">
        <v>142</v>
      </c>
      <c r="E117" s="62" t="s">
        <v>215</v>
      </c>
      <c r="F117" s="67">
        <v>0.5</v>
      </c>
      <c r="G117" s="81">
        <v>0.17</v>
      </c>
      <c r="H117" s="67">
        <v>0.17</v>
      </c>
      <c r="I117" s="67">
        <v>0</v>
      </c>
    </row>
    <row r="118" spans="1:9">
      <c r="A118" s="62" t="s">
        <v>214</v>
      </c>
      <c r="B118" s="62">
        <v>6</v>
      </c>
      <c r="D118" s="62" t="s">
        <v>135</v>
      </c>
      <c r="E118" s="62" t="s">
        <v>215</v>
      </c>
      <c r="F118" s="67">
        <v>0.67</v>
      </c>
      <c r="G118" s="81">
        <v>0.5</v>
      </c>
      <c r="H118" s="67">
        <v>0.17</v>
      </c>
      <c r="I118" s="67">
        <v>0</v>
      </c>
    </row>
    <row r="119" spans="1:9">
      <c r="A119" s="62" t="s">
        <v>216</v>
      </c>
      <c r="B119" s="62">
        <v>7</v>
      </c>
      <c r="D119" s="62" t="s">
        <v>140</v>
      </c>
      <c r="E119" s="62" t="s">
        <v>243</v>
      </c>
      <c r="F119" s="67">
        <v>0.71</v>
      </c>
      <c r="G119" s="81">
        <v>0.43</v>
      </c>
      <c r="H119" s="67">
        <v>0.28999999999999998</v>
      </c>
      <c r="I119" s="67">
        <v>0.28999999999999998</v>
      </c>
    </row>
    <row r="120" spans="1:9">
      <c r="A120" s="62" t="s">
        <v>217</v>
      </c>
      <c r="B120" s="62">
        <v>6</v>
      </c>
      <c r="D120" s="62" t="s">
        <v>158</v>
      </c>
      <c r="E120" s="62" t="s">
        <v>215</v>
      </c>
      <c r="F120" s="67">
        <v>0.83</v>
      </c>
      <c r="G120" s="81">
        <v>0.33</v>
      </c>
      <c r="H120" s="67">
        <v>0.17</v>
      </c>
      <c r="I120" s="67">
        <v>0.17</v>
      </c>
    </row>
    <row r="121" spans="1:9">
      <c r="A121" s="62" t="s">
        <v>218</v>
      </c>
      <c r="B121" s="62">
        <v>5</v>
      </c>
      <c r="D121" s="62" t="s">
        <v>237</v>
      </c>
      <c r="E121" s="62" t="s">
        <v>215</v>
      </c>
      <c r="F121" s="67">
        <v>0.6</v>
      </c>
      <c r="G121" s="81">
        <v>0.6</v>
      </c>
      <c r="H121" s="67">
        <v>0.2</v>
      </c>
      <c r="I121" s="67">
        <v>0</v>
      </c>
    </row>
    <row r="122" spans="1:9">
      <c r="A122" s="62" t="s">
        <v>220</v>
      </c>
      <c r="B122" s="62">
        <v>7</v>
      </c>
      <c r="D122" s="62" t="s">
        <v>174</v>
      </c>
      <c r="E122" s="62" t="s">
        <v>215</v>
      </c>
      <c r="F122" s="67">
        <v>0.71</v>
      </c>
      <c r="G122" s="81">
        <v>0.28999999999999998</v>
      </c>
      <c r="H122" s="67">
        <v>0</v>
      </c>
      <c r="I122" s="67">
        <v>0</v>
      </c>
    </row>
    <row r="123" spans="1:9">
      <c r="A123" s="62" t="s">
        <v>221</v>
      </c>
      <c r="B123" s="62">
        <v>5</v>
      </c>
      <c r="D123" s="62" t="s">
        <v>244</v>
      </c>
      <c r="E123" s="62" t="s">
        <v>215</v>
      </c>
      <c r="F123" s="67">
        <v>0.6</v>
      </c>
      <c r="G123" s="81">
        <v>0.2</v>
      </c>
      <c r="H123" s="67">
        <v>0</v>
      </c>
      <c r="I123" s="67">
        <v>0</v>
      </c>
    </row>
    <row r="124" spans="1:9">
      <c r="A124" s="62" t="s">
        <v>223</v>
      </c>
      <c r="B124" s="62">
        <v>6</v>
      </c>
      <c r="D124" s="62" t="s">
        <v>219</v>
      </c>
      <c r="E124" s="62" t="s">
        <v>215</v>
      </c>
      <c r="F124" s="67">
        <v>0.83</v>
      </c>
      <c r="G124" s="81">
        <v>0.5</v>
      </c>
      <c r="H124" s="67">
        <v>0.17</v>
      </c>
      <c r="I124" s="67">
        <v>0</v>
      </c>
    </row>
    <row r="125" spans="1:9">
      <c r="A125" s="62" t="s">
        <v>224</v>
      </c>
      <c r="B125" s="62">
        <v>5</v>
      </c>
      <c r="D125" s="62" t="s">
        <v>240</v>
      </c>
      <c r="E125" s="62" t="s">
        <v>215</v>
      </c>
      <c r="F125" s="67">
        <v>1</v>
      </c>
      <c r="G125" s="81">
        <v>0.6</v>
      </c>
      <c r="H125" s="67">
        <v>0.2</v>
      </c>
      <c r="I125" s="67">
        <v>0</v>
      </c>
    </row>
    <row r="126" spans="1:9">
      <c r="A126" s="62" t="s">
        <v>225</v>
      </c>
      <c r="B126" s="62">
        <v>6</v>
      </c>
      <c r="D126" s="62" t="s">
        <v>127</v>
      </c>
      <c r="E126" s="62" t="s">
        <v>215</v>
      </c>
      <c r="F126" s="67">
        <v>0.67</v>
      </c>
      <c r="G126" s="81">
        <v>0.67</v>
      </c>
      <c r="H126" s="67">
        <v>0.5</v>
      </c>
      <c r="I126" s="67">
        <v>0.33</v>
      </c>
    </row>
    <row r="127" spans="1:9">
      <c r="A127" s="62" t="s">
        <v>226</v>
      </c>
      <c r="B127" s="62">
        <v>6</v>
      </c>
      <c r="D127" s="62" t="s">
        <v>110</v>
      </c>
      <c r="E127" s="62" t="s">
        <v>222</v>
      </c>
      <c r="F127" s="67">
        <v>0.33</v>
      </c>
      <c r="G127" s="81">
        <v>0.17</v>
      </c>
      <c r="H127" s="67">
        <v>0</v>
      </c>
      <c r="I127" s="67">
        <v>0</v>
      </c>
    </row>
    <row r="128" spans="1:9">
      <c r="A128" s="62" t="s">
        <v>227</v>
      </c>
      <c r="B128" s="62">
        <v>6</v>
      </c>
      <c r="D128" s="62" t="s">
        <v>136</v>
      </c>
      <c r="E128" s="62" t="s">
        <v>215</v>
      </c>
      <c r="F128" s="67">
        <v>0.67</v>
      </c>
      <c r="G128" s="81">
        <v>0.5</v>
      </c>
      <c r="H128" s="67">
        <v>0.33</v>
      </c>
      <c r="I128" s="67">
        <v>0.17</v>
      </c>
    </row>
    <row r="129" spans="1:21">
      <c r="A129" s="62" t="s">
        <v>228</v>
      </c>
      <c r="B129" s="62">
        <v>6</v>
      </c>
      <c r="D129" s="62" t="s">
        <v>174</v>
      </c>
      <c r="E129" s="62" t="s">
        <v>222</v>
      </c>
      <c r="F129" s="67">
        <v>0.5</v>
      </c>
      <c r="G129" s="81">
        <v>0.17</v>
      </c>
      <c r="H129" s="67">
        <v>0.17</v>
      </c>
      <c r="I129" s="67">
        <v>0.17</v>
      </c>
    </row>
    <row r="130" spans="1:21">
      <c r="A130" s="62" t="s">
        <v>229</v>
      </c>
      <c r="B130" s="62">
        <v>5</v>
      </c>
      <c r="D130" s="62" t="s">
        <v>245</v>
      </c>
      <c r="E130" s="62" t="s">
        <v>238</v>
      </c>
      <c r="F130" s="67">
        <v>0.6</v>
      </c>
      <c r="G130" s="81">
        <v>0</v>
      </c>
      <c r="H130" s="67">
        <v>0</v>
      </c>
      <c r="I130" s="67">
        <v>0</v>
      </c>
    </row>
    <row r="131" spans="1:21">
      <c r="A131" s="62" t="s">
        <v>230</v>
      </c>
      <c r="B131" s="62">
        <v>5</v>
      </c>
      <c r="D131" s="62" t="s">
        <v>241</v>
      </c>
      <c r="E131" s="62" t="s">
        <v>238</v>
      </c>
      <c r="F131" s="67">
        <v>0.6</v>
      </c>
      <c r="G131" s="81">
        <v>0.6</v>
      </c>
      <c r="H131" s="67">
        <v>0.4</v>
      </c>
      <c r="I131" s="67">
        <v>0.2</v>
      </c>
    </row>
    <row r="132" spans="1:21">
      <c r="A132" s="62" t="s">
        <v>231</v>
      </c>
      <c r="B132" s="62">
        <v>7</v>
      </c>
      <c r="D132" s="62" t="s">
        <v>137</v>
      </c>
      <c r="E132" s="62" t="s">
        <v>243</v>
      </c>
      <c r="F132" s="67">
        <v>0.86</v>
      </c>
      <c r="G132" s="81">
        <v>0.43</v>
      </c>
      <c r="H132" s="67">
        <v>0.28999999999999998</v>
      </c>
      <c r="I132" s="67">
        <v>0</v>
      </c>
    </row>
    <row r="133" spans="1:21">
      <c r="A133" s="62" t="s">
        <v>232</v>
      </c>
      <c r="B133" s="62">
        <v>6</v>
      </c>
      <c r="D133" s="62" t="s">
        <v>158</v>
      </c>
      <c r="E133" s="62" t="s">
        <v>215</v>
      </c>
      <c r="F133" s="67">
        <v>0.83</v>
      </c>
      <c r="G133" s="81">
        <v>0.5</v>
      </c>
      <c r="H133" s="67">
        <v>0.33</v>
      </c>
      <c r="I133" s="67">
        <v>0.17</v>
      </c>
    </row>
    <row r="134" spans="1:21">
      <c r="A134" s="62" t="s">
        <v>233</v>
      </c>
      <c r="B134" s="62">
        <v>7</v>
      </c>
      <c r="D134" s="62" t="s">
        <v>141</v>
      </c>
      <c r="E134" s="62" t="s">
        <v>239</v>
      </c>
      <c r="F134" s="67">
        <v>0.56999999999999995</v>
      </c>
      <c r="G134" s="81">
        <v>0.28999999999999998</v>
      </c>
      <c r="H134" s="67">
        <v>0</v>
      </c>
      <c r="I134" s="67">
        <v>0</v>
      </c>
    </row>
    <row r="135" spans="1:21">
      <c r="A135" s="62" t="s">
        <v>234</v>
      </c>
      <c r="B135" s="62">
        <v>6</v>
      </c>
      <c r="D135" s="62" t="s">
        <v>135</v>
      </c>
      <c r="E135" s="62" t="s">
        <v>215</v>
      </c>
      <c r="F135" s="67">
        <v>0.67</v>
      </c>
      <c r="G135" s="81">
        <v>0.33</v>
      </c>
      <c r="H135" s="67">
        <v>0.17</v>
      </c>
      <c r="I135" s="67">
        <v>0.17</v>
      </c>
    </row>
    <row r="136" spans="1:21">
      <c r="A136" s="62" t="s">
        <v>157</v>
      </c>
      <c r="B136" s="62">
        <v>7</v>
      </c>
      <c r="D136" s="62" t="s">
        <v>137</v>
      </c>
      <c r="E136" s="62" t="s">
        <v>215</v>
      </c>
      <c r="F136" s="67">
        <v>0.71</v>
      </c>
      <c r="G136" s="81">
        <v>0.43</v>
      </c>
      <c r="H136" s="67">
        <v>0.14000000000000001</v>
      </c>
      <c r="I136" s="67">
        <v>0.14000000000000001</v>
      </c>
    </row>
    <row r="137" spans="1:21">
      <c r="F137" s="67"/>
      <c r="G137" s="67"/>
      <c r="H137" s="67"/>
      <c r="I137" s="67"/>
    </row>
    <row r="138" spans="1:21">
      <c r="A138" s="62" t="s">
        <v>235</v>
      </c>
      <c r="E138" s="67">
        <v>0.93</v>
      </c>
      <c r="F138" s="67">
        <v>0.68</v>
      </c>
      <c r="G138" s="67">
        <v>0.38</v>
      </c>
      <c r="H138" s="67">
        <v>0.18</v>
      </c>
      <c r="I138" s="67">
        <v>0.09</v>
      </c>
    </row>
    <row r="140" spans="1:21">
      <c r="S140" s="162" t="s">
        <v>337</v>
      </c>
      <c r="T140" s="162"/>
      <c r="U140" s="162"/>
    </row>
    <row r="141" spans="1:21">
      <c r="C141" s="62" t="s">
        <v>274</v>
      </c>
      <c r="E141" s="62" t="s">
        <v>275</v>
      </c>
      <c r="F141" s="62" t="s">
        <v>276</v>
      </c>
      <c r="G141" s="62" t="s">
        <v>277</v>
      </c>
      <c r="H141" s="62">
        <v>1</v>
      </c>
      <c r="I141" s="62">
        <v>16</v>
      </c>
      <c r="J141" s="62">
        <v>31</v>
      </c>
      <c r="K141" s="62">
        <v>46</v>
      </c>
      <c r="L141" s="62">
        <v>61</v>
      </c>
      <c r="M141" s="62">
        <v>76</v>
      </c>
      <c r="N141" s="62" t="s">
        <v>278</v>
      </c>
    </row>
    <row r="142" spans="1:21">
      <c r="H142" s="62">
        <v>15</v>
      </c>
      <c r="I142" s="62">
        <v>30</v>
      </c>
      <c r="J142" s="62">
        <v>45</v>
      </c>
      <c r="K142" s="62">
        <v>60</v>
      </c>
      <c r="L142" s="62">
        <v>75</v>
      </c>
      <c r="M142" s="62">
        <v>90</v>
      </c>
      <c r="N142" s="62" t="s">
        <v>279</v>
      </c>
      <c r="S142" s="62" t="str">
        <f t="shared" ref="S142:T144" si="6">A143</f>
        <v>A. Lacazette</v>
      </c>
      <c r="T142" s="62" t="str">
        <f t="shared" si="6"/>
        <v>Lyon</v>
      </c>
      <c r="U142" s="62">
        <f>D143</f>
        <v>10</v>
      </c>
    </row>
    <row r="143" spans="1:21">
      <c r="A143" s="62" t="s">
        <v>280</v>
      </c>
      <c r="B143" s="62" t="s">
        <v>32</v>
      </c>
      <c r="D143" s="62">
        <v>10</v>
      </c>
      <c r="E143" s="62">
        <v>1</v>
      </c>
      <c r="F143" s="62">
        <v>6</v>
      </c>
      <c r="G143" s="62">
        <v>4</v>
      </c>
      <c r="H143" s="62">
        <v>1</v>
      </c>
      <c r="I143" s="62">
        <v>0</v>
      </c>
      <c r="J143" s="62">
        <v>2</v>
      </c>
      <c r="K143" s="62">
        <v>0</v>
      </c>
      <c r="L143" s="62">
        <v>3</v>
      </c>
      <c r="M143" s="62">
        <v>4</v>
      </c>
      <c r="N143" s="101">
        <v>41944</v>
      </c>
      <c r="S143" s="62" t="str">
        <f t="shared" si="6"/>
        <v>A. Gignac</v>
      </c>
      <c r="T143" s="62" t="str">
        <f t="shared" si="6"/>
        <v>Marseille</v>
      </c>
      <c r="U143" s="62">
        <f>D144</f>
        <v>10</v>
      </c>
    </row>
    <row r="144" spans="1:21">
      <c r="A144" s="62" t="s">
        <v>281</v>
      </c>
      <c r="B144" s="62" t="s">
        <v>31</v>
      </c>
      <c r="D144" s="62">
        <v>10</v>
      </c>
      <c r="E144" s="62">
        <v>1</v>
      </c>
      <c r="F144" s="62">
        <v>3</v>
      </c>
      <c r="G144" s="62">
        <v>7</v>
      </c>
      <c r="H144" s="62">
        <v>3</v>
      </c>
      <c r="I144" s="62">
        <v>1</v>
      </c>
      <c r="J144" s="62">
        <v>1</v>
      </c>
      <c r="K144" s="62">
        <v>2</v>
      </c>
      <c r="L144" s="62">
        <v>2</v>
      </c>
      <c r="M144" s="62">
        <v>1</v>
      </c>
      <c r="N144" s="101">
        <v>41931</v>
      </c>
      <c r="S144" s="62" t="str">
        <f t="shared" si="6"/>
        <v>Carlos Eduardo</v>
      </c>
      <c r="T144" s="62" t="str">
        <f t="shared" si="6"/>
        <v>Nice</v>
      </c>
      <c r="U144" s="62">
        <f>D145</f>
        <v>6</v>
      </c>
    </row>
    <row r="145" spans="1:14">
      <c r="A145" s="62" t="s">
        <v>282</v>
      </c>
      <c r="B145" s="62" t="s">
        <v>36</v>
      </c>
      <c r="D145" s="62">
        <v>6</v>
      </c>
      <c r="E145" s="62">
        <v>0</v>
      </c>
      <c r="F145" s="62">
        <v>0</v>
      </c>
      <c r="G145" s="62">
        <v>6</v>
      </c>
      <c r="H145" s="62">
        <v>2</v>
      </c>
      <c r="I145" s="62">
        <v>1</v>
      </c>
      <c r="J145" s="62">
        <v>1</v>
      </c>
      <c r="K145" s="62">
        <v>1</v>
      </c>
      <c r="L145" s="62">
        <v>1</v>
      </c>
      <c r="M145" s="62">
        <v>0</v>
      </c>
      <c r="N145" s="101">
        <v>41938</v>
      </c>
    </row>
    <row r="146" spans="1:14">
      <c r="A146" s="62" t="s">
        <v>283</v>
      </c>
      <c r="B146" s="62" t="s">
        <v>41</v>
      </c>
      <c r="D146" s="62">
        <v>6</v>
      </c>
      <c r="E146" s="62">
        <v>1</v>
      </c>
      <c r="F146" s="62">
        <v>3</v>
      </c>
      <c r="G146" s="62">
        <v>3</v>
      </c>
      <c r="H146" s="62">
        <v>1</v>
      </c>
      <c r="I146" s="62">
        <v>2</v>
      </c>
      <c r="J146" s="62">
        <v>2</v>
      </c>
      <c r="K146" s="62">
        <v>0</v>
      </c>
      <c r="L146" s="62">
        <v>1</v>
      </c>
      <c r="M146" s="62">
        <v>0</v>
      </c>
      <c r="N146" s="101">
        <v>41917</v>
      </c>
    </row>
    <row r="147" spans="1:14">
      <c r="A147" s="62" t="s">
        <v>284</v>
      </c>
      <c r="B147" s="62" t="s">
        <v>34</v>
      </c>
      <c r="D147" s="62">
        <v>5</v>
      </c>
      <c r="E147" s="62">
        <v>0</v>
      </c>
      <c r="F147" s="62">
        <v>5</v>
      </c>
      <c r="G147" s="62">
        <v>0</v>
      </c>
      <c r="H147" s="62">
        <v>0</v>
      </c>
      <c r="I147" s="62">
        <v>1</v>
      </c>
      <c r="J147" s="62">
        <v>0</v>
      </c>
      <c r="K147" s="62">
        <v>1</v>
      </c>
      <c r="L147" s="62">
        <v>2</v>
      </c>
      <c r="M147" s="62">
        <v>1</v>
      </c>
      <c r="N147" s="101">
        <v>41945</v>
      </c>
    </row>
    <row r="148" spans="1:14">
      <c r="A148" s="62" t="s">
        <v>285</v>
      </c>
      <c r="B148" s="62" t="s">
        <v>37</v>
      </c>
      <c r="D148" s="62">
        <v>5</v>
      </c>
      <c r="E148" s="62">
        <v>0</v>
      </c>
      <c r="F148" s="62">
        <v>5</v>
      </c>
      <c r="G148" s="62">
        <v>0</v>
      </c>
      <c r="H148" s="62">
        <v>0</v>
      </c>
      <c r="I148" s="62">
        <v>0</v>
      </c>
      <c r="J148" s="62">
        <v>0</v>
      </c>
      <c r="K148" s="62">
        <v>2</v>
      </c>
      <c r="L148" s="62">
        <v>0</v>
      </c>
      <c r="M148" s="62">
        <v>3</v>
      </c>
      <c r="N148" s="101">
        <v>41916</v>
      </c>
    </row>
    <row r="149" spans="1:14">
      <c r="A149" s="62" t="s">
        <v>286</v>
      </c>
      <c r="B149" s="62" t="s">
        <v>198</v>
      </c>
      <c r="D149" s="62">
        <v>5</v>
      </c>
      <c r="E149" s="62">
        <v>2</v>
      </c>
      <c r="F149" s="62">
        <v>4</v>
      </c>
      <c r="G149" s="62">
        <v>1</v>
      </c>
      <c r="H149" s="62">
        <v>0</v>
      </c>
      <c r="I149" s="62">
        <v>2</v>
      </c>
      <c r="J149" s="62">
        <v>1</v>
      </c>
      <c r="K149" s="62">
        <v>1</v>
      </c>
      <c r="L149" s="62">
        <v>1</v>
      </c>
      <c r="M149" s="62">
        <v>0</v>
      </c>
      <c r="N149" s="101">
        <v>41937</v>
      </c>
    </row>
    <row r="150" spans="1:14">
      <c r="A150" s="62" t="s">
        <v>287</v>
      </c>
      <c r="B150" s="62" t="s">
        <v>198</v>
      </c>
      <c r="D150" s="62">
        <v>5</v>
      </c>
      <c r="E150" s="62">
        <v>1</v>
      </c>
      <c r="F150" s="62">
        <v>3</v>
      </c>
      <c r="G150" s="62">
        <v>2</v>
      </c>
      <c r="H150" s="62">
        <v>0</v>
      </c>
      <c r="I150" s="62">
        <v>1</v>
      </c>
      <c r="J150" s="62">
        <v>0</v>
      </c>
      <c r="K150" s="62">
        <v>3</v>
      </c>
      <c r="L150" s="62">
        <v>1</v>
      </c>
      <c r="M150" s="62">
        <v>0</v>
      </c>
      <c r="N150" s="101">
        <v>41944</v>
      </c>
    </row>
    <row r="151" spans="1:14">
      <c r="A151" s="62" t="s">
        <v>288</v>
      </c>
      <c r="B151" s="62" t="s">
        <v>198</v>
      </c>
      <c r="D151" s="62">
        <v>5</v>
      </c>
      <c r="E151" s="62">
        <v>0</v>
      </c>
      <c r="F151" s="62">
        <v>3</v>
      </c>
      <c r="G151" s="62">
        <v>2</v>
      </c>
      <c r="H151" s="62">
        <v>1</v>
      </c>
      <c r="I151" s="62">
        <v>0</v>
      </c>
      <c r="J151" s="62">
        <v>1</v>
      </c>
      <c r="K151" s="62">
        <v>0</v>
      </c>
      <c r="L151" s="62">
        <v>3</v>
      </c>
      <c r="M151" s="62">
        <v>0</v>
      </c>
      <c r="N151" s="62" t="s">
        <v>289</v>
      </c>
    </row>
    <row r="152" spans="1:14">
      <c r="A152" s="62" t="s">
        <v>290</v>
      </c>
      <c r="B152" s="62" t="s">
        <v>32</v>
      </c>
      <c r="D152" s="62">
        <v>4</v>
      </c>
      <c r="E152" s="62">
        <v>0</v>
      </c>
      <c r="F152" s="62">
        <v>4</v>
      </c>
      <c r="G152" s="62">
        <v>0</v>
      </c>
      <c r="H152" s="62">
        <v>0</v>
      </c>
      <c r="I152" s="62">
        <v>1</v>
      </c>
      <c r="J152" s="62">
        <v>2</v>
      </c>
      <c r="K152" s="62">
        <v>0</v>
      </c>
      <c r="L152" s="62">
        <v>1</v>
      </c>
      <c r="M152" s="62">
        <v>0</v>
      </c>
      <c r="N152" s="101">
        <v>41931</v>
      </c>
    </row>
    <row r="153" spans="1:14">
      <c r="A153" s="62" t="s">
        <v>291</v>
      </c>
      <c r="B153" s="62" t="s">
        <v>38</v>
      </c>
      <c r="D153" s="62">
        <v>4</v>
      </c>
      <c r="E153" s="62">
        <v>0</v>
      </c>
      <c r="F153" s="62">
        <v>4</v>
      </c>
      <c r="G153" s="62">
        <v>0</v>
      </c>
      <c r="H153" s="62">
        <v>0</v>
      </c>
      <c r="I153" s="62">
        <v>0</v>
      </c>
      <c r="J153" s="62">
        <v>0</v>
      </c>
      <c r="K153" s="62">
        <v>1</v>
      </c>
      <c r="L153" s="62">
        <v>1</v>
      </c>
      <c r="M153" s="62">
        <v>2</v>
      </c>
      <c r="N153" s="101">
        <v>41909</v>
      </c>
    </row>
    <row r="154" spans="1:14">
      <c r="A154" s="62" t="s">
        <v>292</v>
      </c>
      <c r="B154" s="62" t="s">
        <v>200</v>
      </c>
      <c r="D154" s="62">
        <v>4</v>
      </c>
      <c r="E154" s="62">
        <v>1</v>
      </c>
      <c r="F154" s="62">
        <v>2</v>
      </c>
      <c r="G154" s="62">
        <v>2</v>
      </c>
      <c r="H154" s="62">
        <v>1</v>
      </c>
      <c r="I154" s="62">
        <v>0</v>
      </c>
      <c r="J154" s="62">
        <v>1</v>
      </c>
      <c r="K154" s="62">
        <v>0</v>
      </c>
      <c r="L154" s="62">
        <v>1</v>
      </c>
      <c r="M154" s="62">
        <v>1</v>
      </c>
      <c r="N154" s="101">
        <v>41916</v>
      </c>
    </row>
    <row r="155" spans="1:14">
      <c r="A155" s="62" t="s">
        <v>293</v>
      </c>
      <c r="B155" s="62" t="s">
        <v>34</v>
      </c>
      <c r="D155" s="62">
        <v>4</v>
      </c>
      <c r="E155" s="62">
        <v>1</v>
      </c>
      <c r="F155" s="62">
        <v>1</v>
      </c>
      <c r="G155" s="62">
        <v>3</v>
      </c>
      <c r="H155" s="62">
        <v>0</v>
      </c>
      <c r="I155" s="62">
        <v>2</v>
      </c>
      <c r="J155" s="62">
        <v>1</v>
      </c>
      <c r="K155" s="62">
        <v>0</v>
      </c>
      <c r="L155" s="62">
        <v>0</v>
      </c>
      <c r="M155" s="62">
        <v>1</v>
      </c>
      <c r="N155" s="101">
        <v>41931</v>
      </c>
    </row>
    <row r="156" spans="1:14">
      <c r="A156" s="62" t="s">
        <v>294</v>
      </c>
      <c r="B156" s="62" t="s">
        <v>32</v>
      </c>
      <c r="D156" s="62">
        <v>3</v>
      </c>
      <c r="E156" s="62">
        <v>0</v>
      </c>
      <c r="F156" s="62">
        <v>3</v>
      </c>
      <c r="G156" s="62">
        <v>0</v>
      </c>
      <c r="H156" s="62">
        <v>0</v>
      </c>
      <c r="I156" s="62">
        <v>0</v>
      </c>
      <c r="J156" s="62">
        <v>1</v>
      </c>
      <c r="K156" s="62">
        <v>1</v>
      </c>
      <c r="L156" s="62">
        <v>1</v>
      </c>
      <c r="M156" s="62">
        <v>0</v>
      </c>
      <c r="N156" s="101">
        <v>41938</v>
      </c>
    </row>
    <row r="157" spans="1:14">
      <c r="A157" s="62" t="s">
        <v>295</v>
      </c>
      <c r="B157" s="62" t="s">
        <v>47</v>
      </c>
      <c r="D157" s="62">
        <v>3</v>
      </c>
      <c r="E157" s="62">
        <v>0</v>
      </c>
      <c r="F157" s="62">
        <v>1</v>
      </c>
      <c r="G157" s="62">
        <v>2</v>
      </c>
      <c r="H157" s="62">
        <v>1</v>
      </c>
      <c r="I157" s="62">
        <v>0</v>
      </c>
      <c r="J157" s="62">
        <v>1</v>
      </c>
      <c r="K157" s="62">
        <v>0</v>
      </c>
      <c r="L157" s="62">
        <v>0</v>
      </c>
      <c r="M157" s="62">
        <v>1</v>
      </c>
      <c r="N157" s="101">
        <v>41938</v>
      </c>
    </row>
    <row r="158" spans="1:14">
      <c r="A158" s="62" t="s">
        <v>296</v>
      </c>
      <c r="B158" s="62" t="s">
        <v>40</v>
      </c>
      <c r="D158" s="62">
        <v>3</v>
      </c>
      <c r="E158" s="62">
        <v>0</v>
      </c>
      <c r="F158" s="62">
        <v>1</v>
      </c>
      <c r="G158" s="62">
        <v>2</v>
      </c>
      <c r="H158" s="62">
        <v>0</v>
      </c>
      <c r="I158" s="62">
        <v>0</v>
      </c>
      <c r="J158" s="62">
        <v>0</v>
      </c>
      <c r="K158" s="62">
        <v>0</v>
      </c>
      <c r="L158" s="62">
        <v>1</v>
      </c>
      <c r="M158" s="62">
        <v>2</v>
      </c>
      <c r="N158" s="101">
        <v>41943</v>
      </c>
    </row>
    <row r="159" spans="1:14">
      <c r="A159" s="62" t="s">
        <v>297</v>
      </c>
      <c r="B159" s="62" t="s">
        <v>31</v>
      </c>
      <c r="D159" s="62">
        <v>3</v>
      </c>
      <c r="E159" s="62">
        <v>0</v>
      </c>
      <c r="F159" s="62">
        <v>1</v>
      </c>
      <c r="G159" s="62">
        <v>2</v>
      </c>
      <c r="H159" s="62">
        <v>1</v>
      </c>
      <c r="I159" s="62">
        <v>0</v>
      </c>
      <c r="J159" s="62">
        <v>1</v>
      </c>
      <c r="K159" s="62">
        <v>0</v>
      </c>
      <c r="L159" s="62">
        <v>1</v>
      </c>
      <c r="M159" s="62">
        <v>0</v>
      </c>
      <c r="N159" s="101">
        <v>41910</v>
      </c>
    </row>
    <row r="160" spans="1:14">
      <c r="A160" s="62" t="s">
        <v>298</v>
      </c>
      <c r="B160" s="62" t="s">
        <v>31</v>
      </c>
      <c r="D160" s="62">
        <v>3</v>
      </c>
      <c r="E160" s="62">
        <v>0</v>
      </c>
      <c r="F160" s="62">
        <v>2</v>
      </c>
      <c r="G160" s="62">
        <v>1</v>
      </c>
      <c r="H160" s="62">
        <v>0</v>
      </c>
      <c r="I160" s="62">
        <v>0</v>
      </c>
      <c r="J160" s="62">
        <v>1</v>
      </c>
      <c r="K160" s="62">
        <v>1</v>
      </c>
      <c r="L160" s="62">
        <v>1</v>
      </c>
      <c r="M160" s="62">
        <v>0</v>
      </c>
      <c r="N160" s="101">
        <v>41945</v>
      </c>
    </row>
    <row r="161" spans="1:14">
      <c r="A161" s="62" t="s">
        <v>299</v>
      </c>
      <c r="B161" s="62" t="s">
        <v>31</v>
      </c>
      <c r="D161" s="62">
        <v>3</v>
      </c>
      <c r="E161" s="62">
        <v>0</v>
      </c>
      <c r="F161" s="62">
        <v>3</v>
      </c>
      <c r="G161" s="62">
        <v>0</v>
      </c>
      <c r="H161" s="62">
        <v>0</v>
      </c>
      <c r="I161" s="62">
        <v>2</v>
      </c>
      <c r="J161" s="62">
        <v>0</v>
      </c>
      <c r="K161" s="62">
        <v>1</v>
      </c>
      <c r="L161" s="62">
        <v>0</v>
      </c>
      <c r="M161" s="62">
        <v>0</v>
      </c>
      <c r="N161" s="101">
        <v>41910</v>
      </c>
    </row>
    <row r="162" spans="1:14">
      <c r="A162" s="62" t="s">
        <v>300</v>
      </c>
      <c r="B162" s="62" t="s">
        <v>34</v>
      </c>
      <c r="D162" s="62">
        <v>3</v>
      </c>
      <c r="E162" s="62">
        <v>1</v>
      </c>
      <c r="F162" s="62">
        <v>3</v>
      </c>
      <c r="G162" s="62">
        <v>0</v>
      </c>
      <c r="H162" s="62">
        <v>0</v>
      </c>
      <c r="I162" s="62">
        <v>0</v>
      </c>
      <c r="J162" s="62">
        <v>0</v>
      </c>
      <c r="K162" s="62">
        <v>1</v>
      </c>
      <c r="L162" s="62">
        <v>2</v>
      </c>
      <c r="M162" s="62">
        <v>0</v>
      </c>
      <c r="N162" s="101">
        <v>41910</v>
      </c>
    </row>
    <row r="163" spans="1:14">
      <c r="A163" s="62" t="s">
        <v>301</v>
      </c>
      <c r="B163" s="62" t="s">
        <v>199</v>
      </c>
      <c r="D163" s="62">
        <v>3</v>
      </c>
      <c r="E163" s="62">
        <v>0</v>
      </c>
      <c r="F163" s="62">
        <v>2</v>
      </c>
      <c r="G163" s="62">
        <v>1</v>
      </c>
      <c r="H163" s="62">
        <v>0</v>
      </c>
      <c r="I163" s="62">
        <v>0</v>
      </c>
      <c r="J163" s="62">
        <v>0</v>
      </c>
      <c r="K163" s="62">
        <v>1</v>
      </c>
      <c r="L163" s="62">
        <v>2</v>
      </c>
      <c r="M163" s="62">
        <v>0</v>
      </c>
      <c r="N163" s="101">
        <v>41944</v>
      </c>
    </row>
    <row r="164" spans="1:14">
      <c r="A164" s="62" t="s">
        <v>302</v>
      </c>
      <c r="B164" s="62" t="s">
        <v>33</v>
      </c>
      <c r="D164" s="62">
        <v>3</v>
      </c>
      <c r="E164" s="62">
        <v>2</v>
      </c>
      <c r="F164" s="62">
        <v>1</v>
      </c>
      <c r="G164" s="62">
        <v>2</v>
      </c>
      <c r="H164" s="62">
        <v>1</v>
      </c>
      <c r="I164" s="62">
        <v>0</v>
      </c>
      <c r="J164" s="62">
        <v>1</v>
      </c>
      <c r="K164" s="62">
        <v>0</v>
      </c>
      <c r="L164" s="62">
        <v>1</v>
      </c>
      <c r="M164" s="62">
        <v>0</v>
      </c>
      <c r="N164" s="101">
        <v>41937</v>
      </c>
    </row>
    <row r="165" spans="1:14">
      <c r="A165" s="62" t="s">
        <v>303</v>
      </c>
      <c r="B165" s="62" t="s">
        <v>37</v>
      </c>
      <c r="D165" s="62">
        <v>3</v>
      </c>
      <c r="E165" s="62">
        <v>1</v>
      </c>
      <c r="F165" s="62">
        <v>2</v>
      </c>
      <c r="G165" s="62">
        <v>1</v>
      </c>
      <c r="H165" s="62">
        <v>1</v>
      </c>
      <c r="I165" s="62">
        <v>0</v>
      </c>
      <c r="J165" s="62">
        <v>0</v>
      </c>
      <c r="K165" s="62">
        <v>1</v>
      </c>
      <c r="L165" s="62">
        <v>0</v>
      </c>
      <c r="M165" s="62">
        <v>1</v>
      </c>
      <c r="N165" s="62" t="s">
        <v>304</v>
      </c>
    </row>
    <row r="166" spans="1:14">
      <c r="A166" s="62" t="s">
        <v>305</v>
      </c>
      <c r="B166" s="62" t="s">
        <v>39</v>
      </c>
      <c r="D166" s="62">
        <v>3</v>
      </c>
      <c r="E166" s="62">
        <v>1</v>
      </c>
      <c r="F166" s="62">
        <v>2</v>
      </c>
      <c r="G166" s="62">
        <v>1</v>
      </c>
      <c r="H166" s="62">
        <v>0</v>
      </c>
      <c r="I166" s="62">
        <v>0</v>
      </c>
      <c r="J166" s="62">
        <v>1</v>
      </c>
      <c r="K166" s="62">
        <v>1</v>
      </c>
      <c r="L166" s="62">
        <v>1</v>
      </c>
      <c r="M166" s="62">
        <v>0</v>
      </c>
      <c r="N166" s="101">
        <v>41909</v>
      </c>
    </row>
    <row r="167" spans="1:14">
      <c r="A167" s="62" t="s">
        <v>306</v>
      </c>
      <c r="B167" s="62" t="s">
        <v>45</v>
      </c>
      <c r="D167" s="62">
        <v>3</v>
      </c>
      <c r="E167" s="62">
        <v>0</v>
      </c>
      <c r="F167" s="62">
        <v>2</v>
      </c>
      <c r="G167" s="62">
        <v>1</v>
      </c>
      <c r="H167" s="62">
        <v>0</v>
      </c>
      <c r="I167" s="62">
        <v>0</v>
      </c>
      <c r="J167" s="62">
        <v>0</v>
      </c>
      <c r="K167" s="62">
        <v>0</v>
      </c>
      <c r="L167" s="62">
        <v>0</v>
      </c>
      <c r="M167" s="62">
        <v>3</v>
      </c>
      <c r="N167" s="62" t="s">
        <v>304</v>
      </c>
    </row>
    <row r="168" spans="1:14">
      <c r="A168" s="62" t="s">
        <v>307</v>
      </c>
      <c r="B168" s="62" t="s">
        <v>32</v>
      </c>
      <c r="D168" s="62">
        <v>3</v>
      </c>
      <c r="E168" s="62">
        <v>0</v>
      </c>
      <c r="F168" s="62">
        <v>2</v>
      </c>
      <c r="G168" s="62">
        <v>1</v>
      </c>
      <c r="H168" s="62">
        <v>0</v>
      </c>
      <c r="I168" s="62">
        <v>0</v>
      </c>
      <c r="J168" s="62">
        <v>0</v>
      </c>
      <c r="K168" s="62">
        <v>0</v>
      </c>
      <c r="L168" s="62">
        <v>2</v>
      </c>
      <c r="M168" s="62">
        <v>1</v>
      </c>
      <c r="N168" s="101">
        <v>41944</v>
      </c>
    </row>
    <row r="169" spans="1:14">
      <c r="A169" s="62" t="s">
        <v>308</v>
      </c>
      <c r="B169" s="62" t="s">
        <v>48</v>
      </c>
      <c r="D169" s="62">
        <v>3</v>
      </c>
      <c r="E169" s="62">
        <v>0</v>
      </c>
      <c r="F169" s="62">
        <v>3</v>
      </c>
      <c r="G169" s="62">
        <v>0</v>
      </c>
      <c r="H169" s="62">
        <v>1</v>
      </c>
      <c r="I169" s="62">
        <v>1</v>
      </c>
      <c r="J169" s="62">
        <v>0</v>
      </c>
      <c r="K169" s="62">
        <v>0</v>
      </c>
      <c r="L169" s="62">
        <v>1</v>
      </c>
      <c r="M169" s="62">
        <v>0</v>
      </c>
      <c r="N169" s="101">
        <v>41937</v>
      </c>
    </row>
    <row r="170" spans="1:14">
      <c r="A170" s="62" t="s">
        <v>309</v>
      </c>
      <c r="B170" s="62" t="s">
        <v>36</v>
      </c>
      <c r="D170" s="62">
        <v>3</v>
      </c>
      <c r="E170" s="62">
        <v>0</v>
      </c>
      <c r="F170" s="62">
        <v>3</v>
      </c>
      <c r="G170" s="62">
        <v>0</v>
      </c>
      <c r="H170" s="62">
        <v>1</v>
      </c>
      <c r="I170" s="62">
        <v>0</v>
      </c>
      <c r="J170" s="62">
        <v>0</v>
      </c>
      <c r="K170" s="62">
        <v>0</v>
      </c>
      <c r="L170" s="62">
        <v>1</v>
      </c>
      <c r="M170" s="62">
        <v>1</v>
      </c>
      <c r="N170" s="101">
        <v>41895</v>
      </c>
    </row>
    <row r="171" spans="1:14">
      <c r="A171" s="62" t="s">
        <v>310</v>
      </c>
      <c r="B171" s="62" t="s">
        <v>199</v>
      </c>
      <c r="D171" s="62">
        <v>3</v>
      </c>
      <c r="E171" s="62">
        <v>1</v>
      </c>
      <c r="F171" s="62">
        <v>1</v>
      </c>
      <c r="G171" s="62">
        <v>2</v>
      </c>
      <c r="H171" s="62">
        <v>0</v>
      </c>
      <c r="I171" s="62">
        <v>0</v>
      </c>
      <c r="J171" s="62">
        <v>1</v>
      </c>
      <c r="K171" s="62">
        <v>0</v>
      </c>
      <c r="L171" s="62">
        <v>0</v>
      </c>
      <c r="M171" s="62">
        <v>2</v>
      </c>
      <c r="N171" s="62" t="s">
        <v>311</v>
      </c>
    </row>
    <row r="172" spans="1:14">
      <c r="A172" s="62" t="s">
        <v>312</v>
      </c>
      <c r="B172" s="62" t="s">
        <v>43</v>
      </c>
      <c r="D172" s="62">
        <v>3</v>
      </c>
      <c r="E172" s="62">
        <v>1</v>
      </c>
      <c r="F172" s="62">
        <v>1</v>
      </c>
      <c r="G172" s="62">
        <v>2</v>
      </c>
      <c r="H172" s="62">
        <v>0</v>
      </c>
      <c r="I172" s="62">
        <v>0</v>
      </c>
      <c r="J172" s="62">
        <v>2</v>
      </c>
      <c r="K172" s="62">
        <v>1</v>
      </c>
      <c r="L172" s="62">
        <v>0</v>
      </c>
      <c r="M172" s="62">
        <v>0</v>
      </c>
      <c r="N172" s="101">
        <v>41937</v>
      </c>
    </row>
    <row r="173" spans="1:14">
      <c r="A173" s="62" t="s">
        <v>313</v>
      </c>
      <c r="B173" s="62" t="s">
        <v>38</v>
      </c>
      <c r="D173" s="62">
        <v>2</v>
      </c>
      <c r="E173" s="62">
        <v>0</v>
      </c>
      <c r="F173" s="62">
        <v>2</v>
      </c>
      <c r="G173" s="62">
        <v>0</v>
      </c>
      <c r="H173" s="62">
        <v>1</v>
      </c>
      <c r="I173" s="62">
        <v>0</v>
      </c>
      <c r="J173" s="62">
        <v>0</v>
      </c>
      <c r="K173" s="62">
        <v>1</v>
      </c>
      <c r="L173" s="62">
        <v>0</v>
      </c>
      <c r="M173" s="62">
        <v>0</v>
      </c>
      <c r="N173" s="101">
        <v>41944</v>
      </c>
    </row>
    <row r="174" spans="1:14">
      <c r="A174" s="62" t="s">
        <v>314</v>
      </c>
      <c r="B174" s="62" t="s">
        <v>31</v>
      </c>
      <c r="D174" s="62">
        <v>2</v>
      </c>
      <c r="E174" s="62">
        <v>0</v>
      </c>
      <c r="F174" s="62">
        <v>2</v>
      </c>
      <c r="G174" s="62">
        <v>0</v>
      </c>
      <c r="H174" s="62">
        <v>1</v>
      </c>
      <c r="I174" s="62">
        <v>1</v>
      </c>
      <c r="J174" s="62">
        <v>0</v>
      </c>
      <c r="K174" s="62">
        <v>0</v>
      </c>
      <c r="L174" s="62">
        <v>0</v>
      </c>
      <c r="M174" s="62">
        <v>0</v>
      </c>
      <c r="N174" s="101">
        <v>41945</v>
      </c>
    </row>
    <row r="175" spans="1:14">
      <c r="A175" s="62" t="s">
        <v>315</v>
      </c>
      <c r="B175" s="62" t="s">
        <v>35</v>
      </c>
      <c r="D175" s="62">
        <v>2</v>
      </c>
      <c r="E175" s="62">
        <v>0</v>
      </c>
      <c r="F175" s="62">
        <v>1</v>
      </c>
      <c r="G175" s="62">
        <v>1</v>
      </c>
      <c r="H175" s="62">
        <v>0</v>
      </c>
      <c r="I175" s="62">
        <v>0</v>
      </c>
      <c r="J175" s="62">
        <v>0</v>
      </c>
      <c r="K175" s="62">
        <v>0</v>
      </c>
      <c r="L175" s="62">
        <v>1</v>
      </c>
      <c r="M175" s="62">
        <v>1</v>
      </c>
      <c r="N175" s="101">
        <v>41937</v>
      </c>
    </row>
    <row r="176" spans="1:14">
      <c r="A176" s="62" t="s">
        <v>316</v>
      </c>
      <c r="B176" s="62" t="s">
        <v>47</v>
      </c>
      <c r="D176" s="62">
        <v>2</v>
      </c>
      <c r="E176" s="62">
        <v>0</v>
      </c>
      <c r="F176" s="62">
        <v>1</v>
      </c>
      <c r="G176" s="62">
        <v>1</v>
      </c>
      <c r="H176" s="62">
        <v>0</v>
      </c>
      <c r="I176" s="62">
        <v>0</v>
      </c>
      <c r="J176" s="62">
        <v>0</v>
      </c>
      <c r="K176" s="62">
        <v>1</v>
      </c>
      <c r="L176" s="62">
        <v>1</v>
      </c>
      <c r="M176" s="62">
        <v>0</v>
      </c>
      <c r="N176" s="101">
        <v>41938</v>
      </c>
    </row>
    <row r="177" spans="1:14">
      <c r="A177" s="62" t="s">
        <v>317</v>
      </c>
      <c r="B177" s="62" t="s">
        <v>37</v>
      </c>
      <c r="D177" s="62">
        <v>2</v>
      </c>
      <c r="E177" s="62">
        <v>0</v>
      </c>
      <c r="F177" s="62">
        <v>1</v>
      </c>
      <c r="G177" s="62">
        <v>1</v>
      </c>
      <c r="H177" s="62">
        <v>0</v>
      </c>
      <c r="I177" s="62">
        <v>0</v>
      </c>
      <c r="J177" s="62">
        <v>0</v>
      </c>
      <c r="K177" s="62">
        <v>1</v>
      </c>
      <c r="L177" s="62">
        <v>0</v>
      </c>
      <c r="M177" s="62">
        <v>1</v>
      </c>
      <c r="N177" s="101">
        <v>41938</v>
      </c>
    </row>
    <row r="178" spans="1:14">
      <c r="A178" s="62" t="s">
        <v>318</v>
      </c>
      <c r="B178" s="62" t="s">
        <v>200</v>
      </c>
      <c r="D178" s="62">
        <v>2</v>
      </c>
      <c r="E178" s="62">
        <v>0</v>
      </c>
      <c r="F178" s="62">
        <v>1</v>
      </c>
      <c r="G178" s="62">
        <v>1</v>
      </c>
      <c r="H178" s="62">
        <v>0</v>
      </c>
      <c r="I178" s="62">
        <v>0</v>
      </c>
      <c r="J178" s="62">
        <v>0</v>
      </c>
      <c r="K178" s="62">
        <v>0</v>
      </c>
      <c r="L178" s="62">
        <v>1</v>
      </c>
      <c r="M178" s="62">
        <v>1</v>
      </c>
      <c r="N178" s="101">
        <v>41916</v>
      </c>
    </row>
    <row r="179" spans="1:14">
      <c r="A179" s="62" t="s">
        <v>319</v>
      </c>
      <c r="B179" s="62" t="s">
        <v>198</v>
      </c>
      <c r="D179" s="62">
        <v>2</v>
      </c>
      <c r="E179" s="62">
        <v>0</v>
      </c>
      <c r="F179" s="62">
        <v>0</v>
      </c>
      <c r="G179" s="62">
        <v>2</v>
      </c>
      <c r="H179" s="62">
        <v>0</v>
      </c>
      <c r="I179" s="62">
        <v>0</v>
      </c>
      <c r="J179" s="62">
        <v>1</v>
      </c>
      <c r="K179" s="62">
        <v>0</v>
      </c>
      <c r="L179" s="62">
        <v>1</v>
      </c>
      <c r="M179" s="62">
        <v>0</v>
      </c>
      <c r="N179" s="101">
        <v>41944</v>
      </c>
    </row>
    <row r="180" spans="1:14">
      <c r="A180" s="62" t="s">
        <v>320</v>
      </c>
      <c r="B180" s="62" t="s">
        <v>35</v>
      </c>
      <c r="D180" s="62">
        <v>2</v>
      </c>
      <c r="E180" s="62">
        <v>0</v>
      </c>
      <c r="F180" s="62">
        <v>0</v>
      </c>
      <c r="G180" s="62">
        <v>2</v>
      </c>
      <c r="H180" s="62">
        <v>1</v>
      </c>
      <c r="I180" s="62">
        <v>0</v>
      </c>
      <c r="J180" s="62">
        <v>0</v>
      </c>
      <c r="K180" s="62">
        <v>0</v>
      </c>
      <c r="L180" s="62">
        <v>0</v>
      </c>
      <c r="M180" s="62">
        <v>1</v>
      </c>
      <c r="N180" s="101">
        <v>41937</v>
      </c>
    </row>
    <row r="181" spans="1:14">
      <c r="A181" s="62" t="s">
        <v>321</v>
      </c>
      <c r="B181" s="62" t="s">
        <v>41</v>
      </c>
      <c r="D181" s="62">
        <v>2</v>
      </c>
      <c r="E181" s="62">
        <v>0</v>
      </c>
      <c r="F181" s="62">
        <v>0</v>
      </c>
      <c r="G181" s="62">
        <v>2</v>
      </c>
      <c r="H181" s="62">
        <v>0</v>
      </c>
      <c r="I181" s="62">
        <v>0</v>
      </c>
      <c r="J181" s="62">
        <v>1</v>
      </c>
      <c r="K181" s="62">
        <v>0</v>
      </c>
      <c r="L181" s="62">
        <v>1</v>
      </c>
      <c r="M181" s="62">
        <v>0</v>
      </c>
      <c r="N181" s="101">
        <v>41945</v>
      </c>
    </row>
    <row r="182" spans="1:14">
      <c r="A182" s="62" t="s">
        <v>322</v>
      </c>
      <c r="B182" s="62" t="s">
        <v>31</v>
      </c>
      <c r="D182" s="62">
        <v>2</v>
      </c>
      <c r="E182" s="62">
        <v>0</v>
      </c>
      <c r="F182" s="62">
        <v>0</v>
      </c>
      <c r="G182" s="62">
        <v>2</v>
      </c>
      <c r="H182" s="62">
        <v>0</v>
      </c>
      <c r="I182" s="62">
        <v>0</v>
      </c>
      <c r="J182" s="62">
        <v>0</v>
      </c>
      <c r="K182" s="62">
        <v>2</v>
      </c>
      <c r="L182" s="62">
        <v>0</v>
      </c>
      <c r="M182" s="62">
        <v>0</v>
      </c>
      <c r="N182" s="101">
        <v>41905</v>
      </c>
    </row>
    <row r="183" spans="1:14">
      <c r="A183" s="62" t="s">
        <v>323</v>
      </c>
      <c r="B183" s="62" t="s">
        <v>199</v>
      </c>
      <c r="D183" s="62">
        <v>2</v>
      </c>
      <c r="E183" s="62">
        <v>0</v>
      </c>
      <c r="F183" s="62">
        <v>0</v>
      </c>
      <c r="G183" s="62">
        <v>2</v>
      </c>
      <c r="H183" s="62">
        <v>0</v>
      </c>
      <c r="I183" s="62">
        <v>0</v>
      </c>
      <c r="J183" s="62">
        <v>0</v>
      </c>
      <c r="K183" s="62">
        <v>0</v>
      </c>
      <c r="L183" s="62">
        <v>0</v>
      </c>
      <c r="M183" s="62">
        <v>2</v>
      </c>
      <c r="N183" s="101">
        <v>41930</v>
      </c>
    </row>
    <row r="184" spans="1:14">
      <c r="A184" s="62" t="s">
        <v>324</v>
      </c>
      <c r="B184" s="62" t="s">
        <v>43</v>
      </c>
      <c r="D184" s="62">
        <v>2</v>
      </c>
      <c r="E184" s="62">
        <v>0</v>
      </c>
      <c r="F184" s="62">
        <v>1</v>
      </c>
      <c r="G184" s="62">
        <v>1</v>
      </c>
      <c r="H184" s="62">
        <v>1</v>
      </c>
      <c r="I184" s="62">
        <v>0</v>
      </c>
      <c r="J184" s="62">
        <v>0</v>
      </c>
      <c r="K184" s="62">
        <v>0</v>
      </c>
      <c r="L184" s="62">
        <v>0</v>
      </c>
      <c r="M184" s="62">
        <v>1</v>
      </c>
      <c r="N184" s="101">
        <v>41937</v>
      </c>
    </row>
    <row r="185" spans="1:14">
      <c r="A185" s="62" t="s">
        <v>325</v>
      </c>
      <c r="B185" s="62" t="s">
        <v>43</v>
      </c>
      <c r="D185" s="62">
        <v>2</v>
      </c>
      <c r="E185" s="62">
        <v>0</v>
      </c>
      <c r="F185" s="62">
        <v>0</v>
      </c>
      <c r="G185" s="62">
        <v>2</v>
      </c>
      <c r="H185" s="62">
        <v>0</v>
      </c>
      <c r="I185" s="62">
        <v>0</v>
      </c>
      <c r="J185" s="62">
        <v>0</v>
      </c>
      <c r="K185" s="62">
        <v>0</v>
      </c>
      <c r="L185" s="62">
        <v>1</v>
      </c>
      <c r="M185" s="62">
        <v>1</v>
      </c>
      <c r="N185" s="101">
        <v>41944</v>
      </c>
    </row>
    <row r="186" spans="1:14">
      <c r="A186" s="62" t="s">
        <v>326</v>
      </c>
      <c r="B186" s="62" t="s">
        <v>48</v>
      </c>
      <c r="D186" s="62">
        <v>2</v>
      </c>
      <c r="E186" s="62">
        <v>0</v>
      </c>
      <c r="F186" s="62">
        <v>0</v>
      </c>
      <c r="G186" s="62">
        <v>2</v>
      </c>
      <c r="H186" s="62">
        <v>0</v>
      </c>
      <c r="I186" s="62">
        <v>0</v>
      </c>
      <c r="J186" s="62">
        <v>1</v>
      </c>
      <c r="K186" s="62">
        <v>1</v>
      </c>
      <c r="L186" s="62">
        <v>0</v>
      </c>
      <c r="M186" s="62">
        <v>0</v>
      </c>
      <c r="N186" s="101">
        <v>41930</v>
      </c>
    </row>
    <row r="187" spans="1:14">
      <c r="A187" s="62" t="s">
        <v>327</v>
      </c>
      <c r="B187" s="62" t="s">
        <v>41</v>
      </c>
      <c r="D187" s="62">
        <v>2</v>
      </c>
      <c r="E187" s="62">
        <v>1</v>
      </c>
      <c r="F187" s="62">
        <v>2</v>
      </c>
      <c r="G187" s="62">
        <v>0</v>
      </c>
      <c r="H187" s="62">
        <v>0</v>
      </c>
      <c r="I187" s="62">
        <v>0</v>
      </c>
      <c r="J187" s="62">
        <v>0</v>
      </c>
      <c r="K187" s="62">
        <v>0</v>
      </c>
      <c r="L187" s="62">
        <v>0</v>
      </c>
      <c r="M187" s="62">
        <v>2</v>
      </c>
      <c r="N187" s="101">
        <v>41902</v>
      </c>
    </row>
    <row r="188" spans="1:14">
      <c r="A188" s="62" t="s">
        <v>328</v>
      </c>
      <c r="B188" s="62" t="s">
        <v>40</v>
      </c>
      <c r="D188" s="62">
        <v>2</v>
      </c>
      <c r="E188" s="62">
        <v>0</v>
      </c>
      <c r="F188" s="62">
        <v>1</v>
      </c>
      <c r="G188" s="62">
        <v>1</v>
      </c>
      <c r="H188" s="62">
        <v>0</v>
      </c>
      <c r="I188" s="62">
        <v>0</v>
      </c>
      <c r="J188" s="62">
        <v>0</v>
      </c>
      <c r="K188" s="62">
        <v>0</v>
      </c>
      <c r="L188" s="62">
        <v>0</v>
      </c>
      <c r="M188" s="62">
        <v>2</v>
      </c>
      <c r="N188" s="101">
        <v>41895</v>
      </c>
    </row>
    <row r="189" spans="1:14">
      <c r="A189" s="62" t="s">
        <v>329</v>
      </c>
      <c r="B189" s="62" t="s">
        <v>44</v>
      </c>
      <c r="D189" s="62">
        <v>2</v>
      </c>
      <c r="E189" s="62">
        <v>0</v>
      </c>
      <c r="F189" s="62">
        <v>1</v>
      </c>
      <c r="G189" s="62">
        <v>1</v>
      </c>
      <c r="H189" s="62">
        <v>0</v>
      </c>
      <c r="I189" s="62">
        <v>0</v>
      </c>
      <c r="J189" s="62">
        <v>1</v>
      </c>
      <c r="K189" s="62">
        <v>1</v>
      </c>
      <c r="L189" s="62">
        <v>0</v>
      </c>
      <c r="M189" s="62">
        <v>0</v>
      </c>
      <c r="N189" s="101">
        <v>41895</v>
      </c>
    </row>
    <row r="190" spans="1:14">
      <c r="A190" s="62" t="s">
        <v>330</v>
      </c>
      <c r="B190" s="62" t="s">
        <v>44</v>
      </c>
      <c r="D190" s="62">
        <v>2</v>
      </c>
      <c r="E190" s="62">
        <v>1</v>
      </c>
      <c r="F190" s="62">
        <v>2</v>
      </c>
      <c r="G190" s="62">
        <v>0</v>
      </c>
      <c r="H190" s="62">
        <v>1</v>
      </c>
      <c r="I190" s="62">
        <v>0</v>
      </c>
      <c r="J190" s="62">
        <v>0</v>
      </c>
      <c r="K190" s="62">
        <v>0</v>
      </c>
      <c r="L190" s="62">
        <v>0</v>
      </c>
      <c r="M190" s="62">
        <v>1</v>
      </c>
      <c r="N190" s="101">
        <v>41929</v>
      </c>
    </row>
    <row r="191" spans="1:14">
      <c r="A191" s="62" t="s">
        <v>331</v>
      </c>
      <c r="B191" s="62" t="s">
        <v>44</v>
      </c>
      <c r="D191" s="62">
        <v>2</v>
      </c>
      <c r="E191" s="62">
        <v>1</v>
      </c>
      <c r="F191" s="62">
        <v>1</v>
      </c>
      <c r="G191" s="62">
        <v>1</v>
      </c>
      <c r="H191" s="62">
        <v>0</v>
      </c>
      <c r="I191" s="62">
        <v>0</v>
      </c>
      <c r="J191" s="62">
        <v>0</v>
      </c>
      <c r="K191" s="62">
        <v>1</v>
      </c>
      <c r="L191" s="62">
        <v>1</v>
      </c>
      <c r="M191" s="62">
        <v>0</v>
      </c>
      <c r="N191" s="101">
        <v>41906</v>
      </c>
    </row>
    <row r="192" spans="1:14">
      <c r="A192" s="62" t="s">
        <v>332</v>
      </c>
      <c r="B192" s="62" t="s">
        <v>45</v>
      </c>
      <c r="D192" s="62">
        <v>2</v>
      </c>
      <c r="E192" s="62">
        <v>1</v>
      </c>
      <c r="F192" s="62">
        <v>1</v>
      </c>
      <c r="G192" s="62">
        <v>1</v>
      </c>
      <c r="H192" s="62">
        <v>0</v>
      </c>
      <c r="I192" s="62">
        <v>1</v>
      </c>
      <c r="J192" s="62">
        <v>0</v>
      </c>
      <c r="K192" s="62">
        <v>0</v>
      </c>
      <c r="L192" s="62">
        <v>0</v>
      </c>
      <c r="M192" s="62">
        <v>1</v>
      </c>
      <c r="N192" s="101">
        <v>41937</v>
      </c>
    </row>
    <row r="193" spans="1:14">
      <c r="A193" s="62" t="s">
        <v>333</v>
      </c>
      <c r="B193" s="62" t="s">
        <v>43</v>
      </c>
      <c r="D193" s="62">
        <v>2</v>
      </c>
      <c r="E193" s="62">
        <v>0</v>
      </c>
      <c r="F193" s="62">
        <v>0</v>
      </c>
      <c r="G193" s="62">
        <v>2</v>
      </c>
      <c r="H193" s="62">
        <v>0</v>
      </c>
      <c r="I193" s="62">
        <v>0</v>
      </c>
      <c r="J193" s="62">
        <v>0</v>
      </c>
      <c r="K193" s="62">
        <v>0</v>
      </c>
      <c r="L193" s="62">
        <v>0</v>
      </c>
      <c r="M193" s="62">
        <v>2</v>
      </c>
      <c r="N193" s="101">
        <v>41931</v>
      </c>
    </row>
    <row r="194" spans="1:14">
      <c r="A194" s="62" t="s">
        <v>334</v>
      </c>
      <c r="B194" s="62" t="s">
        <v>42</v>
      </c>
      <c r="D194" s="62">
        <v>2</v>
      </c>
      <c r="E194" s="62">
        <v>0</v>
      </c>
      <c r="F194" s="62">
        <v>2</v>
      </c>
      <c r="G194" s="62">
        <v>0</v>
      </c>
      <c r="H194" s="62">
        <v>0</v>
      </c>
      <c r="I194" s="62">
        <v>0</v>
      </c>
      <c r="J194" s="62">
        <v>0</v>
      </c>
      <c r="K194" s="62">
        <v>1</v>
      </c>
      <c r="L194" s="62">
        <v>0</v>
      </c>
      <c r="M194" s="62">
        <v>1</v>
      </c>
      <c r="N194" s="101">
        <v>41909</v>
      </c>
    </row>
    <row r="195" spans="1:14">
      <c r="A195" s="62" t="s">
        <v>335</v>
      </c>
      <c r="B195" s="62" t="s">
        <v>42</v>
      </c>
      <c r="D195" s="62">
        <v>2</v>
      </c>
      <c r="E195" s="62">
        <v>0</v>
      </c>
      <c r="F195" s="62">
        <v>1</v>
      </c>
      <c r="G195" s="62">
        <v>1</v>
      </c>
      <c r="H195" s="62">
        <v>0</v>
      </c>
      <c r="I195" s="62">
        <v>0</v>
      </c>
      <c r="J195" s="62">
        <v>1</v>
      </c>
      <c r="K195" s="62">
        <v>1</v>
      </c>
      <c r="L195" s="62">
        <v>0</v>
      </c>
      <c r="M195" s="62">
        <v>0</v>
      </c>
      <c r="N195" s="101">
        <v>41931</v>
      </c>
    </row>
    <row r="196" spans="1:14">
      <c r="A196" s="62" t="s">
        <v>336</v>
      </c>
      <c r="B196" s="62" t="s">
        <v>35</v>
      </c>
      <c r="D196" s="62">
        <v>2</v>
      </c>
      <c r="E196" s="62">
        <v>0</v>
      </c>
      <c r="F196" s="62">
        <v>1</v>
      </c>
      <c r="G196" s="62">
        <v>1</v>
      </c>
      <c r="H196" s="62">
        <v>0</v>
      </c>
      <c r="I196" s="62">
        <v>0</v>
      </c>
      <c r="J196" s="62">
        <v>1</v>
      </c>
      <c r="K196" s="62">
        <v>0</v>
      </c>
      <c r="L196" s="62">
        <v>1</v>
      </c>
      <c r="M196" s="62">
        <v>0</v>
      </c>
      <c r="N196" s="62" t="s">
        <v>304</v>
      </c>
    </row>
  </sheetData>
  <sortState ref="A1:O21">
    <sortCondition ref="I1:I21"/>
  </sortState>
  <mergeCells count="2">
    <mergeCell ref="S140:U140"/>
    <mergeCell ref="Q24:R24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N43"/>
  <sheetViews>
    <sheetView showGridLines="0" topLeftCell="A5" zoomScaleNormal="100" workbookViewId="0">
      <selection activeCell="S13" sqref="S13:X14"/>
    </sheetView>
  </sheetViews>
  <sheetFormatPr baseColWidth="10" defaultRowHeight="15"/>
  <cols>
    <col min="1" max="1" width="8" customWidth="1"/>
    <col min="2" max="2" width="41.42578125" customWidth="1"/>
    <col min="3" max="3" width="1.42578125" customWidth="1"/>
    <col min="4" max="7" width="3.7109375" customWidth="1"/>
    <col min="8" max="8" width="6.140625" customWidth="1"/>
    <col min="9" max="11" width="3.7109375" customWidth="1"/>
    <col min="12" max="12" width="7.28515625" customWidth="1"/>
    <col min="13" max="13" width="2.5703125" customWidth="1"/>
    <col min="14" max="14" width="44.28515625" customWidth="1"/>
  </cols>
  <sheetData>
    <row r="1" spans="1:14">
      <c r="C1" s="22"/>
      <c r="D1" s="120" t="s">
        <v>34</v>
      </c>
      <c r="E1" s="121"/>
      <c r="F1" s="121"/>
      <c r="G1" s="122"/>
      <c r="I1" s="120" t="s">
        <v>41</v>
      </c>
      <c r="J1" s="121"/>
      <c r="K1" s="121"/>
      <c r="L1" s="122"/>
      <c r="M1" s="22"/>
    </row>
    <row r="2" spans="1:14" ht="15.75" thickBot="1">
      <c r="C2" s="22"/>
      <c r="D2" s="123"/>
      <c r="E2" s="124"/>
      <c r="F2" s="124"/>
      <c r="G2" s="125"/>
      <c r="I2" s="123"/>
      <c r="J2" s="124"/>
      <c r="K2" s="124"/>
      <c r="L2" s="125"/>
      <c r="M2" s="22"/>
    </row>
    <row r="3" spans="1:14" ht="15.75" thickBot="1">
      <c r="C3" s="22"/>
      <c r="D3" s="16"/>
      <c r="E3" s="16"/>
      <c r="F3" s="16"/>
      <c r="G3" s="16"/>
      <c r="H3" s="17">
        <f>SUM(D4+I4)</f>
        <v>0</v>
      </c>
      <c r="I3" s="16"/>
      <c r="J3" s="16"/>
      <c r="K3" s="16"/>
      <c r="L3" s="16"/>
      <c r="M3" s="22"/>
    </row>
    <row r="4" spans="1:14">
      <c r="B4" s="118" t="s">
        <v>251</v>
      </c>
      <c r="C4" s="22"/>
      <c r="D4" s="163"/>
      <c r="E4" s="164"/>
      <c r="F4" s="164"/>
      <c r="G4" s="165"/>
      <c r="H4" s="88"/>
      <c r="I4" s="163"/>
      <c r="J4" s="164"/>
      <c r="K4" s="164"/>
      <c r="L4" s="165"/>
      <c r="M4" s="22"/>
      <c r="N4" s="92"/>
    </row>
    <row r="5" spans="1:14" ht="15.75" thickBot="1">
      <c r="B5" s="119"/>
      <c r="C5" s="22"/>
      <c r="D5" s="166"/>
      <c r="E5" s="167"/>
      <c r="F5" s="167"/>
      <c r="G5" s="168"/>
      <c r="H5" s="88"/>
      <c r="I5" s="166"/>
      <c r="J5" s="167"/>
      <c r="K5" s="167"/>
      <c r="L5" s="168"/>
      <c r="M5" s="22"/>
      <c r="N5" s="92"/>
    </row>
    <row r="6" spans="1:14" ht="15.75" thickBot="1">
      <c r="C6" s="22"/>
      <c r="D6" s="84"/>
      <c r="E6" s="85"/>
      <c r="F6" s="85"/>
      <c r="G6" s="89"/>
      <c r="H6" s="89"/>
      <c r="I6" s="89"/>
      <c r="J6" s="83"/>
      <c r="K6" s="83"/>
      <c r="L6" s="85"/>
      <c r="M6" s="22"/>
    </row>
    <row r="7" spans="1:14">
      <c r="B7" s="118" t="s">
        <v>252</v>
      </c>
      <c r="C7" s="22"/>
      <c r="D7" s="163">
        <v>1</v>
      </c>
      <c r="E7" s="164"/>
      <c r="F7" s="164"/>
      <c r="G7" s="165"/>
      <c r="H7" s="90"/>
      <c r="I7" s="163"/>
      <c r="J7" s="164"/>
      <c r="K7" s="164"/>
      <c r="L7" s="165"/>
      <c r="M7" s="22"/>
      <c r="N7" s="92"/>
    </row>
    <row r="8" spans="1:14" ht="15.75" thickBot="1">
      <c r="B8" s="126"/>
      <c r="C8" s="22"/>
      <c r="D8" s="166"/>
      <c r="E8" s="167"/>
      <c r="F8" s="167"/>
      <c r="G8" s="168"/>
      <c r="H8" s="90"/>
      <c r="I8" s="166"/>
      <c r="J8" s="167"/>
      <c r="K8" s="167"/>
      <c r="L8" s="168"/>
      <c r="M8" s="22"/>
      <c r="N8" s="93"/>
    </row>
    <row r="9" spans="1:14" ht="15.75" thickBot="1">
      <c r="B9" s="49"/>
      <c r="C9" s="22"/>
      <c r="D9" s="84"/>
      <c r="E9" s="85"/>
      <c r="F9" s="85"/>
      <c r="G9" s="85"/>
      <c r="H9" s="50"/>
      <c r="I9" s="85"/>
      <c r="J9" s="85"/>
      <c r="K9" s="85"/>
      <c r="L9" s="86"/>
      <c r="M9" s="22"/>
      <c r="N9" s="49"/>
    </row>
    <row r="10" spans="1:14">
      <c r="A10" s="132"/>
      <c r="B10" s="142" t="s">
        <v>253</v>
      </c>
      <c r="C10" s="22"/>
      <c r="D10" s="170">
        <v>1</v>
      </c>
      <c r="E10" s="171"/>
      <c r="F10" s="171"/>
      <c r="G10" s="172"/>
      <c r="H10" s="88"/>
      <c r="I10" s="176"/>
      <c r="J10" s="177"/>
      <c r="K10" s="177"/>
      <c r="L10" s="178"/>
      <c r="M10" s="22"/>
      <c r="N10" s="169"/>
    </row>
    <row r="11" spans="1:14" ht="15.75" thickBot="1">
      <c r="A11" s="132"/>
      <c r="B11" s="143"/>
      <c r="C11" s="22"/>
      <c r="D11" s="173"/>
      <c r="E11" s="174"/>
      <c r="F11" s="174"/>
      <c r="G11" s="175"/>
      <c r="H11" s="88"/>
      <c r="I11" s="179"/>
      <c r="J11" s="180"/>
      <c r="K11" s="180"/>
      <c r="L11" s="181"/>
      <c r="M11" s="22"/>
      <c r="N11" s="169"/>
    </row>
    <row r="12" spans="1:14" ht="15.75" customHeight="1" thickBot="1">
      <c r="A12" s="51"/>
      <c r="B12" s="52"/>
      <c r="C12" s="22"/>
      <c r="D12" s="87"/>
      <c r="E12" s="87"/>
      <c r="F12" s="80"/>
      <c r="G12" s="91"/>
      <c r="H12" s="91"/>
      <c r="I12" s="91"/>
      <c r="J12" s="80"/>
      <c r="K12" s="80"/>
      <c r="L12" s="87"/>
      <c r="M12" s="22"/>
      <c r="N12" s="52"/>
    </row>
    <row r="13" spans="1:14">
      <c r="A13" s="132"/>
      <c r="B13" s="142" t="s">
        <v>254</v>
      </c>
      <c r="C13" s="22"/>
      <c r="D13" s="182">
        <v>1</v>
      </c>
      <c r="E13" s="183"/>
      <c r="F13" s="183"/>
      <c r="G13" s="184"/>
      <c r="H13" s="88"/>
      <c r="I13" s="176"/>
      <c r="J13" s="177"/>
      <c r="K13" s="177"/>
      <c r="L13" s="178"/>
      <c r="M13" s="22"/>
      <c r="N13" s="169"/>
    </row>
    <row r="14" spans="1:14" ht="15.75" thickBot="1">
      <c r="A14" s="132"/>
      <c r="B14" s="143"/>
      <c r="C14" s="22"/>
      <c r="D14" s="185"/>
      <c r="E14" s="186"/>
      <c r="F14" s="186"/>
      <c r="G14" s="187"/>
      <c r="H14" s="88"/>
      <c r="I14" s="179"/>
      <c r="J14" s="180"/>
      <c r="K14" s="180"/>
      <c r="L14" s="181"/>
      <c r="M14" s="22"/>
      <c r="N14" s="169"/>
    </row>
    <row r="15" spans="1:14" ht="15" customHeight="1" thickBot="1">
      <c r="A15" s="51"/>
      <c r="B15" s="15"/>
      <c r="C15" s="22"/>
      <c r="D15" s="87"/>
      <c r="E15" s="80"/>
      <c r="F15" s="80"/>
      <c r="G15" s="80"/>
      <c r="H15" s="82"/>
      <c r="I15" s="80"/>
      <c r="J15" s="80"/>
      <c r="K15" s="80"/>
      <c r="L15" s="80"/>
      <c r="M15" s="22"/>
      <c r="N15" s="52"/>
    </row>
    <row r="16" spans="1:14">
      <c r="B16" s="142" t="s">
        <v>255</v>
      </c>
      <c r="C16" s="22"/>
      <c r="D16" s="163">
        <v>1</v>
      </c>
      <c r="E16" s="164"/>
      <c r="F16" s="164"/>
      <c r="G16" s="165"/>
      <c r="H16" s="88"/>
      <c r="I16" s="163"/>
      <c r="J16" s="164"/>
      <c r="K16" s="164"/>
      <c r="L16" s="165"/>
      <c r="M16" s="22"/>
      <c r="N16" s="191"/>
    </row>
    <row r="17" spans="2:14" ht="15.75" thickBot="1">
      <c r="B17" s="205"/>
      <c r="C17" s="22"/>
      <c r="D17" s="166"/>
      <c r="E17" s="167"/>
      <c r="F17" s="167"/>
      <c r="G17" s="168"/>
      <c r="H17" s="88"/>
      <c r="I17" s="166"/>
      <c r="J17" s="167"/>
      <c r="K17" s="167"/>
      <c r="L17" s="168"/>
      <c r="M17" s="22"/>
      <c r="N17" s="192"/>
    </row>
    <row r="18" spans="2:14" ht="15.75" thickBot="1">
      <c r="B18" s="95"/>
      <c r="C18" s="22"/>
      <c r="D18" s="85"/>
      <c r="E18" s="85"/>
      <c r="F18" s="85"/>
      <c r="G18" s="85"/>
      <c r="H18" s="88"/>
      <c r="I18" s="85"/>
      <c r="J18" s="85"/>
      <c r="K18" s="85"/>
      <c r="L18" s="85"/>
      <c r="M18" s="22"/>
      <c r="N18" s="49"/>
    </row>
    <row r="19" spans="2:14" ht="15" customHeight="1" thickBot="1">
      <c r="B19" s="188" t="s">
        <v>256</v>
      </c>
      <c r="C19" s="22"/>
      <c r="D19" s="88"/>
      <c r="E19" s="88"/>
      <c r="F19" s="88"/>
      <c r="G19" s="88"/>
      <c r="H19" s="88"/>
      <c r="I19" s="88"/>
      <c r="J19" s="88"/>
      <c r="K19" s="88"/>
      <c r="L19" s="88"/>
      <c r="M19" s="22"/>
      <c r="N19" s="49"/>
    </row>
    <row r="20" spans="2:14">
      <c r="B20" s="189"/>
      <c r="C20" s="22"/>
      <c r="D20" s="163">
        <v>1</v>
      </c>
      <c r="E20" s="164"/>
      <c r="F20" s="164"/>
      <c r="G20" s="165"/>
      <c r="H20" s="88"/>
      <c r="I20" s="163"/>
      <c r="J20" s="164"/>
      <c r="K20" s="164"/>
      <c r="L20" s="165"/>
      <c r="M20" s="22"/>
      <c r="N20" s="49"/>
    </row>
    <row r="21" spans="2:14" ht="15.75" thickBot="1">
      <c r="B21" s="189"/>
      <c r="C21" s="22"/>
      <c r="D21" s="166"/>
      <c r="E21" s="167"/>
      <c r="F21" s="167"/>
      <c r="G21" s="168"/>
      <c r="H21" s="24"/>
      <c r="I21" s="166"/>
      <c r="J21" s="167"/>
      <c r="K21" s="167"/>
      <c r="L21" s="168"/>
      <c r="M21" s="22"/>
      <c r="N21" s="94"/>
    </row>
    <row r="22" spans="2:14" ht="15.75" thickBot="1">
      <c r="B22" s="190"/>
      <c r="C22" s="22"/>
      <c r="D22" s="16"/>
      <c r="E22" s="16"/>
      <c r="F22" s="16"/>
      <c r="G22" s="16"/>
      <c r="I22" s="16"/>
      <c r="J22" s="16"/>
      <c r="K22" s="16"/>
      <c r="L22" s="16"/>
      <c r="M22" s="22"/>
      <c r="N22" s="94"/>
    </row>
    <row r="23" spans="2:14" ht="15.75" thickBot="1">
      <c r="B23" s="96"/>
      <c r="C23" s="22"/>
      <c r="D23" s="16"/>
      <c r="E23" s="16"/>
      <c r="F23" s="16"/>
      <c r="G23" s="16"/>
      <c r="I23" s="16"/>
      <c r="J23" s="16"/>
      <c r="K23" s="16"/>
      <c r="L23" s="16"/>
      <c r="M23" s="22"/>
      <c r="N23" s="94"/>
    </row>
    <row r="24" spans="2:14">
      <c r="B24" s="188" t="s">
        <v>257</v>
      </c>
      <c r="C24" s="22"/>
      <c r="D24" s="136">
        <v>1</v>
      </c>
      <c r="E24" s="137"/>
      <c r="F24" s="137"/>
      <c r="G24" s="138"/>
      <c r="I24" s="136"/>
      <c r="J24" s="137"/>
      <c r="K24" s="137"/>
      <c r="L24" s="138"/>
      <c r="M24" s="22"/>
      <c r="N24" s="94"/>
    </row>
    <row r="25" spans="2:14" ht="15.75" thickBot="1">
      <c r="B25" s="190"/>
      <c r="C25" s="22"/>
      <c r="D25" s="139"/>
      <c r="E25" s="140"/>
      <c r="F25" s="140"/>
      <c r="G25" s="141"/>
      <c r="I25" s="139"/>
      <c r="J25" s="140"/>
      <c r="K25" s="140"/>
      <c r="L25" s="141"/>
      <c r="M25" s="22"/>
      <c r="N25" s="94"/>
    </row>
    <row r="26" spans="2:14" ht="15.75" thickBot="1">
      <c r="B26" s="96"/>
      <c r="C26" s="22"/>
      <c r="D26" s="15"/>
      <c r="E26" s="15"/>
      <c r="F26" s="15"/>
      <c r="G26" s="15"/>
      <c r="I26" s="15"/>
      <c r="J26" s="15"/>
      <c r="K26" s="15"/>
      <c r="L26" s="15"/>
      <c r="M26" s="22"/>
      <c r="N26" s="94"/>
    </row>
    <row r="27" spans="2:14">
      <c r="B27" s="206" t="s">
        <v>258</v>
      </c>
      <c r="C27" s="22"/>
      <c r="D27" s="136">
        <v>1</v>
      </c>
      <c r="E27" s="137"/>
      <c r="F27" s="137"/>
      <c r="G27" s="138"/>
      <c r="I27" s="136"/>
      <c r="J27" s="137"/>
      <c r="K27" s="137"/>
      <c r="L27" s="138"/>
      <c r="M27" s="22"/>
      <c r="N27" s="94"/>
    </row>
    <row r="28" spans="2:14" ht="15.75" thickBot="1">
      <c r="B28" s="207"/>
      <c r="C28" s="22"/>
      <c r="D28" s="139"/>
      <c r="E28" s="140"/>
      <c r="F28" s="140"/>
      <c r="G28" s="141"/>
      <c r="I28" s="139"/>
      <c r="J28" s="140"/>
      <c r="K28" s="140"/>
      <c r="L28" s="141"/>
      <c r="M28" s="22"/>
      <c r="N28" s="94"/>
    </row>
    <row r="29" spans="2:14" ht="15.75" thickBot="1">
      <c r="B29" s="96"/>
      <c r="C29" s="22"/>
      <c r="D29" s="15"/>
      <c r="E29" s="15"/>
      <c r="F29" s="15"/>
      <c r="G29" s="15"/>
      <c r="I29" s="15"/>
      <c r="J29" s="15"/>
      <c r="K29" s="15"/>
      <c r="L29" s="15"/>
      <c r="M29" s="22"/>
      <c r="N29" s="94"/>
    </row>
    <row r="30" spans="2:14">
      <c r="B30" s="188" t="s">
        <v>259</v>
      </c>
      <c r="C30" s="22"/>
      <c r="D30" s="136"/>
      <c r="E30" s="137"/>
      <c r="F30" s="137"/>
      <c r="G30" s="138"/>
      <c r="I30" s="136">
        <v>1</v>
      </c>
      <c r="J30" s="137"/>
      <c r="K30" s="137"/>
      <c r="L30" s="138"/>
      <c r="M30" s="22"/>
      <c r="N30" s="94"/>
    </row>
    <row r="31" spans="2:14" ht="15.75" thickBot="1">
      <c r="B31" s="190"/>
      <c r="C31" s="22"/>
      <c r="D31" s="139"/>
      <c r="E31" s="140"/>
      <c r="F31" s="140"/>
      <c r="G31" s="141"/>
      <c r="I31" s="139"/>
      <c r="J31" s="140"/>
      <c r="K31" s="140"/>
      <c r="L31" s="141"/>
      <c r="M31" s="22"/>
      <c r="N31" s="94"/>
    </row>
    <row r="32" spans="2:14">
      <c r="B32" s="96"/>
      <c r="C32" s="22"/>
      <c r="D32" s="208">
        <v>1</v>
      </c>
      <c r="E32" s="137"/>
      <c r="F32" s="137"/>
      <c r="G32" s="137"/>
      <c r="H32" s="53"/>
      <c r="I32" s="208">
        <v>0</v>
      </c>
      <c r="J32" s="137"/>
      <c r="K32" s="137"/>
      <c r="L32" s="137"/>
      <c r="M32" s="22"/>
      <c r="N32" s="94"/>
    </row>
    <row r="33" spans="1:14" ht="15.75" thickBot="1">
      <c r="C33" s="22"/>
      <c r="D33" s="16"/>
      <c r="E33" s="16"/>
      <c r="F33" s="16"/>
      <c r="G33" s="16"/>
      <c r="H33" s="16"/>
      <c r="I33" s="16"/>
      <c r="J33" s="16"/>
      <c r="K33" s="16"/>
      <c r="L33" s="16"/>
      <c r="M33" s="22"/>
      <c r="N33" s="94"/>
    </row>
    <row r="34" spans="1:14">
      <c r="A34" s="43">
        <f>IF($D$34=1,1,0)</f>
        <v>1</v>
      </c>
      <c r="B34" t="s">
        <v>260</v>
      </c>
      <c r="C34" s="22"/>
      <c r="D34" s="193">
        <f>ABS(D32-I32)</f>
        <v>1</v>
      </c>
      <c r="E34" s="194"/>
      <c r="F34" s="194"/>
      <c r="G34" s="194"/>
      <c r="H34" s="150" t="s">
        <v>30</v>
      </c>
      <c r="I34" s="199">
        <v>10</v>
      </c>
      <c r="J34" s="199"/>
      <c r="K34" s="199"/>
      <c r="L34" s="200"/>
      <c r="M34" s="22"/>
    </row>
    <row r="35" spans="1:14">
      <c r="A35" s="43">
        <f>IF($D$34=2,1,0)</f>
        <v>0</v>
      </c>
      <c r="B35" t="s">
        <v>261</v>
      </c>
      <c r="C35" s="22"/>
      <c r="D35" s="195"/>
      <c r="E35" s="196"/>
      <c r="F35" s="196"/>
      <c r="G35" s="196"/>
      <c r="H35" s="152"/>
      <c r="I35" s="201"/>
      <c r="J35" s="201"/>
      <c r="K35" s="201"/>
      <c r="L35" s="202"/>
      <c r="M35" s="22"/>
    </row>
    <row r="36" spans="1:14" ht="15.75">
      <c r="A36" s="43">
        <f>IF($D$34=3,1,0)</f>
        <v>0</v>
      </c>
      <c r="B36" t="s">
        <v>262</v>
      </c>
      <c r="C36" s="22"/>
      <c r="D36" s="195"/>
      <c r="E36" s="196"/>
      <c r="F36" s="196"/>
      <c r="G36" s="196"/>
      <c r="H36" s="152"/>
      <c r="I36" s="201"/>
      <c r="J36" s="201"/>
      <c r="K36" s="201"/>
      <c r="L36" s="202"/>
      <c r="M36" s="22"/>
      <c r="N36" s="48"/>
    </row>
    <row r="37" spans="1:14">
      <c r="A37" s="43">
        <f>IF($D$34=4,1,0)</f>
        <v>0</v>
      </c>
      <c r="B37" t="s">
        <v>263</v>
      </c>
      <c r="C37" s="22"/>
      <c r="D37" s="195"/>
      <c r="E37" s="196"/>
      <c r="F37" s="196"/>
      <c r="G37" s="196"/>
      <c r="H37" s="152"/>
      <c r="I37" s="201"/>
      <c r="J37" s="201"/>
      <c r="K37" s="201"/>
      <c r="L37" s="202"/>
      <c r="M37" s="22"/>
    </row>
    <row r="38" spans="1:14" ht="15.75" thickBot="1">
      <c r="A38" s="43">
        <f>IF($D$34=5,1,0)</f>
        <v>0</v>
      </c>
      <c r="B38" t="s">
        <v>264</v>
      </c>
      <c r="C38" s="22"/>
      <c r="D38" s="197"/>
      <c r="E38" s="198"/>
      <c r="F38" s="198"/>
      <c r="G38" s="198"/>
      <c r="H38" s="154"/>
      <c r="I38" s="203"/>
      <c r="J38" s="203"/>
      <c r="K38" s="203"/>
      <c r="L38" s="204"/>
      <c r="M38" s="22"/>
    </row>
    <row r="39" spans="1:14">
      <c r="A39" s="43">
        <f>IF($D$34=6,1,0)</f>
        <v>0</v>
      </c>
      <c r="B39" t="s">
        <v>265</v>
      </c>
    </row>
    <row r="40" spans="1:14">
      <c r="A40" s="43">
        <f>IF($D$34=7,1,0)</f>
        <v>0</v>
      </c>
      <c r="B40" t="s">
        <v>266</v>
      </c>
    </row>
    <row r="41" spans="1:14">
      <c r="A41" s="43">
        <f>IF($D$34=8,1,0)</f>
        <v>0</v>
      </c>
      <c r="B41" t="s">
        <v>267</v>
      </c>
    </row>
    <row r="42" spans="1:14">
      <c r="A42" s="43">
        <f>IF($D$34=9,1,0)</f>
        <v>0</v>
      </c>
      <c r="B42" t="s">
        <v>268</v>
      </c>
    </row>
    <row r="43" spans="1:14">
      <c r="A43" s="43">
        <f>IF($D$34=10,1,0)</f>
        <v>0</v>
      </c>
      <c r="B43" t="s">
        <v>269</v>
      </c>
    </row>
  </sheetData>
  <mergeCells count="39">
    <mergeCell ref="B30:B31"/>
    <mergeCell ref="D30:G31"/>
    <mergeCell ref="I30:L31"/>
    <mergeCell ref="D32:G32"/>
    <mergeCell ref="I32:L32"/>
    <mergeCell ref="B19:B22"/>
    <mergeCell ref="D20:G21"/>
    <mergeCell ref="I20:L21"/>
    <mergeCell ref="N16:N17"/>
    <mergeCell ref="D34:G38"/>
    <mergeCell ref="H34:H38"/>
    <mergeCell ref="I34:L38"/>
    <mergeCell ref="B16:B17"/>
    <mergeCell ref="D16:G17"/>
    <mergeCell ref="I16:L17"/>
    <mergeCell ref="B24:B25"/>
    <mergeCell ref="D24:G25"/>
    <mergeCell ref="I24:L25"/>
    <mergeCell ref="B27:B28"/>
    <mergeCell ref="D27:G28"/>
    <mergeCell ref="I27:L28"/>
    <mergeCell ref="N10:N11"/>
    <mergeCell ref="A13:A14"/>
    <mergeCell ref="B13:B14"/>
    <mergeCell ref="N13:N14"/>
    <mergeCell ref="A10:A11"/>
    <mergeCell ref="B10:B11"/>
    <mergeCell ref="D10:G11"/>
    <mergeCell ref="I10:L11"/>
    <mergeCell ref="D13:G14"/>
    <mergeCell ref="I13:L14"/>
    <mergeCell ref="B7:B8"/>
    <mergeCell ref="D1:G2"/>
    <mergeCell ref="I1:L2"/>
    <mergeCell ref="B4:B5"/>
    <mergeCell ref="D4:G5"/>
    <mergeCell ref="I4:L5"/>
    <mergeCell ref="D7:G8"/>
    <mergeCell ref="I7:L8"/>
  </mergeCells>
  <conditionalFormatting sqref="B34">
    <cfRule type="expression" dxfId="10" priority="10">
      <formula>SUM($A$34=1)</formula>
    </cfRule>
  </conditionalFormatting>
  <conditionalFormatting sqref="B35">
    <cfRule type="expression" dxfId="9" priority="9">
      <formula>SUM($A$35=1)</formula>
    </cfRule>
  </conditionalFormatting>
  <conditionalFormatting sqref="B36">
    <cfRule type="expression" dxfId="8" priority="8">
      <formula>SUM($A$36=1)</formula>
    </cfRule>
  </conditionalFormatting>
  <conditionalFormatting sqref="B37">
    <cfRule type="expression" dxfId="7" priority="7">
      <formula>SUM($A$37=1)</formula>
    </cfRule>
  </conditionalFormatting>
  <conditionalFormatting sqref="B38">
    <cfRule type="expression" dxfId="6" priority="6">
      <formula>SUM($A$38=1)</formula>
    </cfRule>
  </conditionalFormatting>
  <conditionalFormatting sqref="B39">
    <cfRule type="expression" dxfId="5" priority="5">
      <formula>SUM($A$39=1)</formula>
    </cfRule>
  </conditionalFormatting>
  <conditionalFormatting sqref="B40">
    <cfRule type="expression" dxfId="4" priority="4">
      <formula>SUM($A$40=1)</formula>
    </cfRule>
  </conditionalFormatting>
  <conditionalFormatting sqref="B41">
    <cfRule type="expression" dxfId="3" priority="3">
      <formula>SUM($A$41=1)</formula>
    </cfRule>
  </conditionalFormatting>
  <conditionalFormatting sqref="B42">
    <cfRule type="expression" dxfId="2" priority="2">
      <formula>SUM($A$42=1)</formula>
    </cfRule>
  </conditionalFormatting>
  <conditionalFormatting sqref="B43">
    <cfRule type="expression" dxfId="1" priority="1">
      <formula>SUM($A$43=1)</formula>
    </cfRule>
  </conditionalFormatting>
  <dataValidations count="1">
    <dataValidation type="list" allowBlank="1" showInputMessage="1" showErrorMessage="1" sqref="I1:L2 D1">
      <formula1>Equipe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>
      <selection activeCell="G21" sqref="G2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Martingale</vt:lpstr>
      <vt:lpstr>Aide pour choisir son match</vt:lpstr>
      <vt:lpstr>Feuil3</vt:lpstr>
      <vt:lpstr>Feuil1</vt:lpstr>
      <vt:lpstr>Feuil2</vt:lpstr>
      <vt:lpstr>ligue1</vt:lpstr>
      <vt:lpstr>Feuil5</vt:lpstr>
      <vt:lpstr>Ligue 2</vt:lpstr>
      <vt:lpstr>Feuil2!classementl</vt:lpstr>
      <vt:lpstr>Equipe</vt:lpstr>
      <vt:lpstr>ligue1!latest.asp?league_france</vt:lpstr>
      <vt:lpstr>ligue1!latest.asp?league_france_1</vt:lpstr>
      <vt:lpstr>Feuil1!pmatch.asp?league_france_matchid_499_t1_32_t2_36_ly_2015_articleid_499</vt:lpstr>
      <vt:lpstr>ligue1!scorers.asp?league_france</vt:lpstr>
      <vt:lpstr>ligue1!team_trends.asp?league_france_pmtype_overunder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2014-11-07T14:50:53Z</dcterms:modified>
</cp:coreProperties>
</file>