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autoCompressPictures="0"/>
  <bookViews>
    <workbookView xWindow="-15" yWindow="0" windowWidth="24240" windowHeight="13740" tabRatio="839" activeTab="4"/>
  </bookViews>
  <sheets>
    <sheet name="T.H.M." sheetId="11" r:id="rId1"/>
    <sheet name="Frais généraux" sheetId="15" r:id="rId2"/>
    <sheet name="Prix de vente global" sheetId="16" r:id="rId3"/>
    <sheet name="Frais cachés" sheetId="13" r:id="rId4"/>
    <sheet name="Etude de prix" sheetId="9" r:id="rId5"/>
    <sheet name="Récapitulatif" sheetId="26" r:id="rId6"/>
  </sheets>
  <definedNames>
    <definedName name="Charges.social.patronales">T.H.M.!$J$5</definedName>
    <definedName name="Coef.Bénéfice">'Prix de vente global'!$J$20</definedName>
    <definedName name="Coef.Frais.Généraux">'Prix de vente global'!$F$24</definedName>
    <definedName name="Coef.k">'Prix de vente global'!$F$26</definedName>
    <definedName name="Cout.de.revient">'Etude de prix'!$M$49</definedName>
    <definedName name="Deb.frais.de.chantier">'Frais cachés'!$J$46</definedName>
    <definedName name="Déboursé">'Etude de prix'!$M$46</definedName>
    <definedName name="Perte.de.temps.sur.chantier">'Frais cachés'!$E$9</definedName>
    <definedName name="PV.de.vente">'Etude de prix'!$M$51</definedName>
    <definedName name="PV.hors.frais.caché">'Etude de prix'!$M$51</definedName>
    <definedName name="T.H.M">T.H.M.!$E$23</definedName>
    <definedName name="Total.Frais.généraux">'Frais généraux'!$E$21</definedName>
  </definedNames>
  <calcPr calcId="145621"/>
  <customWorkbookViews>
    <customWorkbookView name="dddd" guid="{AEA9AF13-5264-4B35-8742-168FDD2648CB}" maximized="1" xWindow="-8" yWindow="-8" windowWidth="1382" windowHeight="744" tabRatio="839" activeSheetId="9"/>
  </customWorkbookView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99" i="26" l="1"/>
  <c r="J98" i="26"/>
  <c r="I98" i="26"/>
  <c r="H98" i="26"/>
  <c r="J97" i="26"/>
  <c r="I97" i="26"/>
  <c r="H97" i="26"/>
  <c r="H96" i="26"/>
  <c r="J95" i="26"/>
  <c r="I95" i="26"/>
  <c r="H95" i="26"/>
  <c r="J94" i="26"/>
  <c r="I94" i="26"/>
  <c r="H94" i="26"/>
  <c r="H93" i="26"/>
  <c r="J92" i="26"/>
  <c r="I92" i="26"/>
  <c r="H92" i="26"/>
  <c r="J91" i="26"/>
  <c r="I91" i="26"/>
  <c r="H91" i="26"/>
  <c r="J90" i="26"/>
  <c r="I90" i="26"/>
  <c r="H90" i="26"/>
  <c r="H89" i="26"/>
  <c r="J88" i="26"/>
  <c r="I88" i="26"/>
  <c r="H88" i="26"/>
  <c r="J87" i="26"/>
  <c r="I87" i="26"/>
  <c r="H87" i="26"/>
  <c r="H86" i="26"/>
  <c r="J85" i="26"/>
  <c r="I85" i="26"/>
  <c r="H85" i="26"/>
  <c r="J84" i="26"/>
  <c r="I84" i="26"/>
  <c r="H84" i="26"/>
  <c r="J83" i="26"/>
  <c r="I83" i="26"/>
  <c r="H83" i="26"/>
  <c r="H82" i="26"/>
  <c r="J81" i="26"/>
  <c r="I81" i="26"/>
  <c r="H81" i="26"/>
  <c r="J80" i="26"/>
  <c r="I80" i="26"/>
  <c r="H80" i="26"/>
  <c r="H79" i="26"/>
  <c r="J78" i="26"/>
  <c r="I78" i="26"/>
  <c r="H78" i="26"/>
  <c r="J77" i="26"/>
  <c r="I77" i="26"/>
  <c r="H77" i="26"/>
  <c r="H76" i="26"/>
  <c r="J75" i="26"/>
  <c r="I75" i="26"/>
  <c r="H75" i="26"/>
  <c r="J74" i="26"/>
  <c r="I74" i="26"/>
  <c r="H74" i="26"/>
  <c r="J73" i="26"/>
  <c r="I73" i="26"/>
  <c r="H73" i="26"/>
  <c r="J72" i="26"/>
  <c r="I72" i="26"/>
  <c r="H72" i="26"/>
  <c r="H71" i="26"/>
  <c r="J70" i="26"/>
  <c r="I70" i="26"/>
  <c r="H70" i="26"/>
  <c r="J69" i="26"/>
  <c r="I69" i="26"/>
  <c r="H69" i="26"/>
  <c r="H68" i="26"/>
  <c r="J67" i="26"/>
  <c r="I67" i="26"/>
  <c r="H67" i="26"/>
  <c r="J66" i="26"/>
  <c r="I66" i="26"/>
  <c r="H66" i="26"/>
  <c r="J65" i="26"/>
  <c r="I65" i="26"/>
  <c r="H65" i="26"/>
  <c r="H64" i="26"/>
  <c r="J99" i="26"/>
  <c r="I86" i="26"/>
  <c r="I82" i="26"/>
  <c r="J79" i="26"/>
  <c r="J71" i="26"/>
  <c r="I89" i="26"/>
  <c r="J82" i="26"/>
  <c r="I99" i="26"/>
  <c r="J96" i="26"/>
  <c r="I79" i="26"/>
  <c r="J76" i="26"/>
  <c r="I71" i="26"/>
  <c r="J68" i="26"/>
  <c r="J64" i="26"/>
  <c r="I64" i="26"/>
  <c r="J86" i="26"/>
  <c r="I96" i="26"/>
  <c r="J93" i="26"/>
  <c r="J89" i="26"/>
  <c r="I76" i="26"/>
  <c r="I68" i="26"/>
  <c r="I93" i="26"/>
  <c r="I100" i="26" l="1"/>
  <c r="J102" i="26" s="1"/>
  <c r="J100" i="26"/>
  <c r="J103" i="26" l="1"/>
  <c r="J104" i="26" s="1"/>
  <c r="H50" i="26"/>
  <c r="J49" i="26"/>
  <c r="I49" i="26"/>
  <c r="H49" i="26"/>
  <c r="J48" i="26"/>
  <c r="I48" i="26"/>
  <c r="H48" i="26"/>
  <c r="H47" i="26"/>
  <c r="J46" i="26"/>
  <c r="I46" i="26"/>
  <c r="H46" i="26"/>
  <c r="J45" i="26"/>
  <c r="I45" i="26"/>
  <c r="H45" i="26"/>
  <c r="H44" i="26"/>
  <c r="J43" i="26"/>
  <c r="I43" i="26"/>
  <c r="H43" i="26"/>
  <c r="J42" i="26"/>
  <c r="I42" i="26"/>
  <c r="H42" i="26"/>
  <c r="J41" i="26"/>
  <c r="I41" i="26"/>
  <c r="H41" i="26"/>
  <c r="H40" i="26"/>
  <c r="J39" i="26"/>
  <c r="I39" i="26"/>
  <c r="H39" i="26"/>
  <c r="J38" i="26"/>
  <c r="I38" i="26"/>
  <c r="H38" i="26"/>
  <c r="H37" i="26"/>
  <c r="J36" i="26"/>
  <c r="I36" i="26"/>
  <c r="H36" i="26"/>
  <c r="J35" i="26"/>
  <c r="I35" i="26"/>
  <c r="H35" i="26"/>
  <c r="J34" i="26"/>
  <c r="I34" i="26"/>
  <c r="H34" i="26"/>
  <c r="H33" i="26"/>
  <c r="J32" i="26"/>
  <c r="I32" i="26"/>
  <c r="H32" i="26"/>
  <c r="J31" i="26"/>
  <c r="I31" i="26"/>
  <c r="H31" i="26"/>
  <c r="H30" i="26"/>
  <c r="J29" i="26"/>
  <c r="I29" i="26"/>
  <c r="H29" i="26"/>
  <c r="J28" i="26"/>
  <c r="I28" i="26"/>
  <c r="H28" i="26"/>
  <c r="H27" i="26"/>
  <c r="J26" i="26"/>
  <c r="I26" i="26"/>
  <c r="H26" i="26"/>
  <c r="J25" i="26"/>
  <c r="I25" i="26"/>
  <c r="H25" i="26"/>
  <c r="J24" i="26"/>
  <c r="I24" i="26"/>
  <c r="H24" i="26"/>
  <c r="J23" i="26"/>
  <c r="I23" i="26"/>
  <c r="H23" i="26"/>
  <c r="H22" i="26"/>
  <c r="J21" i="26"/>
  <c r="I21" i="26"/>
  <c r="H21" i="26"/>
  <c r="J20" i="26"/>
  <c r="I20" i="26"/>
  <c r="H20" i="26"/>
  <c r="H19" i="26"/>
  <c r="J18" i="26"/>
  <c r="I18" i="26"/>
  <c r="H18" i="26"/>
  <c r="J17" i="26"/>
  <c r="I17" i="26"/>
  <c r="H17" i="26"/>
  <c r="J16" i="26"/>
  <c r="I16" i="26"/>
  <c r="H16" i="26"/>
  <c r="H15" i="26"/>
  <c r="J50" i="26"/>
  <c r="I37" i="26"/>
  <c r="I33" i="26"/>
  <c r="J30" i="26"/>
  <c r="J22" i="26"/>
  <c r="I19" i="26"/>
  <c r="J37" i="26"/>
  <c r="I50" i="26"/>
  <c r="J47" i="26"/>
  <c r="I30" i="26"/>
  <c r="J27" i="26"/>
  <c r="I22" i="26"/>
  <c r="J19" i="26"/>
  <c r="J15" i="26"/>
  <c r="I15" i="26"/>
  <c r="I40" i="26"/>
  <c r="J33" i="26"/>
  <c r="I47" i="26"/>
  <c r="J44" i="26"/>
  <c r="J40" i="26"/>
  <c r="I27" i="26"/>
  <c r="I44" i="26"/>
  <c r="I51" i="26" l="1"/>
  <c r="J53" i="26" s="1"/>
  <c r="J51" i="26"/>
  <c r="D6" i="26"/>
  <c r="D7" i="26"/>
  <c r="D8" i="26"/>
  <c r="D9" i="26"/>
  <c r="D10" i="26"/>
  <c r="D11" i="26"/>
  <c r="D12" i="26"/>
  <c r="K41" i="9"/>
  <c r="M34" i="9"/>
  <c r="M36" i="9"/>
  <c r="M37" i="9"/>
  <c r="L34" i="9"/>
  <c r="L36" i="9"/>
  <c r="L37" i="9"/>
  <c r="K33" i="9"/>
  <c r="K34" i="9"/>
  <c r="K35" i="9"/>
  <c r="K36" i="9"/>
  <c r="K37" i="9"/>
  <c r="K38" i="9"/>
  <c r="M25" i="9"/>
  <c r="M26" i="9"/>
  <c r="M27" i="9"/>
  <c r="L25" i="9"/>
  <c r="L26" i="9"/>
  <c r="L27" i="9"/>
  <c r="K26" i="9"/>
  <c r="M14" i="9"/>
  <c r="M15" i="9"/>
  <c r="M16" i="9"/>
  <c r="L15" i="9"/>
  <c r="L16" i="9"/>
  <c r="K15" i="9"/>
  <c r="K7" i="9"/>
  <c r="K8" i="9"/>
  <c r="K9" i="9"/>
  <c r="L7" i="9"/>
  <c r="L8" i="9"/>
  <c r="L9" i="9"/>
  <c r="M7" i="9"/>
  <c r="M8" i="9"/>
  <c r="M9" i="9"/>
  <c r="K21" i="9"/>
  <c r="K22" i="9"/>
  <c r="L22" i="9"/>
  <c r="M22" i="9"/>
  <c r="K23" i="9"/>
  <c r="L23" i="9"/>
  <c r="M23" i="9"/>
  <c r="K24" i="9"/>
  <c r="K25" i="9"/>
  <c r="K27" i="9"/>
  <c r="K28" i="9"/>
  <c r="K29" i="9"/>
  <c r="L29" i="9"/>
  <c r="M29" i="9"/>
  <c r="K30" i="9"/>
  <c r="L30" i="9"/>
  <c r="M30" i="9"/>
  <c r="K31" i="9"/>
  <c r="K32" i="9"/>
  <c r="L32" i="9"/>
  <c r="M32" i="9"/>
  <c r="L33" i="9"/>
  <c r="M33" i="9"/>
  <c r="K39" i="9"/>
  <c r="L39" i="9"/>
  <c r="M39" i="9"/>
  <c r="K40" i="9"/>
  <c r="L40" i="9"/>
  <c r="M40" i="9"/>
  <c r="K10" i="9"/>
  <c r="K11" i="9"/>
  <c r="L11" i="9"/>
  <c r="M11" i="9"/>
  <c r="K12" i="9"/>
  <c r="L12" i="9"/>
  <c r="M12" i="9"/>
  <c r="K13" i="9"/>
  <c r="K14" i="9"/>
  <c r="L14" i="9"/>
  <c r="K16" i="9"/>
  <c r="K17" i="9"/>
  <c r="L17" i="9"/>
  <c r="M17" i="9"/>
  <c r="K18" i="9"/>
  <c r="K19" i="9"/>
  <c r="L19" i="9"/>
  <c r="M19" i="9"/>
  <c r="K20" i="9"/>
  <c r="L20" i="9"/>
  <c r="M20" i="9"/>
  <c r="L41" i="9"/>
  <c r="M38" i="9"/>
  <c r="M24" i="9"/>
  <c r="M21" i="9"/>
  <c r="L18" i="9"/>
  <c r="L6" i="9"/>
  <c r="M41" i="9"/>
  <c r="M28" i="9"/>
  <c r="L21" i="9"/>
  <c r="L28" i="9"/>
  <c r="L10" i="9"/>
  <c r="M35" i="9"/>
  <c r="L31" i="9"/>
  <c r="M31" i="9"/>
  <c r="M10" i="9"/>
  <c r="M13" i="9"/>
  <c r="L35" i="9"/>
  <c r="L24" i="9"/>
  <c r="L38" i="9"/>
  <c r="L13" i="9"/>
  <c r="M18" i="9"/>
  <c r="J54" i="26" l="1"/>
  <c r="J55" i="26" s="1"/>
  <c r="L42" i="9"/>
  <c r="E23" i="13" l="1"/>
  <c r="I8" i="13" s="1"/>
  <c r="I5" i="13"/>
  <c r="I9" i="13"/>
  <c r="F43" i="13" a="1"/>
  <c r="F43" i="13"/>
  <c r="E6" i="13"/>
  <c r="E15" i="13"/>
  <c r="E10" i="13" s="1"/>
  <c r="E61" i="13"/>
  <c r="J29" i="13"/>
  <c r="J30" i="13"/>
  <c r="J31" i="13"/>
  <c r="J32" i="13"/>
  <c r="J42" i="13"/>
  <c r="K6" i="9"/>
  <c r="H8" i="16"/>
  <c r="D8" i="16"/>
  <c r="D10" i="16"/>
  <c r="E21" i="15"/>
  <c r="I10" i="16" s="1"/>
  <c r="E18" i="11"/>
  <c r="E19" i="11"/>
  <c r="E20" i="11"/>
  <c r="E21" i="11"/>
  <c r="E22" i="11"/>
  <c r="K18" i="11"/>
  <c r="K19" i="11"/>
  <c r="E13" i="11"/>
  <c r="E17" i="11"/>
  <c r="F13" i="11"/>
  <c r="F17" i="11"/>
  <c r="F18" i="11"/>
  <c r="F19" i="11"/>
  <c r="G13" i="11"/>
  <c r="G17" i="11"/>
  <c r="G18" i="11"/>
  <c r="G19" i="11"/>
  <c r="G20" i="11"/>
  <c r="H13" i="11"/>
  <c r="H17" i="11"/>
  <c r="H18" i="11"/>
  <c r="H19" i="11"/>
  <c r="I13" i="11"/>
  <c r="I17" i="11" s="1"/>
  <c r="I19" i="11"/>
  <c r="J13" i="11"/>
  <c r="J17" i="11"/>
  <c r="J20" i="11" s="1"/>
  <c r="J18" i="11"/>
  <c r="J19" i="11"/>
  <c r="K13" i="11"/>
  <c r="K17" i="11"/>
  <c r="I7" i="13"/>
  <c r="I6" i="13"/>
  <c r="H43" i="13"/>
  <c r="G18" i="16"/>
  <c r="F26" i="16"/>
  <c r="F28" i="16"/>
  <c r="F18" i="16"/>
  <c r="M6" i="9"/>
  <c r="M42" i="9" l="1"/>
  <c r="J43" i="13"/>
  <c r="I17" i="13"/>
  <c r="G16" i="16"/>
  <c r="F16" i="16"/>
  <c r="D12" i="16"/>
  <c r="I18" i="11"/>
  <c r="I20" i="11"/>
  <c r="I21" i="11" s="1"/>
  <c r="I22" i="11" s="1"/>
  <c r="F20" i="11"/>
  <c r="F21" i="11" s="1"/>
  <c r="F22" i="11" s="1"/>
  <c r="H20" i="11"/>
  <c r="H21" i="11" s="1"/>
  <c r="H22" i="11" s="1"/>
  <c r="G21" i="11"/>
  <c r="G22" i="11" s="1"/>
  <c r="J21" i="11"/>
  <c r="J22" i="11"/>
  <c r="K20" i="11"/>
  <c r="K21" i="11" s="1"/>
  <c r="F24" i="16" l="1"/>
  <c r="H18" i="16"/>
  <c r="J12" i="16"/>
  <c r="H16" i="16"/>
  <c r="K22" i="11"/>
  <c r="E23" i="11" s="1"/>
  <c r="G33" i="13" s="1"/>
  <c r="M44" i="9"/>
  <c r="E11" i="13"/>
  <c r="E12" i="13" s="1"/>
  <c r="H20" i="16" l="1"/>
  <c r="J20" i="16" s="1"/>
  <c r="G20" i="16"/>
  <c r="F20" i="16"/>
  <c r="F22" i="16"/>
  <c r="H22" i="16"/>
  <c r="F30" i="16" s="1"/>
  <c r="G29" i="13"/>
  <c r="G35" i="13"/>
  <c r="G30" i="13"/>
  <c r="G40" i="13"/>
  <c r="G42" i="13"/>
  <c r="I4" i="13"/>
  <c r="I15" i="13" s="1"/>
  <c r="G32" i="13"/>
  <c r="G36" i="13"/>
  <c r="G38" i="13"/>
  <c r="G39" i="13"/>
  <c r="G34" i="13"/>
  <c r="G31" i="13"/>
  <c r="G37" i="13"/>
  <c r="G41" i="13"/>
  <c r="E13" i="13"/>
  <c r="G43" i="13" l="1"/>
  <c r="I16" i="13"/>
  <c r="I18" i="13" s="1"/>
  <c r="E14" i="13"/>
  <c r="M45" i="9" l="1"/>
  <c r="M46" i="9" s="1"/>
  <c r="J46" i="13"/>
  <c r="J106" i="26" s="1"/>
  <c r="J107" i="26" l="1"/>
  <c r="J57" i="26"/>
  <c r="J58" i="26" s="1"/>
  <c r="M48" i="9"/>
  <c r="M49" i="9" l="1"/>
  <c r="J109" i="26" s="1"/>
  <c r="J60" i="26" l="1"/>
  <c r="M51" i="9"/>
  <c r="F56" i="13" s="1"/>
  <c r="F58" i="13" l="1"/>
  <c r="F60" i="13"/>
  <c r="F54" i="13"/>
  <c r="F52" i="13"/>
  <c r="F57" i="13"/>
  <c r="F59" i="13"/>
  <c r="F53" i="13"/>
  <c r="F55" i="13"/>
  <c r="F61" i="13" l="1"/>
</calcChain>
</file>

<file path=xl/comments1.xml><?xml version="1.0" encoding="utf-8"?>
<comments xmlns="http://schemas.openxmlformats.org/spreadsheetml/2006/main">
  <authors>
    <author>Geze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Geze: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Geze:</t>
        </r>
        <r>
          <rPr>
            <sz val="9"/>
            <color indexed="81"/>
            <rFont val="Tahoma"/>
            <family val="2"/>
          </rPr>
          <t xml:space="preserve">
ajouter une mise en forme conditionel pour s'assurer qu'on ne rentre pas deux chiffres sur la même ligne
et une autre si on oublie la quantité</t>
        </r>
      </text>
    </comment>
  </commentList>
</comments>
</file>

<file path=xl/comments2.xml><?xml version="1.0" encoding="utf-8"?>
<comments xmlns="http://schemas.openxmlformats.org/spreadsheetml/2006/main">
  <authors>
    <author>Geze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 xml:space="preserve">Colonnes à mettre à jour en fonction du tableau Etude de prix
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Colonne à ajouter en plus</t>
        </r>
      </text>
    </comment>
    <comment ref="G18" authorId="0">
      <text>
        <r>
          <rPr>
            <b/>
            <sz val="9"/>
            <color indexed="81"/>
            <rFont val="Tahoma"/>
            <family val="2"/>
          </rPr>
          <t>Geze:</t>
        </r>
        <r>
          <rPr>
            <sz val="9"/>
            <color indexed="81"/>
            <rFont val="Tahoma"/>
            <family val="2"/>
          </rPr>
          <t xml:space="preserve">
ajouter une mise en forme conditionel pour s'assurer qu'on ne rentre pas deux chiffres sur la même ligne
et une autre si on oublie la quantité</t>
        </r>
      </text>
    </comment>
    <comment ref="G67" authorId="0">
      <text>
        <r>
          <rPr>
            <b/>
            <sz val="9"/>
            <color indexed="81"/>
            <rFont val="Tahoma"/>
            <family val="2"/>
          </rPr>
          <t>Geze:</t>
        </r>
        <r>
          <rPr>
            <sz val="9"/>
            <color indexed="81"/>
            <rFont val="Tahoma"/>
            <family val="2"/>
          </rPr>
          <t xml:space="preserve">
ajouter une mise en forme conditionel pour s'assurer qu'on ne rentre pas deux chiffres sur la même ligne
et une autre si on oublie la quantité</t>
        </r>
      </text>
    </comment>
  </commentList>
</comments>
</file>

<file path=xl/sharedStrings.xml><?xml version="1.0" encoding="utf-8"?>
<sst xmlns="http://schemas.openxmlformats.org/spreadsheetml/2006/main" count="348" uniqueCount="155">
  <si>
    <t>TOTAL</t>
  </si>
  <si>
    <t>Matériaux</t>
  </si>
  <si>
    <t>Matériel</t>
  </si>
  <si>
    <t>Sous-Traitant</t>
  </si>
  <si>
    <t>Frais connexes</t>
  </si>
  <si>
    <t>CONSOMMATIONS</t>
  </si>
  <si>
    <t>Main d'œuvre (MOE)</t>
  </si>
  <si>
    <t>DÉBOURSÉ (D)</t>
  </si>
  <si>
    <t>Frais généraux (FG)</t>
  </si>
  <si>
    <t>COÛT DE REVIENT (CR)</t>
  </si>
  <si>
    <t>Bénéfice Aléas (BA)</t>
  </si>
  <si>
    <t>PRIX DE VENTE (OU CHIFFRE D'AFFAIRE) (PV ou CA)</t>
  </si>
  <si>
    <t>Valeurs de base :</t>
  </si>
  <si>
    <t>(FG+BA)</t>
  </si>
  <si>
    <t>Marge Brut</t>
  </si>
  <si>
    <t>Marge Brut à l'heure</t>
  </si>
  <si>
    <t>(Marge brute/nb heure)</t>
  </si>
  <si>
    <t>(CR/D)</t>
  </si>
  <si>
    <t>Coefficient Frais Généraux</t>
  </si>
  <si>
    <t>(CA/nb heure)</t>
  </si>
  <si>
    <t>CA par heure</t>
  </si>
  <si>
    <t>Coefficient K</t>
  </si>
  <si>
    <t>U</t>
  </si>
  <si>
    <t>MOE</t>
  </si>
  <si>
    <t>Déboursé</t>
  </si>
  <si>
    <t>% du CA</t>
  </si>
  <si>
    <t>Montant HT</t>
  </si>
  <si>
    <t>Indemnité de Repas Conventionnelle</t>
  </si>
  <si>
    <t>Limite exonération Ind Repas</t>
  </si>
  <si>
    <t>Indemnité soumise</t>
  </si>
  <si>
    <t>Salaire de Base Horaire</t>
  </si>
  <si>
    <t>Salaire de Base Hebdomadaire</t>
  </si>
  <si>
    <t>Heures Supplémentaires 25%</t>
  </si>
  <si>
    <t>Heures Supplémentaires 50%</t>
  </si>
  <si>
    <t>CHARGES SOCIALES PATRONALES</t>
  </si>
  <si>
    <t>Calcul du THM</t>
  </si>
  <si>
    <t>Prix U</t>
  </si>
  <si>
    <t>Temps U</t>
  </si>
  <si>
    <t>Total</t>
  </si>
  <si>
    <t>FOURNITURE</t>
  </si>
  <si>
    <t>Prix total</t>
  </si>
  <si>
    <t>Prix de la Main d'œuvre</t>
  </si>
  <si>
    <t>Prix des fourniture</t>
  </si>
  <si>
    <t>Coût de revient</t>
  </si>
  <si>
    <t>Qte</t>
  </si>
  <si>
    <t>Coef de calcul</t>
  </si>
  <si>
    <t>Charges sociales patronales</t>
  </si>
  <si>
    <t>Nombre d'heure de travail</t>
  </si>
  <si>
    <t>TOTAL BRUT/semaine</t>
  </si>
  <si>
    <t>TOTAL GENERAL/semaine</t>
  </si>
  <si>
    <t>Autre dépense</t>
  </si>
  <si>
    <t>Désignation</t>
  </si>
  <si>
    <t>Coût</t>
  </si>
  <si>
    <t>Compte prorata</t>
  </si>
  <si>
    <t>Coef 150</t>
  </si>
  <si>
    <t>Coef 170</t>
  </si>
  <si>
    <t>Coef 185</t>
  </si>
  <si>
    <t>Coef 210</t>
  </si>
  <si>
    <t>Coef 230</t>
  </si>
  <si>
    <t>Coef 250</t>
  </si>
  <si>
    <t>Coef 270</t>
  </si>
  <si>
    <t>Nb de salarié</t>
  </si>
  <si>
    <t>Salaire de base mensuel</t>
  </si>
  <si>
    <t>Horaire légal</t>
  </si>
  <si>
    <t>Données</t>
  </si>
  <si>
    <t>majoration des heures suplémentaires</t>
  </si>
  <si>
    <r>
      <t xml:space="preserve">Les </t>
    </r>
    <r>
      <rPr>
        <b/>
        <u/>
        <sz val="11"/>
        <rFont val="Calibri"/>
        <family val="2"/>
        <scheme val="minor"/>
      </rPr>
      <t>frais généraux</t>
    </r>
    <r>
      <rPr>
        <b/>
        <sz val="11"/>
        <rFont val="Calibri"/>
        <family val="2"/>
        <scheme val="minor"/>
      </rPr>
      <t xml:space="preserve"> représentent :</t>
    </r>
  </si>
  <si>
    <r>
      <t xml:space="preserve">La </t>
    </r>
    <r>
      <rPr>
        <b/>
        <u/>
        <sz val="11"/>
        <rFont val="Calibri"/>
        <family val="2"/>
        <scheme val="minor"/>
      </rPr>
      <t>main d'œuvre</t>
    </r>
    <r>
      <rPr>
        <b/>
        <sz val="11"/>
        <rFont val="Calibri"/>
        <family val="2"/>
        <scheme val="minor"/>
      </rPr>
      <t xml:space="preserve"> représente :</t>
    </r>
  </si>
  <si>
    <r>
      <t xml:space="preserve">Le </t>
    </r>
    <r>
      <rPr>
        <b/>
        <u/>
        <sz val="11"/>
        <rFont val="Calibri"/>
        <family val="2"/>
        <scheme val="minor"/>
      </rPr>
      <t>bénéfice</t>
    </r>
    <r>
      <rPr>
        <b/>
        <sz val="11"/>
        <rFont val="Calibri"/>
        <family val="2"/>
        <scheme val="minor"/>
      </rPr>
      <t xml:space="preserve"> aléas représente :</t>
    </r>
  </si>
  <si>
    <t>nb h :</t>
  </si>
  <si>
    <t>Par heure de travail</t>
  </si>
  <si>
    <t>Ouvrage</t>
  </si>
  <si>
    <t>Sous ouvrage</t>
  </si>
  <si>
    <t>Prix de vente horaire moyen</t>
  </si>
  <si>
    <t>Pose</t>
  </si>
  <si>
    <t>fin</t>
  </si>
  <si>
    <t>Prix Total</t>
  </si>
  <si>
    <t>Temps total</t>
  </si>
  <si>
    <t>Prix U total</t>
  </si>
  <si>
    <t>Frais kilométrique / jour</t>
  </si>
  <si>
    <t>Nombre de jour sur le chantier</t>
  </si>
  <si>
    <t>Temps</t>
  </si>
  <si>
    <t>Coef Bénéfice</t>
  </si>
  <si>
    <t>Frais de chantier</t>
  </si>
  <si>
    <t>Frais de marché</t>
  </si>
  <si>
    <t>Coef frais généraux</t>
  </si>
  <si>
    <t>Coef frais cachés</t>
  </si>
  <si>
    <t>Total déboursé frais de chantier</t>
  </si>
  <si>
    <t>Prix de vente HT</t>
  </si>
  <si>
    <t>Nbr de jour de travail de l'entreprise</t>
  </si>
  <si>
    <t>Nombre d'heure de travail de l'entreprise</t>
  </si>
  <si>
    <t>Nb de personnes sur le chantier</t>
  </si>
  <si>
    <t>Nombre de personne par véhicule</t>
  </si>
  <si>
    <t>Nombre d'heure de travail par jour</t>
  </si>
  <si>
    <t>Information à remplir</t>
  </si>
  <si>
    <t>Nb de jour sur le chantier</t>
  </si>
  <si>
    <t>Délai des travaux (jours ouvrés)</t>
  </si>
  <si>
    <t>Temps de trajet (aller)</t>
  </si>
  <si>
    <t>Indemnitée kilométrique pour le conducteur</t>
  </si>
  <si>
    <t>Indemnitée kilométrique pour le passager</t>
  </si>
  <si>
    <t>Frais kilométrique</t>
  </si>
  <si>
    <t>Coût du déplacement</t>
  </si>
  <si>
    <t>Temps de trajet / jour</t>
  </si>
  <si>
    <t>Prix total par jour / véhicule</t>
  </si>
  <si>
    <t>Nombre de véhicule</t>
  </si>
  <si>
    <t>indemnité repas soumise</t>
  </si>
  <si>
    <t>indemnité repas non soumise</t>
  </si>
  <si>
    <t>Total déboursé chantier</t>
  </si>
  <si>
    <t>Perte de temps sur chantier</t>
  </si>
  <si>
    <t>Nombre d'heures effectif</t>
  </si>
  <si>
    <t>Décharge</t>
  </si>
  <si>
    <t>Nettoyage</t>
  </si>
  <si>
    <t>Frais de fonctionement</t>
  </si>
  <si>
    <t>Ammortissement divers</t>
  </si>
  <si>
    <t>Ammortissement véhicules</t>
  </si>
  <si>
    <t>Personnel administratif (salaire)</t>
  </si>
  <si>
    <t>Personnel administratif (charges)</t>
  </si>
  <si>
    <t>Personnel d'encadrement (salaires)</t>
  </si>
  <si>
    <t>Personnel d'encadrement (charges)</t>
  </si>
  <si>
    <t>Impôts et taxes</t>
  </si>
  <si>
    <t>Fourniture</t>
  </si>
  <si>
    <t>m2</t>
  </si>
  <si>
    <t>indemnitée kilometrique conducteurs / jour</t>
  </si>
  <si>
    <t>indemnitée kilometrique passagers / jour</t>
  </si>
  <si>
    <t>Protection des ouvrages</t>
  </si>
  <si>
    <t>Reception des huisseries</t>
  </si>
  <si>
    <t>Temp de travail sur le chantier</t>
  </si>
  <si>
    <t>Nb h de tavail avec déplacement</t>
  </si>
  <si>
    <t>Nombre d'heure de travail total</t>
  </si>
  <si>
    <t>Reception support menuiserie ext</t>
  </si>
  <si>
    <t>Instalation container</t>
  </si>
  <si>
    <t>Déplacment container</t>
  </si>
  <si>
    <t>Instalation cabane de chantier</t>
  </si>
  <si>
    <t>Déplacement cabane de chantier</t>
  </si>
  <si>
    <t>Déplacement de local de stockage</t>
  </si>
  <si>
    <t>Mise en place de local de stockage</t>
  </si>
  <si>
    <t>Repli des instalation de chantier</t>
  </si>
  <si>
    <t>Temps d'encadrement sur chantier</t>
  </si>
  <si>
    <t>Prix unitaire</t>
  </si>
  <si>
    <t>Qte2</t>
  </si>
  <si>
    <t>Coef bénéfice</t>
  </si>
  <si>
    <t>Distance du chantier km</t>
  </si>
  <si>
    <t>Ouvrage 1</t>
  </si>
  <si>
    <t>Ouvrage 2</t>
  </si>
  <si>
    <t>Ouvrage 3</t>
  </si>
  <si>
    <t>Ouvrage 4</t>
  </si>
  <si>
    <t>Ouvrage 5</t>
  </si>
  <si>
    <t>Ouvrage 6</t>
  </si>
  <si>
    <t>Ouvrage 7</t>
  </si>
  <si>
    <t>Ouvrage 8</t>
  </si>
  <si>
    <t>Ouvrage 9</t>
  </si>
  <si>
    <t>Ouvrage 10</t>
  </si>
  <si>
    <t>Ens</t>
  </si>
  <si>
    <t>Sous traitant</t>
  </si>
  <si>
    <t>Materiel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</si>
</sst>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164" formatCode="0&quot; h&quot;"/>
    <numFmt numFmtId="165" formatCode="#,##0.00\ &quot;€&quot;"/>
    <numFmt numFmtId="166" formatCode="#,##0&quot; h&quot;"/>
    <numFmt numFmtId="167" formatCode="#,##0.0&quot; h&quot;"/>
    <numFmt numFmtId="168" formatCode="0.00&quot; semaines&quot;"/>
    <numFmt numFmtId="169" formatCode="0.00%&quot; du CA&quot;"/>
    <numFmt numFmtId="170" formatCode="0.00%&quot; du Déboursé&quot;"/>
    <numFmt numFmtId="171" formatCode="0.00%&quot; du CR&quot;"/>
    <numFmt numFmtId="172" formatCode="#,##0.00\ &quot;€&quot;&quot; par heure de travail&quot;"/>
    <numFmt numFmtId="173" formatCode="0.000"/>
    <numFmt numFmtId="174" formatCode="0.00000"/>
    <numFmt numFmtId="175" formatCode="0.0000"/>
    <numFmt numFmtId="176" formatCode="_-* #,##0.0000\ &quot;€&quot;_-;\-* #,##0.0000\ &quot;€&quot;_-;_-* &quot;-&quot;??\ &quot;€&quot;_-;_-@_-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name val="Arial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</font>
    <font>
      <i/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  <font>
      <sz val="14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4506668294322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333">
    <xf numFmtId="0" fontId="0" fillId="0" borderId="0" xfId="0"/>
    <xf numFmtId="0" fontId="0" fillId="2" borderId="0" xfId="0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165" fontId="14" fillId="2" borderId="0" xfId="1" applyNumberFormat="1" applyFont="1" applyFill="1" applyBorder="1" applyAlignment="1">
      <alignment horizontal="center" vertical="center" wrapText="1"/>
    </xf>
    <xf numFmtId="17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4" fillId="2" borderId="0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center" wrapText="1"/>
    </xf>
    <xf numFmtId="165" fontId="9" fillId="2" borderId="0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165" fontId="10" fillId="2" borderId="0" xfId="0" applyNumberFormat="1" applyFont="1" applyFill="1" applyBorder="1" applyAlignment="1">
      <alignment vertical="center" wrapText="1"/>
    </xf>
    <xf numFmtId="165" fontId="5" fillId="2" borderId="0" xfId="0" applyNumberFormat="1" applyFont="1" applyFill="1" applyBorder="1" applyAlignment="1" applyProtection="1">
      <alignment horizontal="center" vertical="center" wrapText="1"/>
    </xf>
    <xf numFmtId="165" fontId="11" fillId="2" borderId="0" xfId="0" applyNumberFormat="1" applyFont="1" applyFill="1" applyBorder="1" applyAlignment="1">
      <alignment vertical="center" wrapText="1"/>
    </xf>
    <xf numFmtId="165" fontId="12" fillId="2" borderId="0" xfId="0" applyNumberFormat="1" applyFont="1" applyFill="1" applyBorder="1" applyAlignment="1" applyProtection="1">
      <alignment horizontal="center" vertical="center" wrapText="1"/>
    </xf>
    <xf numFmtId="165" fontId="15" fillId="2" borderId="0" xfId="0" applyNumberFormat="1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165" fontId="17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169" fontId="3" fillId="2" borderId="0" xfId="0" applyNumberFormat="1" applyFont="1" applyFill="1" applyBorder="1" applyAlignment="1">
      <alignment horizontal="center" vertical="center" wrapText="1"/>
    </xf>
    <xf numFmtId="170" fontId="3" fillId="2" borderId="0" xfId="0" applyNumberFormat="1" applyFont="1" applyFill="1" applyBorder="1" applyAlignment="1">
      <alignment horizontal="center" vertical="center" wrapText="1"/>
    </xf>
    <xf numFmtId="171" fontId="3" fillId="2" borderId="0" xfId="2" applyNumberFormat="1" applyFont="1" applyFill="1" applyBorder="1" applyAlignment="1">
      <alignment horizontal="center" vertical="center" wrapText="1"/>
    </xf>
    <xf numFmtId="171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horizontal="right" vertical="center" wrapText="1"/>
    </xf>
    <xf numFmtId="0" fontId="18" fillId="2" borderId="0" xfId="0" applyFont="1" applyFill="1" applyBorder="1" applyAlignment="1">
      <alignment horizontal="center" vertical="center" wrapText="1"/>
    </xf>
    <xf numFmtId="165" fontId="3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/>
    <xf numFmtId="0" fontId="0" fillId="0" borderId="0" xfId="0" applyAlignment="1">
      <alignment horizontal="center"/>
    </xf>
    <xf numFmtId="0" fontId="2" fillId="4" borderId="10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2" borderId="32" xfId="0" applyFill="1" applyBorder="1" applyAlignment="1" applyProtection="1">
      <alignment horizontal="center" vertical="center"/>
      <protection locked="0"/>
    </xf>
    <xf numFmtId="0" fontId="0" fillId="2" borderId="34" xfId="0" applyFill="1" applyBorder="1" applyAlignment="1" applyProtection="1">
      <alignment horizontal="center" vertical="center"/>
      <protection locked="0"/>
    </xf>
    <xf numFmtId="0" fontId="0" fillId="2" borderId="28" xfId="0" applyNumberFormat="1" applyFill="1" applyBorder="1" applyAlignment="1" applyProtection="1">
      <alignment horizontal="center" vertical="center"/>
      <protection locked="0"/>
    </xf>
    <xf numFmtId="44" fontId="0" fillId="2" borderId="28" xfId="0" applyNumberFormat="1" applyFill="1" applyBorder="1" applyAlignment="1" applyProtection="1">
      <alignment horizontal="center" vertical="center"/>
      <protection locked="0"/>
    </xf>
    <xf numFmtId="0" fontId="0" fillId="2" borderId="39" xfId="0" applyNumberFormat="1" applyFill="1" applyBorder="1" applyAlignment="1" applyProtection="1">
      <alignment horizontal="center" vertical="center"/>
      <protection locked="0"/>
    </xf>
    <xf numFmtId="44" fontId="0" fillId="2" borderId="39" xfId="0" applyNumberFormat="1" applyFill="1" applyBorder="1" applyAlignment="1" applyProtection="1">
      <alignment horizontal="center" vertical="center"/>
      <protection locked="0"/>
    </xf>
    <xf numFmtId="0" fontId="0" fillId="2" borderId="23" xfId="0" applyFill="1" applyBorder="1"/>
    <xf numFmtId="44" fontId="0" fillId="2" borderId="23" xfId="0" applyNumberFormat="1" applyFill="1" applyBorder="1"/>
    <xf numFmtId="0" fontId="0" fillId="2" borderId="4" xfId="0" applyFill="1" applyBorder="1"/>
    <xf numFmtId="44" fontId="0" fillId="2" borderId="4" xfId="0" applyNumberFormat="1" applyFill="1" applyBorder="1"/>
    <xf numFmtId="0" fontId="0" fillId="2" borderId="0" xfId="0" applyFill="1" applyBorder="1"/>
    <xf numFmtId="0" fontId="0" fillId="5" borderId="9" xfId="0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44" fontId="0" fillId="3" borderId="33" xfId="1" applyFont="1" applyFill="1" applyBorder="1" applyAlignment="1" applyProtection="1">
      <alignment horizontal="center" vertical="center"/>
    </xf>
    <xf numFmtId="44" fontId="0" fillId="3" borderId="35" xfId="1" applyFont="1" applyFill="1" applyBorder="1" applyAlignment="1" applyProtection="1">
      <alignment horizontal="center" vertical="center"/>
    </xf>
    <xf numFmtId="44" fontId="0" fillId="3" borderId="40" xfId="1" applyFont="1" applyFill="1" applyBorder="1" applyAlignment="1" applyProtection="1">
      <alignment horizontal="center" vertical="center"/>
    </xf>
    <xf numFmtId="0" fontId="21" fillId="3" borderId="20" xfId="0" applyFont="1" applyFill="1" applyBorder="1" applyAlignment="1">
      <alignment horizontal="right"/>
    </xf>
    <xf numFmtId="0" fontId="21" fillId="3" borderId="20" xfId="0" applyNumberFormat="1" applyFont="1" applyFill="1" applyBorder="1" applyAlignment="1">
      <alignment horizontal="right"/>
    </xf>
    <xf numFmtId="44" fontId="21" fillId="3" borderId="20" xfId="1" applyFont="1" applyFill="1" applyBorder="1" applyAlignment="1">
      <alignment horizontal="right"/>
    </xf>
    <xf numFmtId="44" fontId="21" fillId="3" borderId="21" xfId="0" applyNumberFormat="1" applyFont="1" applyFill="1" applyBorder="1" applyAlignment="1">
      <alignment horizontal="right"/>
    </xf>
    <xf numFmtId="0" fontId="0" fillId="2" borderId="34" xfId="0" applyFill="1" applyBorder="1" applyAlignment="1" applyProtection="1">
      <alignment horizontal="left" vertical="center"/>
      <protection locked="0"/>
    </xf>
    <xf numFmtId="0" fontId="0" fillId="2" borderId="38" xfId="0" applyFill="1" applyBorder="1" applyAlignment="1" applyProtection="1">
      <protection locked="0"/>
    </xf>
    <xf numFmtId="44" fontId="0" fillId="2" borderId="0" xfId="0" applyNumberFormat="1" applyFill="1"/>
    <xf numFmtId="0" fontId="3" fillId="2" borderId="0" xfId="0" applyFont="1" applyFill="1"/>
    <xf numFmtId="0" fontId="2" fillId="4" borderId="10" xfId="0" applyFont="1" applyFill="1" applyBorder="1" applyAlignment="1">
      <alignment horizontal="center" vertic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42" xfId="0" applyFill="1" applyBorder="1" applyAlignment="1" applyProtection="1">
      <alignment horizontal="left" vertical="center"/>
      <protection locked="0"/>
    </xf>
    <xf numFmtId="0" fontId="0" fillId="2" borderId="45" xfId="0" applyFill="1" applyBorder="1" applyAlignment="1" applyProtection="1">
      <alignment horizontal="left" vertical="center"/>
      <protection locked="0"/>
    </xf>
    <xf numFmtId="0" fontId="21" fillId="3" borderId="11" xfId="0" applyFont="1" applyFill="1" applyBorder="1" applyAlignment="1">
      <alignment horizontal="left"/>
    </xf>
    <xf numFmtId="44" fontId="24" fillId="4" borderId="26" xfId="1" applyFont="1" applyFill="1" applyBorder="1" applyAlignment="1">
      <alignment horizontal="center" vertical="center"/>
    </xf>
    <xf numFmtId="0" fontId="24" fillId="4" borderId="26" xfId="0" applyFont="1" applyFill="1" applyBorder="1" applyAlignment="1">
      <alignment horizontal="center" vertical="center"/>
    </xf>
    <xf numFmtId="44" fontId="0" fillId="3" borderId="26" xfId="1" applyFont="1" applyFill="1" applyBorder="1"/>
    <xf numFmtId="44" fontId="0" fillId="3" borderId="16" xfId="1" applyFont="1" applyFill="1" applyBorder="1"/>
    <xf numFmtId="44" fontId="0" fillId="3" borderId="14" xfId="1" applyFont="1" applyFill="1" applyBorder="1"/>
    <xf numFmtId="0" fontId="0" fillId="5" borderId="26" xfId="0" applyFill="1" applyBorder="1"/>
    <xf numFmtId="0" fontId="0" fillId="5" borderId="26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44" fontId="0" fillId="2" borderId="0" xfId="1" applyFont="1" applyFill="1"/>
    <xf numFmtId="44" fontId="3" fillId="2" borderId="0" xfId="0" applyNumberFormat="1" applyFont="1" applyFill="1" applyBorder="1"/>
    <xf numFmtId="0" fontId="2" fillId="4" borderId="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8" fontId="9" fillId="2" borderId="0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>
      <alignment horizontal="center" vertical="center"/>
    </xf>
    <xf numFmtId="0" fontId="26" fillId="4" borderId="1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44" fontId="0" fillId="2" borderId="0" xfId="0" applyNumberFormat="1" applyFill="1" applyBorder="1" applyAlignment="1">
      <alignment horizontal="center"/>
    </xf>
    <xf numFmtId="44" fontId="0" fillId="2" borderId="0" xfId="0" applyNumberFormat="1" applyFill="1" applyBorder="1" applyAlignment="1">
      <alignment horizontal="right"/>
    </xf>
    <xf numFmtId="0" fontId="0" fillId="5" borderId="46" xfId="0" applyFill="1" applyBorder="1" applyAlignment="1">
      <alignment horizontal="center" vertical="center"/>
    </xf>
    <xf numFmtId="0" fontId="0" fillId="2" borderId="30" xfId="0" applyFill="1" applyBorder="1" applyAlignment="1" applyProtection="1">
      <alignment horizontal="left" vertical="center" wrapText="1"/>
      <protection locked="0"/>
    </xf>
    <xf numFmtId="0" fontId="2" fillId="4" borderId="14" xfId="0" applyFont="1" applyFill="1" applyBorder="1" applyAlignment="1">
      <alignment horizontal="center"/>
    </xf>
    <xf numFmtId="0" fontId="0" fillId="5" borderId="10" xfId="0" applyFill="1" applyBorder="1" applyAlignment="1">
      <alignment horizontal="center" vertical="center"/>
    </xf>
    <xf numFmtId="0" fontId="0" fillId="2" borderId="33" xfId="0" applyFill="1" applyBorder="1" applyAlignment="1" applyProtection="1">
      <alignment horizontal="center" vertical="center"/>
      <protection locked="0"/>
    </xf>
    <xf numFmtId="0" fontId="19" fillId="5" borderId="47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4" fontId="0" fillId="2" borderId="0" xfId="1" applyFont="1" applyFill="1" applyBorder="1" applyAlignment="1">
      <alignment horizontal="center" vertical="center"/>
    </xf>
    <xf numFmtId="44" fontId="0" fillId="2" borderId="35" xfId="1" applyFont="1" applyFill="1" applyBorder="1" applyAlignment="1" applyProtection="1">
      <alignment horizontal="center" vertical="center"/>
      <protection locked="0"/>
    </xf>
    <xf numFmtId="44" fontId="0" fillId="2" borderId="44" xfId="1" applyFont="1" applyFill="1" applyBorder="1" applyAlignment="1" applyProtection="1">
      <alignment horizontal="center" vertical="center"/>
      <protection locked="0"/>
    </xf>
    <xf numFmtId="44" fontId="21" fillId="3" borderId="13" xfId="1" applyFont="1" applyFill="1" applyBorder="1" applyAlignment="1" applyProtection="1">
      <alignment horizontal="center"/>
    </xf>
    <xf numFmtId="10" fontId="0" fillId="2" borderId="28" xfId="0" applyNumberFormat="1" applyFill="1" applyBorder="1" applyAlignment="1" applyProtection="1">
      <alignment horizontal="center" vertical="center"/>
      <protection locked="0"/>
    </xf>
    <xf numFmtId="10" fontId="0" fillId="2" borderId="28" xfId="2" applyNumberFormat="1" applyFont="1" applyFill="1" applyBorder="1" applyAlignment="1" applyProtection="1">
      <alignment horizontal="center" vertical="center"/>
      <protection locked="0"/>
    </xf>
    <xf numFmtId="10" fontId="0" fillId="2" borderId="31" xfId="0" applyNumberFormat="1" applyFill="1" applyBorder="1" applyAlignment="1" applyProtection="1">
      <alignment horizontal="center" vertical="center"/>
      <protection locked="0"/>
    </xf>
    <xf numFmtId="10" fontId="21" fillId="3" borderId="12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9" fillId="5" borderId="27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>
      <alignment horizontal="center"/>
    </xf>
    <xf numFmtId="0" fontId="27" fillId="4" borderId="10" xfId="0" applyFont="1" applyFill="1" applyBorder="1" applyAlignment="1">
      <alignment horizontal="center" vertical="center" wrapText="1"/>
    </xf>
    <xf numFmtId="165" fontId="12" fillId="3" borderId="13" xfId="0" applyNumberFormat="1" applyFont="1" applyFill="1" applyBorder="1" applyAlignment="1" applyProtection="1">
      <alignment horizontal="center" vertical="center" wrapText="1"/>
    </xf>
    <xf numFmtId="165" fontId="0" fillId="2" borderId="16" xfId="0" applyNumberFormat="1" applyFont="1" applyFill="1" applyBorder="1" applyAlignment="1" applyProtection="1">
      <alignment horizontal="center" vertical="center" wrapText="1"/>
      <protection locked="0"/>
    </xf>
    <xf numFmtId="44" fontId="14" fillId="6" borderId="26" xfId="1" applyFont="1" applyFill="1" applyBorder="1"/>
    <xf numFmtId="0" fontId="7" fillId="2" borderId="0" xfId="0" applyFont="1" applyFill="1"/>
    <xf numFmtId="0" fontId="19" fillId="5" borderId="2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10" fontId="0" fillId="2" borderId="0" xfId="0" applyNumberFormat="1" applyFill="1"/>
    <xf numFmtId="175" fontId="0" fillId="2" borderId="0" xfId="0" applyNumberFormat="1" applyFill="1"/>
    <xf numFmtId="0" fontId="0" fillId="5" borderId="36" xfId="0" applyFill="1" applyBorder="1" applyAlignment="1">
      <alignment wrapText="1"/>
    </xf>
    <xf numFmtId="0" fontId="0" fillId="2" borderId="0" xfId="0" applyFill="1" applyBorder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/>
    </xf>
    <xf numFmtId="0" fontId="0" fillId="5" borderId="26" xfId="0" applyFont="1" applyFill="1" applyBorder="1"/>
    <xf numFmtId="44" fontId="0" fillId="2" borderId="0" xfId="1" applyFont="1" applyFill="1" applyBorder="1" applyAlignment="1" applyProtection="1">
      <alignment horizontal="left" vertical="center"/>
    </xf>
    <xf numFmtId="44" fontId="0" fillId="3" borderId="13" xfId="1" applyFont="1" applyFill="1" applyBorder="1"/>
    <xf numFmtId="44" fontId="0" fillId="2" borderId="0" xfId="1" applyFont="1" applyFill="1" applyBorder="1" applyAlignment="1" applyProtection="1">
      <alignment horizontal="left" vertical="top"/>
    </xf>
    <xf numFmtId="44" fontId="0" fillId="3" borderId="43" xfId="1" applyFont="1" applyFill="1" applyBorder="1" applyAlignment="1" applyProtection="1">
      <alignment horizontal="center" vertical="center"/>
    </xf>
    <xf numFmtId="44" fontId="21" fillId="3" borderId="13" xfId="0" applyNumberFormat="1" applyFont="1" applyFill="1" applyBorder="1" applyAlignment="1" applyProtection="1">
      <alignment horizontal="center"/>
    </xf>
    <xf numFmtId="0" fontId="34" fillId="2" borderId="23" xfId="0" applyFont="1" applyFill="1" applyBorder="1"/>
    <xf numFmtId="44" fontId="34" fillId="2" borderId="23" xfId="0" applyNumberFormat="1" applyFont="1" applyFill="1" applyBorder="1"/>
    <xf numFmtId="0" fontId="0" fillId="5" borderId="36" xfId="0" applyFill="1" applyBorder="1" applyAlignment="1">
      <alignment horizontal="left" wrapText="1"/>
    </xf>
    <xf numFmtId="0" fontId="0" fillId="5" borderId="11" xfId="0" applyFill="1" applyBorder="1" applyAlignment="1">
      <alignment horizontal="left" wrapText="1"/>
    </xf>
    <xf numFmtId="44" fontId="0" fillId="6" borderId="26" xfId="1" applyFont="1" applyFill="1" applyBorder="1"/>
    <xf numFmtId="44" fontId="0" fillId="3" borderId="37" xfId="1" applyFont="1" applyFill="1" applyBorder="1" applyAlignment="1" applyProtection="1">
      <alignment horizontal="left" vertical="center"/>
    </xf>
    <xf numFmtId="9" fontId="23" fillId="2" borderId="0" xfId="0" applyNumberFormat="1" applyFont="1" applyFill="1" applyBorder="1" applyAlignment="1">
      <alignment vertical="center"/>
    </xf>
    <xf numFmtId="44" fontId="6" fillId="2" borderId="0" xfId="0" applyNumberFormat="1" applyFont="1" applyFill="1" applyBorder="1" applyAlignment="1">
      <alignment horizontal="center"/>
    </xf>
    <xf numFmtId="0" fontId="0" fillId="2" borderId="0" xfId="0" applyFont="1" applyFill="1"/>
    <xf numFmtId="0" fontId="0" fillId="5" borderId="36" xfId="0" applyFont="1" applyFill="1" applyBorder="1" applyAlignment="1">
      <alignment wrapText="1"/>
    </xf>
    <xf numFmtId="0" fontId="6" fillId="2" borderId="0" xfId="0" applyFont="1" applyFill="1" applyBorder="1" applyAlignment="1">
      <alignment horizontal="center"/>
    </xf>
    <xf numFmtId="0" fontId="0" fillId="5" borderId="36" xfId="0" applyFont="1" applyFill="1" applyBorder="1" applyAlignment="1">
      <alignment vertical="center" wrapText="1"/>
    </xf>
    <xf numFmtId="0" fontId="0" fillId="5" borderId="36" xfId="0" applyFont="1" applyFill="1" applyBorder="1" applyAlignment="1">
      <alignment vertical="center"/>
    </xf>
    <xf numFmtId="44" fontId="0" fillId="3" borderId="37" xfId="0" applyNumberFormat="1" applyFont="1" applyFill="1" applyBorder="1"/>
    <xf numFmtId="0" fontId="0" fillId="5" borderId="36" xfId="0" applyFont="1" applyFill="1" applyBorder="1"/>
    <xf numFmtId="0" fontId="0" fillId="2" borderId="4" xfId="0" applyFont="1" applyFill="1" applyBorder="1" applyAlignment="1">
      <alignment horizontal="right"/>
    </xf>
    <xf numFmtId="0" fontId="0" fillId="2" borderId="4" xfId="0" applyFon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0" fontId="0" fillId="2" borderId="32" xfId="0" applyFill="1" applyBorder="1" applyAlignment="1" applyProtection="1">
      <alignment horizontal="left" vertical="center"/>
      <protection locked="0"/>
    </xf>
    <xf numFmtId="10" fontId="0" fillId="2" borderId="29" xfId="2" applyNumberFormat="1" applyFont="1" applyFill="1" applyBorder="1" applyAlignment="1" applyProtection="1">
      <alignment horizontal="center" vertical="center"/>
      <protection locked="0"/>
    </xf>
    <xf numFmtId="0" fontId="20" fillId="5" borderId="8" xfId="0" applyFont="1" applyFill="1" applyBorder="1" applyAlignment="1">
      <alignment horizontal="center" vertical="center"/>
    </xf>
    <xf numFmtId="0" fontId="33" fillId="5" borderId="9" xfId="0" applyFont="1" applyFill="1" applyBorder="1" applyAlignment="1">
      <alignment horizontal="center" vertical="center"/>
    </xf>
    <xf numFmtId="0" fontId="33" fillId="5" borderId="10" xfId="0" applyFont="1" applyFill="1" applyBorder="1" applyAlignment="1">
      <alignment horizontal="center" vertical="center"/>
    </xf>
    <xf numFmtId="0" fontId="0" fillId="2" borderId="36" xfId="0" applyFill="1" applyBorder="1" applyAlignment="1" applyProtection="1">
      <alignment horizontal="left"/>
      <protection locked="0"/>
    </xf>
    <xf numFmtId="0" fontId="0" fillId="2" borderId="37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3" xfId="0" applyNumberFormat="1" applyFill="1" applyBorder="1" applyAlignment="1" applyProtection="1">
      <alignment horizontal="center"/>
      <protection locked="0"/>
    </xf>
    <xf numFmtId="0" fontId="0" fillId="2" borderId="13" xfId="0" applyFill="1" applyBorder="1" applyProtection="1">
      <protection locked="0"/>
    </xf>
    <xf numFmtId="165" fontId="0" fillId="2" borderId="0" xfId="0" applyNumberFormat="1" applyFill="1" applyBorder="1" applyAlignment="1" applyProtection="1">
      <alignment horizontal="center" vertical="center" wrapText="1"/>
      <protection locked="0"/>
    </xf>
    <xf numFmtId="165" fontId="0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20" fillId="5" borderId="14" xfId="0" applyFont="1" applyFill="1" applyBorder="1" applyAlignment="1" applyProtection="1">
      <alignment horizontal="center" vertical="center" wrapText="1"/>
    </xf>
    <xf numFmtId="169" fontId="3" fillId="3" borderId="19" xfId="0" applyNumberFormat="1" applyFont="1" applyFill="1" applyBorder="1" applyAlignment="1" applyProtection="1">
      <alignment horizontal="center" vertical="center" wrapText="1"/>
    </xf>
    <xf numFmtId="170" fontId="30" fillId="3" borderId="20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172" fontId="3" fillId="2" borderId="0" xfId="0" applyNumberFormat="1" applyFont="1" applyFill="1" applyBorder="1" applyAlignment="1" applyProtection="1">
      <alignment horizontal="center" vertical="center" wrapText="1"/>
    </xf>
    <xf numFmtId="2" fontId="0" fillId="2" borderId="0" xfId="0" applyNumberFormat="1" applyFill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vertical="center" wrapText="1"/>
    </xf>
    <xf numFmtId="0" fontId="0" fillId="5" borderId="41" xfId="0" applyFill="1" applyBorder="1" applyAlignment="1" applyProtection="1">
      <alignment horizontal="center" vertical="center" wrapText="1"/>
    </xf>
    <xf numFmtId="0" fontId="0" fillId="3" borderId="21" xfId="0" applyNumberForma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right" vertical="center" wrapText="1"/>
    </xf>
    <xf numFmtId="0" fontId="29" fillId="5" borderId="14" xfId="0" applyFont="1" applyFill="1" applyBorder="1" applyAlignment="1" applyProtection="1">
      <alignment horizontal="center" vertical="center" wrapText="1"/>
    </xf>
    <xf numFmtId="165" fontId="3" fillId="3" borderId="14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left" vertical="center" wrapText="1"/>
    </xf>
    <xf numFmtId="174" fontId="3" fillId="3" borderId="14" xfId="0" applyNumberFormat="1" applyFont="1" applyFill="1" applyBorder="1" applyAlignment="1" applyProtection="1">
      <alignment horizontal="center" vertical="center" wrapText="1"/>
    </xf>
    <xf numFmtId="0" fontId="0" fillId="2" borderId="0" xfId="0" applyFont="1" applyFill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173" fontId="3" fillId="3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165" fontId="0" fillId="2" borderId="0" xfId="0" applyNumberFormat="1" applyFill="1" applyBorder="1" applyAlignment="1" applyProtection="1">
      <alignment horizontal="center" vertical="center" wrapText="1"/>
    </xf>
    <xf numFmtId="166" fontId="5" fillId="2" borderId="0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vertical="center" wrapText="1"/>
    </xf>
    <xf numFmtId="172" fontId="3" fillId="2" borderId="0" xfId="0" applyNumberFormat="1" applyFont="1" applyFill="1" applyBorder="1" applyAlignment="1" applyProtection="1">
      <alignment horizontal="right" vertical="center" wrapText="1"/>
    </xf>
    <xf numFmtId="0" fontId="0" fillId="2" borderId="48" xfId="0" applyNumberFormat="1" applyFill="1" applyBorder="1" applyProtection="1">
      <protection locked="0"/>
    </xf>
    <xf numFmtId="0" fontId="0" fillId="2" borderId="33" xfId="0" applyFill="1" applyBorder="1" applyProtection="1">
      <protection locked="0"/>
    </xf>
    <xf numFmtId="44" fontId="0" fillId="3" borderId="42" xfId="1" applyFont="1" applyFill="1" applyBorder="1" applyAlignment="1" applyProtection="1">
      <alignment horizontal="center" vertical="center"/>
    </xf>
    <xf numFmtId="0" fontId="0" fillId="3" borderId="62" xfId="1" applyNumberFormat="1" applyFont="1" applyFill="1" applyBorder="1" applyAlignment="1" applyProtection="1">
      <alignment horizontal="center" vertical="center"/>
    </xf>
    <xf numFmtId="171" fontId="30" fillId="3" borderId="21" xfId="2" applyNumberFormat="1" applyFont="1" applyFill="1" applyBorder="1" applyAlignment="1" applyProtection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30" fillId="2" borderId="7" xfId="0" applyFont="1" applyFill="1" applyBorder="1" applyAlignment="1" applyProtection="1">
      <alignment horizontal="center" vertical="center" wrapText="1"/>
    </xf>
    <xf numFmtId="171" fontId="30" fillId="3" borderId="21" xfId="0" applyNumberFormat="1" applyFont="1" applyFill="1" applyBorder="1" applyAlignment="1" applyProtection="1">
      <alignment horizontal="center" vertical="center" wrapText="1"/>
    </xf>
    <xf numFmtId="0" fontId="36" fillId="2" borderId="0" xfId="0" applyFont="1" applyFill="1" applyBorder="1" applyAlignment="1" applyProtection="1">
      <alignment horizontal="center" vertical="center" wrapText="1"/>
    </xf>
    <xf numFmtId="0" fontId="36" fillId="2" borderId="7" xfId="0" applyFont="1" applyFill="1" applyBorder="1" applyAlignment="1" applyProtection="1">
      <alignment horizontal="center" vertical="center" wrapText="1"/>
    </xf>
    <xf numFmtId="166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37" fillId="2" borderId="29" xfId="0" applyFont="1" applyFill="1" applyBorder="1" applyProtection="1">
      <protection locked="0"/>
    </xf>
    <xf numFmtId="0" fontId="37" fillId="2" borderId="32" xfId="0" applyFont="1" applyFill="1" applyBorder="1" applyAlignment="1" applyProtection="1">
      <alignment horizontal="center" vertical="center"/>
      <protection locked="0"/>
    </xf>
    <xf numFmtId="165" fontId="12" fillId="3" borderId="17" xfId="0" applyNumberFormat="1" applyFont="1" applyFill="1" applyBorder="1" applyAlignment="1" applyProtection="1">
      <alignment horizontal="center" vertical="center" wrapText="1"/>
    </xf>
    <xf numFmtId="0" fontId="0" fillId="2" borderId="64" xfId="0" applyFill="1" applyBorder="1" applyAlignment="1" applyProtection="1">
      <alignment horizontal="left" vertical="center" wrapText="1"/>
      <protection locked="0"/>
    </xf>
    <xf numFmtId="0" fontId="0" fillId="2" borderId="65" xfId="0" applyFill="1" applyBorder="1" applyAlignment="1" applyProtection="1">
      <alignment horizontal="center"/>
      <protection locked="0"/>
    </xf>
    <xf numFmtId="0" fontId="0" fillId="2" borderId="66" xfId="0" applyFill="1" applyBorder="1" applyAlignment="1" applyProtection="1">
      <alignment horizontal="center" vertical="center"/>
      <protection locked="0"/>
    </xf>
    <xf numFmtId="0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63" xfId="0" applyFill="1" applyBorder="1" applyAlignment="1" applyProtection="1">
      <alignment horizontal="center"/>
      <protection locked="0"/>
    </xf>
    <xf numFmtId="44" fontId="0" fillId="2" borderId="66" xfId="0" applyNumberForma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/>
    <xf numFmtId="0" fontId="0" fillId="5" borderId="36" xfId="0" applyFont="1" applyFill="1" applyBorder="1" applyAlignment="1"/>
    <xf numFmtId="0" fontId="0" fillId="2" borderId="0" xfId="0" applyFill="1" applyAlignment="1"/>
    <xf numFmtId="0" fontId="0" fillId="0" borderId="0" xfId="0" applyAlignment="1"/>
    <xf numFmtId="0" fontId="0" fillId="5" borderId="36" xfId="0" applyFill="1" applyBorder="1"/>
    <xf numFmtId="0" fontId="38" fillId="3" borderId="37" xfId="0" applyFont="1" applyFill="1" applyBorder="1" applyAlignment="1">
      <alignment vertical="center"/>
    </xf>
    <xf numFmtId="2" fontId="38" fillId="3" borderId="37" xfId="0" applyNumberFormat="1" applyFont="1" applyFill="1" applyBorder="1"/>
    <xf numFmtId="0" fontId="38" fillId="3" borderId="7" xfId="0" applyFont="1" applyFill="1" applyBorder="1"/>
    <xf numFmtId="2" fontId="38" fillId="3" borderId="37" xfId="0" applyNumberFormat="1" applyFont="1" applyFill="1" applyBorder="1" applyAlignment="1"/>
    <xf numFmtId="0" fontId="38" fillId="3" borderId="37" xfId="0" applyFont="1" applyFill="1" applyBorder="1"/>
    <xf numFmtId="44" fontId="0" fillId="2" borderId="0" xfId="1" applyFont="1" applyFill="1" applyBorder="1" applyAlignment="1"/>
    <xf numFmtId="0" fontId="0" fillId="2" borderId="29" xfId="0" applyNumberFormat="1" applyFill="1" applyBorder="1" applyAlignment="1" applyProtection="1">
      <alignment horizontal="center"/>
      <protection locked="0"/>
    </xf>
    <xf numFmtId="0" fontId="21" fillId="3" borderId="20" xfId="1" applyNumberFormat="1" applyFont="1" applyFill="1" applyBorder="1" applyAlignment="1" applyProtection="1">
      <alignment horizontal="right"/>
    </xf>
    <xf numFmtId="44" fontId="38" fillId="2" borderId="43" xfId="1" applyFont="1" applyFill="1" applyBorder="1" applyAlignment="1" applyProtection="1">
      <alignment horizontal="center" vertical="center"/>
      <protection locked="0"/>
    </xf>
    <xf numFmtId="44" fontId="38" fillId="2" borderId="35" xfId="1" applyFont="1" applyFill="1" applyBorder="1" applyAlignment="1" applyProtection="1">
      <alignment horizontal="center" vertical="center"/>
      <protection locked="0"/>
    </xf>
    <xf numFmtId="0" fontId="39" fillId="2" borderId="26" xfId="1" applyNumberFormat="1" applyFont="1" applyFill="1" applyBorder="1" applyProtection="1">
      <protection locked="0"/>
    </xf>
    <xf numFmtId="0" fontId="38" fillId="2" borderId="26" xfId="1" applyNumberFormat="1" applyFont="1" applyFill="1" applyBorder="1" applyProtection="1">
      <protection locked="0"/>
    </xf>
    <xf numFmtId="0" fontId="38" fillId="2" borderId="26" xfId="0" applyNumberFormat="1" applyFont="1" applyFill="1" applyBorder="1" applyProtection="1">
      <protection locked="0"/>
    </xf>
    <xf numFmtId="44" fontId="38" fillId="2" borderId="26" xfId="1" applyNumberFormat="1" applyFont="1" applyFill="1" applyBorder="1" applyProtection="1">
      <protection locked="0"/>
    </xf>
    <xf numFmtId="10" fontId="38" fillId="2" borderId="37" xfId="0" applyNumberFormat="1" applyFont="1" applyFill="1" applyBorder="1" applyProtection="1">
      <protection locked="0"/>
    </xf>
    <xf numFmtId="165" fontId="12" fillId="2" borderId="13" xfId="0" applyNumberFormat="1" applyFont="1" applyFill="1" applyBorder="1" applyAlignment="1" applyProtection="1">
      <alignment horizontal="center" vertical="center" wrapText="1"/>
      <protection locked="0"/>
    </xf>
    <xf numFmtId="165" fontId="38" fillId="2" borderId="15" xfId="0" applyNumberFormat="1" applyFont="1" applyFill="1" applyBorder="1" applyAlignment="1" applyProtection="1">
      <alignment horizontal="center" vertical="center" wrapText="1"/>
      <protection locked="0"/>
    </xf>
    <xf numFmtId="167" fontId="1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8" fillId="2" borderId="37" xfId="0" applyFont="1" applyFill="1" applyBorder="1" applyAlignment="1" applyProtection="1">
      <alignment horizontal="right" vertical="center"/>
      <protection locked="0"/>
    </xf>
    <xf numFmtId="0" fontId="38" fillId="2" borderId="37" xfId="0" applyFont="1" applyFill="1" applyBorder="1" applyAlignment="1" applyProtection="1">
      <alignment vertical="center"/>
      <protection locked="0"/>
    </xf>
    <xf numFmtId="9" fontId="38" fillId="2" borderId="37" xfId="0" applyNumberFormat="1" applyFont="1" applyFill="1" applyBorder="1" applyProtection="1">
      <protection locked="0"/>
    </xf>
    <xf numFmtId="0" fontId="38" fillId="2" borderId="37" xfId="0" applyFont="1" applyFill="1" applyBorder="1" applyProtection="1">
      <protection locked="0"/>
    </xf>
    <xf numFmtId="44" fontId="38" fillId="2" borderId="37" xfId="1" applyFont="1" applyFill="1" applyBorder="1" applyProtection="1">
      <protection locked="0"/>
    </xf>
    <xf numFmtId="44" fontId="38" fillId="3" borderId="13" xfId="1" applyFont="1" applyFill="1" applyBorder="1"/>
    <xf numFmtId="0" fontId="21" fillId="3" borderId="67" xfId="0" applyFont="1" applyFill="1" applyBorder="1" applyAlignment="1">
      <alignment horizontal="left"/>
    </xf>
    <xf numFmtId="0" fontId="0" fillId="2" borderId="49" xfId="0" applyFill="1" applyBorder="1" applyAlignment="1" applyProtection="1">
      <alignment horizontal="left" vertical="center"/>
      <protection locked="0"/>
    </xf>
    <xf numFmtId="0" fontId="0" fillId="2" borderId="68" xfId="0" applyFill="1" applyBorder="1" applyAlignment="1" applyProtection="1">
      <alignment horizontal="left" vertical="center"/>
      <protection locked="0"/>
    </xf>
    <xf numFmtId="0" fontId="0" fillId="2" borderId="69" xfId="0" applyFill="1" applyBorder="1" applyAlignment="1" applyProtection="1">
      <alignment horizontal="left" vertical="center"/>
      <protection locked="0"/>
    </xf>
    <xf numFmtId="0" fontId="0" fillId="5" borderId="70" xfId="0" applyFill="1" applyBorder="1"/>
    <xf numFmtId="0" fontId="0" fillId="2" borderId="71" xfId="0" applyFill="1" applyBorder="1" applyAlignment="1" applyProtection="1">
      <alignment wrapText="1"/>
      <protection locked="0"/>
    </xf>
    <xf numFmtId="0" fontId="0" fillId="3" borderId="64" xfId="0" applyFill="1" applyBorder="1" applyAlignment="1" applyProtection="1">
      <alignment wrapText="1"/>
      <protection locked="0"/>
    </xf>
    <xf numFmtId="0" fontId="19" fillId="5" borderId="0" xfId="0" applyFont="1" applyFill="1" applyBorder="1" applyAlignment="1">
      <alignment horizontal="center" vertical="center"/>
    </xf>
    <xf numFmtId="44" fontId="0" fillId="3" borderId="72" xfId="1" applyFont="1" applyFill="1" applyBorder="1" applyAlignment="1" applyProtection="1">
      <alignment horizontal="center" vertical="center"/>
    </xf>
    <xf numFmtId="0" fontId="0" fillId="3" borderId="61" xfId="0" applyFill="1" applyBorder="1"/>
    <xf numFmtId="0" fontId="21" fillId="3" borderId="70" xfId="0" applyFont="1" applyFill="1" applyBorder="1" applyAlignment="1">
      <alignment horizontal="left"/>
    </xf>
    <xf numFmtId="0" fontId="21" fillId="3" borderId="73" xfId="0" applyFont="1" applyFill="1" applyBorder="1" applyAlignment="1">
      <alignment horizontal="right"/>
    </xf>
    <xf numFmtId="0" fontId="21" fillId="3" borderId="74" xfId="0" applyFont="1" applyFill="1" applyBorder="1" applyAlignment="1">
      <alignment horizontal="right"/>
    </xf>
    <xf numFmtId="0" fontId="21" fillId="3" borderId="18" xfId="1" applyNumberFormat="1" applyFont="1" applyFill="1" applyBorder="1" applyAlignment="1">
      <alignment horizontal="right"/>
    </xf>
    <xf numFmtId="0" fontId="21" fillId="3" borderId="70" xfId="0" applyFont="1" applyFill="1" applyBorder="1" applyAlignment="1">
      <alignment horizontal="right"/>
    </xf>
    <xf numFmtId="44" fontId="21" fillId="3" borderId="73" xfId="1" applyFont="1" applyFill="1" applyBorder="1" applyAlignment="1">
      <alignment horizontal="right"/>
    </xf>
    <xf numFmtId="44" fontId="21" fillId="3" borderId="73" xfId="0" applyNumberFormat="1" applyFont="1" applyFill="1" applyBorder="1" applyAlignment="1">
      <alignment horizontal="right"/>
    </xf>
    <xf numFmtId="0" fontId="21" fillId="3" borderId="59" xfId="0" applyNumberFormat="1" applyFont="1" applyFill="1" applyBorder="1" applyAlignment="1">
      <alignment horizontal="right"/>
    </xf>
    <xf numFmtId="44" fontId="21" fillId="3" borderId="60" xfId="0" applyNumberFormat="1" applyFont="1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176" fontId="0" fillId="2" borderId="4" xfId="0" applyNumberFormat="1" applyFill="1" applyBorder="1"/>
    <xf numFmtId="0" fontId="0" fillId="2" borderId="0" xfId="0" applyFill="1" applyBorder="1" applyAlignment="1">
      <alignment horizontal="center"/>
    </xf>
    <xf numFmtId="0" fontId="0" fillId="2" borderId="64" xfId="0" applyFill="1" applyBorder="1" applyAlignment="1" applyProtection="1">
      <alignment wrapText="1"/>
      <protection locked="0"/>
    </xf>
    <xf numFmtId="0" fontId="0" fillId="2" borderId="65" xfId="0" applyFill="1" applyBorder="1" applyAlignment="1" applyProtection="1">
      <alignment horizontal="center" vertical="center"/>
      <protection locked="0"/>
    </xf>
    <xf numFmtId="0" fontId="0" fillId="2" borderId="22" xfId="0" applyNumberFormat="1" applyFill="1" applyBorder="1" applyProtection="1">
      <protection locked="0"/>
    </xf>
    <xf numFmtId="0" fontId="0" fillId="2" borderId="63" xfId="0" applyFill="1" applyBorder="1" applyAlignment="1" applyProtection="1">
      <alignment horizontal="center" vertical="center"/>
      <protection locked="0"/>
    </xf>
    <xf numFmtId="0" fontId="0" fillId="2" borderId="66" xfId="0" applyFill="1" applyBorder="1" applyProtection="1">
      <protection locked="0"/>
    </xf>
    <xf numFmtId="173" fontId="37" fillId="2" borderId="0" xfId="0" applyNumberFormat="1" applyFont="1" applyFill="1"/>
    <xf numFmtId="173" fontId="37" fillId="2" borderId="4" xfId="0" applyNumberFormat="1" applyFont="1" applyFill="1" applyBorder="1"/>
    <xf numFmtId="173" fontId="0" fillId="2" borderId="0" xfId="0" applyNumberFormat="1" applyFill="1" applyBorder="1"/>
    <xf numFmtId="44" fontId="0" fillId="0" borderId="0" xfId="1" applyFont="1"/>
    <xf numFmtId="0" fontId="2" fillId="4" borderId="51" xfId="0" applyFont="1" applyFill="1" applyBorder="1" applyAlignment="1">
      <alignment horizontal="center" vertical="center"/>
    </xf>
    <xf numFmtId="0" fontId="2" fillId="4" borderId="50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5" borderId="54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5" borderId="53" xfId="0" applyFill="1" applyBorder="1" applyAlignment="1">
      <alignment horizontal="left"/>
    </xf>
    <xf numFmtId="0" fontId="0" fillId="5" borderId="56" xfId="0" applyFill="1" applyBorder="1" applyAlignment="1">
      <alignment horizontal="left"/>
    </xf>
    <xf numFmtId="0" fontId="0" fillId="5" borderId="58" xfId="0" applyFill="1" applyBorder="1" applyAlignment="1">
      <alignment horizontal="left"/>
    </xf>
    <xf numFmtId="0" fontId="0" fillId="5" borderId="57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165" fontId="12" fillId="3" borderId="15" xfId="0" applyNumberFormat="1" applyFont="1" applyFill="1" applyBorder="1" applyAlignment="1">
      <alignment horizontal="center" vertical="center" wrapText="1"/>
    </xf>
    <xf numFmtId="165" fontId="12" fillId="3" borderId="16" xfId="0" applyNumberFormat="1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165" fontId="25" fillId="2" borderId="11" xfId="0" applyNumberFormat="1" applyFont="1" applyFill="1" applyBorder="1" applyAlignment="1" applyProtection="1">
      <alignment horizontal="center" vertical="center" wrapText="1"/>
      <protection locked="0"/>
    </xf>
    <xf numFmtId="165" fontId="25" fillId="2" borderId="12" xfId="0" applyNumberFormat="1" applyFont="1" applyFill="1" applyBorder="1" applyAlignment="1" applyProtection="1">
      <alignment horizontal="center" vertical="center" wrapText="1"/>
      <protection locked="0"/>
    </xf>
    <xf numFmtId="165" fontId="25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28" fillId="4" borderId="18" xfId="0" applyFont="1" applyFill="1" applyBorder="1" applyAlignment="1" applyProtection="1">
      <alignment horizontal="center" vertical="center" wrapText="1"/>
    </xf>
    <xf numFmtId="0" fontId="28" fillId="4" borderId="22" xfId="0" applyFont="1" applyFill="1" applyBorder="1" applyAlignment="1" applyProtection="1">
      <alignment horizontal="center" vertical="center" wrapText="1"/>
    </xf>
    <xf numFmtId="0" fontId="28" fillId="4" borderId="5" xfId="0" applyFont="1" applyFill="1" applyBorder="1" applyAlignment="1" applyProtection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5" fontId="12" fillId="3" borderId="11" xfId="0" applyNumberFormat="1" applyFont="1" applyFill="1" applyBorder="1" applyAlignment="1">
      <alignment horizontal="center" vertical="center" wrapText="1"/>
    </xf>
    <xf numFmtId="165" fontId="12" fillId="3" borderId="12" xfId="0" applyNumberFormat="1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/>
    </xf>
    <xf numFmtId="0" fontId="28" fillId="4" borderId="9" xfId="0" applyFont="1" applyFill="1" applyBorder="1" applyAlignment="1">
      <alignment horizontal="center"/>
    </xf>
    <xf numFmtId="0" fontId="28" fillId="4" borderId="10" xfId="0" applyFont="1" applyFill="1" applyBorder="1" applyAlignment="1">
      <alignment horizontal="center"/>
    </xf>
    <xf numFmtId="0" fontId="28" fillId="4" borderId="51" xfId="0" applyFont="1" applyFill="1" applyBorder="1" applyAlignment="1">
      <alignment horizontal="center"/>
    </xf>
    <xf numFmtId="0" fontId="28" fillId="4" borderId="52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4" xfId="0" applyFont="1" applyFill="1" applyBorder="1" applyAlignment="1">
      <alignment vertical="center"/>
    </xf>
    <xf numFmtId="0" fontId="0" fillId="2" borderId="25" xfId="0" applyFont="1" applyFill="1" applyBorder="1" applyAlignment="1" applyProtection="1">
      <alignment vertical="top"/>
      <protection locked="0"/>
    </xf>
    <xf numFmtId="0" fontId="28" fillId="4" borderId="60" xfId="0" applyFont="1" applyFill="1" applyBorder="1" applyAlignment="1">
      <alignment horizontal="center"/>
    </xf>
    <xf numFmtId="0" fontId="28" fillId="4" borderId="61" xfId="0" applyFont="1" applyFill="1" applyBorder="1" applyAlignment="1">
      <alignment horizontal="center"/>
    </xf>
    <xf numFmtId="0" fontId="0" fillId="5" borderId="36" xfId="0" applyFont="1" applyFill="1" applyBorder="1" applyAlignment="1" applyProtection="1">
      <alignment horizontal="center" vertical="center" wrapText="1"/>
      <protection locked="0"/>
    </xf>
    <xf numFmtId="0" fontId="0" fillId="5" borderId="26" xfId="0" applyFont="1" applyFill="1" applyBorder="1" applyAlignment="1" applyProtection="1">
      <alignment horizontal="center" vertical="center" wrapText="1"/>
      <protection locked="0"/>
    </xf>
    <xf numFmtId="0" fontId="0" fillId="5" borderId="36" xfId="0" applyFont="1" applyFill="1" applyBorder="1" applyAlignment="1" applyProtection="1">
      <alignment horizontal="center" vertical="center"/>
      <protection locked="0"/>
    </xf>
    <xf numFmtId="0" fontId="0" fillId="5" borderId="26" xfId="0" applyFont="1" applyFill="1" applyBorder="1" applyAlignment="1" applyProtection="1">
      <alignment horizontal="center" vertical="center"/>
      <protection locked="0"/>
    </xf>
    <xf numFmtId="0" fontId="0" fillId="5" borderId="36" xfId="0" applyFont="1" applyFill="1" applyBorder="1" applyAlignment="1">
      <alignment horizontal="center" wrapText="1"/>
    </xf>
    <xf numFmtId="0" fontId="0" fillId="5" borderId="26" xfId="0" applyFont="1" applyFill="1" applyBorder="1" applyAlignment="1">
      <alignment horizontal="center" wrapText="1"/>
    </xf>
    <xf numFmtId="0" fontId="0" fillId="5" borderId="36" xfId="0" applyFont="1" applyFill="1" applyBorder="1" applyAlignment="1">
      <alignment horizontal="center"/>
    </xf>
    <xf numFmtId="0" fontId="0" fillId="5" borderId="26" xfId="0" applyFont="1" applyFill="1" applyBorder="1" applyAlignment="1">
      <alignment horizontal="center"/>
    </xf>
    <xf numFmtId="0" fontId="2" fillId="4" borderId="5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3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55" xfId="0" applyFont="1" applyFill="1" applyBorder="1" applyAlignment="1">
      <alignment horizontal="center"/>
    </xf>
    <xf numFmtId="0" fontId="28" fillId="4" borderId="51" xfId="0" applyFont="1" applyFill="1" applyBorder="1" applyAlignment="1" applyProtection="1">
      <alignment horizontal="center" vertical="center"/>
      <protection locked="0"/>
    </xf>
    <xf numFmtId="0" fontId="28" fillId="4" borderId="50" xfId="0" applyFont="1" applyFill="1" applyBorder="1" applyAlignment="1" applyProtection="1">
      <alignment horizontal="center" vertical="center"/>
      <protection locked="0"/>
    </xf>
    <xf numFmtId="0" fontId="28" fillId="4" borderId="52" xfId="0" applyFont="1" applyFill="1" applyBorder="1" applyAlignment="1" applyProtection="1">
      <alignment horizontal="center" vertical="center"/>
      <protection locked="0"/>
    </xf>
    <xf numFmtId="0" fontId="0" fillId="5" borderId="11" xfId="0" applyFont="1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0" fillId="2" borderId="23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</cellXfs>
  <cellStyles count="7">
    <cellStyle name="Euro" xfId="3"/>
    <cellStyle name="Lien hypertexte" xfId="5" builtinId="8" hidden="1"/>
    <cellStyle name="Lien hypertexte visité" xfId="6" builtinId="9" hidden="1"/>
    <cellStyle name="Monétaire" xfId="1" builtinId="4"/>
    <cellStyle name="Monétaire 2" xfId="4"/>
    <cellStyle name="Normal" xfId="0" builtinId="0"/>
    <cellStyle name="Pourcentage" xfId="2" builtinId="5"/>
  </cellStyles>
  <dxfs count="3"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</dxfs>
  <tableStyles count="0" defaultTableStyle="TableStyleMedium2" defaultPivotStyle="PivotStyleLight16"/>
  <colors>
    <mruColors>
      <color rgb="FF13A09D"/>
      <color rgb="FFDE0000"/>
      <color rgb="FF0D696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Etude de prix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Frais g&#233;n&#233;raux'!A1"/><Relationship Id="rId2" Type="http://schemas.openxmlformats.org/officeDocument/2006/relationships/hyperlink" Target="#'Frais de chantier'!A1"/><Relationship Id="rId1" Type="http://schemas.openxmlformats.org/officeDocument/2006/relationships/hyperlink" Target="#'Etude de prix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</xdr:col>
      <xdr:colOff>1162050</xdr:colOff>
      <xdr:row>0</xdr:row>
      <xdr:rowOff>0</xdr:rowOff>
    </xdr:to>
    <xdr:sp macro="" textlink="">
      <xdr:nvSpPr>
        <xdr:cNvPr id="32" name="Rectangle : avec coins supérieur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1" y="190500"/>
          <a:ext cx="1781174" cy="409575"/>
        </a:xfrm>
        <a:prstGeom prst="round2Same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ETUDE</a:t>
          </a:r>
          <a:r>
            <a:rPr lang="fr-FR" sz="1100" b="1" baseline="0"/>
            <a:t> DE PRIX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285750</xdr:colOff>
      <xdr:row>0</xdr:row>
      <xdr:rowOff>0</xdr:rowOff>
    </xdr:to>
    <xdr:sp macro="" textlink="">
      <xdr:nvSpPr>
        <xdr:cNvPr id="7" name="Rectangle : avec coins supérieur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0" y="200025"/>
          <a:ext cx="1533525" cy="400050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ETUDE</a:t>
          </a:r>
          <a:r>
            <a:rPr lang="fr-FR" sz="1100" b="1" baseline="0"/>
            <a:t> DE PRIX</a:t>
          </a:r>
          <a:endParaRPr lang="fr-FR" sz="1100" b="1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285750</xdr:colOff>
      <xdr:row>0</xdr:row>
      <xdr:rowOff>0</xdr:rowOff>
    </xdr:to>
    <xdr:sp macro="" textlink="">
      <xdr:nvSpPr>
        <xdr:cNvPr id="29" name="Rectangle : avec coins supérieurs arrondis 2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0" y="200025"/>
          <a:ext cx="1533525" cy="400050"/>
        </a:xfrm>
        <a:prstGeom prst="round2Same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ETUDE</a:t>
          </a:r>
          <a:r>
            <a:rPr lang="fr-FR" sz="1100" b="1" baseline="0"/>
            <a:t> DE PRIX</a:t>
          </a:r>
          <a:endParaRPr lang="fr-FR" sz="1100" b="1"/>
        </a:p>
      </xdr:txBody>
    </xdr:sp>
    <xdr:clientData/>
  </xdr:twoCellAnchor>
  <xdr:twoCellAnchor>
    <xdr:from>
      <xdr:col>2</xdr:col>
      <xdr:colOff>300288</xdr:colOff>
      <xdr:row>0</xdr:row>
      <xdr:rowOff>0</xdr:rowOff>
    </xdr:from>
    <xdr:to>
      <xdr:col>2</xdr:col>
      <xdr:colOff>1850110</xdr:colOff>
      <xdr:row>0</xdr:row>
      <xdr:rowOff>0</xdr:rowOff>
    </xdr:to>
    <xdr:sp macro="" textlink="">
      <xdr:nvSpPr>
        <xdr:cNvPr id="30" name="Rectangle : avec coins supérieurs arrondis 2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1549839" y="200186"/>
          <a:ext cx="1549822" cy="400373"/>
        </a:xfrm>
        <a:prstGeom prst="round2Same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FRAIS</a:t>
          </a:r>
          <a:r>
            <a:rPr lang="fr-FR" sz="1100" b="1" baseline="0"/>
            <a:t> DE CHANTIER</a:t>
          </a:r>
          <a:endParaRPr lang="fr-FR" sz="1100" b="1"/>
        </a:p>
      </xdr:txBody>
    </xdr:sp>
    <xdr:clientData/>
  </xdr:twoCellAnchor>
  <xdr:twoCellAnchor>
    <xdr:from>
      <xdr:col>5</xdr:col>
      <xdr:colOff>100263</xdr:colOff>
      <xdr:row>0</xdr:row>
      <xdr:rowOff>0</xdr:rowOff>
    </xdr:from>
    <xdr:to>
      <xdr:col>7</xdr:col>
      <xdr:colOff>175460</xdr:colOff>
      <xdr:row>0</xdr:row>
      <xdr:rowOff>1</xdr:rowOff>
    </xdr:to>
    <xdr:sp macro="" textlink="">
      <xdr:nvSpPr>
        <xdr:cNvPr id="33" name="Rectangle : avec coins supérieurs arrondis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/>
      </xdr:nvSpPr>
      <xdr:spPr>
        <a:xfrm>
          <a:off x="6181224" y="9526"/>
          <a:ext cx="1684420" cy="592054"/>
        </a:xfrm>
        <a:prstGeom prst="round2SameRect">
          <a:avLst/>
        </a:prstGeom>
        <a:solidFill>
          <a:srgbClr val="DE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FRAIS</a:t>
          </a:r>
          <a:r>
            <a:rPr lang="fr-FR" sz="1100" b="1" baseline="0"/>
            <a:t> GENERAUX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190500</xdr:rowOff>
        </xdr:from>
        <xdr:to>
          <xdr:col>6</xdr:col>
          <xdr:colOff>866775</xdr:colOff>
          <xdr:row>13</xdr:row>
          <xdr:rowOff>0</xdr:rowOff>
        </xdr:to>
        <xdr:sp macro="" textlink="">
          <xdr:nvSpPr>
            <xdr:cNvPr id="10241" name="Option 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Arriver à l'entreprise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11</xdr:row>
          <xdr:rowOff>0</xdr:rowOff>
        </xdr:from>
        <xdr:to>
          <xdr:col>8</xdr:col>
          <xdr:colOff>990600</xdr:colOff>
          <xdr:row>13</xdr:row>
          <xdr:rowOff>0</xdr:rowOff>
        </xdr:to>
        <xdr:sp macro="" textlink="">
          <xdr:nvSpPr>
            <xdr:cNvPr id="10242" name="Option 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Arriver sur le chantier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5:M42" totalsRowShown="0" tableBorderDxfId="2">
  <autoFilter ref="D5:M4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Ouvrage"/>
    <tableColumn id="2" name="Sous ouvrage"/>
    <tableColumn id="3" name="U"/>
    <tableColumn id="4" name="Qte"/>
    <tableColumn id="5" name="Temps U"/>
    <tableColumn id="6" name="Qte2"/>
    <tableColumn id="7" name="Prix U"/>
    <tableColumn id="8" name="Prix U total"/>
    <tableColumn id="9" name="Temps total"/>
    <tableColumn id="10" name="Prix 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5:E12" totalsRowShown="0">
  <autoFilter ref="A5:E12"/>
  <tableColumns count="5">
    <tableColumn id="1" name="Ouvrage"/>
    <tableColumn id="2" name="U"/>
    <tableColumn id="3" name="Qte"/>
    <tableColumn id="5" name="Prix unitaire" dataCellStyle="Monétaire">
      <calculatedColumnFormula>Tableau4[[#This Row],[Prix total]]/Tableau4[[#This Row],[Qte]]</calculatedColumnFormula>
    </tableColumn>
    <tableColumn id="4" name="Prix total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4:J51" totalsRowShown="0" tableBorderDxfId="1">
  <autoFilter ref="A14:J51"/>
  <tableColumns count="10">
    <tableColumn id="1" name="Ouvrage"/>
    <tableColumn id="2" name="Sous ouvrage"/>
    <tableColumn id="3" name="U"/>
    <tableColumn id="4" name="Qte"/>
    <tableColumn id="5" name="Temps U"/>
    <tableColumn id="6" name="Qte2"/>
    <tableColumn id="7" name="Prix U"/>
    <tableColumn id="8" name="Prix U total"/>
    <tableColumn id="9" name="Temps total"/>
    <tableColumn id="10" name="Prix tota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16" displayName="Tableau16" ref="A63:J100" totalsRowShown="0" tableBorderDxfId="0">
  <autoFilter ref="A63:J100"/>
  <tableColumns count="10">
    <tableColumn id="1" name="Ouvrage"/>
    <tableColumn id="2" name="Sous ouvrage"/>
    <tableColumn id="3" name="U"/>
    <tableColumn id="4" name="Qte"/>
    <tableColumn id="5" name="Temps U"/>
    <tableColumn id="6" name="Qte2"/>
    <tableColumn id="7" name="Prix U"/>
    <tableColumn id="8" name="Prix U total"/>
    <tableColumn id="9" name="Temps total"/>
    <tableColumn id="10" name="Prix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3.vml"/><Relationship Id="rId5" Type="http://schemas.openxmlformats.org/officeDocument/2006/relationships/comments" Target="../comments2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/>
  </sheetPr>
  <dimension ref="C1:M38"/>
  <sheetViews>
    <sheetView showGridLines="0" zoomScale="85" zoomScaleNormal="85" zoomScalePageLayoutView="85" workbookViewId="0">
      <selection activeCell="G24" sqref="G24"/>
    </sheetView>
  </sheetViews>
  <sheetFormatPr baseColWidth="10" defaultRowHeight="15" x14ac:dyDescent="0.25"/>
  <cols>
    <col min="1" max="1" width="11.42578125" customWidth="1"/>
    <col min="2" max="2" width="23.42578125" customWidth="1"/>
    <col min="3" max="3" width="6.7109375" style="42" customWidth="1"/>
    <col min="4" max="4" width="34.85546875" style="42" customWidth="1"/>
    <col min="5" max="5" width="13.28515625" style="42" customWidth="1"/>
    <col min="6" max="6" width="13.28515625" style="83" customWidth="1"/>
    <col min="7" max="11" width="13.28515625" style="42" customWidth="1"/>
    <col min="12" max="12" width="4" style="42" customWidth="1"/>
    <col min="13" max="13" width="3.7109375" style="42" customWidth="1"/>
  </cols>
  <sheetData>
    <row r="1" spans="3:13" x14ac:dyDescent="0.25">
      <c r="F1" s="42"/>
    </row>
    <row r="2" spans="3:13" x14ac:dyDescent="0.25">
      <c r="F2" s="42"/>
    </row>
    <row r="3" spans="3:13" ht="15.75" thickBot="1" x14ac:dyDescent="0.3">
      <c r="F3" s="42"/>
    </row>
    <row r="4" spans="3:13" ht="30" x14ac:dyDescent="0.25">
      <c r="D4" s="127" t="s">
        <v>65</v>
      </c>
      <c r="E4" s="41" t="s">
        <v>45</v>
      </c>
      <c r="F4" s="12"/>
      <c r="G4" s="272" t="s">
        <v>51</v>
      </c>
      <c r="H4" s="273"/>
      <c r="I4" s="274"/>
      <c r="J4" s="69" t="s">
        <v>64</v>
      </c>
    </row>
    <row r="5" spans="3:13" x14ac:dyDescent="0.25">
      <c r="D5" s="159">
        <v>35</v>
      </c>
      <c r="E5" s="160">
        <v>1.25</v>
      </c>
      <c r="G5" s="277" t="s">
        <v>46</v>
      </c>
      <c r="H5" s="278"/>
      <c r="I5" s="279"/>
      <c r="J5" s="231">
        <v>0.77580000000000005</v>
      </c>
    </row>
    <row r="6" spans="3:13" ht="15.75" thickBot="1" x14ac:dyDescent="0.3">
      <c r="D6" s="161">
        <v>43</v>
      </c>
      <c r="E6" s="162">
        <v>1.5</v>
      </c>
      <c r="F6" s="71"/>
      <c r="G6" s="280" t="s">
        <v>63</v>
      </c>
      <c r="H6" s="281"/>
      <c r="I6" s="282"/>
      <c r="J6" s="163">
        <v>151.66999999999999</v>
      </c>
    </row>
    <row r="7" spans="3:13" x14ac:dyDescent="0.25">
      <c r="F7" s="71"/>
      <c r="G7" s="276"/>
      <c r="H7" s="276"/>
      <c r="I7" s="276"/>
      <c r="J7" s="54"/>
      <c r="K7" s="71"/>
    </row>
    <row r="8" spans="3:13" x14ac:dyDescent="0.25">
      <c r="F8" s="71"/>
      <c r="G8" s="275"/>
      <c r="H8" s="275"/>
      <c r="I8" s="275"/>
      <c r="J8" s="141"/>
      <c r="K8" s="71"/>
    </row>
    <row r="9" spans="3:13" x14ac:dyDescent="0.25">
      <c r="K9" s="126"/>
    </row>
    <row r="12" spans="3:13" x14ac:dyDescent="0.25">
      <c r="D12" s="43"/>
      <c r="E12" s="75" t="s">
        <v>54</v>
      </c>
      <c r="F12" s="75" t="s">
        <v>55</v>
      </c>
      <c r="G12" s="75" t="s">
        <v>56</v>
      </c>
      <c r="H12" s="76" t="s">
        <v>57</v>
      </c>
      <c r="I12" s="75" t="s">
        <v>58</v>
      </c>
      <c r="J12" s="76" t="s">
        <v>59</v>
      </c>
      <c r="K12" s="75" t="s">
        <v>60</v>
      </c>
    </row>
    <row r="13" spans="3:13" x14ac:dyDescent="0.25">
      <c r="D13" s="129" t="s">
        <v>30</v>
      </c>
      <c r="E13" s="118">
        <f t="shared" ref="E13:K13" si="0">E16/$J$6</f>
        <v>9.7700270323729157</v>
      </c>
      <c r="F13" s="118">
        <f t="shared" si="0"/>
        <v>9.9629458693215529</v>
      </c>
      <c r="G13" s="118">
        <f t="shared" si="0"/>
        <v>10.664666710621745</v>
      </c>
      <c r="H13" s="118">
        <f t="shared" si="0"/>
        <v>11.639150787894772</v>
      </c>
      <c r="I13" s="118">
        <f t="shared" si="0"/>
        <v>12.39533197072592</v>
      </c>
      <c r="J13" s="118">
        <f t="shared" si="0"/>
        <v>13.572558844860556</v>
      </c>
      <c r="K13" s="118">
        <f t="shared" si="0"/>
        <v>14.404760334937695</v>
      </c>
    </row>
    <row r="14" spans="3:13" x14ac:dyDescent="0.25">
      <c r="D14" s="129" t="s">
        <v>61</v>
      </c>
      <c r="E14" s="227">
        <v>3</v>
      </c>
      <c r="F14" s="227">
        <v>2</v>
      </c>
      <c r="G14" s="227">
        <v>3</v>
      </c>
      <c r="H14" s="227">
        <v>7</v>
      </c>
      <c r="I14" s="227">
        <v>1</v>
      </c>
      <c r="J14" s="227">
        <v>1</v>
      </c>
      <c r="K14" s="227">
        <v>9</v>
      </c>
    </row>
    <row r="15" spans="3:13" s="37" customFormat="1" x14ac:dyDescent="0.25">
      <c r="C15" s="71"/>
      <c r="D15" s="80" t="s">
        <v>47</v>
      </c>
      <c r="E15" s="228">
        <v>37.5</v>
      </c>
      <c r="F15" s="228">
        <v>37.5</v>
      </c>
      <c r="G15" s="228">
        <v>37.5</v>
      </c>
      <c r="H15" s="229">
        <v>37.5</v>
      </c>
      <c r="I15" s="228">
        <v>37.5</v>
      </c>
      <c r="J15" s="229">
        <v>37.5</v>
      </c>
      <c r="K15" s="228">
        <v>37.5</v>
      </c>
      <c r="L15" s="71"/>
      <c r="M15" s="71"/>
    </row>
    <row r="16" spans="3:13" s="37" customFormat="1" x14ac:dyDescent="0.25">
      <c r="C16" s="71"/>
      <c r="D16" s="80" t="s">
        <v>62</v>
      </c>
      <c r="E16" s="230">
        <v>1481.82</v>
      </c>
      <c r="F16" s="230">
        <v>1511.08</v>
      </c>
      <c r="G16" s="230">
        <v>1617.51</v>
      </c>
      <c r="H16" s="230">
        <v>1765.31</v>
      </c>
      <c r="I16" s="230">
        <v>1880</v>
      </c>
      <c r="J16" s="230">
        <v>2058.5500000000002</v>
      </c>
      <c r="K16" s="230">
        <v>2184.77</v>
      </c>
      <c r="L16" s="71"/>
      <c r="M16" s="71"/>
    </row>
    <row r="17" spans="3:13" s="40" customFormat="1" x14ac:dyDescent="0.25">
      <c r="C17" s="71"/>
      <c r="D17" s="80" t="s">
        <v>31</v>
      </c>
      <c r="E17" s="139">
        <f t="shared" ref="E17:K17" si="1">E13*$D$5*E14</f>
        <v>1025.8528383991561</v>
      </c>
      <c r="F17" s="139">
        <f t="shared" si="1"/>
        <v>697.40621085250871</v>
      </c>
      <c r="G17" s="139">
        <f t="shared" si="1"/>
        <v>1119.7900046152831</v>
      </c>
      <c r="H17" s="139">
        <f t="shared" si="1"/>
        <v>2851.5919430342192</v>
      </c>
      <c r="I17" s="139">
        <f t="shared" si="1"/>
        <v>433.83661897540719</v>
      </c>
      <c r="J17" s="139">
        <f t="shared" si="1"/>
        <v>475.03955957011942</v>
      </c>
      <c r="K17" s="139">
        <f t="shared" si="1"/>
        <v>4537.4995055053741</v>
      </c>
      <c r="L17" s="71"/>
      <c r="M17" s="71"/>
    </row>
    <row r="18" spans="3:13" s="37" customFormat="1" x14ac:dyDescent="0.25">
      <c r="C18" s="71"/>
      <c r="D18" s="80" t="s">
        <v>32</v>
      </c>
      <c r="E18" s="139">
        <f>IF(E15&gt;$D$5,IF(E15&gt;$D$6,($D$6-$D$5)*E13*$E$5,(E15-$D$5)*E13*$E$5),0)*E14</f>
        <v>91.59400342849608</v>
      </c>
      <c r="F18" s="139">
        <f t="shared" ref="F18:K18" si="2">IF(F15&gt;$D$5,IF(F15&gt;$D$6,($D$6-$D$5)*F13*$E$5,(F15-$D$5)*F13*$E$5),0)*F14</f>
        <v>62.2684116832597</v>
      </c>
      <c r="G18" s="139">
        <f t="shared" si="2"/>
        <v>99.981250412078865</v>
      </c>
      <c r="H18" s="139">
        <f t="shared" si="2"/>
        <v>254.60642348519815</v>
      </c>
      <c r="I18" s="139">
        <f t="shared" si="2"/>
        <v>38.735412408518499</v>
      </c>
      <c r="J18" s="139">
        <f t="shared" si="2"/>
        <v>42.414246390189234</v>
      </c>
      <c r="K18" s="139">
        <f t="shared" si="2"/>
        <v>405.13388442012263</v>
      </c>
      <c r="L18" s="71"/>
      <c r="M18" s="71"/>
    </row>
    <row r="19" spans="3:13" x14ac:dyDescent="0.25">
      <c r="D19" s="80" t="s">
        <v>33</v>
      </c>
      <c r="E19" s="77">
        <f t="shared" ref="E19:K19" si="3">IF(E15&gt;$D$6,(E15-$D$6)*$E$6*E13,0)*E14</f>
        <v>0</v>
      </c>
      <c r="F19" s="77">
        <f t="shared" si="3"/>
        <v>0</v>
      </c>
      <c r="G19" s="77">
        <f t="shared" si="3"/>
        <v>0</v>
      </c>
      <c r="H19" s="77">
        <f t="shared" si="3"/>
        <v>0</v>
      </c>
      <c r="I19" s="77">
        <f t="shared" si="3"/>
        <v>0</v>
      </c>
      <c r="J19" s="77">
        <f t="shared" si="3"/>
        <v>0</v>
      </c>
      <c r="K19" s="77">
        <f t="shared" si="3"/>
        <v>0</v>
      </c>
    </row>
    <row r="20" spans="3:13" x14ac:dyDescent="0.25">
      <c r="D20" s="81" t="s">
        <v>48</v>
      </c>
      <c r="E20" s="77">
        <f t="shared" ref="E20:K20" si="4">SUM(E17:E19)</f>
        <v>1117.4468418276522</v>
      </c>
      <c r="F20" s="77">
        <f t="shared" si="4"/>
        <v>759.67462253576844</v>
      </c>
      <c r="G20" s="77">
        <f t="shared" si="4"/>
        <v>1219.771255027362</v>
      </c>
      <c r="H20" s="77">
        <f t="shared" si="4"/>
        <v>3106.1983665194175</v>
      </c>
      <c r="I20" s="77">
        <f t="shared" si="4"/>
        <v>472.57203138392572</v>
      </c>
      <c r="J20" s="77">
        <f t="shared" si="4"/>
        <v>517.45380596030861</v>
      </c>
      <c r="K20" s="77">
        <f t="shared" si="4"/>
        <v>4942.6333899254969</v>
      </c>
    </row>
    <row r="21" spans="3:13" x14ac:dyDescent="0.25">
      <c r="D21" s="81" t="s">
        <v>34</v>
      </c>
      <c r="E21" s="77">
        <f t="shared" ref="E21:K21" si="5">E20*Charges.social.patronales</f>
        <v>866.91525988989258</v>
      </c>
      <c r="F21" s="77">
        <f t="shared" si="5"/>
        <v>589.35557216324924</v>
      </c>
      <c r="G21" s="77">
        <f t="shared" si="5"/>
        <v>946.29853965022755</v>
      </c>
      <c r="H21" s="77">
        <f t="shared" si="5"/>
        <v>2409.7886927457644</v>
      </c>
      <c r="I21" s="77">
        <f t="shared" si="5"/>
        <v>366.62138194764958</v>
      </c>
      <c r="J21" s="77">
        <f t="shared" si="5"/>
        <v>401.44066266400745</v>
      </c>
      <c r="K21" s="77">
        <f t="shared" si="5"/>
        <v>3834.4949839042006</v>
      </c>
    </row>
    <row r="22" spans="3:13" ht="15.75" thickBot="1" x14ac:dyDescent="0.3">
      <c r="D22" s="81" t="s">
        <v>49</v>
      </c>
      <c r="E22" s="78">
        <f>E20+E21</f>
        <v>1984.3621017175446</v>
      </c>
      <c r="F22" s="77">
        <f t="shared" ref="F22:K22" si="6">F20+F21</f>
        <v>1349.0301946990176</v>
      </c>
      <c r="G22" s="77">
        <f t="shared" si="6"/>
        <v>2166.0697946775895</v>
      </c>
      <c r="H22" s="77">
        <f t="shared" si="6"/>
        <v>5515.9870592651823</v>
      </c>
      <c r="I22" s="77">
        <f t="shared" si="6"/>
        <v>839.19341333157536</v>
      </c>
      <c r="J22" s="77">
        <f t="shared" si="6"/>
        <v>918.894468624316</v>
      </c>
      <c r="K22" s="77">
        <f t="shared" si="6"/>
        <v>8777.128373829697</v>
      </c>
    </row>
    <row r="23" spans="3:13" ht="15.75" thickBot="1" x14ac:dyDescent="0.3">
      <c r="D23" s="82" t="s">
        <v>35</v>
      </c>
      <c r="E23" s="79">
        <f>(SUM(E22:K22)/SUM(E14:K14))/(AVERAGE(E15:K15))</f>
        <v>22.103246570405048</v>
      </c>
      <c r="F23" s="84"/>
      <c r="G23" s="84"/>
      <c r="H23" s="43"/>
      <c r="I23" s="43"/>
      <c r="J23" s="43"/>
      <c r="K23" s="43"/>
    </row>
    <row r="27" spans="3:13" x14ac:dyDescent="0.25">
      <c r="F27" s="42"/>
    </row>
    <row r="28" spans="3:13" x14ac:dyDescent="0.25">
      <c r="F28" s="42"/>
    </row>
    <row r="29" spans="3:13" x14ac:dyDescent="0.25">
      <c r="F29" s="42"/>
    </row>
    <row r="30" spans="3:13" x14ac:dyDescent="0.25">
      <c r="C30" s="83"/>
      <c r="F30" s="42"/>
    </row>
    <row r="31" spans="3:13" x14ac:dyDescent="0.25">
      <c r="C31" s="83"/>
      <c r="F31" s="42"/>
    </row>
    <row r="32" spans="3:13" x14ac:dyDescent="0.25">
      <c r="C32" s="83"/>
    </row>
    <row r="33" spans="3:3" x14ac:dyDescent="0.25">
      <c r="C33" s="83"/>
    </row>
    <row r="34" spans="3:3" x14ac:dyDescent="0.25">
      <c r="C34" s="83"/>
    </row>
    <row r="35" spans="3:3" x14ac:dyDescent="0.25">
      <c r="C35" s="83"/>
    </row>
    <row r="36" spans="3:3" x14ac:dyDescent="0.25">
      <c r="C36" s="83"/>
    </row>
    <row r="37" spans="3:3" x14ac:dyDescent="0.25">
      <c r="C37" s="83"/>
    </row>
    <row r="38" spans="3:3" x14ac:dyDescent="0.25">
      <c r="C38" s="83"/>
    </row>
  </sheetData>
  <sheetProtection sheet="1" objects="1" scenarios="1"/>
  <customSheetViews>
    <customSheetView guid="{AEA9AF13-5264-4B35-8742-168FDD2648CB}" scale="86" showGridLines="0">
      <pane ySplit="1" topLeftCell="A10" activePane="bottomLeft" state="frozenSplit"/>
      <selection pane="bottomLeft" activeCell="C15" sqref="C15"/>
      <pageMargins left="0.7" right="0.7" top="0.75" bottom="0.75" header="0.3" footer="0.3"/>
    </customSheetView>
  </customSheetViews>
  <mergeCells count="5">
    <mergeCell ref="G4:I4"/>
    <mergeCell ref="G8:I8"/>
    <mergeCell ref="G7:I7"/>
    <mergeCell ref="G5:I5"/>
    <mergeCell ref="G6:I6"/>
  </mergeCells>
  <pageMargins left="0.7" right="0.7" top="0.75" bottom="0.75" header="0.3" footer="0.3"/>
  <pageSetup paperSize="9" orientation="portrait" r:id="rId1"/>
  <drawing r:id="rId2"/>
  <picture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/>
  </sheetPr>
  <dimension ref="B1:M26"/>
  <sheetViews>
    <sheetView showGridLines="0" zoomScale="85" zoomScaleNormal="85" zoomScalePageLayoutView="85" workbookViewId="0">
      <selection activeCell="E11" sqref="E11"/>
    </sheetView>
  </sheetViews>
  <sheetFormatPr baseColWidth="10" defaultRowHeight="15" x14ac:dyDescent="0.25"/>
  <cols>
    <col min="1" max="1" width="11.42578125" customWidth="1"/>
    <col min="2" max="2" width="23.42578125" style="70" customWidth="1"/>
    <col min="3" max="3" width="9.42578125" style="42" customWidth="1"/>
    <col min="4" max="4" width="42.7109375" style="42" customWidth="1"/>
    <col min="5" max="5" width="19.28515625" style="42" customWidth="1"/>
    <col min="6" max="6" width="8.42578125" style="42" customWidth="1"/>
    <col min="7" max="8" width="12.7109375" style="42" customWidth="1"/>
    <col min="9" max="9" width="8.42578125" style="42" customWidth="1"/>
    <col min="10" max="10" width="4.85546875" style="42" customWidth="1"/>
    <col min="11" max="11" width="4.7109375" style="42" customWidth="1"/>
    <col min="12" max="12" width="8.42578125" style="42" customWidth="1"/>
    <col min="13" max="13" width="10.28515625" style="42" customWidth="1"/>
  </cols>
  <sheetData>
    <row r="1" spans="2:8" x14ac:dyDescent="0.25">
      <c r="B1"/>
    </row>
    <row r="2" spans="2:8" x14ac:dyDescent="0.25">
      <c r="C2" s="43"/>
      <c r="D2" s="43"/>
      <c r="E2" s="43"/>
    </row>
    <row r="3" spans="2:8" ht="15.75" thickBot="1" x14ac:dyDescent="0.3"/>
    <row r="4" spans="2:8" x14ac:dyDescent="0.25">
      <c r="D4" s="90" t="s">
        <v>51</v>
      </c>
      <c r="E4" s="91" t="s">
        <v>52</v>
      </c>
    </row>
    <row r="5" spans="2:8" x14ac:dyDescent="0.25">
      <c r="D5" s="72" t="s">
        <v>112</v>
      </c>
      <c r="E5" s="225">
        <v>1000000</v>
      </c>
    </row>
    <row r="6" spans="2:8" x14ac:dyDescent="0.25">
      <c r="D6" s="65" t="s">
        <v>119</v>
      </c>
      <c r="E6" s="226">
        <v>50000</v>
      </c>
    </row>
    <row r="7" spans="2:8" x14ac:dyDescent="0.25">
      <c r="D7" s="65" t="s">
        <v>113</v>
      </c>
      <c r="E7" s="226">
        <v>40000</v>
      </c>
    </row>
    <row r="8" spans="2:8" x14ac:dyDescent="0.25">
      <c r="D8" s="65" t="s">
        <v>114</v>
      </c>
      <c r="E8" s="226">
        <v>10000</v>
      </c>
    </row>
    <row r="9" spans="2:8" x14ac:dyDescent="0.25">
      <c r="D9" s="65" t="s">
        <v>115</v>
      </c>
      <c r="E9" s="226">
        <v>30000</v>
      </c>
    </row>
    <row r="10" spans="2:8" x14ac:dyDescent="0.25">
      <c r="D10" s="65" t="s">
        <v>116</v>
      </c>
      <c r="E10" s="226">
        <v>10000</v>
      </c>
    </row>
    <row r="11" spans="2:8" x14ac:dyDescent="0.25">
      <c r="D11" s="65" t="s">
        <v>117</v>
      </c>
      <c r="E11" s="226"/>
    </row>
    <row r="12" spans="2:8" x14ac:dyDescent="0.25">
      <c r="D12" s="65" t="s">
        <v>118</v>
      </c>
      <c r="E12" s="226"/>
    </row>
    <row r="13" spans="2:8" x14ac:dyDescent="0.25">
      <c r="D13" s="65"/>
      <c r="E13" s="103"/>
    </row>
    <row r="14" spans="2:8" x14ac:dyDescent="0.25">
      <c r="D14" s="65"/>
      <c r="E14" s="103"/>
      <c r="F14" s="68"/>
      <c r="G14" s="68"/>
      <c r="H14" s="68"/>
    </row>
    <row r="15" spans="2:8" x14ac:dyDescent="0.25">
      <c r="D15" s="65"/>
      <c r="E15" s="103"/>
    </row>
    <row r="16" spans="2:8" x14ac:dyDescent="0.25">
      <c r="D16" s="65"/>
      <c r="E16" s="103"/>
    </row>
    <row r="17" spans="4:7" x14ac:dyDescent="0.25">
      <c r="D17" s="65"/>
      <c r="E17" s="103"/>
    </row>
    <row r="18" spans="4:7" x14ac:dyDescent="0.25">
      <c r="D18" s="65"/>
      <c r="E18" s="103"/>
      <c r="F18" s="54"/>
      <c r="G18" s="54"/>
    </row>
    <row r="19" spans="4:7" x14ac:dyDescent="0.25">
      <c r="D19" s="65"/>
      <c r="E19" s="103"/>
      <c r="F19" s="54"/>
      <c r="G19" s="54"/>
    </row>
    <row r="20" spans="4:7" x14ac:dyDescent="0.25">
      <c r="D20" s="73"/>
      <c r="E20" s="104"/>
      <c r="F20" s="54"/>
      <c r="G20" s="54"/>
    </row>
    <row r="21" spans="4:7" ht="15.75" thickBot="1" x14ac:dyDescent="0.3">
      <c r="D21" s="74" t="s">
        <v>38</v>
      </c>
      <c r="E21" s="105">
        <f>SUM(E5:E20)</f>
        <v>1140000</v>
      </c>
      <c r="F21" s="54"/>
      <c r="G21" s="54"/>
    </row>
    <row r="22" spans="4:7" x14ac:dyDescent="0.25">
      <c r="D22" s="54"/>
      <c r="E22" s="54"/>
      <c r="F22" s="283"/>
      <c r="G22" s="283"/>
    </row>
    <row r="23" spans="4:7" x14ac:dyDescent="0.25">
      <c r="D23" s="54"/>
      <c r="E23" s="93"/>
    </row>
    <row r="24" spans="4:7" x14ac:dyDescent="0.25">
      <c r="D24" s="54"/>
      <c r="E24" s="93"/>
    </row>
    <row r="25" spans="4:7" x14ac:dyDescent="0.25">
      <c r="D25" s="54"/>
      <c r="E25" s="94"/>
    </row>
    <row r="26" spans="4:7" x14ac:dyDescent="0.25">
      <c r="D26" s="54"/>
      <c r="E26" s="94"/>
    </row>
  </sheetData>
  <sheetProtection sheet="1" objects="1" scenarios="1"/>
  <customSheetViews>
    <customSheetView guid="{AEA9AF13-5264-4B35-8742-168FDD2648CB}" showGridLines="0">
      <pane ySplit="1" topLeftCell="A2" activePane="bottomLeft" state="frozenSplit"/>
      <selection pane="bottomLeft" activeCell="H16" sqref="H16"/>
      <pageMargins left="0.7" right="0.7" top="0.75" bottom="0.75" header="0.3" footer="0.3"/>
    </customSheetView>
  </customSheetViews>
  <mergeCells count="1">
    <mergeCell ref="F22:G22"/>
  </mergeCells>
  <pageMargins left="0.7" right="0.7" top="0.75" bottom="0.75" header="0.3" footer="0.3"/>
  <pageSetup paperSize="9" orientation="portrait" r:id="rId1"/>
  <drawing r:id="rId2"/>
  <picture r:id="rId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</sheetPr>
  <dimension ref="A1:M56"/>
  <sheetViews>
    <sheetView showGridLines="0" topLeftCell="A7" zoomScale="85" zoomScaleNormal="85" zoomScalePageLayoutView="85" workbookViewId="0">
      <selection activeCell="I16" sqref="I16"/>
    </sheetView>
  </sheetViews>
  <sheetFormatPr baseColWidth="10" defaultColWidth="11.42578125" defaultRowHeight="15" x14ac:dyDescent="0.25"/>
  <cols>
    <col min="1" max="1" width="11.42578125" style="86" customWidth="1"/>
    <col min="2" max="2" width="23.28515625" style="86" customWidth="1"/>
    <col min="3" max="3" width="9.7109375" style="1" customWidth="1"/>
    <col min="4" max="4" width="15.85546875" style="1" customWidth="1"/>
    <col min="5" max="5" width="17" style="1" customWidth="1"/>
    <col min="6" max="6" width="16.85546875" style="1" customWidth="1"/>
    <col min="7" max="7" width="20.85546875" style="1" bestFit="1" customWidth="1"/>
    <col min="8" max="8" width="19.28515625" style="1" customWidth="1"/>
    <col min="9" max="9" width="18.42578125" style="1" customWidth="1"/>
    <col min="10" max="10" width="16.7109375" style="1" customWidth="1"/>
    <col min="11" max="11" width="1.85546875" style="1" customWidth="1"/>
    <col min="12" max="12" width="4.42578125" style="1" customWidth="1"/>
    <col min="13" max="13" width="5.28515625" style="1" customWidth="1"/>
    <col min="14" max="16384" width="11.42578125" style="86"/>
  </cols>
  <sheetData>
    <row r="1" spans="1:13" ht="11.25" customHeight="1" x14ac:dyDescent="0.25">
      <c r="D1" s="89"/>
      <c r="E1" s="89"/>
      <c r="F1" s="89"/>
      <c r="G1" s="89"/>
      <c r="H1" s="89"/>
      <c r="I1" s="89"/>
      <c r="J1" s="89"/>
    </row>
    <row r="3" spans="1:13" x14ac:dyDescent="0.25">
      <c r="D3" s="2"/>
    </row>
    <row r="4" spans="1:13" ht="15.75" thickBot="1" x14ac:dyDescent="0.3">
      <c r="A4"/>
      <c r="B4"/>
      <c r="J4" s="12"/>
    </row>
    <row r="5" spans="1:13" ht="16.5" thickBot="1" x14ac:dyDescent="0.3">
      <c r="D5" s="85" t="s">
        <v>1</v>
      </c>
      <c r="E5" s="88" t="s">
        <v>2</v>
      </c>
      <c r="F5" s="88" t="s">
        <v>3</v>
      </c>
      <c r="G5" s="41" t="s">
        <v>4</v>
      </c>
      <c r="H5" s="3"/>
      <c r="I5" s="4"/>
      <c r="J5" s="4"/>
      <c r="L5" s="12"/>
    </row>
    <row r="6" spans="1:13" ht="16.5" thickBot="1" x14ac:dyDescent="0.3">
      <c r="D6" s="233">
        <v>1865065</v>
      </c>
      <c r="E6" s="164">
        <v>0</v>
      </c>
      <c r="F6" s="117">
        <v>0</v>
      </c>
      <c r="G6" s="165">
        <v>0</v>
      </c>
      <c r="H6" s="3"/>
      <c r="I6" s="202" t="s">
        <v>69</v>
      </c>
      <c r="J6" s="234">
        <v>56570</v>
      </c>
    </row>
    <row r="7" spans="1:13" ht="30" x14ac:dyDescent="0.25">
      <c r="D7" s="295" t="s">
        <v>5</v>
      </c>
      <c r="E7" s="296"/>
      <c r="F7" s="296"/>
      <c r="G7" s="296"/>
      <c r="H7" s="115" t="s">
        <v>6</v>
      </c>
      <c r="I7" s="4"/>
      <c r="J7" s="87"/>
    </row>
    <row r="8" spans="1:13" ht="16.5" thickBot="1" x14ac:dyDescent="0.3">
      <c r="D8" s="297">
        <f>D6+F6+E6+G6</f>
        <v>1865065</v>
      </c>
      <c r="E8" s="298"/>
      <c r="F8" s="298"/>
      <c r="G8" s="298"/>
      <c r="H8" s="232">
        <f>955679+741416</f>
        <v>1697095</v>
      </c>
      <c r="I8" s="4"/>
      <c r="J8" s="4"/>
    </row>
    <row r="9" spans="1:13" ht="30" customHeight="1" x14ac:dyDescent="0.25">
      <c r="D9" s="295" t="s">
        <v>7</v>
      </c>
      <c r="E9" s="296"/>
      <c r="F9" s="296"/>
      <c r="G9" s="296"/>
      <c r="H9" s="296"/>
      <c r="I9" s="115" t="s">
        <v>8</v>
      </c>
      <c r="J9" s="4"/>
    </row>
    <row r="10" spans="1:13" ht="16.5" thickBot="1" x14ac:dyDescent="0.3">
      <c r="D10" s="297">
        <f>D8+H8</f>
        <v>3562160</v>
      </c>
      <c r="E10" s="298"/>
      <c r="F10" s="298"/>
      <c r="G10" s="298"/>
      <c r="H10" s="298"/>
      <c r="I10" s="116">
        <f>Total.Frais.généraux</f>
        <v>1140000</v>
      </c>
      <c r="J10" s="4"/>
    </row>
    <row r="11" spans="1:13" ht="30" x14ac:dyDescent="0.25">
      <c r="D11" s="295" t="s">
        <v>9</v>
      </c>
      <c r="E11" s="296"/>
      <c r="F11" s="296"/>
      <c r="G11" s="296"/>
      <c r="H11" s="296"/>
      <c r="I11" s="296"/>
      <c r="J11" s="115" t="s">
        <v>10</v>
      </c>
      <c r="L11" s="5"/>
      <c r="M11" s="6"/>
    </row>
    <row r="12" spans="1:13" ht="16.5" thickBot="1" x14ac:dyDescent="0.3">
      <c r="D12" s="284">
        <f>D10+I10</f>
        <v>4702160</v>
      </c>
      <c r="E12" s="285"/>
      <c r="F12" s="285"/>
      <c r="G12" s="285"/>
      <c r="H12" s="285"/>
      <c r="I12" s="285"/>
      <c r="J12" s="205">
        <f>D14-D12</f>
        <v>376540</v>
      </c>
      <c r="L12" s="7"/>
      <c r="M12" s="6"/>
    </row>
    <row r="13" spans="1:13" ht="15.75" x14ac:dyDescent="0.25">
      <c r="D13" s="286" t="s">
        <v>11</v>
      </c>
      <c r="E13" s="287"/>
      <c r="F13" s="287"/>
      <c r="G13" s="287"/>
      <c r="H13" s="287"/>
      <c r="I13" s="287"/>
      <c r="J13" s="288"/>
      <c r="L13" s="6"/>
      <c r="M13" s="8"/>
    </row>
    <row r="14" spans="1:13" ht="21.75" thickBot="1" x14ac:dyDescent="0.3">
      <c r="D14" s="289">
        <v>5078700</v>
      </c>
      <c r="E14" s="290"/>
      <c r="F14" s="290"/>
      <c r="G14" s="290"/>
      <c r="H14" s="290"/>
      <c r="I14" s="290"/>
      <c r="J14" s="291"/>
      <c r="L14" s="6"/>
      <c r="M14" s="8"/>
    </row>
    <row r="15" spans="1:13" ht="15.75" thickBot="1" x14ac:dyDescent="0.3">
      <c r="L15" s="6"/>
      <c r="M15" s="8"/>
    </row>
    <row r="16" spans="1:13" ht="30.75" thickBot="1" x14ac:dyDescent="0.3">
      <c r="D16" s="292" t="s">
        <v>12</v>
      </c>
      <c r="E16" s="166" t="s">
        <v>66</v>
      </c>
      <c r="F16" s="167">
        <f>I10/D14</f>
        <v>0.22446689113355781</v>
      </c>
      <c r="G16" s="168">
        <f>I10/D10</f>
        <v>0.32003054326588359</v>
      </c>
      <c r="H16" s="196">
        <f>I10/D12</f>
        <v>0.24244177144120999</v>
      </c>
      <c r="I16" s="169"/>
      <c r="J16" s="169"/>
      <c r="L16" s="6"/>
      <c r="M16" s="8"/>
    </row>
    <row r="17" spans="4:13" ht="7.35" customHeight="1" thickBot="1" x14ac:dyDescent="0.3">
      <c r="D17" s="293"/>
      <c r="E17" s="170"/>
      <c r="F17" s="171"/>
      <c r="G17" s="197"/>
      <c r="H17" s="198"/>
      <c r="I17" s="171"/>
      <c r="J17" s="169"/>
      <c r="L17" s="6"/>
      <c r="M17" s="8"/>
    </row>
    <row r="18" spans="4:13" ht="30.75" thickBot="1" x14ac:dyDescent="0.3">
      <c r="D18" s="293"/>
      <c r="E18" s="166" t="s">
        <v>67</v>
      </c>
      <c r="F18" s="167">
        <f>H8/D14</f>
        <v>0.3341593321125485</v>
      </c>
      <c r="G18" s="168">
        <f>H8/D10</f>
        <v>0.47642301300334627</v>
      </c>
      <c r="H18" s="199">
        <f>H8/D12</f>
        <v>0.36091817377545637</v>
      </c>
      <c r="I18" s="172"/>
      <c r="J18" s="173"/>
      <c r="K18" s="11"/>
      <c r="L18" s="6"/>
      <c r="M18" s="8"/>
    </row>
    <row r="19" spans="4:13" ht="7.35" customHeight="1" thickBot="1" x14ac:dyDescent="0.3">
      <c r="D19" s="293"/>
      <c r="E19" s="174"/>
      <c r="F19" s="175"/>
      <c r="G19" s="200"/>
      <c r="H19" s="201"/>
      <c r="I19" s="175"/>
      <c r="J19" s="169"/>
      <c r="L19" s="6"/>
      <c r="M19" s="13"/>
    </row>
    <row r="20" spans="4:13" ht="30.75" thickBot="1" x14ac:dyDescent="0.3">
      <c r="D20" s="294"/>
      <c r="E20" s="166" t="s">
        <v>68</v>
      </c>
      <c r="F20" s="167">
        <f>J12/D14</f>
        <v>7.4141020339850747E-2</v>
      </c>
      <c r="G20" s="168">
        <f>J12/D10</f>
        <v>0.10570552698362791</v>
      </c>
      <c r="H20" s="199">
        <f>J12/D12</f>
        <v>8.007809177059054E-2</v>
      </c>
      <c r="I20" s="176" t="s">
        <v>82</v>
      </c>
      <c r="J20" s="177">
        <f>H20+1</f>
        <v>1.0800780917705906</v>
      </c>
      <c r="L20" s="7"/>
      <c r="M20" s="6"/>
    </row>
    <row r="21" spans="4:13" ht="15.75" thickBot="1" x14ac:dyDescent="0.3">
      <c r="D21" s="169"/>
      <c r="E21" s="169"/>
      <c r="F21" s="169"/>
      <c r="G21" s="169"/>
      <c r="H21" s="169"/>
      <c r="I21" s="169"/>
      <c r="J21" s="169"/>
      <c r="L21" s="6"/>
      <c r="M21" s="13"/>
    </row>
    <row r="22" spans="4:13" ht="31.5" customHeight="1" thickBot="1" x14ac:dyDescent="0.3">
      <c r="D22" s="178" t="s">
        <v>13</v>
      </c>
      <c r="E22" s="179" t="s">
        <v>14</v>
      </c>
      <c r="F22" s="180">
        <f>I10+J12</f>
        <v>1516540</v>
      </c>
      <c r="G22" s="179" t="s">
        <v>15</v>
      </c>
      <c r="H22" s="180">
        <f>(I10+J12)/J6</f>
        <v>26.808202227328973</v>
      </c>
      <c r="I22" s="181" t="s">
        <v>16</v>
      </c>
      <c r="J22" s="169"/>
      <c r="L22" s="6"/>
      <c r="M22" s="8"/>
    </row>
    <row r="23" spans="4:13" ht="7.5" customHeight="1" thickBot="1" x14ac:dyDescent="0.3">
      <c r="D23" s="169"/>
      <c r="E23" s="169"/>
      <c r="F23" s="169"/>
      <c r="G23" s="169"/>
      <c r="H23" s="169"/>
      <c r="I23" s="169"/>
      <c r="J23" s="169"/>
      <c r="L23" s="6"/>
      <c r="M23" s="8"/>
    </row>
    <row r="24" spans="4:13" ht="30.75" thickBot="1" x14ac:dyDescent="0.3">
      <c r="D24" s="178" t="s">
        <v>17</v>
      </c>
      <c r="E24" s="179" t="s">
        <v>18</v>
      </c>
      <c r="F24" s="182">
        <f>D12/D10</f>
        <v>1.3200305432658836</v>
      </c>
      <c r="G24" s="169"/>
      <c r="H24" s="169"/>
      <c r="I24" s="183"/>
      <c r="J24" s="169"/>
      <c r="L24" s="14"/>
      <c r="M24" s="14"/>
    </row>
    <row r="25" spans="4:13" ht="6.75" customHeight="1" thickBot="1" x14ac:dyDescent="0.3">
      <c r="D25" s="169"/>
      <c r="E25" s="169"/>
      <c r="F25" s="169"/>
      <c r="G25" s="169"/>
      <c r="H25" s="169"/>
      <c r="I25" s="169"/>
      <c r="J25" s="169"/>
    </row>
    <row r="26" spans="4:13" ht="15.75" thickBot="1" x14ac:dyDescent="0.3">
      <c r="D26" s="184"/>
      <c r="E26" s="179" t="s">
        <v>21</v>
      </c>
      <c r="F26" s="185">
        <f>D14/D10</f>
        <v>1.4257360702495114</v>
      </c>
      <c r="G26" s="175"/>
      <c r="H26" s="175"/>
      <c r="I26" s="175"/>
      <c r="J26" s="175"/>
    </row>
    <row r="27" spans="4:13" ht="6.75" customHeight="1" thickBot="1" x14ac:dyDescent="0.3">
      <c r="D27" s="175"/>
      <c r="E27" s="175"/>
      <c r="F27" s="175"/>
      <c r="G27" s="175"/>
      <c r="H27" s="175"/>
      <c r="I27" s="175"/>
      <c r="J27" s="175"/>
    </row>
    <row r="28" spans="4:13" ht="24" thickBot="1" x14ac:dyDescent="0.3">
      <c r="D28" s="178" t="s">
        <v>19</v>
      </c>
      <c r="E28" s="179" t="s">
        <v>20</v>
      </c>
      <c r="F28" s="180">
        <f>D14/J6</f>
        <v>89.777267102704613</v>
      </c>
      <c r="G28" s="169"/>
      <c r="H28" s="169"/>
      <c r="I28" s="169"/>
      <c r="J28" s="186"/>
    </row>
    <row r="29" spans="4:13" ht="6.75" customHeight="1" thickBot="1" x14ac:dyDescent="0.3">
      <c r="D29" s="175"/>
      <c r="E29" s="175"/>
      <c r="F29" s="175"/>
      <c r="G29" s="175"/>
      <c r="H29" s="175"/>
      <c r="I29" s="175"/>
      <c r="J29" s="175"/>
    </row>
    <row r="30" spans="4:13" ht="45.75" customHeight="1" thickBot="1" x14ac:dyDescent="0.3">
      <c r="D30" s="181"/>
      <c r="E30" s="179" t="s">
        <v>73</v>
      </c>
      <c r="F30" s="180">
        <f>H22+T.H.M</f>
        <v>48.911448797734025</v>
      </c>
      <c r="G30" s="187" t="s">
        <v>70</v>
      </c>
      <c r="H30" s="187"/>
      <c r="I30" s="187"/>
      <c r="J30" s="187"/>
    </row>
    <row r="31" spans="4:13" ht="15.75" x14ac:dyDescent="0.25">
      <c r="D31" s="15"/>
      <c r="E31" s="188"/>
      <c r="F31" s="15"/>
      <c r="G31" s="15"/>
      <c r="H31" s="187"/>
      <c r="I31" s="187"/>
      <c r="J31" s="189"/>
    </row>
    <row r="32" spans="4:13" ht="15.75" x14ac:dyDescent="0.25">
      <c r="D32" s="190"/>
      <c r="E32" s="191"/>
      <c r="F32" s="169"/>
      <c r="G32" s="190"/>
      <c r="H32" s="187"/>
      <c r="I32" s="187"/>
      <c r="J32" s="187"/>
      <c r="L32" s="11"/>
    </row>
    <row r="33" spans="4:10" ht="15.75" x14ac:dyDescent="0.25">
      <c r="D33" s="17"/>
      <c r="E33" s="17"/>
      <c r="F33" s="17"/>
      <c r="G33" s="17"/>
      <c r="H33" s="18"/>
      <c r="I33" s="4"/>
      <c r="J33" s="4"/>
    </row>
    <row r="34" spans="4:10" ht="15.75" x14ac:dyDescent="0.25">
      <c r="D34" s="16"/>
      <c r="E34" s="16"/>
      <c r="F34" s="16"/>
      <c r="G34" s="16"/>
      <c r="H34" s="16"/>
      <c r="I34" s="4"/>
      <c r="J34" s="4"/>
    </row>
    <row r="35" spans="4:10" ht="15.75" x14ac:dyDescent="0.25">
      <c r="D35" s="19"/>
      <c r="E35" s="19"/>
      <c r="F35" s="19"/>
      <c r="G35" s="19"/>
      <c r="H35" s="19"/>
      <c r="I35" s="20"/>
      <c r="J35" s="4"/>
    </row>
    <row r="36" spans="4:10" ht="15.75" x14ac:dyDescent="0.25">
      <c r="D36" s="16"/>
      <c r="E36" s="16"/>
      <c r="F36" s="16"/>
      <c r="G36" s="16"/>
      <c r="H36" s="16"/>
      <c r="I36" s="16"/>
      <c r="J36" s="4"/>
    </row>
    <row r="37" spans="4:10" ht="15.75" x14ac:dyDescent="0.25">
      <c r="D37" s="21"/>
      <c r="E37" s="21"/>
      <c r="F37" s="21"/>
      <c r="G37" s="21"/>
      <c r="H37" s="21"/>
      <c r="I37" s="21"/>
      <c r="J37" s="20"/>
    </row>
    <row r="38" spans="4:10" ht="21" x14ac:dyDescent="0.25">
      <c r="D38" s="22"/>
      <c r="E38" s="22"/>
      <c r="F38" s="22"/>
      <c r="G38" s="22"/>
      <c r="H38" s="22"/>
      <c r="I38" s="22"/>
      <c r="J38" s="22"/>
    </row>
    <row r="39" spans="4:10" ht="21" x14ac:dyDescent="0.25">
      <c r="D39" s="23"/>
      <c r="E39" s="23"/>
      <c r="F39" s="23"/>
      <c r="G39" s="23"/>
      <c r="H39" s="23"/>
      <c r="I39" s="23"/>
      <c r="J39" s="23"/>
    </row>
    <row r="40" spans="4:10" x14ac:dyDescent="0.25">
      <c r="D40" s="12"/>
      <c r="E40" s="12"/>
      <c r="F40" s="12"/>
      <c r="G40" s="12"/>
      <c r="H40" s="12"/>
      <c r="I40" s="12"/>
      <c r="J40" s="12"/>
    </row>
    <row r="41" spans="4:10" ht="14.45" customHeight="1" x14ac:dyDescent="0.25">
      <c r="D41" s="24"/>
      <c r="E41" s="25"/>
      <c r="F41" s="26"/>
      <c r="G41" s="27"/>
      <c r="H41" s="28"/>
      <c r="I41" s="9"/>
      <c r="J41" s="12"/>
    </row>
    <row r="42" spans="4:10" ht="14.45" customHeight="1" x14ac:dyDescent="0.25">
      <c r="D42" s="24"/>
      <c r="E42" s="10"/>
      <c r="F42" s="10"/>
      <c r="G42" s="10"/>
      <c r="H42" s="10"/>
      <c r="I42" s="10"/>
      <c r="J42" s="12"/>
    </row>
    <row r="43" spans="4:10" ht="14.45" customHeight="1" x14ac:dyDescent="0.25">
      <c r="D43" s="24"/>
      <c r="E43" s="25"/>
      <c r="F43" s="26"/>
      <c r="G43" s="27"/>
      <c r="H43" s="29"/>
      <c r="I43" s="9"/>
      <c r="J43" s="12"/>
    </row>
    <row r="44" spans="4:10" ht="14.45" customHeight="1" x14ac:dyDescent="0.25">
      <c r="D44" s="24"/>
      <c r="E44" s="30"/>
      <c r="F44" s="12"/>
      <c r="G44" s="12"/>
      <c r="H44" s="12"/>
      <c r="I44" s="12"/>
      <c r="J44" s="12"/>
    </row>
    <row r="45" spans="4:10" ht="14.45" customHeight="1" x14ac:dyDescent="0.25">
      <c r="D45" s="24"/>
      <c r="E45" s="25"/>
      <c r="F45" s="26"/>
      <c r="G45" s="27"/>
      <c r="H45" s="29"/>
      <c r="I45" s="9"/>
      <c r="J45" s="12"/>
    </row>
    <row r="46" spans="4:10" x14ac:dyDescent="0.25">
      <c r="D46" s="12"/>
      <c r="E46" s="12"/>
      <c r="F46" s="12"/>
      <c r="G46" s="12"/>
      <c r="H46" s="12"/>
      <c r="I46" s="12"/>
      <c r="J46" s="12"/>
    </row>
    <row r="47" spans="4:10" x14ac:dyDescent="0.25">
      <c r="D47" s="31"/>
      <c r="E47" s="32"/>
      <c r="F47" s="33"/>
      <c r="G47" s="32"/>
      <c r="H47" s="33"/>
      <c r="I47" s="34"/>
      <c r="J47" s="12"/>
    </row>
    <row r="48" spans="4:10" x14ac:dyDescent="0.25">
      <c r="D48" s="31"/>
      <c r="E48" s="32"/>
      <c r="F48" s="35"/>
      <c r="G48" s="32"/>
      <c r="H48" s="35"/>
      <c r="I48" s="36"/>
      <c r="J48" s="12"/>
    </row>
    <row r="49" spans="4:10" x14ac:dyDescent="0.25">
      <c r="D49" s="31"/>
      <c r="E49" s="32"/>
      <c r="F49" s="33"/>
      <c r="G49" s="32"/>
      <c r="H49" s="9"/>
      <c r="I49" s="12"/>
      <c r="J49" s="12"/>
    </row>
    <row r="50" spans="4:10" x14ac:dyDescent="0.25">
      <c r="D50" s="12"/>
      <c r="E50" s="12"/>
      <c r="F50" s="12"/>
      <c r="G50" s="12"/>
      <c r="H50" s="12"/>
      <c r="I50" s="12"/>
      <c r="J50" s="12"/>
    </row>
    <row r="51" spans="4:10" x14ac:dyDescent="0.25">
      <c r="D51" s="12"/>
      <c r="E51" s="12"/>
      <c r="F51" s="12"/>
      <c r="G51" s="12"/>
      <c r="H51" s="12"/>
      <c r="I51" s="12"/>
      <c r="J51" s="12"/>
    </row>
    <row r="52" spans="4:10" x14ac:dyDescent="0.25">
      <c r="D52" s="12"/>
      <c r="E52" s="12"/>
      <c r="F52" s="12"/>
      <c r="G52" s="12"/>
      <c r="H52" s="12"/>
      <c r="I52" s="12"/>
      <c r="J52" s="12"/>
    </row>
    <row r="53" spans="4:10" x14ac:dyDescent="0.25">
      <c r="D53" s="12"/>
      <c r="E53" s="12"/>
      <c r="F53" s="12"/>
      <c r="G53" s="12"/>
      <c r="H53" s="12"/>
      <c r="I53" s="12"/>
      <c r="J53" s="12"/>
    </row>
    <row r="54" spans="4:10" x14ac:dyDescent="0.25">
      <c r="D54" s="12"/>
      <c r="E54" s="12"/>
      <c r="F54" s="12"/>
      <c r="G54" s="12"/>
      <c r="H54" s="12"/>
      <c r="I54" s="12"/>
      <c r="J54" s="12"/>
    </row>
    <row r="55" spans="4:10" x14ac:dyDescent="0.25">
      <c r="D55" s="12"/>
      <c r="E55" s="12"/>
      <c r="F55" s="12"/>
      <c r="G55" s="12"/>
      <c r="H55" s="12"/>
      <c r="I55" s="12"/>
      <c r="J55" s="12"/>
    </row>
    <row r="56" spans="4:10" x14ac:dyDescent="0.25">
      <c r="D56" s="12"/>
      <c r="E56" s="12"/>
      <c r="F56" s="12"/>
      <c r="G56" s="12"/>
      <c r="H56" s="12"/>
      <c r="I56" s="12"/>
      <c r="J56" s="12"/>
    </row>
  </sheetData>
  <sheetProtection sheet="1" objects="1" scenarios="1"/>
  <customSheetViews>
    <customSheetView guid="{AEA9AF13-5264-4B35-8742-168FDD2648CB}" scale="85">
      <selection activeCell="A13" sqref="A13:G13"/>
      <pageMargins left="0.7" right="0.7" top="0.75" bottom="0.75" header="0.3" footer="0.3"/>
      <pageSetup paperSize="9" orientation="portrait"/>
    </customSheetView>
  </customSheetViews>
  <mergeCells count="9">
    <mergeCell ref="D12:I12"/>
    <mergeCell ref="D13:J13"/>
    <mergeCell ref="D14:J14"/>
    <mergeCell ref="D16:D20"/>
    <mergeCell ref="D7:G7"/>
    <mergeCell ref="D8:G8"/>
    <mergeCell ref="D9:H9"/>
    <mergeCell ref="D10:H10"/>
    <mergeCell ref="D11:I11"/>
  </mergeCells>
  <pageMargins left="0.7" right="0.7" top="0.75" bottom="0.75" header="0.3" footer="0.3"/>
  <pageSetup paperSize="9" orientation="portrait" r:id="rId1"/>
  <picture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/>
  </sheetPr>
  <dimension ref="C1:O61"/>
  <sheetViews>
    <sheetView showGridLines="0" topLeftCell="A25" zoomScale="85" zoomScaleNormal="85" zoomScalePageLayoutView="85" workbookViewId="0">
      <selection activeCell="I35" sqref="I35"/>
    </sheetView>
  </sheetViews>
  <sheetFormatPr baseColWidth="10" defaultRowHeight="15" x14ac:dyDescent="0.25"/>
  <cols>
    <col min="1" max="1" width="11.42578125" customWidth="1"/>
    <col min="2" max="2" width="23.42578125" customWidth="1"/>
    <col min="3" max="3" width="9.42578125" style="42" customWidth="1"/>
    <col min="4" max="4" width="33.5703125" style="42" customWidth="1"/>
    <col min="5" max="5" width="11.28515625" style="42" bestFit="1" customWidth="1"/>
    <col min="6" max="6" width="14.42578125" style="42" customWidth="1"/>
    <col min="7" max="7" width="14.7109375" style="42" customWidth="1"/>
    <col min="8" max="8" width="14.28515625" style="42" customWidth="1"/>
    <col min="9" max="9" width="16.42578125" style="42" customWidth="1"/>
    <col min="10" max="10" width="15.42578125" style="42" customWidth="1"/>
    <col min="11" max="11" width="6.140625" style="42" customWidth="1"/>
    <col min="12" max="12" width="5.85546875" style="42" customWidth="1"/>
  </cols>
  <sheetData>
    <row r="1" spans="3:12" x14ac:dyDescent="0.25">
      <c r="D1" s="54"/>
    </row>
    <row r="2" spans="3:12" ht="15.75" thickBot="1" x14ac:dyDescent="0.3"/>
    <row r="3" spans="3:12" ht="18.75" x14ac:dyDescent="0.3">
      <c r="D3" s="302" t="s">
        <v>94</v>
      </c>
      <c r="E3" s="303"/>
      <c r="G3" s="299" t="s">
        <v>101</v>
      </c>
      <c r="H3" s="300"/>
      <c r="I3" s="301"/>
      <c r="J3" s="128"/>
      <c r="K3" s="128"/>
    </row>
    <row r="4" spans="3:12" ht="30.75" x14ac:dyDescent="0.3">
      <c r="C4" s="143"/>
      <c r="D4" s="144" t="s">
        <v>89</v>
      </c>
      <c r="E4" s="235">
        <v>5</v>
      </c>
      <c r="F4" s="143"/>
      <c r="G4" s="309" t="s">
        <v>102</v>
      </c>
      <c r="H4" s="310"/>
      <c r="I4" s="140">
        <f>E17*2*E7*T.H.M</f>
        <v>0</v>
      </c>
      <c r="J4" s="145"/>
      <c r="K4" s="145"/>
    </row>
    <row r="5" spans="3:12" ht="30" customHeight="1" x14ac:dyDescent="0.3">
      <c r="C5" s="143"/>
      <c r="D5" s="144" t="s">
        <v>90</v>
      </c>
      <c r="E5" s="236">
        <v>37.5</v>
      </c>
      <c r="F5" s="143"/>
      <c r="G5" s="311" t="s">
        <v>79</v>
      </c>
      <c r="H5" s="312"/>
      <c r="I5" s="140">
        <f>E16*2*E20</f>
        <v>0</v>
      </c>
      <c r="J5" s="145"/>
      <c r="K5" s="145"/>
    </row>
    <row r="6" spans="3:12" ht="29.25" customHeight="1" x14ac:dyDescent="0.3">
      <c r="C6" s="143"/>
      <c r="D6" s="144" t="s">
        <v>93</v>
      </c>
      <c r="E6" s="221">
        <f>E5/E4</f>
        <v>7.5</v>
      </c>
      <c r="F6" s="143"/>
      <c r="G6" s="309" t="s">
        <v>122</v>
      </c>
      <c r="H6" s="310"/>
      <c r="I6" s="140">
        <f>E16*2*E18</f>
        <v>0</v>
      </c>
      <c r="J6" s="145"/>
      <c r="K6" s="142"/>
    </row>
    <row r="7" spans="3:12" ht="30" customHeight="1" x14ac:dyDescent="0.3">
      <c r="C7" s="143"/>
      <c r="D7" s="146" t="s">
        <v>92</v>
      </c>
      <c r="E7" s="236">
        <v>2</v>
      </c>
      <c r="F7" s="143"/>
      <c r="G7" s="313" t="s">
        <v>123</v>
      </c>
      <c r="H7" s="314"/>
      <c r="I7" s="140">
        <f>E16*2*E19*(E7-1)</f>
        <v>0</v>
      </c>
      <c r="J7" s="145"/>
      <c r="K7" s="142"/>
    </row>
    <row r="8" spans="3:12" ht="18.75" x14ac:dyDescent="0.3">
      <c r="C8" s="143"/>
      <c r="D8" s="147" t="s">
        <v>96</v>
      </c>
      <c r="E8" s="236">
        <v>55</v>
      </c>
      <c r="F8" s="143"/>
      <c r="G8" s="315" t="s">
        <v>105</v>
      </c>
      <c r="H8" s="316"/>
      <c r="I8" s="148">
        <f>(E23*E7)*(1+Charges.social.patronales)</f>
        <v>0</v>
      </c>
      <c r="J8" s="145"/>
      <c r="K8" s="145"/>
    </row>
    <row r="9" spans="3:12" ht="19.5" thickBot="1" x14ac:dyDescent="0.35">
      <c r="C9" s="143"/>
      <c r="D9" s="149" t="s">
        <v>108</v>
      </c>
      <c r="E9" s="237">
        <v>0.08</v>
      </c>
      <c r="F9" s="143"/>
      <c r="G9" s="325" t="s">
        <v>106</v>
      </c>
      <c r="H9" s="326"/>
      <c r="I9" s="131">
        <f>IF(E21&lt;E22,E21,E22)*E7</f>
        <v>0</v>
      </c>
      <c r="J9" s="145"/>
      <c r="K9" s="145"/>
    </row>
    <row r="10" spans="3:12" s="215" customFormat="1" ht="15" customHeight="1" x14ac:dyDescent="0.25">
      <c r="C10" s="212"/>
      <c r="D10" s="144" t="s">
        <v>91</v>
      </c>
      <c r="E10" s="217">
        <f>IF(E8&gt;(E7*E15),E7,MROUND(E12/E6/E8,E7))</f>
        <v>2</v>
      </c>
      <c r="F10" s="212"/>
      <c r="G10" s="304"/>
      <c r="H10" s="304"/>
      <c r="I10" s="222"/>
      <c r="J10" s="214"/>
      <c r="K10" s="214"/>
      <c r="L10" s="214"/>
    </row>
    <row r="11" spans="3:12" ht="15" customHeight="1" x14ac:dyDescent="0.3">
      <c r="C11" s="143"/>
      <c r="D11" s="146" t="s">
        <v>109</v>
      </c>
      <c r="E11" s="217">
        <f ca="1">'Etude de prix'!L42</f>
        <v>646.92000000000007</v>
      </c>
      <c r="F11" s="143"/>
      <c r="G11" s="143"/>
      <c r="H11" s="143"/>
      <c r="I11" s="143"/>
      <c r="J11" s="145"/>
      <c r="K11" s="145"/>
    </row>
    <row r="12" spans="3:12" ht="15" customHeight="1" x14ac:dyDescent="0.3">
      <c r="C12" s="143"/>
      <c r="D12" s="149" t="s">
        <v>128</v>
      </c>
      <c r="E12" s="218">
        <f ca="1">E11*(1+Perte.de.temps.sur.chantier)+F43</f>
        <v>743.67360000000008</v>
      </c>
      <c r="G12" s="143"/>
      <c r="H12" s="143"/>
      <c r="I12" s="143"/>
      <c r="J12" s="145"/>
      <c r="K12" s="145"/>
    </row>
    <row r="13" spans="3:12" ht="15" customHeight="1" x14ac:dyDescent="0.25">
      <c r="C13" s="143"/>
      <c r="D13" s="149" t="s">
        <v>95</v>
      </c>
      <c r="E13" s="219">
        <f ca="1">ROUNDUP(E12/(E10*E15),0)</f>
        <v>50</v>
      </c>
      <c r="G13" s="143"/>
      <c r="H13" s="143"/>
      <c r="I13" s="143"/>
    </row>
    <row r="14" spans="3:12" x14ac:dyDescent="0.25">
      <c r="C14" s="143"/>
      <c r="D14" s="213" t="s">
        <v>127</v>
      </c>
      <c r="E14" s="220">
        <f ca="1">ROUNDUP(E12+E13*E17*2,0)</f>
        <v>744</v>
      </c>
    </row>
    <row r="15" spans="3:12" x14ac:dyDescent="0.25">
      <c r="C15" s="143"/>
      <c r="D15" s="216" t="s">
        <v>126</v>
      </c>
      <c r="E15" s="221">
        <f>E6-E17*2</f>
        <v>7.5</v>
      </c>
      <c r="F15" s="143"/>
      <c r="G15" s="327" t="s">
        <v>103</v>
      </c>
      <c r="H15" s="327"/>
      <c r="I15" s="130">
        <f>SUM(I4+I5+I8+I9+I10)</f>
        <v>0</v>
      </c>
    </row>
    <row r="16" spans="3:12" x14ac:dyDescent="0.25">
      <c r="C16" s="143"/>
      <c r="D16" s="144" t="s">
        <v>141</v>
      </c>
      <c r="E16" s="238">
        <v>0</v>
      </c>
      <c r="F16" s="143"/>
      <c r="G16" s="305" t="s">
        <v>80</v>
      </c>
      <c r="H16" s="305"/>
      <c r="I16" s="150">
        <f ca="1">E13</f>
        <v>50</v>
      </c>
    </row>
    <row r="17" spans="3:15" ht="18.75" x14ac:dyDescent="0.3">
      <c r="C17" s="143"/>
      <c r="D17" s="144" t="s">
        <v>97</v>
      </c>
      <c r="E17" s="238">
        <v>0</v>
      </c>
      <c r="F17" s="152"/>
      <c r="G17" s="305" t="s">
        <v>104</v>
      </c>
      <c r="H17" s="305"/>
      <c r="I17" s="151">
        <f>E10/E7</f>
        <v>1</v>
      </c>
      <c r="J17" s="145"/>
      <c r="K17" s="145"/>
    </row>
    <row r="18" spans="3:15" ht="30" x14ac:dyDescent="0.25">
      <c r="C18" s="143"/>
      <c r="D18" s="144" t="s">
        <v>98</v>
      </c>
      <c r="E18" s="238">
        <v>0</v>
      </c>
      <c r="F18" s="153"/>
      <c r="G18" s="306" t="s">
        <v>107</v>
      </c>
      <c r="H18" s="306"/>
      <c r="I18" s="132">
        <f ca="1">I15*I16*I17</f>
        <v>0</v>
      </c>
      <c r="J18" s="143"/>
      <c r="K18" s="143"/>
    </row>
    <row r="19" spans="3:15" ht="30" x14ac:dyDescent="0.25">
      <c r="C19" s="143"/>
      <c r="D19" s="144" t="s">
        <v>99</v>
      </c>
      <c r="E19" s="238">
        <v>0</v>
      </c>
      <c r="F19" s="153"/>
      <c r="G19" s="152"/>
      <c r="H19" s="143"/>
      <c r="I19" s="143"/>
      <c r="J19" s="143"/>
      <c r="K19" s="143"/>
    </row>
    <row r="20" spans="3:15" x14ac:dyDescent="0.25">
      <c r="D20" s="125" t="s">
        <v>100</v>
      </c>
      <c r="E20" s="238">
        <v>3.2</v>
      </c>
      <c r="F20" s="114"/>
      <c r="G20" s="54"/>
    </row>
    <row r="21" spans="3:15" ht="30" x14ac:dyDescent="0.25">
      <c r="D21" s="137" t="s">
        <v>27</v>
      </c>
      <c r="E21" s="239">
        <v>0</v>
      </c>
      <c r="F21" s="260">
        <v>9.4</v>
      </c>
      <c r="O21" s="39"/>
    </row>
    <row r="22" spans="3:15" x14ac:dyDescent="0.25">
      <c r="D22" s="137" t="s">
        <v>28</v>
      </c>
      <c r="E22" s="239">
        <v>9</v>
      </c>
    </row>
    <row r="23" spans="3:15" ht="15.75" thickBot="1" x14ac:dyDescent="0.3">
      <c r="D23" s="138" t="s">
        <v>29</v>
      </c>
      <c r="E23" s="240">
        <f>IF(E21-E22&lt;0,0,E21-E22)</f>
        <v>0</v>
      </c>
    </row>
    <row r="25" spans="3:15" ht="15.75" thickBot="1" x14ac:dyDescent="0.3"/>
    <row r="26" spans="3:15" ht="18.75" x14ac:dyDescent="0.25">
      <c r="E26" s="322" t="s">
        <v>83</v>
      </c>
      <c r="F26" s="323"/>
      <c r="G26" s="323"/>
      <c r="H26" s="323"/>
      <c r="I26" s="323"/>
      <c r="J26" s="324"/>
    </row>
    <row r="27" spans="3:15" x14ac:dyDescent="0.25">
      <c r="D27" s="113"/>
      <c r="E27" s="317" t="s">
        <v>23</v>
      </c>
      <c r="F27" s="318"/>
      <c r="G27" s="319"/>
      <c r="H27" s="320" t="s">
        <v>50</v>
      </c>
      <c r="I27" s="318"/>
      <c r="J27" s="321"/>
    </row>
    <row r="28" spans="3:15" ht="15.75" thickBot="1" x14ac:dyDescent="0.3">
      <c r="D28" s="113"/>
      <c r="E28" s="121" t="s">
        <v>44</v>
      </c>
      <c r="F28" s="120" t="s">
        <v>81</v>
      </c>
      <c r="G28" s="120" t="s">
        <v>76</v>
      </c>
      <c r="H28" s="120" t="s">
        <v>44</v>
      </c>
      <c r="I28" s="120" t="s">
        <v>36</v>
      </c>
      <c r="J28" s="122" t="s">
        <v>40</v>
      </c>
    </row>
    <row r="29" spans="3:15" x14ac:dyDescent="0.25">
      <c r="D29" s="243" t="s">
        <v>111</v>
      </c>
      <c r="E29" s="44">
        <v>1</v>
      </c>
      <c r="F29" s="223">
        <v>45</v>
      </c>
      <c r="G29" s="58">
        <f t="shared" ref="G29:G42" si="0">F29*E29*T.H.M</f>
        <v>994.64609566822719</v>
      </c>
      <c r="H29" s="204"/>
      <c r="I29" s="203"/>
      <c r="J29" s="58">
        <f t="shared" ref="J29:J42" si="1">I29*H29</f>
        <v>0</v>
      </c>
    </row>
    <row r="30" spans="3:15" x14ac:dyDescent="0.25">
      <c r="D30" s="242" t="s">
        <v>110</v>
      </c>
      <c r="E30" s="45"/>
      <c r="F30" s="46"/>
      <c r="G30" s="58">
        <f t="shared" si="0"/>
        <v>0</v>
      </c>
      <c r="H30" s="45">
        <v>1</v>
      </c>
      <c r="I30" s="47">
        <v>921</v>
      </c>
      <c r="J30" s="59">
        <f t="shared" si="1"/>
        <v>921</v>
      </c>
    </row>
    <row r="31" spans="3:15" x14ac:dyDescent="0.25">
      <c r="D31" s="242" t="s">
        <v>130</v>
      </c>
      <c r="E31" s="45"/>
      <c r="F31" s="46"/>
      <c r="G31" s="58">
        <f t="shared" si="0"/>
        <v>0</v>
      </c>
      <c r="H31" s="45">
        <v>1</v>
      </c>
      <c r="I31" s="47">
        <v>3450</v>
      </c>
      <c r="J31" s="59">
        <f t="shared" si="1"/>
        <v>3450</v>
      </c>
    </row>
    <row r="32" spans="3:15" x14ac:dyDescent="0.25">
      <c r="D32" s="242" t="s">
        <v>131</v>
      </c>
      <c r="E32" s="45"/>
      <c r="F32" s="46"/>
      <c r="G32" s="58">
        <f t="shared" si="0"/>
        <v>0</v>
      </c>
      <c r="H32" s="45"/>
      <c r="I32" s="47"/>
      <c r="J32" s="59">
        <f t="shared" si="1"/>
        <v>0</v>
      </c>
    </row>
    <row r="33" spans="4:10" x14ac:dyDescent="0.25">
      <c r="D33" s="242" t="s">
        <v>132</v>
      </c>
      <c r="E33" s="45"/>
      <c r="F33" s="46"/>
      <c r="G33" s="58">
        <f t="shared" si="0"/>
        <v>0</v>
      </c>
      <c r="H33" s="45"/>
      <c r="I33" s="47"/>
      <c r="J33" s="59"/>
    </row>
    <row r="34" spans="4:10" x14ac:dyDescent="0.25">
      <c r="D34" s="242" t="s">
        <v>133</v>
      </c>
      <c r="E34" s="45"/>
      <c r="F34" s="46"/>
      <c r="G34" s="58">
        <f t="shared" si="0"/>
        <v>0</v>
      </c>
      <c r="H34" s="45"/>
      <c r="I34" s="47"/>
      <c r="J34" s="59"/>
    </row>
    <row r="35" spans="4:10" x14ac:dyDescent="0.25">
      <c r="D35" s="242" t="s">
        <v>135</v>
      </c>
      <c r="E35" s="45"/>
      <c r="F35" s="46"/>
      <c r="G35" s="58">
        <f t="shared" si="0"/>
        <v>0</v>
      </c>
      <c r="H35" s="45"/>
      <c r="I35" s="47"/>
      <c r="J35" s="59"/>
    </row>
    <row r="36" spans="4:10" x14ac:dyDescent="0.25">
      <c r="D36" s="242" t="s">
        <v>134</v>
      </c>
      <c r="E36" s="45"/>
      <c r="F36" s="46"/>
      <c r="G36" s="58">
        <f t="shared" si="0"/>
        <v>0</v>
      </c>
      <c r="H36" s="45"/>
      <c r="I36" s="47"/>
      <c r="J36" s="59"/>
    </row>
    <row r="37" spans="4:10" x14ac:dyDescent="0.25">
      <c r="D37" s="242" t="s">
        <v>136</v>
      </c>
      <c r="E37" s="45"/>
      <c r="F37" s="46"/>
      <c r="G37" s="58">
        <f t="shared" si="0"/>
        <v>0</v>
      </c>
      <c r="H37" s="45"/>
      <c r="I37" s="47"/>
      <c r="J37" s="59"/>
    </row>
    <row r="38" spans="4:10" x14ac:dyDescent="0.25">
      <c r="D38" s="242" t="s">
        <v>129</v>
      </c>
      <c r="E38" s="45"/>
      <c r="F38" s="46"/>
      <c r="G38" s="58">
        <f t="shared" si="0"/>
        <v>0</v>
      </c>
      <c r="H38" s="45"/>
      <c r="I38" s="47"/>
      <c r="J38" s="59"/>
    </row>
    <row r="39" spans="4:10" x14ac:dyDescent="0.25">
      <c r="D39" s="242" t="s">
        <v>125</v>
      </c>
      <c r="E39" s="45"/>
      <c r="F39" s="46"/>
      <c r="G39" s="58">
        <f t="shared" si="0"/>
        <v>0</v>
      </c>
      <c r="H39" s="45"/>
      <c r="I39" s="47"/>
      <c r="J39" s="59"/>
    </row>
    <row r="40" spans="4:10" x14ac:dyDescent="0.25">
      <c r="D40" s="242" t="s">
        <v>124</v>
      </c>
      <c r="E40" s="45"/>
      <c r="F40" s="46"/>
      <c r="G40" s="58">
        <f t="shared" si="0"/>
        <v>0</v>
      </c>
      <c r="H40" s="45"/>
      <c r="I40" s="47"/>
      <c r="J40" s="59"/>
    </row>
    <row r="41" spans="4:10" x14ac:dyDescent="0.25">
      <c r="D41" s="242" t="s">
        <v>137</v>
      </c>
      <c r="E41" s="45"/>
      <c r="F41" s="46"/>
      <c r="G41" s="58">
        <f t="shared" si="0"/>
        <v>0</v>
      </c>
      <c r="H41" s="45"/>
      <c r="I41" s="47"/>
      <c r="J41" s="59"/>
    </row>
    <row r="42" spans="4:10" ht="15.75" thickBot="1" x14ac:dyDescent="0.3">
      <c r="D42" s="244"/>
      <c r="E42" s="66"/>
      <c r="F42" s="48"/>
      <c r="G42" s="58">
        <f t="shared" si="0"/>
        <v>0</v>
      </c>
      <c r="H42" s="66"/>
      <c r="I42" s="49"/>
      <c r="J42" s="60">
        <f t="shared" si="1"/>
        <v>0</v>
      </c>
    </row>
    <row r="43" spans="4:10" ht="15.75" thickBot="1" x14ac:dyDescent="0.3">
      <c r="D43" s="241" t="s">
        <v>38</v>
      </c>
      <c r="E43" s="61"/>
      <c r="F43" s="224">
        <f t="array" ref="F43">SUM(E29:E42*F29:F42)</f>
        <v>45</v>
      </c>
      <c r="G43" s="62">
        <f>SUM(G29:G42)</f>
        <v>994.64609566822719</v>
      </c>
      <c r="H43" s="61">
        <f>SUM(H30:H42)</f>
        <v>2</v>
      </c>
      <c r="I43" s="63"/>
      <c r="J43" s="64">
        <f>SUM(J29:J42)</f>
        <v>4371</v>
      </c>
    </row>
    <row r="44" spans="4:10" ht="21" x14ac:dyDescent="0.35">
      <c r="D44" s="119"/>
    </row>
    <row r="45" spans="4:10" ht="21" x14ac:dyDescent="0.35">
      <c r="D45" s="119"/>
    </row>
    <row r="46" spans="4:10" ht="18.75" x14ac:dyDescent="0.3">
      <c r="D46" s="135" t="s">
        <v>87</v>
      </c>
      <c r="E46" s="50"/>
      <c r="F46" s="50"/>
      <c r="G46" s="50"/>
      <c r="H46" s="50"/>
      <c r="I46" s="50"/>
      <c r="J46" s="136">
        <f ca="1">G43+I18+J43</f>
        <v>5365.6460956682276</v>
      </c>
    </row>
    <row r="49" spans="4:11" ht="15.75" thickBot="1" x14ac:dyDescent="0.3"/>
    <row r="50" spans="4:11" ht="19.5" thickBot="1" x14ac:dyDescent="0.35">
      <c r="E50" s="307" t="s">
        <v>84</v>
      </c>
      <c r="F50" s="308"/>
    </row>
    <row r="51" spans="4:11" x14ac:dyDescent="0.25">
      <c r="D51" s="156" t="s">
        <v>51</v>
      </c>
      <c r="E51" s="157" t="s">
        <v>25</v>
      </c>
      <c r="F51" s="158" t="s">
        <v>26</v>
      </c>
    </row>
    <row r="52" spans="4:11" x14ac:dyDescent="0.25">
      <c r="D52" s="154" t="s">
        <v>53</v>
      </c>
      <c r="E52" s="155"/>
      <c r="F52" s="58">
        <f t="shared" ref="F52:F60" ca="1" si="2">E52*PV.de.vente</f>
        <v>0</v>
      </c>
    </row>
    <row r="53" spans="4:11" x14ac:dyDescent="0.25">
      <c r="D53" s="65"/>
      <c r="E53" s="106"/>
      <c r="F53" s="133">
        <f t="shared" ca="1" si="2"/>
        <v>0</v>
      </c>
    </row>
    <row r="54" spans="4:11" x14ac:dyDescent="0.25">
      <c r="D54" s="65"/>
      <c r="E54" s="106"/>
      <c r="F54" s="133">
        <f t="shared" ca="1" si="2"/>
        <v>0</v>
      </c>
      <c r="G54" s="54"/>
    </row>
    <row r="55" spans="4:11" x14ac:dyDescent="0.25">
      <c r="D55" s="65"/>
      <c r="E55" s="106"/>
      <c r="F55" s="133">
        <f t="shared" ca="1" si="2"/>
        <v>0</v>
      </c>
    </row>
    <row r="56" spans="4:11" x14ac:dyDescent="0.25">
      <c r="D56" s="65"/>
      <c r="E56" s="107"/>
      <c r="F56" s="133">
        <f t="shared" ca="1" si="2"/>
        <v>0</v>
      </c>
    </row>
    <row r="57" spans="4:11" x14ac:dyDescent="0.25">
      <c r="D57" s="65"/>
      <c r="E57" s="106"/>
      <c r="F57" s="133">
        <f t="shared" ca="1" si="2"/>
        <v>0</v>
      </c>
    </row>
    <row r="58" spans="4:11" x14ac:dyDescent="0.25">
      <c r="D58" s="65"/>
      <c r="E58" s="106"/>
      <c r="F58" s="133">
        <f t="shared" ca="1" si="2"/>
        <v>0</v>
      </c>
    </row>
    <row r="59" spans="4:11" x14ac:dyDescent="0.25">
      <c r="D59" s="65"/>
      <c r="E59" s="106"/>
      <c r="F59" s="133">
        <f t="shared" ca="1" si="2"/>
        <v>0</v>
      </c>
    </row>
    <row r="60" spans="4:11" x14ac:dyDescent="0.25">
      <c r="D60" s="73"/>
      <c r="E60" s="108"/>
      <c r="F60" s="133">
        <f t="shared" ca="1" si="2"/>
        <v>0</v>
      </c>
    </row>
    <row r="61" spans="4:11" ht="15.75" thickBot="1" x14ac:dyDescent="0.3">
      <c r="D61" s="74" t="s">
        <v>38</v>
      </c>
      <c r="E61" s="109">
        <f>SUM(E52:E60)</f>
        <v>0</v>
      </c>
      <c r="F61" s="134">
        <f ca="1">SUM(F52:F60)</f>
        <v>0</v>
      </c>
      <c r="K61" s="123"/>
    </row>
  </sheetData>
  <customSheetViews>
    <customSheetView guid="{AEA9AF13-5264-4B35-8742-168FDD2648CB}" showGridLines="0">
      <pane ySplit="1" topLeftCell="A2" activePane="bottomLeft" state="frozenSplit"/>
      <selection pane="bottomLeft" activeCell="J4" sqref="J4:J19"/>
      <pageMargins left="0.7" right="0.7" top="0.75" bottom="0.75" header="0.3" footer="0.3"/>
    </customSheetView>
  </customSheetViews>
  <mergeCells count="17">
    <mergeCell ref="G18:H18"/>
    <mergeCell ref="E50:F50"/>
    <mergeCell ref="G4:H4"/>
    <mergeCell ref="G5:H5"/>
    <mergeCell ref="G6:H6"/>
    <mergeCell ref="G7:H7"/>
    <mergeCell ref="G8:H8"/>
    <mergeCell ref="E27:G27"/>
    <mergeCell ref="H27:J27"/>
    <mergeCell ref="E26:J26"/>
    <mergeCell ref="G9:H9"/>
    <mergeCell ref="G15:H15"/>
    <mergeCell ref="G3:I3"/>
    <mergeCell ref="D3:E3"/>
    <mergeCell ref="G10:H10"/>
    <mergeCell ref="G16:H16"/>
    <mergeCell ref="G17:H17"/>
  </mergeCells>
  <pageMargins left="0.7" right="0.7" top="0.75" bottom="0.75" header="0.3" footer="0.3"/>
  <pageSetup paperSize="9" orientation="portrait" horizontalDpi="4294967292" verticalDpi="4294967292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Option Button 1">
              <controlPr defaultSize="0" autoFill="0" autoLine="0" autoPict="0" macro="[0]!entreprise">
                <anchor moveWithCells="1">
                  <from>
                    <xdr:col>6</xdr:col>
                    <xdr:colOff>0</xdr:colOff>
                    <xdr:row>10</xdr:row>
                    <xdr:rowOff>190500</xdr:rowOff>
                  </from>
                  <to>
                    <xdr:col>6</xdr:col>
                    <xdr:colOff>866775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6" name="Option Button 2">
              <controlPr defaultSize="0" autoFill="0" autoLine="0" autoPict="0" macro="[0]!Chantier">
                <anchor moveWithCells="1">
                  <from>
                    <xdr:col>8</xdr:col>
                    <xdr:colOff>133350</xdr:colOff>
                    <xdr:row>11</xdr:row>
                    <xdr:rowOff>0</xdr:rowOff>
                  </from>
                  <to>
                    <xdr:col>8</xdr:col>
                    <xdr:colOff>990600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5"/>
  </sheetPr>
  <dimension ref="C1:P146"/>
  <sheetViews>
    <sheetView showGridLines="0" tabSelected="1" zoomScale="85" zoomScaleNormal="85" zoomScalePageLayoutView="85" workbookViewId="0">
      <selection activeCell="M2" sqref="M2"/>
    </sheetView>
  </sheetViews>
  <sheetFormatPr baseColWidth="10" defaultRowHeight="15" x14ac:dyDescent="0.25"/>
  <cols>
    <col min="1" max="1" width="11.42578125" customWidth="1"/>
    <col min="2" max="2" width="23.28515625" customWidth="1"/>
    <col min="3" max="3" width="9.42578125" style="42" customWidth="1"/>
    <col min="4" max="4" width="26.28515625" style="42" customWidth="1"/>
    <col min="5" max="5" width="22.85546875" style="42" customWidth="1"/>
    <col min="6" max="6" width="5.140625" style="42" customWidth="1"/>
    <col min="7" max="7" width="7.5703125" style="42" customWidth="1"/>
    <col min="8" max="8" width="12.42578125" style="42" customWidth="1"/>
    <col min="9" max="9" width="8.7109375" style="42" customWidth="1"/>
    <col min="10" max="10" width="12.7109375" style="42" customWidth="1"/>
    <col min="11" max="11" width="15.140625" style="42" customWidth="1"/>
    <col min="12" max="12" width="15.85546875" style="42" customWidth="1"/>
    <col min="13" max="13" width="17.5703125" style="42" customWidth="1"/>
    <col min="14" max="14" width="11.140625" style="42" customWidth="1"/>
  </cols>
  <sheetData>
    <row r="1" spans="3:13" ht="24.75" customHeight="1" x14ac:dyDescent="0.25"/>
    <row r="2" spans="3:13" x14ac:dyDescent="0.25"/>
    <row r="3" spans="3:13" ht="15.75" thickBot="1" x14ac:dyDescent="0.3"/>
    <row r="4" spans="3:13" ht="15.75" thickBot="1" x14ac:dyDescent="0.3">
      <c r="C4" s="67"/>
      <c r="E4" s="43"/>
      <c r="F4" s="43"/>
      <c r="G4" s="43"/>
      <c r="H4" s="97" t="s">
        <v>23</v>
      </c>
      <c r="I4" s="328" t="s">
        <v>39</v>
      </c>
      <c r="J4" s="330"/>
      <c r="K4" s="328" t="s">
        <v>0</v>
      </c>
      <c r="L4" s="329"/>
      <c r="M4" s="330"/>
    </row>
    <row r="5" spans="3:13" x14ac:dyDescent="0.25">
      <c r="D5" s="245" t="s">
        <v>71</v>
      </c>
      <c r="E5" s="95" t="s">
        <v>72</v>
      </c>
      <c r="F5" s="55" t="s">
        <v>22</v>
      </c>
      <c r="G5" s="98" t="s">
        <v>44</v>
      </c>
      <c r="H5" s="100" t="s">
        <v>37</v>
      </c>
      <c r="I5" s="56" t="s">
        <v>139</v>
      </c>
      <c r="J5" s="57" t="s">
        <v>36</v>
      </c>
      <c r="K5" s="112" t="s">
        <v>78</v>
      </c>
      <c r="L5" s="111" t="s">
        <v>77</v>
      </c>
      <c r="M5" s="248" t="s">
        <v>40</v>
      </c>
    </row>
    <row r="6" spans="3:13" x14ac:dyDescent="0.25">
      <c r="D6" s="246" t="s">
        <v>142</v>
      </c>
      <c r="E6" s="96"/>
      <c r="F6" s="264" t="s">
        <v>121</v>
      </c>
      <c r="G6" s="99">
        <v>700</v>
      </c>
      <c r="H6" s="192"/>
      <c r="I6" s="44"/>
      <c r="J6" s="193"/>
      <c r="K6" s="194">
        <f t="shared" ref="K6:K9" si="0">IF(H6="",I6*J6,H6*T.H.M)</f>
        <v>0</v>
      </c>
      <c r="L6" s="195">
        <f ca="1">IFERROR(IF(D6="","",SUM(INDIRECT("H"&amp;ROW()&amp;":H"&amp;IFERROR(MATCH("*",D7:D$1115,0),1000)+ROW()-1)))*G6,"")</f>
        <v>70</v>
      </c>
      <c r="M6" s="249">
        <f ca="1">IFERROR(IF(D6="","",SUM(INDIRECT("K"&amp;ROW()&amp;":K"&amp;IFERROR(MATCH("*",D7:D$1115,0),1000)+ROW()-1)))*G6,"")</f>
        <v>3059.2272599283538</v>
      </c>
    </row>
    <row r="7" spans="3:13" x14ac:dyDescent="0.25">
      <c r="D7" s="263"/>
      <c r="E7" s="206" t="s">
        <v>74</v>
      </c>
      <c r="F7" s="264"/>
      <c r="G7" s="208"/>
      <c r="H7" s="265">
        <v>0.1</v>
      </c>
      <c r="I7" s="266"/>
      <c r="J7" s="267"/>
      <c r="K7" s="194">
        <f t="shared" si="0"/>
        <v>2.2103246570405051</v>
      </c>
      <c r="L7" s="195" t="str">
        <f ca="1">IFERROR(IF(D7="","",SUM(INDIRECT("H"&amp;ROW()&amp;":H"&amp;IFERROR(MATCH("*",D8:D$1115,0),1000)+ROW()-1)))*G7,"")</f>
        <v/>
      </c>
      <c r="M7" s="249" t="str">
        <f ca="1">IFERROR(IF(D7="","",SUM(INDIRECT("K"&amp;ROW()&amp;":K"&amp;IFERROR(MATCH("*",D8:D$1115,0),1000)+ROW()-1)))*G7,"")</f>
        <v/>
      </c>
    </row>
    <row r="8" spans="3:13" x14ac:dyDescent="0.25">
      <c r="D8" s="263"/>
      <c r="E8" s="206" t="s">
        <v>154</v>
      </c>
      <c r="F8" s="264"/>
      <c r="G8" s="208"/>
      <c r="H8" s="265"/>
      <c r="I8" s="266">
        <v>1</v>
      </c>
      <c r="J8" s="267">
        <v>0.72</v>
      </c>
      <c r="K8" s="194">
        <f t="shared" si="0"/>
        <v>0.72</v>
      </c>
      <c r="L8" s="195" t="str">
        <f ca="1">IFERROR(IF(D8="","",SUM(INDIRECT("H"&amp;ROW()&amp;":H"&amp;IFERROR(MATCH("*",D9:D$1115,0),1000)+ROW()-1)))*G8,"")</f>
        <v/>
      </c>
      <c r="M8" s="249" t="str">
        <f ca="1">IFERROR(IF(D8="","",SUM(INDIRECT("K"&amp;ROW()&amp;":K"&amp;IFERROR(MATCH("*",D9:D$1115,0),1000)+ROW()-1)))*G8,"")</f>
        <v/>
      </c>
    </row>
    <row r="9" spans="3:13" x14ac:dyDescent="0.25">
      <c r="D9" s="263"/>
      <c r="E9" s="206" t="s">
        <v>120</v>
      </c>
      <c r="F9" s="264"/>
      <c r="G9" s="208"/>
      <c r="H9" s="265"/>
      <c r="I9" s="266">
        <v>1</v>
      </c>
      <c r="J9" s="267">
        <v>1.44</v>
      </c>
      <c r="K9" s="194">
        <f t="shared" si="0"/>
        <v>1.44</v>
      </c>
      <c r="L9" s="195" t="str">
        <f ca="1">IFERROR(IF(D9="","",SUM(INDIRECT("H"&amp;ROW()&amp;":H"&amp;IFERROR(MATCH("*",D10:D$1115,0),1000)+ROW()-1)))*G9,"")</f>
        <v/>
      </c>
      <c r="M9" s="249" t="str">
        <f ca="1">IFERROR(IF(D9="","",SUM(INDIRECT("K"&amp;ROW()&amp;":K"&amp;IFERROR(MATCH("*",D10:D$1115,0),1000)+ROW()-1)))*G9,"")</f>
        <v/>
      </c>
    </row>
    <row r="10" spans="3:13" x14ac:dyDescent="0.25">
      <c r="D10" s="263" t="s">
        <v>143</v>
      </c>
      <c r="E10" s="206"/>
      <c r="F10" s="264" t="s">
        <v>121</v>
      </c>
      <c r="G10" s="208">
        <v>267</v>
      </c>
      <c r="H10" s="265"/>
      <c r="I10" s="266"/>
      <c r="J10" s="267"/>
      <c r="K10" s="194">
        <f t="shared" ref="K10:K21" si="1">IF(H10="",I10*J10,H10*T.H.M)</f>
        <v>0</v>
      </c>
      <c r="L10" s="195">
        <f ca="1">IFERROR(IF(D10="","",SUM(INDIRECT("H"&amp;ROW()&amp;":H"&amp;IFERROR(MATCH("*",D11:D$1115,0),1000)+ROW()-1)))*G10,"")</f>
        <v>80.099999999999994</v>
      </c>
      <c r="M10" s="249">
        <f ca="1">IFERROR(IF(D10="","",SUM(INDIRECT("K"&amp;ROW()&amp;":K"&amp;IFERROR(MATCH("*",D11:D$1115,0),1000)+ROW()-1)))*G10,"")</f>
        <v>4850.4700437894444</v>
      </c>
    </row>
    <row r="11" spans="3:13" x14ac:dyDescent="0.25">
      <c r="D11" s="263"/>
      <c r="E11" s="206" t="s">
        <v>74</v>
      </c>
      <c r="F11" s="264"/>
      <c r="G11" s="208"/>
      <c r="H11" s="265">
        <v>0.3</v>
      </c>
      <c r="I11" s="266"/>
      <c r="J11" s="267"/>
      <c r="K11" s="194">
        <f t="shared" si="1"/>
        <v>6.6309739711215139</v>
      </c>
      <c r="L11" s="195" t="str">
        <f ca="1">IFERROR(IF(D11="","",SUM(INDIRECT("H"&amp;ROW()&amp;":H"&amp;IFERROR(MATCH("*",D12:D$1115,0),1000)+ROW()-1)))*G11,"")</f>
        <v/>
      </c>
      <c r="M11" s="249" t="str">
        <f ca="1">IFERROR(IF(D11="","",SUM(INDIRECT("K"&amp;ROW()&amp;":K"&amp;IFERROR(MATCH("*",D12:D$1115,0),1000)+ROW()-1)))*G11,"")</f>
        <v/>
      </c>
    </row>
    <row r="12" spans="3:13" x14ac:dyDescent="0.25">
      <c r="D12" s="263"/>
      <c r="E12" s="206" t="s">
        <v>120</v>
      </c>
      <c r="F12" s="264"/>
      <c r="G12" s="208"/>
      <c r="H12" s="265"/>
      <c r="I12" s="266">
        <v>1</v>
      </c>
      <c r="J12" s="267">
        <v>11.5355805</v>
      </c>
      <c r="K12" s="194">
        <f t="shared" si="1"/>
        <v>11.5355805</v>
      </c>
      <c r="L12" s="195" t="str">
        <f ca="1">IFERROR(IF(D12="","",SUM(INDIRECT("H"&amp;ROW()&amp;":H"&amp;IFERROR(MATCH("*",D13:D$1115,0),1000)+ROW()-1)))*G12,"")</f>
        <v/>
      </c>
      <c r="M12" s="249" t="str">
        <f ca="1">IFERROR(IF(D12="","",SUM(INDIRECT("K"&amp;ROW()&amp;":K"&amp;IFERROR(MATCH("*",D13:D$1115,0),1000)+ROW()-1)))*G12,"")</f>
        <v/>
      </c>
    </row>
    <row r="13" spans="3:13" x14ac:dyDescent="0.25">
      <c r="D13" s="263" t="s">
        <v>144</v>
      </c>
      <c r="E13" s="206"/>
      <c r="F13" s="264" t="s">
        <v>121</v>
      </c>
      <c r="G13" s="208">
        <v>147</v>
      </c>
      <c r="H13" s="265"/>
      <c r="I13" s="266"/>
      <c r="J13" s="267"/>
      <c r="K13" s="194">
        <f t="shared" si="1"/>
        <v>0</v>
      </c>
      <c r="L13" s="195">
        <f ca="1">IFERROR(IF(D13="","",SUM(INDIRECT("H"&amp;ROW()&amp;":H"&amp;IFERROR(MATCH("*",D14:D$1115,0),1000)+ROW()-1)))*G13,"")</f>
        <v>44.1</v>
      </c>
      <c r="M13" s="249">
        <f ca="1">IFERROR(IF(D13="","",SUM(INDIRECT("K"&amp;ROW()&amp;":K"&amp;IFERROR(MATCH("*",D14:D$1115,0),1000)+ROW()-1)))*G13,"")</f>
        <v>7694.7231836548626</v>
      </c>
    </row>
    <row r="14" spans="3:13" x14ac:dyDescent="0.25">
      <c r="D14" s="263"/>
      <c r="E14" s="206" t="s">
        <v>74</v>
      </c>
      <c r="F14" s="264"/>
      <c r="G14" s="208"/>
      <c r="H14" s="265">
        <v>0.3</v>
      </c>
      <c r="I14" s="266"/>
      <c r="J14" s="267"/>
      <c r="K14" s="194">
        <f t="shared" si="1"/>
        <v>6.6309739711215139</v>
      </c>
      <c r="L14" s="195" t="str">
        <f ca="1">IFERROR(IF(D14="","",SUM(INDIRECT("H"&amp;ROW()&amp;":H"&amp;IFERROR(MATCH("*",D16:D$1115,0),1000)+ROW()-1)))*G14,"")</f>
        <v/>
      </c>
      <c r="M14" s="249" t="str">
        <f ca="1">IFERROR(IF(D14="","",SUM(INDIRECT("K"&amp;ROW()&amp;":K"&amp;IFERROR(MATCH("*",D15:D$1115,0),1000)+ROW()-1)))*G14,"")</f>
        <v/>
      </c>
    </row>
    <row r="15" spans="3:13" x14ac:dyDescent="0.25">
      <c r="D15" s="263"/>
      <c r="E15" s="206" t="s">
        <v>154</v>
      </c>
      <c r="F15" s="264"/>
      <c r="G15" s="208"/>
      <c r="H15" s="265"/>
      <c r="I15" s="266">
        <v>1</v>
      </c>
      <c r="J15" s="267">
        <v>5.51</v>
      </c>
      <c r="K15" s="194">
        <f t="shared" si="1"/>
        <v>5.51</v>
      </c>
      <c r="L15" s="195" t="str">
        <f ca="1">IFERROR(IF(D15="","",SUM(INDIRECT("H"&amp;ROW()&amp;":H"&amp;IFERROR(MATCH("*",D16:D$1115,0),1000)+ROW()-1)))*G15,"")</f>
        <v/>
      </c>
      <c r="M15" s="249" t="str">
        <f ca="1">IFERROR(IF(D15="","",SUM(INDIRECT("K"&amp;ROW()&amp;":K"&amp;IFERROR(MATCH("*",D16:D$1115,0),1000)+ROW()-1)))*G15,"")</f>
        <v/>
      </c>
    </row>
    <row r="16" spans="3:13" x14ac:dyDescent="0.25">
      <c r="D16" s="263"/>
      <c r="E16" s="206" t="s">
        <v>120</v>
      </c>
      <c r="F16" s="264"/>
      <c r="G16" s="208"/>
      <c r="H16" s="265"/>
      <c r="I16" s="266">
        <v>1</v>
      </c>
      <c r="J16" s="267">
        <v>16.598639500000001</v>
      </c>
      <c r="K16" s="194">
        <f t="shared" si="1"/>
        <v>16.598639500000001</v>
      </c>
      <c r="L16" s="195" t="str">
        <f ca="1">IFERROR(IF(D16="","",SUM(INDIRECT("H"&amp;ROW()&amp;":H"&amp;IFERROR(MATCH("*",D18:D$1115,0),1000)+ROW()-1)))*G16,"")</f>
        <v/>
      </c>
      <c r="M16" s="249" t="str">
        <f ca="1">IFERROR(IF(D16="","",SUM(INDIRECT("K"&amp;ROW()&amp;":K"&amp;IFERROR(MATCH("*",D17:D$1115,0),1000)+ROW()-1)))*G16,"")</f>
        <v/>
      </c>
    </row>
    <row r="17" spans="4:13" x14ac:dyDescent="0.25">
      <c r="D17" s="263"/>
      <c r="E17" s="206" t="s">
        <v>153</v>
      </c>
      <c r="F17" s="264"/>
      <c r="G17" s="208"/>
      <c r="H17" s="265"/>
      <c r="I17" s="266">
        <v>1</v>
      </c>
      <c r="J17" s="267">
        <v>23.605442199999999</v>
      </c>
      <c r="K17" s="194">
        <f t="shared" si="1"/>
        <v>23.605442199999999</v>
      </c>
      <c r="L17" s="195" t="str">
        <f ca="1">IFERROR(IF(D17="","",SUM(INDIRECT("H"&amp;ROW()&amp;":H"&amp;IFERROR(MATCH("*",D18:D$1115,0),1000)+ROW()-1)))*G17,"")</f>
        <v/>
      </c>
      <c r="M17" s="249" t="str">
        <f ca="1">IFERROR(IF(D17="","",SUM(INDIRECT("K"&amp;ROW()&amp;":K"&amp;IFERROR(MATCH("*",D18:D$1115,0),1000)+ROW()-1)))*G17,"")</f>
        <v/>
      </c>
    </row>
    <row r="18" spans="4:13" x14ac:dyDescent="0.25">
      <c r="D18" s="263" t="s">
        <v>145</v>
      </c>
      <c r="E18" s="206"/>
      <c r="F18" s="264" t="s">
        <v>121</v>
      </c>
      <c r="G18" s="208">
        <v>174</v>
      </c>
      <c r="H18" s="265"/>
      <c r="I18" s="266"/>
      <c r="J18" s="267"/>
      <c r="K18" s="194">
        <f t="shared" si="1"/>
        <v>0</v>
      </c>
      <c r="L18" s="195">
        <f ca="1">IFERROR(IF(D18="","",SUM(INDIRECT("H"&amp;ROW()&amp;":H"&amp;IFERROR(MATCH("*",D19:D$1115,0),1000)+ROW()-1)))*G18,"")</f>
        <v>46.980000000000004</v>
      </c>
      <c r="M18" s="249">
        <f ca="1">IFERROR(IF(D18="","",SUM(INDIRECT("K"&amp;ROW()&amp;":K"&amp;IFERROR(MATCH("*",D19:D$1115,0),1000)+ROW()-1)))*G18,"")</f>
        <v>2160.4105235176289</v>
      </c>
    </row>
    <row r="19" spans="4:13" x14ac:dyDescent="0.25">
      <c r="D19" s="263"/>
      <c r="E19" s="206" t="s">
        <v>74</v>
      </c>
      <c r="F19" s="264"/>
      <c r="G19" s="208"/>
      <c r="H19" s="265">
        <v>0.27</v>
      </c>
      <c r="I19" s="266"/>
      <c r="J19" s="267"/>
      <c r="K19" s="194">
        <f t="shared" si="1"/>
        <v>5.9678765740093631</v>
      </c>
      <c r="L19" s="195" t="str">
        <f ca="1">IFERROR(IF(D19="","",SUM(INDIRECT("H"&amp;ROW()&amp;":H"&amp;IFERROR(MATCH("*",D20:D$1115,0),1000)+ROW()-1)))*G19,"")</f>
        <v/>
      </c>
      <c r="M19" s="249" t="str">
        <f ca="1">IFERROR(IF(D19="","",SUM(INDIRECT("K"&amp;ROW()&amp;":K"&amp;IFERROR(MATCH("*",D20:D$1115,0),1000)+ROW()-1)))*G19,"")</f>
        <v/>
      </c>
    </row>
    <row r="20" spans="4:13" x14ac:dyDescent="0.25">
      <c r="D20" s="263"/>
      <c r="E20" s="206" t="s">
        <v>120</v>
      </c>
      <c r="F20" s="264"/>
      <c r="G20" s="208"/>
      <c r="H20" s="265"/>
      <c r="I20" s="266">
        <v>1</v>
      </c>
      <c r="J20" s="267">
        <v>6.4482758599999999</v>
      </c>
      <c r="K20" s="194">
        <f t="shared" si="1"/>
        <v>6.4482758599999999</v>
      </c>
      <c r="L20" s="195" t="str">
        <f ca="1">IFERROR(IF(D20="","",SUM(INDIRECT("H"&amp;ROW()&amp;":H"&amp;IFERROR(MATCH("*",D21:D$1115,0),1000)+ROW()-1)))*G20,"")</f>
        <v/>
      </c>
      <c r="M20" s="249" t="str">
        <f ca="1">IFERROR(IF(D20="","",SUM(INDIRECT("K"&amp;ROW()&amp;":K"&amp;IFERROR(MATCH("*",D21:D$1115,0),1000)+ROW()-1)))*G20,"")</f>
        <v/>
      </c>
    </row>
    <row r="21" spans="4:13" x14ac:dyDescent="0.25">
      <c r="D21" s="263" t="s">
        <v>146</v>
      </c>
      <c r="E21" s="206"/>
      <c r="F21" s="264" t="s">
        <v>121</v>
      </c>
      <c r="G21" s="208">
        <v>230</v>
      </c>
      <c r="H21" s="265"/>
      <c r="I21" s="266"/>
      <c r="J21" s="267"/>
      <c r="K21" s="194">
        <f t="shared" si="1"/>
        <v>0</v>
      </c>
      <c r="L21" s="195">
        <f ca="1">IFERROR(IF(D21="","",SUM(INDIRECT("H"&amp;ROW()&amp;":H"&amp;IFERROR(MATCH("*",D22:D$1115,0),1000)+ROW()-1)))*G21,"")</f>
        <v>52.900000000000006</v>
      </c>
      <c r="M21" s="249">
        <f ca="1">IFERROR(IF(D21="","",SUM(INDIRECT("K"&amp;ROW()&amp;":K"&amp;IFERROR(MATCH("*",D22:D$1115,0),1000)+ROW()-1)))*G21,"")</f>
        <v>1604.1917435744269</v>
      </c>
    </row>
    <row r="22" spans="4:13" x14ac:dyDescent="0.25">
      <c r="D22" s="263"/>
      <c r="E22" s="206" t="s">
        <v>74</v>
      </c>
      <c r="F22" s="264"/>
      <c r="G22" s="208"/>
      <c r="H22" s="265">
        <v>0.23</v>
      </c>
      <c r="I22" s="266"/>
      <c r="J22" s="267"/>
      <c r="K22" s="194">
        <f t="shared" ref="K22:K41" si="2">IF(H22="",I22*J22,H22*T.H.M)</f>
        <v>5.0837467111931609</v>
      </c>
      <c r="L22" s="195" t="str">
        <f ca="1">IFERROR(IF(D22="","",SUM(INDIRECT("H"&amp;ROW()&amp;":H"&amp;IFERROR(MATCH("*",D23:D$1115,0),1000)+ROW()-1)))*G22,"")</f>
        <v/>
      </c>
      <c r="M22" s="249" t="str">
        <f ca="1">IFERROR(IF(D22="","",SUM(INDIRECT("K"&amp;ROW()&amp;":K"&amp;IFERROR(MATCH("*",D23:D$1115,0),1000)+ROW()-1)))*G22,"")</f>
        <v/>
      </c>
    </row>
    <row r="23" spans="4:13" x14ac:dyDescent="0.25">
      <c r="D23" s="263"/>
      <c r="E23" s="206" t="s">
        <v>120</v>
      </c>
      <c r="F23" s="264"/>
      <c r="G23" s="208"/>
      <c r="H23" s="265"/>
      <c r="I23" s="266">
        <v>1</v>
      </c>
      <c r="J23" s="267">
        <v>1.891</v>
      </c>
      <c r="K23" s="194">
        <f t="shared" si="2"/>
        <v>1.891</v>
      </c>
      <c r="L23" s="195" t="str">
        <f ca="1">IFERROR(IF(D23="","",SUM(INDIRECT("H"&amp;ROW()&amp;":H"&amp;IFERROR(MATCH("*",D24:D$1115,0),1000)+ROW()-1)))*G23,"")</f>
        <v/>
      </c>
      <c r="M23" s="249" t="str">
        <f ca="1">IFERROR(IF(D23="","",SUM(INDIRECT("K"&amp;ROW()&amp;":K"&amp;IFERROR(MATCH("*",D24:D$1115,0),1000)+ROW()-1)))*G23,"")</f>
        <v/>
      </c>
    </row>
    <row r="24" spans="4:13" x14ac:dyDescent="0.25">
      <c r="D24" s="263" t="s">
        <v>147</v>
      </c>
      <c r="E24" s="206"/>
      <c r="F24" s="264" t="s">
        <v>121</v>
      </c>
      <c r="G24" s="208">
        <v>210</v>
      </c>
      <c r="H24" s="265"/>
      <c r="I24" s="266"/>
      <c r="J24" s="267"/>
      <c r="K24" s="194">
        <f t="shared" si="2"/>
        <v>0</v>
      </c>
      <c r="L24" s="195">
        <f ca="1">IFERROR(IF(D24="","",SUM(INDIRECT("H"&amp;ROW()&amp;":H"&amp;IFERROR(MATCH("*",D25:D$1115,0),1000)+ROW()-1)))*G24,"")</f>
        <v>84</v>
      </c>
      <c r="M24" s="249">
        <f ca="1">IFERROR(IF(D24="","",SUM(INDIRECT("K"&amp;ROW()&amp;":K"&amp;IFERROR(MATCH("*",D25:D$1115,0),1000)+ROW()-1)))*G24,"")</f>
        <v>5854.6527119140237</v>
      </c>
    </row>
    <row r="25" spans="4:13" x14ac:dyDescent="0.25">
      <c r="D25" s="263"/>
      <c r="E25" s="206" t="s">
        <v>74</v>
      </c>
      <c r="F25" s="264"/>
      <c r="G25" s="208"/>
      <c r="H25" s="265">
        <v>0.4</v>
      </c>
      <c r="I25" s="266"/>
      <c r="J25" s="267"/>
      <c r="K25" s="194">
        <f t="shared" si="2"/>
        <v>8.8412986281620203</v>
      </c>
      <c r="L25" s="195" t="str">
        <f ca="1">IFERROR(IF(D25="","",SUM(INDIRECT("H"&amp;ROW()&amp;":H"&amp;IFERROR(MATCH("*",D26:D$1115,0),1000)+ROW()-1)))*G25,"")</f>
        <v/>
      </c>
      <c r="M25" s="249" t="str">
        <f ca="1">IFERROR(IF(D25="","",SUM(INDIRECT("K"&amp;ROW()&amp;":K"&amp;IFERROR(MATCH("*",D26:D$1115,0),1000)+ROW()-1)))*G25,"")</f>
        <v/>
      </c>
    </row>
    <row r="26" spans="4:13" x14ac:dyDescent="0.25">
      <c r="D26" s="263"/>
      <c r="E26" s="206" t="s">
        <v>154</v>
      </c>
      <c r="F26" s="264"/>
      <c r="G26" s="208"/>
      <c r="H26" s="265"/>
      <c r="I26" s="266">
        <v>1</v>
      </c>
      <c r="J26" s="267">
        <v>4.5</v>
      </c>
      <c r="K26" s="194">
        <f t="shared" si="2"/>
        <v>4.5</v>
      </c>
      <c r="L26" s="195" t="str">
        <f ca="1">IFERROR(IF(D26="","",SUM(INDIRECT("H"&amp;ROW()&amp;":H"&amp;IFERROR(MATCH("*",D27:D$1115,0),1000)+ROW()-1)))*G26,"")</f>
        <v/>
      </c>
      <c r="M26" s="249" t="str">
        <f ca="1">IFERROR(IF(D26="","",SUM(INDIRECT("K"&amp;ROW()&amp;":K"&amp;IFERROR(MATCH("*",D27:D$1115,0),1000)+ROW()-1)))*G26,"")</f>
        <v/>
      </c>
    </row>
    <row r="27" spans="4:13" x14ac:dyDescent="0.25">
      <c r="D27" s="263"/>
      <c r="E27" s="206" t="s">
        <v>120</v>
      </c>
      <c r="F27" s="264"/>
      <c r="G27" s="208"/>
      <c r="H27" s="265"/>
      <c r="I27" s="266">
        <v>1</v>
      </c>
      <c r="J27" s="267">
        <v>14.538</v>
      </c>
      <c r="K27" s="194">
        <f t="shared" si="2"/>
        <v>14.538</v>
      </c>
      <c r="L27" s="195" t="str">
        <f ca="1">IFERROR(IF(D27="","",SUM(INDIRECT("H"&amp;ROW()&amp;":H"&amp;IFERROR(MATCH("*",D28:D$1115,0),1000)+ROW()-1)))*G27,"")</f>
        <v/>
      </c>
      <c r="M27" s="249" t="str">
        <f ca="1">IFERROR(IF(D27="","",SUM(INDIRECT("K"&amp;ROW()&amp;":K"&amp;IFERROR(MATCH("*",D28:D$1115,0),1000)+ROW()-1)))*G27,"")</f>
        <v/>
      </c>
    </row>
    <row r="28" spans="4:13" x14ac:dyDescent="0.25">
      <c r="D28" s="263" t="s">
        <v>148</v>
      </c>
      <c r="E28" s="206"/>
      <c r="F28" s="264" t="s">
        <v>121</v>
      </c>
      <c r="G28" s="208">
        <v>190</v>
      </c>
      <c r="H28" s="265"/>
      <c r="I28" s="266"/>
      <c r="J28" s="267"/>
      <c r="K28" s="194">
        <f t="shared" si="2"/>
        <v>0</v>
      </c>
      <c r="L28" s="195">
        <f ca="1">IFERROR(IF(D28="","",SUM(INDIRECT("H"&amp;ROW()&amp;":H"&amp;IFERROR(MATCH("*",D29:D$1115,0),1000)+ROW()-1)))*G28,"")</f>
        <v>58.9</v>
      </c>
      <c r="M28" s="249">
        <f ca="1">IFERROR(IF(D28="","",SUM(INDIRECT("K"&amp;ROW()&amp;":K"&amp;IFERROR(MATCH("*",D29:D$1115,0),1000)+ROW()-1)))*G28,"")</f>
        <v>3573.7112229968575</v>
      </c>
    </row>
    <row r="29" spans="4:13" x14ac:dyDescent="0.25">
      <c r="D29" s="263"/>
      <c r="E29" s="206" t="s">
        <v>74</v>
      </c>
      <c r="F29" s="264"/>
      <c r="G29" s="208"/>
      <c r="H29" s="265">
        <v>0.31</v>
      </c>
      <c r="I29" s="266"/>
      <c r="J29" s="267"/>
      <c r="K29" s="194">
        <f t="shared" si="2"/>
        <v>6.8520064368255644</v>
      </c>
      <c r="L29" s="195" t="str">
        <f ca="1">IFERROR(IF(D29="","",SUM(INDIRECT("H"&amp;ROW()&amp;":H"&amp;IFERROR(MATCH("*",D30:D$1115,0),1000)+ROW()-1)))*G29,"")</f>
        <v/>
      </c>
      <c r="M29" s="249" t="str">
        <f ca="1">IFERROR(IF(D29="","",SUM(INDIRECT("K"&amp;ROW()&amp;":K"&amp;IFERROR(MATCH("*",D30:D$1115,0),1000)+ROW()-1)))*G29,"")</f>
        <v/>
      </c>
    </row>
    <row r="30" spans="4:13" x14ac:dyDescent="0.25">
      <c r="D30" s="263"/>
      <c r="E30" s="206" t="s">
        <v>120</v>
      </c>
      <c r="F30" s="264"/>
      <c r="G30" s="208"/>
      <c r="H30" s="265"/>
      <c r="I30" s="266">
        <v>1</v>
      </c>
      <c r="J30" s="267">
        <v>11.957000000000001</v>
      </c>
      <c r="K30" s="194">
        <f t="shared" si="2"/>
        <v>11.957000000000001</v>
      </c>
      <c r="L30" s="195" t="str">
        <f ca="1">IFERROR(IF(D30="","",SUM(INDIRECT("H"&amp;ROW()&amp;":H"&amp;IFERROR(MATCH("*",D31:D$1115,0),1000)+ROW()-1)))*G30,"")</f>
        <v/>
      </c>
      <c r="M30" s="249" t="str">
        <f ca="1">IFERROR(IF(D30="","",SUM(INDIRECT("K"&amp;ROW()&amp;":K"&amp;IFERROR(MATCH("*",D31:D$1115,0),1000)+ROW()-1)))*G30,"")</f>
        <v/>
      </c>
    </row>
    <row r="31" spans="4:13" x14ac:dyDescent="0.25">
      <c r="D31" s="263" t="s">
        <v>149</v>
      </c>
      <c r="E31" s="206"/>
      <c r="F31" s="264" t="s">
        <v>121</v>
      </c>
      <c r="G31" s="208">
        <v>96</v>
      </c>
      <c r="H31" s="265"/>
      <c r="I31" s="266"/>
      <c r="J31" s="267"/>
      <c r="K31" s="194">
        <f t="shared" si="2"/>
        <v>0</v>
      </c>
      <c r="L31" s="195">
        <f ca="1">IFERROR(IF(D31="","",SUM(INDIRECT("H"&amp;ROW()&amp;":H"&amp;IFERROR(MATCH("*",D32:D$1115,0),1000)+ROW()-1)))*G31,"")</f>
        <v>48</v>
      </c>
      <c r="M31" s="249">
        <f ca="1">IFERROR(IF(D31="","",SUM(INDIRECT("K"&amp;ROW()&amp;":K"&amp;IFERROR(MATCH("*",D32:D$1115,0),1000)+ROW()-1)))*G31,"")</f>
        <v>5274.3558321794426</v>
      </c>
    </row>
    <row r="32" spans="4:13" x14ac:dyDescent="0.25">
      <c r="D32" s="263"/>
      <c r="E32" s="206" t="s">
        <v>74</v>
      </c>
      <c r="F32" s="264"/>
      <c r="G32" s="208"/>
      <c r="H32" s="265">
        <v>0.5</v>
      </c>
      <c r="I32" s="266"/>
      <c r="J32" s="267"/>
      <c r="K32" s="194">
        <f t="shared" si="2"/>
        <v>11.051623285202524</v>
      </c>
      <c r="L32" s="195" t="str">
        <f ca="1">IFERROR(IF(D32="","",SUM(INDIRECT("H"&amp;ROW()&amp;":H"&amp;IFERROR(MATCH("*",D33:D$1115,0),1000)+ROW()-1)))*G32,"")</f>
        <v/>
      </c>
      <c r="M32" s="249" t="str">
        <f ca="1">IFERROR(IF(D32="","",SUM(INDIRECT("K"&amp;ROW()&amp;":K"&amp;IFERROR(MATCH("*",D33:D$1115,0),1000)+ROW()-1)))*G32,"")</f>
        <v/>
      </c>
    </row>
    <row r="33" spans="4:13" x14ac:dyDescent="0.25">
      <c r="D33" s="263"/>
      <c r="E33" s="206" t="s">
        <v>120</v>
      </c>
      <c r="F33" s="264"/>
      <c r="G33" s="208"/>
      <c r="H33" s="265"/>
      <c r="I33" s="266">
        <v>1</v>
      </c>
      <c r="J33" s="267">
        <v>19.2395833</v>
      </c>
      <c r="K33" s="194">
        <f t="shared" si="2"/>
        <v>19.2395833</v>
      </c>
      <c r="L33" s="195" t="str">
        <f ca="1">IFERROR(IF(D33="","",SUM(INDIRECT("H"&amp;ROW()&amp;":H"&amp;IFERROR(MATCH("*",D34:D$1115,0),1000)+ROW()-1)))*G33,"")</f>
        <v/>
      </c>
      <c r="M33" s="249" t="str">
        <f ca="1">IFERROR(IF(D33="","",SUM(INDIRECT("K"&amp;ROW()&amp;":K"&amp;IFERROR(MATCH("*",D34:D$1115,0),1000)+ROW()-1)))*G33,"")</f>
        <v/>
      </c>
    </row>
    <row r="34" spans="4:13" x14ac:dyDescent="0.25">
      <c r="D34" s="263"/>
      <c r="E34" s="206" t="s">
        <v>153</v>
      </c>
      <c r="F34" s="264"/>
      <c r="G34" s="208"/>
      <c r="H34" s="265"/>
      <c r="I34" s="266">
        <v>1</v>
      </c>
      <c r="J34" s="267">
        <v>24.65</v>
      </c>
      <c r="K34" s="194">
        <f t="shared" si="2"/>
        <v>24.65</v>
      </c>
      <c r="L34" s="195" t="str">
        <f ca="1">IFERROR(IF(D34="","",SUM(INDIRECT("H"&amp;ROW()&amp;":H"&amp;IFERROR(MATCH("*",D35:D$1115,0),1000)+ROW()-1)))*G34,"")</f>
        <v/>
      </c>
      <c r="M34" s="249" t="str">
        <f ca="1">IFERROR(IF(D34="","",SUM(INDIRECT("K"&amp;ROW()&amp;":K"&amp;IFERROR(MATCH("*",D35:D$1115,0),1000)+ROW()-1)))*G34,"")</f>
        <v/>
      </c>
    </row>
    <row r="35" spans="4:13" x14ac:dyDescent="0.25">
      <c r="D35" s="263" t="s">
        <v>150</v>
      </c>
      <c r="E35" s="206"/>
      <c r="F35" s="264" t="s">
        <v>121</v>
      </c>
      <c r="G35" s="208">
        <v>53</v>
      </c>
      <c r="H35" s="265"/>
      <c r="I35" s="266"/>
      <c r="J35" s="267"/>
      <c r="K35" s="194">
        <f t="shared" si="2"/>
        <v>0</v>
      </c>
      <c r="L35" s="195">
        <f ca="1">IFERROR(IF(D35="","",SUM(INDIRECT("H"&amp;ROW()&amp;":H"&amp;IFERROR(MATCH("*",D36:D$1115,0),1000)+ROW()-1)))*G35,"")</f>
        <v>51.94</v>
      </c>
      <c r="M35" s="249">
        <f ca="1">IFERROR(IF(D35="","",SUM(INDIRECT("K"&amp;ROW()&amp;":K"&amp;IFERROR(MATCH("*",D36:D$1115,0),1000)+ROW()-1)))*G35,"")</f>
        <v>1769.0426251668382</v>
      </c>
    </row>
    <row r="36" spans="4:13" x14ac:dyDescent="0.25">
      <c r="D36" s="263"/>
      <c r="E36" s="206" t="s">
        <v>74</v>
      </c>
      <c r="F36" s="264"/>
      <c r="G36" s="208"/>
      <c r="H36" s="265">
        <v>0.98</v>
      </c>
      <c r="I36" s="266"/>
      <c r="J36" s="267"/>
      <c r="K36" s="194">
        <f>IF(H36="",I36*J36,H36*T.H.M)</f>
        <v>21.661181638996947</v>
      </c>
      <c r="L36" s="195" t="str">
        <f ca="1">IFERROR(IF(D36="","",SUM(INDIRECT("H"&amp;ROW()&amp;":H"&amp;IFERROR(MATCH("*",D37:D$1115,0),1000)+ROW()-1)))*G36,"")</f>
        <v/>
      </c>
      <c r="M36" s="249" t="str">
        <f ca="1">IFERROR(IF(D36="","",SUM(INDIRECT("K"&amp;ROW()&amp;":K"&amp;IFERROR(MATCH("*",D37:D$1115,0),1000)+ROW()-1)))*G36,"")</f>
        <v/>
      </c>
    </row>
    <row r="37" spans="4:13" x14ac:dyDescent="0.25">
      <c r="D37" s="263"/>
      <c r="E37" s="206" t="s">
        <v>120</v>
      </c>
      <c r="F37" s="264"/>
      <c r="G37" s="208"/>
      <c r="H37" s="265"/>
      <c r="I37" s="266">
        <v>1</v>
      </c>
      <c r="J37" s="267">
        <v>11.7169811</v>
      </c>
      <c r="K37" s="194">
        <f>IF(H37="",I37*J37,H37*T.H.M)</f>
        <v>11.7169811</v>
      </c>
      <c r="L37" s="195" t="str">
        <f ca="1">IFERROR(IF(D37="","",SUM(INDIRECT("H"&amp;ROW()&amp;":H"&amp;IFERROR(MATCH("*",D38:D$1115,0),1000)+ROW()-1)))*G37,"")</f>
        <v/>
      </c>
      <c r="M37" s="249" t="str">
        <f ca="1">IFERROR(IF(D37="","",SUM(INDIRECT("K"&amp;ROW()&amp;":K"&amp;IFERROR(MATCH("*",D38:D$1115,0),1000)+ROW()-1)))*G37,"")</f>
        <v/>
      </c>
    </row>
    <row r="38" spans="4:13" x14ac:dyDescent="0.25">
      <c r="D38" s="263" t="s">
        <v>151</v>
      </c>
      <c r="E38" s="206"/>
      <c r="F38" s="264" t="s">
        <v>152</v>
      </c>
      <c r="G38" s="208">
        <v>1</v>
      </c>
      <c r="H38" s="265"/>
      <c r="I38" s="266"/>
      <c r="J38" s="267"/>
      <c r="K38" s="194">
        <f t="shared" si="2"/>
        <v>0</v>
      </c>
      <c r="L38" s="195">
        <f ca="1">IFERROR(IF(D38="","",SUM(INDIRECT("H"&amp;ROW()&amp;":H"&amp;IFERROR(MATCH("*",D39:D$1115,0),1000)+ROW()-1)))*G38,"")</f>
        <v>110</v>
      </c>
      <c r="M38" s="249">
        <f ca="1">IFERROR(IF(D38="","",SUM(INDIRECT("K"&amp;ROW()&amp;":K"&amp;IFERROR(MATCH("*",D39:D$1115,0),1000)+ROW()-1)))*G38,"")</f>
        <v>3510.3571227445555</v>
      </c>
    </row>
    <row r="39" spans="4:13" x14ac:dyDescent="0.25">
      <c r="D39" s="263"/>
      <c r="E39" s="206" t="s">
        <v>74</v>
      </c>
      <c r="F39" s="264"/>
      <c r="G39" s="208"/>
      <c r="H39" s="265">
        <v>110</v>
      </c>
      <c r="I39" s="266"/>
      <c r="J39" s="267"/>
      <c r="K39" s="194">
        <f t="shared" si="2"/>
        <v>2431.3571227445555</v>
      </c>
      <c r="L39" s="195" t="str">
        <f ca="1">IFERROR(IF(D39="","",SUM(INDIRECT("H"&amp;ROW()&amp;":H"&amp;IFERROR(MATCH("*",D40:D$1115,0),1000)+ROW()-1)))*G39,"")</f>
        <v/>
      </c>
      <c r="M39" s="249" t="str">
        <f ca="1">IFERROR(IF(D39="","",SUM(INDIRECT("K"&amp;ROW()&amp;":K"&amp;IFERROR(MATCH("*",D40:D$1115,0),1000)+ROW()-1)))*G39,"")</f>
        <v/>
      </c>
    </row>
    <row r="40" spans="4:13" x14ac:dyDescent="0.25">
      <c r="D40" s="263"/>
      <c r="E40" s="206" t="s">
        <v>120</v>
      </c>
      <c r="F40" s="264"/>
      <c r="G40" s="208"/>
      <c r="H40" s="265"/>
      <c r="I40" s="266">
        <v>1</v>
      </c>
      <c r="J40" s="267">
        <v>1079</v>
      </c>
      <c r="K40" s="194">
        <f t="shared" si="2"/>
        <v>1079</v>
      </c>
      <c r="L40" s="195" t="str">
        <f ca="1">IFERROR(IF(D40="","",SUM(INDIRECT("H"&amp;ROW()&amp;":H"&amp;IFERROR(MATCH("*",D41:D$1115,0),1000)+ROW()-1)))*G40,"")</f>
        <v/>
      </c>
      <c r="M40" s="249" t="str">
        <f ca="1">IFERROR(IF(D40="","",SUM(INDIRECT("K"&amp;ROW()&amp;":K"&amp;IFERROR(MATCH("*",D41:D$1115,0),1000)+ROW()-1)))*G40,"")</f>
        <v/>
      </c>
    </row>
    <row r="41" spans="4:13" ht="15.75" thickBot="1" x14ac:dyDescent="0.3">
      <c r="D41" s="247" t="s">
        <v>75</v>
      </c>
      <c r="E41" s="206"/>
      <c r="F41" s="207"/>
      <c r="G41" s="208"/>
      <c r="H41" s="209"/>
      <c r="I41" s="210"/>
      <c r="J41" s="211"/>
      <c r="K41" s="194">
        <f t="shared" si="2"/>
        <v>0</v>
      </c>
      <c r="L41" s="195">
        <f ca="1">IFERROR(IF(D41="","",SUM(INDIRECT("H"&amp;ROW()&amp;":H"&amp;IFERROR(MATCH("*",D42:D$1115,0),1000)+ROW()-1)))*G41,"")</f>
        <v>0</v>
      </c>
      <c r="M41" s="249">
        <f ca="1">IFERROR(IF(D41="","",SUM(INDIRECT("K"&amp;ROW()&amp;":K"&amp;IFERROR(MATCH("*",D42:D$1115,0),1000)+ROW()-1)))*G41,"")</f>
        <v>0</v>
      </c>
    </row>
    <row r="42" spans="4:13" x14ac:dyDescent="0.25">
      <c r="D42" s="250" t="s">
        <v>38</v>
      </c>
      <c r="E42" s="251"/>
      <c r="F42" s="252"/>
      <c r="G42" s="253"/>
      <c r="H42" s="254"/>
      <c r="I42" s="255"/>
      <c r="J42" s="256"/>
      <c r="K42" s="257"/>
      <c r="L42" s="258">
        <f ca="1">SUBTOTAL(109,L6:L41)</f>
        <v>646.92000000000007</v>
      </c>
      <c r="M42" s="259">
        <f ca="1">SUBTOTAL(109,M6:M41)</f>
        <v>39351.142269466436</v>
      </c>
    </row>
    <row r="44" spans="4:13" x14ac:dyDescent="0.25">
      <c r="D44" s="50" t="s">
        <v>41</v>
      </c>
      <c r="E44" s="50"/>
      <c r="F44" s="50"/>
      <c r="G44" s="50"/>
      <c r="H44" s="50"/>
      <c r="I44" s="50"/>
      <c r="J44" s="50"/>
      <c r="K44" s="50"/>
      <c r="L44" s="50"/>
      <c r="M44" s="51">
        <f ca="1">L42*T.H.M</f>
        <v>14299.032271326436</v>
      </c>
    </row>
    <row r="45" spans="4:13" x14ac:dyDescent="0.25">
      <c r="D45" s="52" t="s">
        <v>42</v>
      </c>
      <c r="E45" s="52"/>
      <c r="F45" s="52"/>
      <c r="G45" s="52"/>
      <c r="H45" s="52"/>
      <c r="I45" s="52"/>
      <c r="J45" s="52"/>
      <c r="K45" s="52"/>
      <c r="L45" s="52"/>
      <c r="M45" s="53">
        <f ca="1">M42-M44</f>
        <v>25052.10999814</v>
      </c>
    </row>
    <row r="46" spans="4:13" x14ac:dyDescent="0.25">
      <c r="D46" s="52" t="s">
        <v>24</v>
      </c>
      <c r="E46" s="52"/>
      <c r="F46" s="52"/>
      <c r="G46" s="52"/>
      <c r="H46" s="52"/>
      <c r="I46" s="52"/>
      <c r="J46" s="52"/>
      <c r="K46" s="52"/>
      <c r="L46" s="52"/>
      <c r="M46" s="53">
        <f ca="1">SUM(M44:M45)</f>
        <v>39351.142269466436</v>
      </c>
    </row>
    <row r="47" spans="4:13" x14ac:dyDescent="0.25">
      <c r="K47" s="52" t="s">
        <v>85</v>
      </c>
      <c r="L47" s="52"/>
      <c r="M47" s="269">
        <v>1.3</v>
      </c>
    </row>
    <row r="48" spans="4:13" x14ac:dyDescent="0.25">
      <c r="K48" s="42" t="s">
        <v>86</v>
      </c>
      <c r="M48" s="268">
        <f ca="1">((Deb.frais.de.chantier+Déboursé)/(1-'Frais cachés'!E61))/Déboursé</f>
        <v>1.1363529947599913</v>
      </c>
    </row>
    <row r="49" spans="4:13" x14ac:dyDescent="0.25">
      <c r="D49" s="50" t="s">
        <v>43</v>
      </c>
      <c r="E49" s="50"/>
      <c r="F49" s="50"/>
      <c r="G49" s="50"/>
      <c r="H49" s="50"/>
      <c r="I49" s="50"/>
      <c r="J49" s="50"/>
      <c r="K49" s="52"/>
      <c r="L49" s="52"/>
      <c r="M49" s="53">
        <f ca="1">Déboursé*M48*M47</f>
        <v>58131.824874675061</v>
      </c>
    </row>
    <row r="50" spans="4:13" x14ac:dyDescent="0.25">
      <c r="D50" s="54"/>
      <c r="E50" s="54"/>
      <c r="F50" s="54"/>
      <c r="G50" s="54"/>
      <c r="H50" s="54"/>
      <c r="I50" s="54"/>
      <c r="J50" s="54"/>
      <c r="K50" s="42" t="s">
        <v>140</v>
      </c>
      <c r="M50" s="268">
        <v>1.08</v>
      </c>
    </row>
    <row r="51" spans="4:13" x14ac:dyDescent="0.25">
      <c r="D51" s="50" t="s">
        <v>88</v>
      </c>
      <c r="E51" s="50"/>
      <c r="F51" s="50"/>
      <c r="G51" s="50"/>
      <c r="H51" s="50"/>
      <c r="I51" s="50"/>
      <c r="J51" s="50"/>
      <c r="K51" s="52"/>
      <c r="L51" s="52"/>
      <c r="M51" s="261">
        <f ca="1">Cout.de.revient*M50</f>
        <v>62782.37086464907</v>
      </c>
    </row>
    <row r="52" spans="4:13" x14ac:dyDescent="0.25">
      <c r="E52" s="54"/>
      <c r="F52" s="54"/>
      <c r="G52" s="54"/>
      <c r="H52" s="25"/>
    </row>
    <row r="53" spans="4:13" x14ac:dyDescent="0.25">
      <c r="H53" s="54"/>
    </row>
    <row r="54" spans="4:13" x14ac:dyDescent="0.25">
      <c r="E54" s="332"/>
      <c r="F54" s="332"/>
      <c r="G54" s="332"/>
      <c r="H54" s="54"/>
    </row>
    <row r="55" spans="4:13" x14ac:dyDescent="0.25">
      <c r="E55" s="54"/>
      <c r="F55" s="54"/>
      <c r="G55" s="110"/>
      <c r="H55" s="270"/>
    </row>
    <row r="56" spans="4:13" x14ac:dyDescent="0.25">
      <c r="E56" s="54"/>
      <c r="F56" s="101"/>
      <c r="G56" s="102"/>
      <c r="H56" s="54"/>
      <c r="J56" s="124"/>
    </row>
    <row r="57" spans="4:13" x14ac:dyDescent="0.25">
      <c r="E57" s="54"/>
      <c r="F57" s="101"/>
      <c r="G57" s="101"/>
    </row>
    <row r="59" spans="4:13" x14ac:dyDescent="0.25">
      <c r="E59" s="331"/>
      <c r="F59" s="331"/>
      <c r="G59" s="331"/>
      <c r="H59" s="54"/>
    </row>
    <row r="60" spans="4:13" x14ac:dyDescent="0.25">
      <c r="E60" s="54"/>
      <c r="F60" s="54"/>
      <c r="G60" s="92"/>
      <c r="H60" s="54"/>
    </row>
    <row r="61" spans="4:13" x14ac:dyDescent="0.25">
      <c r="E61" s="54"/>
      <c r="F61" s="101"/>
      <c r="G61" s="102"/>
      <c r="H61" s="54"/>
    </row>
    <row r="62" spans="4:13" x14ac:dyDescent="0.25">
      <c r="E62" s="54"/>
      <c r="F62" s="101"/>
      <c r="G62" s="101"/>
      <c r="H62" s="54"/>
    </row>
    <row r="63" spans="4:13" x14ac:dyDescent="0.25">
      <c r="E63" s="54"/>
      <c r="F63" s="101"/>
      <c r="G63" s="101"/>
      <c r="H63" s="54"/>
    </row>
    <row r="64" spans="4:13" x14ac:dyDescent="0.25">
      <c r="E64" s="54"/>
      <c r="F64" s="101"/>
      <c r="G64" s="102"/>
      <c r="H64" s="54"/>
    </row>
    <row r="65" spans="5:8" x14ac:dyDescent="0.25">
      <c r="E65" s="54"/>
      <c r="F65" s="101"/>
      <c r="G65" s="102"/>
      <c r="H65" s="54"/>
    </row>
    <row r="66" spans="5:8" x14ac:dyDescent="0.25">
      <c r="E66" s="54"/>
      <c r="F66" s="54"/>
      <c r="G66" s="54"/>
      <c r="H66" s="54"/>
    </row>
    <row r="137" spans="15:16" x14ac:dyDescent="0.25">
      <c r="O137" s="38"/>
      <c r="P137" s="38"/>
    </row>
    <row r="138" spans="15:16" x14ac:dyDescent="0.25">
      <c r="O138" s="38"/>
      <c r="P138" s="38"/>
    </row>
    <row r="139" spans="15:16" x14ac:dyDescent="0.25">
      <c r="O139" s="38"/>
      <c r="P139" s="38"/>
    </row>
    <row r="140" spans="15:16" x14ac:dyDescent="0.25">
      <c r="O140" s="38"/>
      <c r="P140" s="38"/>
    </row>
    <row r="141" spans="15:16" x14ac:dyDescent="0.25">
      <c r="O141" s="38"/>
      <c r="P141" s="38"/>
    </row>
    <row r="142" spans="15:16" x14ac:dyDescent="0.25">
      <c r="O142" s="38"/>
      <c r="P142" s="38"/>
    </row>
    <row r="143" spans="15:16" x14ac:dyDescent="0.25">
      <c r="O143" s="38"/>
      <c r="P143" s="38"/>
    </row>
    <row r="144" spans="15:16" x14ac:dyDescent="0.25">
      <c r="O144" s="38"/>
      <c r="P144" s="38"/>
    </row>
    <row r="145" spans="15:16" x14ac:dyDescent="0.25">
      <c r="O145" s="38"/>
      <c r="P145" s="38"/>
    </row>
    <row r="146" spans="15:16" x14ac:dyDescent="0.25">
      <c r="O146" s="38"/>
      <c r="P146" s="38"/>
    </row>
  </sheetData>
  <customSheetViews>
    <customSheetView guid="{AEA9AF13-5264-4B35-8742-168FDD2648CB}" scale="80" showGridLines="0">
      <pane ySplit="1" topLeftCell="A2" activePane="bottomLeft" state="frozenSplit"/>
      <selection pane="bottomLeft" activeCell="D43" sqref="D43"/>
      <pageMargins left="0.7" right="0.7" top="0.75" bottom="0.75" header="0.3" footer="0.3"/>
      <pageSetup paperSize="9" orientation="portrait"/>
    </customSheetView>
  </customSheetViews>
  <mergeCells count="4">
    <mergeCell ref="K4:M4"/>
    <mergeCell ref="I4:J4"/>
    <mergeCell ref="E59:G59"/>
    <mergeCell ref="E54:G54"/>
  </mergeCells>
  <pageMargins left="0.7" right="0.7" top="0.75" bottom="0.75" header="0.3" footer="0.3"/>
  <pageSetup paperSize="9" orientation="portrait" r:id="rId1"/>
  <cellWatches>
    <cellWatch r="E56"/>
  </cellWatches>
  <legacyDrawing r:id="rId2"/>
  <picture r:id="rId3"/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J111"/>
  <sheetViews>
    <sheetView workbookViewId="0"/>
  </sheetViews>
  <sheetFormatPr baseColWidth="10" defaultRowHeight="15" x14ac:dyDescent="0.25"/>
  <cols>
    <col min="1" max="1" width="21" bestFit="1" customWidth="1"/>
    <col min="2" max="2" width="17.28515625" bestFit="1" customWidth="1"/>
    <col min="3" max="3" width="7" style="271" bestFit="1" customWidth="1"/>
    <col min="4" max="4" width="15.5703125" style="271" bestFit="1" customWidth="1"/>
    <col min="5" max="5" width="13.42578125" style="271" bestFit="1" customWidth="1"/>
    <col min="6" max="6" width="9.7109375" bestFit="1" customWidth="1"/>
    <col min="7" max="7" width="11.140625" bestFit="1" customWidth="1"/>
    <col min="8" max="8" width="18.28515625" bestFit="1" customWidth="1"/>
    <col min="9" max="9" width="16.140625" bestFit="1" customWidth="1"/>
    <col min="10" max="10" width="13.85546875" bestFit="1" customWidth="1"/>
  </cols>
  <sheetData>
    <row r="3" spans="1:10" x14ac:dyDescent="0.25">
      <c r="C3"/>
    </row>
    <row r="4" spans="1:10" x14ac:dyDescent="0.25">
      <c r="C4"/>
    </row>
    <row r="5" spans="1:10" x14ac:dyDescent="0.25">
      <c r="A5" t="s">
        <v>71</v>
      </c>
      <c r="B5" t="s">
        <v>22</v>
      </c>
      <c r="C5" t="s">
        <v>44</v>
      </c>
      <c r="D5" s="271" t="s">
        <v>138</v>
      </c>
      <c r="E5" s="271" t="s">
        <v>40</v>
      </c>
    </row>
    <row r="6" spans="1:10" x14ac:dyDescent="0.25">
      <c r="A6" t="s">
        <v>142</v>
      </c>
      <c r="B6" t="s">
        <v>121</v>
      </c>
      <c r="C6">
        <v>70</v>
      </c>
      <c r="D6" s="271">
        <f>Tableau4[[#This Row],[Prix total]]/Tableau4[[#This Row],[Qte]]</f>
        <v>43.7</v>
      </c>
      <c r="E6" s="271">
        <v>3059</v>
      </c>
    </row>
    <row r="7" spans="1:10" x14ac:dyDescent="0.25">
      <c r="A7" t="s">
        <v>143</v>
      </c>
      <c r="B7" t="s">
        <v>121</v>
      </c>
      <c r="C7">
        <v>267</v>
      </c>
      <c r="D7" s="271">
        <f>Tableau4[[#This Row],[Prix total]]/Tableau4[[#This Row],[Qte]]</f>
        <v>18.164794007490638</v>
      </c>
      <c r="E7" s="271">
        <v>4850</v>
      </c>
    </row>
    <row r="8" spans="1:10" x14ac:dyDescent="0.25">
      <c r="A8" t="s">
        <v>144</v>
      </c>
      <c r="B8" t="s">
        <v>121</v>
      </c>
      <c r="C8">
        <v>147</v>
      </c>
      <c r="D8" s="271">
        <f>Tableau4[[#This Row],[Prix total]]/Tableau4[[#This Row],[Qte]]</f>
        <v>52.34013605442177</v>
      </c>
      <c r="E8" s="271">
        <v>7694</v>
      </c>
    </row>
    <row r="9" spans="1:10" x14ac:dyDescent="0.25">
      <c r="A9" t="s">
        <v>145</v>
      </c>
      <c r="B9" t="s">
        <v>121</v>
      </c>
      <c r="C9">
        <v>174</v>
      </c>
      <c r="D9" s="271">
        <f>Tableau4[[#This Row],[Prix total]]/Tableau4[[#This Row],[Qte]]</f>
        <v>12.413793103448276</v>
      </c>
      <c r="E9" s="271">
        <v>2160</v>
      </c>
    </row>
    <row r="10" spans="1:10" x14ac:dyDescent="0.25">
      <c r="A10" t="s">
        <v>146</v>
      </c>
      <c r="B10" t="s">
        <v>121</v>
      </c>
      <c r="C10">
        <v>230</v>
      </c>
      <c r="D10" s="271">
        <f>Tableau4[[#This Row],[Prix total]]/Tableau4[[#This Row],[Qte]]</f>
        <v>6.9739130434782606</v>
      </c>
      <c r="E10" s="271">
        <v>1604</v>
      </c>
    </row>
    <row r="11" spans="1:10" x14ac:dyDescent="0.25">
      <c r="A11" t="s">
        <v>148</v>
      </c>
      <c r="B11" t="s">
        <v>121</v>
      </c>
      <c r="C11">
        <v>210</v>
      </c>
      <c r="D11" s="271">
        <f>Tableau4[[#This Row],[Prix total]]/Tableau4[[#This Row],[Qte]]</f>
        <v>27.876190476190477</v>
      </c>
      <c r="E11" s="271">
        <v>5854</v>
      </c>
    </row>
    <row r="12" spans="1:10" ht="15.75" thickBot="1" x14ac:dyDescent="0.3">
      <c r="A12" t="s">
        <v>149</v>
      </c>
      <c r="B12" t="s">
        <v>121</v>
      </c>
      <c r="C12">
        <v>190</v>
      </c>
      <c r="D12" s="271">
        <f>Tableau4[[#This Row],[Prix total]]/Tableau4[[#This Row],[Qte]]</f>
        <v>18.805263157894736</v>
      </c>
      <c r="E12" s="271">
        <v>3573</v>
      </c>
    </row>
    <row r="13" spans="1:10" ht="15.75" thickBot="1" x14ac:dyDescent="0.3">
      <c r="A13" s="42"/>
      <c r="B13" s="262"/>
      <c r="C13" s="262"/>
      <c r="D13" s="262"/>
      <c r="E13" s="97" t="s">
        <v>23</v>
      </c>
      <c r="F13" s="328" t="s">
        <v>39</v>
      </c>
      <c r="G13" s="330"/>
      <c r="H13" s="328" t="s">
        <v>0</v>
      </c>
      <c r="I13" s="329"/>
      <c r="J13" s="330"/>
    </row>
    <row r="14" spans="1:10" x14ac:dyDescent="0.25">
      <c r="A14" s="245" t="s">
        <v>71</v>
      </c>
      <c r="B14" s="95" t="s">
        <v>72</v>
      </c>
      <c r="C14" s="55" t="s">
        <v>22</v>
      </c>
      <c r="D14" s="98" t="s">
        <v>44</v>
      </c>
      <c r="E14" s="100" t="s">
        <v>37</v>
      </c>
      <c r="F14" s="56" t="s">
        <v>139</v>
      </c>
      <c r="G14" s="57" t="s">
        <v>36</v>
      </c>
      <c r="H14" s="112" t="s">
        <v>78</v>
      </c>
      <c r="I14" s="111" t="s">
        <v>77</v>
      </c>
      <c r="J14" s="248" t="s">
        <v>40</v>
      </c>
    </row>
    <row r="15" spans="1:10" x14ac:dyDescent="0.25">
      <c r="A15" s="246" t="s">
        <v>142</v>
      </c>
      <c r="B15" s="96"/>
      <c r="C15" s="264" t="s">
        <v>121</v>
      </c>
      <c r="D15" s="99">
        <v>700</v>
      </c>
      <c r="E15" s="192"/>
      <c r="F15" s="44"/>
      <c r="G15" s="193"/>
      <c r="H15" s="194">
        <f t="shared" ref="H15:H50" si="0">IF(E15="",F15*G15,E15*T.H.M)</f>
        <v>0</v>
      </c>
      <c r="I15" s="195">
        <f ca="1">IFERROR(IF(A15="","",SUM(INDIRECT("H"&amp;ROW()&amp;":H"&amp;IFERROR(MATCH("*",A16:A$1062,0),1000)+ROW()-1)))*D15,"")</f>
        <v>3059.2272599283538</v>
      </c>
      <c r="J15" s="249">
        <f ca="1">IFERROR(IF(A15="","",SUM(INDIRECT("K"&amp;ROW()&amp;":K"&amp;IFERROR(MATCH("*",A16:A$1062,0),1000)+ROW()-1)))*D15,"")</f>
        <v>0</v>
      </c>
    </row>
    <row r="16" spans="1:10" ht="30" x14ac:dyDescent="0.25">
      <c r="A16" s="263"/>
      <c r="B16" s="206" t="s">
        <v>74</v>
      </c>
      <c r="C16" s="264"/>
      <c r="D16" s="208"/>
      <c r="E16" s="265">
        <v>0.1</v>
      </c>
      <c r="F16" s="266"/>
      <c r="G16" s="267"/>
      <c r="H16" s="194">
        <f t="shared" si="0"/>
        <v>2.2103246570405051</v>
      </c>
      <c r="I16" s="195" t="str">
        <f ca="1">IFERROR(IF(A16="","",SUM(INDIRECT("H"&amp;ROW()&amp;":H"&amp;IFERROR(MATCH("*",A17:A$1062,0),1000)+ROW()-1)))*D16,"")</f>
        <v/>
      </c>
      <c r="J16" s="249" t="str">
        <f ca="1">IFERROR(IF(A16="","",SUM(INDIRECT("K"&amp;ROW()&amp;":K"&amp;IFERROR(MATCH("*",A17:A$1062,0),1000)+ROW()-1)))*D16,"")</f>
        <v/>
      </c>
    </row>
    <row r="17" spans="1:10" ht="45" x14ac:dyDescent="0.25">
      <c r="A17" s="263"/>
      <c r="B17" s="206" t="s">
        <v>154</v>
      </c>
      <c r="C17" s="264"/>
      <c r="D17" s="208"/>
      <c r="E17" s="265"/>
      <c r="F17" s="266">
        <v>1</v>
      </c>
      <c r="G17" s="267">
        <v>0.72</v>
      </c>
      <c r="H17" s="194">
        <f t="shared" si="0"/>
        <v>0.72</v>
      </c>
      <c r="I17" s="195" t="str">
        <f ca="1">IFERROR(IF(A17="","",SUM(INDIRECT("H"&amp;ROW()&amp;":H"&amp;IFERROR(MATCH("*",A18:A$1062,0),1000)+ROW()-1)))*D17,"")</f>
        <v/>
      </c>
      <c r="J17" s="249" t="str">
        <f ca="1">IFERROR(IF(A17="","",SUM(INDIRECT("K"&amp;ROW()&amp;":K"&amp;IFERROR(MATCH("*",A18:A$1062,0),1000)+ROW()-1)))*D17,"")</f>
        <v/>
      </c>
    </row>
    <row r="18" spans="1:10" ht="45" x14ac:dyDescent="0.25">
      <c r="A18" s="263"/>
      <c r="B18" s="206" t="s">
        <v>120</v>
      </c>
      <c r="C18" s="264"/>
      <c r="D18" s="208"/>
      <c r="E18" s="265"/>
      <c r="F18" s="266">
        <v>1</v>
      </c>
      <c r="G18" s="267">
        <v>1.44</v>
      </c>
      <c r="H18" s="194">
        <f t="shared" si="0"/>
        <v>1.44</v>
      </c>
      <c r="I18" s="195" t="str">
        <f ca="1">IFERROR(IF(A18="","",SUM(INDIRECT("H"&amp;ROW()&amp;":H"&amp;IFERROR(MATCH("*",A19:A$1062,0),1000)+ROW()-1)))*D18,"")</f>
        <v/>
      </c>
      <c r="J18" s="249" t="str">
        <f ca="1">IFERROR(IF(A18="","",SUM(INDIRECT("K"&amp;ROW()&amp;":K"&amp;IFERROR(MATCH("*",A19:A$1062,0),1000)+ROW()-1)))*D18,"")</f>
        <v/>
      </c>
    </row>
    <row r="19" spans="1:10" x14ac:dyDescent="0.25">
      <c r="A19" s="263" t="s">
        <v>143</v>
      </c>
      <c r="B19" s="206"/>
      <c r="C19" s="264" t="s">
        <v>121</v>
      </c>
      <c r="D19" s="208">
        <v>267</v>
      </c>
      <c r="E19" s="265"/>
      <c r="F19" s="266"/>
      <c r="G19" s="267"/>
      <c r="H19" s="194">
        <f t="shared" si="0"/>
        <v>0</v>
      </c>
      <c r="I19" s="195">
        <f ca="1">IFERROR(IF(A19="","",SUM(INDIRECT("H"&amp;ROW()&amp;":H"&amp;IFERROR(MATCH("*",A20:A$1062,0),1000)+ROW()-1)))*D19,"")</f>
        <v>4850.4700437894444</v>
      </c>
      <c r="J19" s="249">
        <f ca="1">IFERROR(IF(A19="","",SUM(INDIRECT("K"&amp;ROW()&amp;":K"&amp;IFERROR(MATCH("*",A20:A$1062,0),1000)+ROW()-1)))*D19,"")</f>
        <v>0</v>
      </c>
    </row>
    <row r="20" spans="1:10" ht="30" x14ac:dyDescent="0.25">
      <c r="A20" s="263"/>
      <c r="B20" s="206" t="s">
        <v>74</v>
      </c>
      <c r="C20" s="264"/>
      <c r="D20" s="208"/>
      <c r="E20" s="265">
        <v>0.3</v>
      </c>
      <c r="F20" s="266"/>
      <c r="G20" s="267"/>
      <c r="H20" s="194">
        <f t="shared" si="0"/>
        <v>6.6309739711215139</v>
      </c>
      <c r="I20" s="195" t="str">
        <f ca="1">IFERROR(IF(A20="","",SUM(INDIRECT("H"&amp;ROW()&amp;":H"&amp;IFERROR(MATCH("*",A21:A$1062,0),1000)+ROW()-1)))*D20,"")</f>
        <v/>
      </c>
      <c r="J20" s="249" t="str">
        <f ca="1">IFERROR(IF(A20="","",SUM(INDIRECT("K"&amp;ROW()&amp;":K"&amp;IFERROR(MATCH("*",A21:A$1062,0),1000)+ROW()-1)))*D20,"")</f>
        <v/>
      </c>
    </row>
    <row r="21" spans="1:10" ht="45" x14ac:dyDescent="0.25">
      <c r="A21" s="263"/>
      <c r="B21" s="206" t="s">
        <v>120</v>
      </c>
      <c r="C21" s="264"/>
      <c r="D21" s="208"/>
      <c r="E21" s="265"/>
      <c r="F21" s="266">
        <v>1</v>
      </c>
      <c r="G21" s="267">
        <v>11.5355805</v>
      </c>
      <c r="H21" s="194">
        <f t="shared" si="0"/>
        <v>11.5355805</v>
      </c>
      <c r="I21" s="195" t="str">
        <f ca="1">IFERROR(IF(A21="","",SUM(INDIRECT("H"&amp;ROW()&amp;":H"&amp;IFERROR(MATCH("*",A22:A$1062,0),1000)+ROW()-1)))*D21,"")</f>
        <v/>
      </c>
      <c r="J21" s="249" t="str">
        <f ca="1">IFERROR(IF(A21="","",SUM(INDIRECT("K"&amp;ROW()&amp;":K"&amp;IFERROR(MATCH("*",A22:A$1062,0),1000)+ROW()-1)))*D21,"")</f>
        <v/>
      </c>
    </row>
    <row r="22" spans="1:10" x14ac:dyDescent="0.25">
      <c r="A22" s="263" t="s">
        <v>144</v>
      </c>
      <c r="B22" s="206"/>
      <c r="C22" s="264" t="s">
        <v>121</v>
      </c>
      <c r="D22" s="208">
        <v>147</v>
      </c>
      <c r="E22" s="265"/>
      <c r="F22" s="266"/>
      <c r="G22" s="267"/>
      <c r="H22" s="194">
        <f t="shared" si="0"/>
        <v>0</v>
      </c>
      <c r="I22" s="195">
        <f ca="1">IFERROR(IF(A22="","",SUM(INDIRECT("H"&amp;ROW()&amp;":H"&amp;IFERROR(MATCH("*",A23:A$1062,0),1000)+ROW()-1)))*D22,"")</f>
        <v>7694.7231836548626</v>
      </c>
      <c r="J22" s="249">
        <f ca="1">IFERROR(IF(A22="","",SUM(INDIRECT("K"&amp;ROW()&amp;":K"&amp;IFERROR(MATCH("*",A23:A$1062,0),1000)+ROW()-1)))*D22,"")</f>
        <v>0</v>
      </c>
    </row>
    <row r="23" spans="1:10" ht="30" x14ac:dyDescent="0.25">
      <c r="A23" s="263"/>
      <c r="B23" s="206" t="s">
        <v>74</v>
      </c>
      <c r="C23" s="264"/>
      <c r="D23" s="208"/>
      <c r="E23" s="265">
        <v>0.3</v>
      </c>
      <c r="F23" s="266"/>
      <c r="G23" s="267"/>
      <c r="H23" s="194">
        <f t="shared" si="0"/>
        <v>6.6309739711215139</v>
      </c>
      <c r="I23" s="195" t="str">
        <f ca="1">IFERROR(IF(A23="","",SUM(INDIRECT("H"&amp;ROW()&amp;":H"&amp;IFERROR(MATCH("*",A25:A$1062,0),1000)+ROW()-1)))*D23,"")</f>
        <v/>
      </c>
      <c r="J23" s="249" t="str">
        <f ca="1">IFERROR(IF(A23="","",SUM(INDIRECT("K"&amp;ROW()&amp;":K"&amp;IFERROR(MATCH("*",A24:A$1062,0),1000)+ROW()-1)))*D23,"")</f>
        <v/>
      </c>
    </row>
    <row r="24" spans="1:10" ht="45" x14ac:dyDescent="0.25">
      <c r="A24" s="263"/>
      <c r="B24" s="206" t="s">
        <v>154</v>
      </c>
      <c r="C24" s="264"/>
      <c r="D24" s="208"/>
      <c r="E24" s="265"/>
      <c r="F24" s="266">
        <v>1</v>
      </c>
      <c r="G24" s="267">
        <v>5.51</v>
      </c>
      <c r="H24" s="194">
        <f t="shared" si="0"/>
        <v>5.51</v>
      </c>
      <c r="I24" s="195" t="str">
        <f ca="1">IFERROR(IF(A24="","",SUM(INDIRECT("H"&amp;ROW()&amp;":H"&amp;IFERROR(MATCH("*",A25:A$1062,0),1000)+ROW()-1)))*D24,"")</f>
        <v/>
      </c>
      <c r="J24" s="249" t="str">
        <f ca="1">IFERROR(IF(A24="","",SUM(INDIRECT("K"&amp;ROW()&amp;":K"&amp;IFERROR(MATCH("*",A25:A$1062,0),1000)+ROW()-1)))*D24,"")</f>
        <v/>
      </c>
    </row>
    <row r="25" spans="1:10" ht="45" x14ac:dyDescent="0.25">
      <c r="A25" s="263"/>
      <c r="B25" s="206" t="s">
        <v>120</v>
      </c>
      <c r="C25" s="264"/>
      <c r="D25" s="208"/>
      <c r="E25" s="265"/>
      <c r="F25" s="266">
        <v>1</v>
      </c>
      <c r="G25" s="267">
        <v>16.598639500000001</v>
      </c>
      <c r="H25" s="194">
        <f t="shared" si="0"/>
        <v>16.598639500000001</v>
      </c>
      <c r="I25" s="195" t="str">
        <f ca="1">IFERROR(IF(A25="","",SUM(INDIRECT("H"&amp;ROW()&amp;":H"&amp;IFERROR(MATCH("*",A27:A$1062,0),1000)+ROW()-1)))*D25,"")</f>
        <v/>
      </c>
      <c r="J25" s="249" t="str">
        <f ca="1">IFERROR(IF(A25="","",SUM(INDIRECT("K"&amp;ROW()&amp;":K"&amp;IFERROR(MATCH("*",A26:A$1062,0),1000)+ROW()-1)))*D25,"")</f>
        <v/>
      </c>
    </row>
    <row r="26" spans="1:10" ht="60" x14ac:dyDescent="0.25">
      <c r="A26" s="263"/>
      <c r="B26" s="206" t="s">
        <v>153</v>
      </c>
      <c r="C26" s="264"/>
      <c r="D26" s="208"/>
      <c r="E26" s="265"/>
      <c r="F26" s="266">
        <v>1</v>
      </c>
      <c r="G26" s="267">
        <v>23.605442199999999</v>
      </c>
      <c r="H26" s="194">
        <f t="shared" si="0"/>
        <v>23.605442199999999</v>
      </c>
      <c r="I26" s="195" t="str">
        <f ca="1">IFERROR(IF(A26="","",SUM(INDIRECT("H"&amp;ROW()&amp;":H"&amp;IFERROR(MATCH("*",A27:A$1062,0),1000)+ROW()-1)))*D26,"")</f>
        <v/>
      </c>
      <c r="J26" s="249" t="str">
        <f ca="1">IFERROR(IF(A26="","",SUM(INDIRECT("K"&amp;ROW()&amp;":K"&amp;IFERROR(MATCH("*",A27:A$1062,0),1000)+ROW()-1)))*D26,"")</f>
        <v/>
      </c>
    </row>
    <row r="27" spans="1:10" x14ac:dyDescent="0.25">
      <c r="A27" s="263" t="s">
        <v>145</v>
      </c>
      <c r="B27" s="206"/>
      <c r="C27" s="264" t="s">
        <v>121</v>
      </c>
      <c r="D27" s="208">
        <v>174</v>
      </c>
      <c r="E27" s="265"/>
      <c r="F27" s="266"/>
      <c r="G27" s="267"/>
      <c r="H27" s="194">
        <f t="shared" si="0"/>
        <v>0</v>
      </c>
      <c r="I27" s="195">
        <f ca="1">IFERROR(IF(A27="","",SUM(INDIRECT("H"&amp;ROW()&amp;":H"&amp;IFERROR(MATCH("*",A28:A$1062,0),1000)+ROW()-1)))*D27,"")</f>
        <v>2160.4105235176289</v>
      </c>
      <c r="J27" s="249">
        <f ca="1">IFERROR(IF(A27="","",SUM(INDIRECT("K"&amp;ROW()&amp;":K"&amp;IFERROR(MATCH("*",A28:A$1062,0),1000)+ROW()-1)))*D27,"")</f>
        <v>0</v>
      </c>
    </row>
    <row r="28" spans="1:10" ht="30" x14ac:dyDescent="0.25">
      <c r="A28" s="263"/>
      <c r="B28" s="206" t="s">
        <v>74</v>
      </c>
      <c r="C28" s="264"/>
      <c r="D28" s="208"/>
      <c r="E28" s="265">
        <v>0.27</v>
      </c>
      <c r="F28" s="266"/>
      <c r="G28" s="267"/>
      <c r="H28" s="194">
        <f t="shared" si="0"/>
        <v>5.9678765740093631</v>
      </c>
      <c r="I28" s="195" t="str">
        <f ca="1">IFERROR(IF(A28="","",SUM(INDIRECT("H"&amp;ROW()&amp;":H"&amp;IFERROR(MATCH("*",A29:A$1062,0),1000)+ROW()-1)))*D28,"")</f>
        <v/>
      </c>
      <c r="J28" s="249" t="str">
        <f ca="1">IFERROR(IF(A28="","",SUM(INDIRECT("K"&amp;ROW()&amp;":K"&amp;IFERROR(MATCH("*",A29:A$1062,0),1000)+ROW()-1)))*D28,"")</f>
        <v/>
      </c>
    </row>
    <row r="29" spans="1:10" ht="45" x14ac:dyDescent="0.25">
      <c r="A29" s="263"/>
      <c r="B29" s="206" t="s">
        <v>120</v>
      </c>
      <c r="C29" s="264"/>
      <c r="D29" s="208"/>
      <c r="E29" s="265"/>
      <c r="F29" s="266">
        <v>1</v>
      </c>
      <c r="G29" s="267">
        <v>6.4482758599999999</v>
      </c>
      <c r="H29" s="194">
        <f t="shared" si="0"/>
        <v>6.4482758599999999</v>
      </c>
      <c r="I29" s="195" t="str">
        <f ca="1">IFERROR(IF(A29="","",SUM(INDIRECT("H"&amp;ROW()&amp;":H"&amp;IFERROR(MATCH("*",A30:A$1062,0),1000)+ROW()-1)))*D29,"")</f>
        <v/>
      </c>
      <c r="J29" s="249" t="str">
        <f ca="1">IFERROR(IF(A29="","",SUM(INDIRECT("K"&amp;ROW()&amp;":K"&amp;IFERROR(MATCH("*",A30:A$1062,0),1000)+ROW()-1)))*D29,"")</f>
        <v/>
      </c>
    </row>
    <row r="30" spans="1:10" x14ac:dyDescent="0.25">
      <c r="A30" s="263" t="s">
        <v>146</v>
      </c>
      <c r="B30" s="206"/>
      <c r="C30" s="264" t="s">
        <v>121</v>
      </c>
      <c r="D30" s="208">
        <v>230</v>
      </c>
      <c r="E30" s="265"/>
      <c r="F30" s="266"/>
      <c r="G30" s="267"/>
      <c r="H30" s="194">
        <f t="shared" si="0"/>
        <v>0</v>
      </c>
      <c r="I30" s="195">
        <f ca="1">IFERROR(IF(A30="","",SUM(INDIRECT("H"&amp;ROW()&amp;":H"&amp;IFERROR(MATCH("*",A31:A$1062,0),1000)+ROW()-1)))*D30,"")</f>
        <v>1604.1917435744269</v>
      </c>
      <c r="J30" s="249">
        <f ca="1">IFERROR(IF(A30="","",SUM(INDIRECT("K"&amp;ROW()&amp;":K"&amp;IFERROR(MATCH("*",A31:A$1062,0),1000)+ROW()-1)))*D30,"")</f>
        <v>0</v>
      </c>
    </row>
    <row r="31" spans="1:10" ht="30" x14ac:dyDescent="0.25">
      <c r="A31" s="263"/>
      <c r="B31" s="206" t="s">
        <v>74</v>
      </c>
      <c r="C31" s="264"/>
      <c r="D31" s="208"/>
      <c r="E31" s="265">
        <v>0.23</v>
      </c>
      <c r="F31" s="266"/>
      <c r="G31" s="267"/>
      <c r="H31" s="194">
        <f t="shared" si="0"/>
        <v>5.0837467111931609</v>
      </c>
      <c r="I31" s="195" t="str">
        <f ca="1">IFERROR(IF(A31="","",SUM(INDIRECT("H"&amp;ROW()&amp;":H"&amp;IFERROR(MATCH("*",A32:A$1062,0),1000)+ROW()-1)))*D31,"")</f>
        <v/>
      </c>
      <c r="J31" s="249" t="str">
        <f ca="1">IFERROR(IF(A31="","",SUM(INDIRECT("K"&amp;ROW()&amp;":K"&amp;IFERROR(MATCH("*",A32:A$1062,0),1000)+ROW()-1)))*D31,"")</f>
        <v/>
      </c>
    </row>
    <row r="32" spans="1:10" ht="45" x14ac:dyDescent="0.25">
      <c r="A32" s="263"/>
      <c r="B32" s="206" t="s">
        <v>120</v>
      </c>
      <c r="C32" s="264"/>
      <c r="D32" s="208"/>
      <c r="E32" s="265"/>
      <c r="F32" s="266">
        <v>1</v>
      </c>
      <c r="G32" s="267">
        <v>1.891</v>
      </c>
      <c r="H32" s="194">
        <f t="shared" si="0"/>
        <v>1.891</v>
      </c>
      <c r="I32" s="195" t="str">
        <f ca="1">IFERROR(IF(A32="","",SUM(INDIRECT("H"&amp;ROW()&amp;":H"&amp;IFERROR(MATCH("*",A33:A$1062,0),1000)+ROW()-1)))*D32,"")</f>
        <v/>
      </c>
      <c r="J32" s="249" t="str">
        <f ca="1">IFERROR(IF(A32="","",SUM(INDIRECT("K"&amp;ROW()&amp;":K"&amp;IFERROR(MATCH("*",A33:A$1062,0),1000)+ROW()-1)))*D32,"")</f>
        <v/>
      </c>
    </row>
    <row r="33" spans="1:10" x14ac:dyDescent="0.25">
      <c r="A33" s="263" t="s">
        <v>147</v>
      </c>
      <c r="B33" s="206"/>
      <c r="C33" s="264" t="s">
        <v>121</v>
      </c>
      <c r="D33" s="208">
        <v>210</v>
      </c>
      <c r="E33" s="265"/>
      <c r="F33" s="266"/>
      <c r="G33" s="267"/>
      <c r="H33" s="194">
        <f t="shared" si="0"/>
        <v>0</v>
      </c>
      <c r="I33" s="195">
        <f ca="1">IFERROR(IF(A33="","",SUM(INDIRECT("H"&amp;ROW()&amp;":H"&amp;IFERROR(MATCH("*",A34:A$1062,0),1000)+ROW()-1)))*D33,"")</f>
        <v>5854.6527119140237</v>
      </c>
      <c r="J33" s="249">
        <f ca="1">IFERROR(IF(A33="","",SUM(INDIRECT("K"&amp;ROW()&amp;":K"&amp;IFERROR(MATCH("*",A34:A$1062,0),1000)+ROW()-1)))*D33,"")</f>
        <v>0</v>
      </c>
    </row>
    <row r="34" spans="1:10" ht="30" x14ac:dyDescent="0.25">
      <c r="A34" s="263"/>
      <c r="B34" s="206" t="s">
        <v>74</v>
      </c>
      <c r="C34" s="264"/>
      <c r="D34" s="208"/>
      <c r="E34" s="265">
        <v>0.4</v>
      </c>
      <c r="F34" s="266"/>
      <c r="G34" s="267"/>
      <c r="H34" s="194">
        <f t="shared" si="0"/>
        <v>8.8412986281620203</v>
      </c>
      <c r="I34" s="195" t="str">
        <f ca="1">IFERROR(IF(A34="","",SUM(INDIRECT("H"&amp;ROW()&amp;":H"&amp;IFERROR(MATCH("*",A35:A$1062,0),1000)+ROW()-1)))*D34,"")</f>
        <v/>
      </c>
      <c r="J34" s="249" t="str">
        <f ca="1">IFERROR(IF(A34="","",SUM(INDIRECT("K"&amp;ROW()&amp;":K"&amp;IFERROR(MATCH("*",A35:A$1062,0),1000)+ROW()-1)))*D34,"")</f>
        <v/>
      </c>
    </row>
    <row r="35" spans="1:10" ht="45" x14ac:dyDescent="0.25">
      <c r="A35" s="263"/>
      <c r="B35" s="206" t="s">
        <v>154</v>
      </c>
      <c r="C35" s="264"/>
      <c r="D35" s="208"/>
      <c r="E35" s="265"/>
      <c r="F35" s="266">
        <v>1</v>
      </c>
      <c r="G35" s="267">
        <v>4.5</v>
      </c>
      <c r="H35" s="194">
        <f t="shared" si="0"/>
        <v>4.5</v>
      </c>
      <c r="I35" s="195" t="str">
        <f ca="1">IFERROR(IF(A35="","",SUM(INDIRECT("H"&amp;ROW()&amp;":H"&amp;IFERROR(MATCH("*",A36:A$1062,0),1000)+ROW()-1)))*D35,"")</f>
        <v/>
      </c>
      <c r="J35" s="249" t="str">
        <f ca="1">IFERROR(IF(A35="","",SUM(INDIRECT("K"&amp;ROW()&amp;":K"&amp;IFERROR(MATCH("*",A36:A$1062,0),1000)+ROW()-1)))*D35,"")</f>
        <v/>
      </c>
    </row>
    <row r="36" spans="1:10" ht="45" x14ac:dyDescent="0.25">
      <c r="A36" s="263"/>
      <c r="B36" s="206" t="s">
        <v>120</v>
      </c>
      <c r="C36" s="264"/>
      <c r="D36" s="208"/>
      <c r="E36" s="265"/>
      <c r="F36" s="266">
        <v>1</v>
      </c>
      <c r="G36" s="267">
        <v>14.538</v>
      </c>
      <c r="H36" s="194">
        <f t="shared" si="0"/>
        <v>14.538</v>
      </c>
      <c r="I36" s="195" t="str">
        <f ca="1">IFERROR(IF(A36="","",SUM(INDIRECT("H"&amp;ROW()&amp;":H"&amp;IFERROR(MATCH("*",A37:A$1062,0),1000)+ROW()-1)))*D36,"")</f>
        <v/>
      </c>
      <c r="J36" s="249" t="str">
        <f ca="1">IFERROR(IF(A36="","",SUM(INDIRECT("K"&amp;ROW()&amp;":K"&amp;IFERROR(MATCH("*",A37:A$1062,0),1000)+ROW()-1)))*D36,"")</f>
        <v/>
      </c>
    </row>
    <row r="37" spans="1:10" x14ac:dyDescent="0.25">
      <c r="A37" s="263" t="s">
        <v>148</v>
      </c>
      <c r="B37" s="206"/>
      <c r="C37" s="264" t="s">
        <v>121</v>
      </c>
      <c r="D37" s="208">
        <v>190</v>
      </c>
      <c r="E37" s="265"/>
      <c r="F37" s="266"/>
      <c r="G37" s="267"/>
      <c r="H37" s="194">
        <f t="shared" si="0"/>
        <v>0</v>
      </c>
      <c r="I37" s="195">
        <f ca="1">IFERROR(IF(A37="","",SUM(INDIRECT("H"&amp;ROW()&amp;":H"&amp;IFERROR(MATCH("*",A38:A$1062,0),1000)+ROW()-1)))*D37,"")</f>
        <v>3573.7112229968575</v>
      </c>
      <c r="J37" s="249">
        <f ca="1">IFERROR(IF(A37="","",SUM(INDIRECT("K"&amp;ROW()&amp;":K"&amp;IFERROR(MATCH("*",A38:A$1062,0),1000)+ROW()-1)))*D37,"")</f>
        <v>0</v>
      </c>
    </row>
    <row r="38" spans="1:10" ht="30" x14ac:dyDescent="0.25">
      <c r="A38" s="263"/>
      <c r="B38" s="206" t="s">
        <v>74</v>
      </c>
      <c r="C38" s="264"/>
      <c r="D38" s="208"/>
      <c r="E38" s="265">
        <v>0.31</v>
      </c>
      <c r="F38" s="266"/>
      <c r="G38" s="267"/>
      <c r="H38" s="194">
        <f t="shared" si="0"/>
        <v>6.8520064368255644</v>
      </c>
      <c r="I38" s="195" t="str">
        <f ca="1">IFERROR(IF(A38="","",SUM(INDIRECT("H"&amp;ROW()&amp;":H"&amp;IFERROR(MATCH("*",A39:A$1062,0),1000)+ROW()-1)))*D38,"")</f>
        <v/>
      </c>
      <c r="J38" s="249" t="str">
        <f ca="1">IFERROR(IF(A38="","",SUM(INDIRECT("K"&amp;ROW()&amp;":K"&amp;IFERROR(MATCH("*",A39:A$1062,0),1000)+ROW()-1)))*D38,"")</f>
        <v/>
      </c>
    </row>
    <row r="39" spans="1:10" ht="45" x14ac:dyDescent="0.25">
      <c r="A39" s="263"/>
      <c r="B39" s="206" t="s">
        <v>120</v>
      </c>
      <c r="C39" s="264"/>
      <c r="D39" s="208"/>
      <c r="E39" s="265"/>
      <c r="F39" s="266">
        <v>1</v>
      </c>
      <c r="G39" s="267">
        <v>11.957000000000001</v>
      </c>
      <c r="H39" s="194">
        <f t="shared" si="0"/>
        <v>11.957000000000001</v>
      </c>
      <c r="I39" s="195" t="str">
        <f ca="1">IFERROR(IF(A39="","",SUM(INDIRECT("H"&amp;ROW()&amp;":H"&amp;IFERROR(MATCH("*",A40:A$1062,0),1000)+ROW()-1)))*D39,"")</f>
        <v/>
      </c>
      <c r="J39" s="249" t="str">
        <f ca="1">IFERROR(IF(A39="","",SUM(INDIRECT("K"&amp;ROW()&amp;":K"&amp;IFERROR(MATCH("*",A40:A$1062,0),1000)+ROW()-1)))*D39,"")</f>
        <v/>
      </c>
    </row>
    <row r="40" spans="1:10" x14ac:dyDescent="0.25">
      <c r="A40" s="263" t="s">
        <v>149</v>
      </c>
      <c r="B40" s="206"/>
      <c r="C40" s="264" t="s">
        <v>121</v>
      </c>
      <c r="D40" s="208">
        <v>96</v>
      </c>
      <c r="E40" s="265"/>
      <c r="F40" s="266"/>
      <c r="G40" s="267"/>
      <c r="H40" s="194">
        <f t="shared" si="0"/>
        <v>0</v>
      </c>
      <c r="I40" s="195">
        <f ca="1">IFERROR(IF(A40="","",SUM(INDIRECT("H"&amp;ROW()&amp;":H"&amp;IFERROR(MATCH("*",A41:A$1062,0),1000)+ROW()-1)))*D40,"")</f>
        <v>5274.3558321794426</v>
      </c>
      <c r="J40" s="249">
        <f ca="1">IFERROR(IF(A40="","",SUM(INDIRECT("K"&amp;ROW()&amp;":K"&amp;IFERROR(MATCH("*",A41:A$1062,0),1000)+ROW()-1)))*D40,"")</f>
        <v>0</v>
      </c>
    </row>
    <row r="41" spans="1:10" ht="30" x14ac:dyDescent="0.25">
      <c r="A41" s="263"/>
      <c r="B41" s="206" t="s">
        <v>74</v>
      </c>
      <c r="C41" s="264"/>
      <c r="D41" s="208"/>
      <c r="E41" s="265">
        <v>0.5</v>
      </c>
      <c r="F41" s="266"/>
      <c r="G41" s="267"/>
      <c r="H41" s="194">
        <f t="shared" si="0"/>
        <v>11.051623285202524</v>
      </c>
      <c r="I41" s="195" t="str">
        <f ca="1">IFERROR(IF(A41="","",SUM(INDIRECT("H"&amp;ROW()&amp;":H"&amp;IFERROR(MATCH("*",A42:A$1062,0),1000)+ROW()-1)))*D41,"")</f>
        <v/>
      </c>
      <c r="J41" s="249" t="str">
        <f ca="1">IFERROR(IF(A41="","",SUM(INDIRECT("K"&amp;ROW()&amp;":K"&amp;IFERROR(MATCH("*",A42:A$1062,0),1000)+ROW()-1)))*D41,"")</f>
        <v/>
      </c>
    </row>
    <row r="42" spans="1:10" ht="45" x14ac:dyDescent="0.25">
      <c r="A42" s="263"/>
      <c r="B42" s="206" t="s">
        <v>120</v>
      </c>
      <c r="C42" s="264"/>
      <c r="D42" s="208"/>
      <c r="E42" s="265"/>
      <c r="F42" s="266">
        <v>1</v>
      </c>
      <c r="G42" s="267">
        <v>19.2395833</v>
      </c>
      <c r="H42" s="194">
        <f t="shared" si="0"/>
        <v>19.2395833</v>
      </c>
      <c r="I42" s="195" t="str">
        <f ca="1">IFERROR(IF(A42="","",SUM(INDIRECT("H"&amp;ROW()&amp;":H"&amp;IFERROR(MATCH("*",A43:A$1062,0),1000)+ROW()-1)))*D42,"")</f>
        <v/>
      </c>
      <c r="J42" s="249" t="str">
        <f ca="1">IFERROR(IF(A42="","",SUM(INDIRECT("K"&amp;ROW()&amp;":K"&amp;IFERROR(MATCH("*",A43:A$1062,0),1000)+ROW()-1)))*D42,"")</f>
        <v/>
      </c>
    </row>
    <row r="43" spans="1:10" ht="60" x14ac:dyDescent="0.25">
      <c r="A43" s="263"/>
      <c r="B43" s="206" t="s">
        <v>153</v>
      </c>
      <c r="C43" s="264"/>
      <c r="D43" s="208"/>
      <c r="E43" s="265"/>
      <c r="F43" s="266">
        <v>1</v>
      </c>
      <c r="G43" s="267">
        <v>24.65</v>
      </c>
      <c r="H43" s="194">
        <f t="shared" si="0"/>
        <v>24.65</v>
      </c>
      <c r="I43" s="195" t="str">
        <f ca="1">IFERROR(IF(A43="","",SUM(INDIRECT("H"&amp;ROW()&amp;":H"&amp;IFERROR(MATCH("*",A44:A$1062,0),1000)+ROW()-1)))*D43,"")</f>
        <v/>
      </c>
      <c r="J43" s="249" t="str">
        <f ca="1">IFERROR(IF(A43="","",SUM(INDIRECT("K"&amp;ROW()&amp;":K"&amp;IFERROR(MATCH("*",A44:A$1062,0),1000)+ROW()-1)))*D43,"")</f>
        <v/>
      </c>
    </row>
    <row r="44" spans="1:10" x14ac:dyDescent="0.25">
      <c r="A44" s="263" t="s">
        <v>150</v>
      </c>
      <c r="B44" s="206"/>
      <c r="C44" s="264" t="s">
        <v>121</v>
      </c>
      <c r="D44" s="208">
        <v>53</v>
      </c>
      <c r="E44" s="265"/>
      <c r="F44" s="266"/>
      <c r="G44" s="267"/>
      <c r="H44" s="194">
        <f t="shared" si="0"/>
        <v>0</v>
      </c>
      <c r="I44" s="195">
        <f ca="1">IFERROR(IF(A44="","",SUM(INDIRECT("H"&amp;ROW()&amp;":H"&amp;IFERROR(MATCH("*",A45:A$1062,0),1000)+ROW()-1)))*D44,"")</f>
        <v>1769.0426251668382</v>
      </c>
      <c r="J44" s="249">
        <f ca="1">IFERROR(IF(A44="","",SUM(INDIRECT("K"&amp;ROW()&amp;":K"&amp;IFERROR(MATCH("*",A45:A$1062,0),1000)+ROW()-1)))*D44,"")</f>
        <v>0</v>
      </c>
    </row>
    <row r="45" spans="1:10" ht="30" x14ac:dyDescent="0.25">
      <c r="A45" s="263"/>
      <c r="B45" s="206" t="s">
        <v>74</v>
      </c>
      <c r="C45" s="264"/>
      <c r="D45" s="208"/>
      <c r="E45" s="265">
        <v>0.98</v>
      </c>
      <c r="F45" s="266"/>
      <c r="G45" s="267"/>
      <c r="H45" s="194">
        <f>IF(E45="",F45*G45,E45*T.H.M)</f>
        <v>21.661181638996947</v>
      </c>
      <c r="I45" s="195" t="str">
        <f ca="1">IFERROR(IF(A45="","",SUM(INDIRECT("H"&amp;ROW()&amp;":H"&amp;IFERROR(MATCH("*",A46:A$1062,0),1000)+ROW()-1)))*D45,"")</f>
        <v/>
      </c>
      <c r="J45" s="249" t="str">
        <f ca="1">IFERROR(IF(A45="","",SUM(INDIRECT("K"&amp;ROW()&amp;":K"&amp;IFERROR(MATCH("*",A46:A$1062,0),1000)+ROW()-1)))*D45,"")</f>
        <v/>
      </c>
    </row>
    <row r="46" spans="1:10" ht="45" x14ac:dyDescent="0.25">
      <c r="A46" s="263"/>
      <c r="B46" s="206" t="s">
        <v>120</v>
      </c>
      <c r="C46" s="264"/>
      <c r="D46" s="208"/>
      <c r="E46" s="265"/>
      <c r="F46" s="266">
        <v>1</v>
      </c>
      <c r="G46" s="267">
        <v>11.7169811</v>
      </c>
      <c r="H46" s="194">
        <f>IF(E46="",F46*G46,E46*T.H.M)</f>
        <v>11.7169811</v>
      </c>
      <c r="I46" s="195" t="str">
        <f ca="1">IFERROR(IF(A46="","",SUM(INDIRECT("H"&amp;ROW()&amp;":H"&amp;IFERROR(MATCH("*",A47:A$1062,0),1000)+ROW()-1)))*D46,"")</f>
        <v/>
      </c>
      <c r="J46" s="249" t="str">
        <f ca="1">IFERROR(IF(A46="","",SUM(INDIRECT("K"&amp;ROW()&amp;":K"&amp;IFERROR(MATCH("*",A47:A$1062,0),1000)+ROW()-1)))*D46,"")</f>
        <v/>
      </c>
    </row>
    <row r="47" spans="1:10" x14ac:dyDescent="0.25">
      <c r="A47" s="263" t="s">
        <v>151</v>
      </c>
      <c r="B47" s="206"/>
      <c r="C47" s="264" t="s">
        <v>152</v>
      </c>
      <c r="D47" s="208">
        <v>1</v>
      </c>
      <c r="E47" s="265"/>
      <c r="F47" s="266"/>
      <c r="G47" s="267"/>
      <c r="H47" s="194">
        <f t="shared" si="0"/>
        <v>0</v>
      </c>
      <c r="I47" s="195">
        <f ca="1">IFERROR(IF(A47="","",SUM(INDIRECT("H"&amp;ROW()&amp;":H"&amp;IFERROR(MATCH("*",A48:A$1062,0),1000)+ROW()-1)))*D47,"")</f>
        <v>3510.3571227445555</v>
      </c>
      <c r="J47" s="249">
        <f ca="1">IFERROR(IF(A47="","",SUM(INDIRECT("K"&amp;ROW()&amp;":K"&amp;IFERROR(MATCH("*",A48:A$1062,0),1000)+ROW()-1)))*D47,"")</f>
        <v>0</v>
      </c>
    </row>
    <row r="48" spans="1:10" ht="30" x14ac:dyDescent="0.25">
      <c r="A48" s="263"/>
      <c r="B48" s="206" t="s">
        <v>74</v>
      </c>
      <c r="C48" s="264"/>
      <c r="D48" s="208"/>
      <c r="E48" s="265">
        <v>110</v>
      </c>
      <c r="F48" s="266"/>
      <c r="G48" s="267"/>
      <c r="H48" s="194">
        <f t="shared" si="0"/>
        <v>2431.3571227445555</v>
      </c>
      <c r="I48" s="195" t="str">
        <f ca="1">IFERROR(IF(A48="","",SUM(INDIRECT("H"&amp;ROW()&amp;":H"&amp;IFERROR(MATCH("*",A49:A$1062,0),1000)+ROW()-1)))*D48,"")</f>
        <v/>
      </c>
      <c r="J48" s="249" t="str">
        <f ca="1">IFERROR(IF(A48="","",SUM(INDIRECT("K"&amp;ROW()&amp;":K"&amp;IFERROR(MATCH("*",A49:A$1062,0),1000)+ROW()-1)))*D48,"")</f>
        <v/>
      </c>
    </row>
    <row r="49" spans="1:10" ht="45" x14ac:dyDescent="0.25">
      <c r="A49" s="263"/>
      <c r="B49" s="206" t="s">
        <v>120</v>
      </c>
      <c r="C49" s="264"/>
      <c r="D49" s="208"/>
      <c r="E49" s="265"/>
      <c r="F49" s="266">
        <v>1</v>
      </c>
      <c r="G49" s="267">
        <v>1079</v>
      </c>
      <c r="H49" s="194">
        <f t="shared" si="0"/>
        <v>1079</v>
      </c>
      <c r="I49" s="195" t="str">
        <f ca="1">IFERROR(IF(A49="","",SUM(INDIRECT("H"&amp;ROW()&amp;":H"&amp;IFERROR(MATCH("*",A50:A$1062,0),1000)+ROW()-1)))*D49,"")</f>
        <v/>
      </c>
      <c r="J49" s="249" t="str">
        <f ca="1">IFERROR(IF(A49="","",SUM(INDIRECT("K"&amp;ROW()&amp;":K"&amp;IFERROR(MATCH("*",A50:A$1062,0),1000)+ROW()-1)))*D49,"")</f>
        <v/>
      </c>
    </row>
    <row r="50" spans="1:10" ht="15.75" thickBot="1" x14ac:dyDescent="0.3">
      <c r="A50" s="247" t="s">
        <v>75</v>
      </c>
      <c r="B50" s="206"/>
      <c r="C50" s="207"/>
      <c r="D50" s="208"/>
      <c r="E50" s="209"/>
      <c r="F50" s="210"/>
      <c r="G50" s="211"/>
      <c r="H50" s="194">
        <f t="shared" si="0"/>
        <v>0</v>
      </c>
      <c r="I50" s="195">
        <f ca="1">IFERROR(IF(A50="","",SUM(INDIRECT("H"&amp;ROW()&amp;":H"&amp;IFERROR(MATCH("*",A51:A$1062,0),1000)+ROW()-1)))*D50,"")</f>
        <v>0</v>
      </c>
      <c r="J50" s="249">
        <f ca="1">IFERROR(IF(A50="","",SUM(INDIRECT("K"&amp;ROW()&amp;":K"&amp;IFERROR(MATCH("*",A51:A$1062,0),1000)+ROW()-1)))*D50,"")</f>
        <v>0</v>
      </c>
    </row>
    <row r="51" spans="1:10" x14ac:dyDescent="0.25">
      <c r="A51" s="250" t="s">
        <v>38</v>
      </c>
      <c r="B51" s="251"/>
      <c r="C51" s="252"/>
      <c r="D51" s="253"/>
      <c r="E51" s="254"/>
      <c r="F51" s="255"/>
      <c r="G51" s="256"/>
      <c r="H51" s="257"/>
      <c r="I51" s="258">
        <f ca="1">SUBTOTAL(109,I15:I50)</f>
        <v>39351.142269466436</v>
      </c>
      <c r="J51" s="259">
        <f ca="1">SUBTOTAL(109,J15:J50)</f>
        <v>0</v>
      </c>
    </row>
    <row r="52" spans="1:10" x14ac:dyDescent="0.25">
      <c r="A52" s="42"/>
      <c r="B52" s="42"/>
      <c r="C52" s="42"/>
      <c r="D52" s="42"/>
      <c r="E52" s="42"/>
      <c r="F52" s="42"/>
      <c r="G52" s="42"/>
      <c r="H52" s="42"/>
      <c r="I52" s="42"/>
      <c r="J52" s="42"/>
    </row>
    <row r="53" spans="1:10" x14ac:dyDescent="0.25">
      <c r="A53" s="50" t="s">
        <v>41</v>
      </c>
      <c r="B53" s="50"/>
      <c r="C53" s="50"/>
      <c r="D53" s="50"/>
      <c r="E53" s="50"/>
      <c r="F53" s="50"/>
      <c r="G53" s="50"/>
      <c r="H53" s="50"/>
      <c r="I53" s="50"/>
      <c r="J53" s="51">
        <f ca="1">I51*T.H.M</f>
        <v>869788.00040910509</v>
      </c>
    </row>
    <row r="54" spans="1:10" x14ac:dyDescent="0.25">
      <c r="A54" s="52" t="s">
        <v>42</v>
      </c>
      <c r="B54" s="52"/>
      <c r="C54" s="52"/>
      <c r="D54" s="52"/>
      <c r="E54" s="52"/>
      <c r="F54" s="52"/>
      <c r="G54" s="52"/>
      <c r="H54" s="52"/>
      <c r="I54" s="52"/>
      <c r="J54" s="53">
        <f ca="1">J51-J53</f>
        <v>-869788.00040910509</v>
      </c>
    </row>
    <row r="55" spans="1:10" x14ac:dyDescent="0.25">
      <c r="A55" s="52" t="s">
        <v>24</v>
      </c>
      <c r="B55" s="52"/>
      <c r="C55" s="52"/>
      <c r="D55" s="52"/>
      <c r="E55" s="52"/>
      <c r="F55" s="52"/>
      <c r="G55" s="52"/>
      <c r="H55" s="52"/>
      <c r="I55" s="52"/>
      <c r="J55" s="53">
        <f ca="1">SUM(J53:J54)</f>
        <v>0</v>
      </c>
    </row>
    <row r="56" spans="1:10" x14ac:dyDescent="0.25">
      <c r="A56" s="42"/>
      <c r="B56" s="42"/>
      <c r="C56" s="42"/>
      <c r="D56" s="42"/>
      <c r="E56" s="42"/>
      <c r="F56" s="42"/>
      <c r="G56" s="42"/>
      <c r="H56" s="52" t="s">
        <v>85</v>
      </c>
      <c r="I56" s="52"/>
      <c r="J56" s="269">
        <v>1.3</v>
      </c>
    </row>
    <row r="57" spans="1:10" x14ac:dyDescent="0.25">
      <c r="A57" s="42"/>
      <c r="B57" s="42"/>
      <c r="C57" s="42"/>
      <c r="D57" s="42"/>
      <c r="E57" s="42"/>
      <c r="F57" s="42"/>
      <c r="G57" s="42"/>
      <c r="H57" s="42" t="s">
        <v>86</v>
      </c>
      <c r="I57" s="42"/>
      <c r="J57" s="268">
        <f ca="1">((Deb.frais.de.chantier+Déboursé)/(1-'Frais cachés'!B70))/Déboursé</f>
        <v>1.1363529947599913</v>
      </c>
    </row>
    <row r="58" spans="1:10" x14ac:dyDescent="0.25">
      <c r="A58" s="50" t="s">
        <v>43</v>
      </c>
      <c r="B58" s="50"/>
      <c r="C58" s="50"/>
      <c r="D58" s="50"/>
      <c r="E58" s="50"/>
      <c r="F58" s="50"/>
      <c r="G58" s="50"/>
      <c r="H58" s="52"/>
      <c r="I58" s="52"/>
      <c r="J58" s="53">
        <f ca="1">Déboursé*J57*J56</f>
        <v>58131.824874675061</v>
      </c>
    </row>
    <row r="59" spans="1:10" x14ac:dyDescent="0.25">
      <c r="A59" s="54"/>
      <c r="B59" s="54"/>
      <c r="C59" s="54"/>
      <c r="D59" s="54"/>
      <c r="E59" s="54"/>
      <c r="F59" s="54"/>
      <c r="G59" s="54"/>
      <c r="H59" s="42" t="s">
        <v>140</v>
      </c>
      <c r="I59" s="42"/>
      <c r="J59" s="268">
        <v>1.08</v>
      </c>
    </row>
    <row r="60" spans="1:10" x14ac:dyDescent="0.25">
      <c r="A60" s="50" t="s">
        <v>88</v>
      </c>
      <c r="B60" s="50"/>
      <c r="C60" s="50"/>
      <c r="D60" s="50"/>
      <c r="E60" s="50"/>
      <c r="F60" s="50"/>
      <c r="G60" s="50"/>
      <c r="H60" s="52"/>
      <c r="I60" s="52"/>
      <c r="J60" s="261">
        <f ca="1">Cout.de.revient*J59</f>
        <v>62782.37086464907</v>
      </c>
    </row>
    <row r="61" spans="1:10" ht="15.75" thickBot="1" x14ac:dyDescent="0.3"/>
    <row r="62" spans="1:10" ht="15.75" thickBot="1" x14ac:dyDescent="0.3">
      <c r="A62" s="42"/>
      <c r="B62" s="262"/>
      <c r="C62" s="262"/>
      <c r="D62" s="262"/>
      <c r="E62" s="97" t="s">
        <v>23</v>
      </c>
      <c r="F62" s="328" t="s">
        <v>39</v>
      </c>
      <c r="G62" s="330"/>
      <c r="H62" s="328" t="s">
        <v>0</v>
      </c>
      <c r="I62" s="329"/>
      <c r="J62" s="330"/>
    </row>
    <row r="63" spans="1:10" x14ac:dyDescent="0.25">
      <c r="A63" s="245" t="s">
        <v>71</v>
      </c>
      <c r="B63" s="95" t="s">
        <v>72</v>
      </c>
      <c r="C63" s="55" t="s">
        <v>22</v>
      </c>
      <c r="D63" s="98" t="s">
        <v>44</v>
      </c>
      <c r="E63" s="100" t="s">
        <v>37</v>
      </c>
      <c r="F63" s="56" t="s">
        <v>139</v>
      </c>
      <c r="G63" s="57" t="s">
        <v>36</v>
      </c>
      <c r="H63" s="112" t="s">
        <v>78</v>
      </c>
      <c r="I63" s="111" t="s">
        <v>77</v>
      </c>
      <c r="J63" s="248" t="s">
        <v>40</v>
      </c>
    </row>
    <row r="64" spans="1:10" x14ac:dyDescent="0.25">
      <c r="A64" s="246" t="s">
        <v>142</v>
      </c>
      <c r="B64" s="96"/>
      <c r="C64" s="264" t="s">
        <v>121</v>
      </c>
      <c r="D64" s="99">
        <v>700</v>
      </c>
      <c r="E64" s="192"/>
      <c r="F64" s="44"/>
      <c r="G64" s="193"/>
      <c r="H64" s="194">
        <f t="shared" ref="H64:H99" si="1">IF(E64="",F64*G64,E64*T.H.M)</f>
        <v>0</v>
      </c>
      <c r="I64" s="195">
        <f ca="1">IFERROR(IF(A64="","",SUM(INDIRECT("H"&amp;ROW()&amp;":H"&amp;IFERROR(MATCH("*",A65:A$1115,0),1000)+ROW()-1)))*D64,"")</f>
        <v>3059.2272599283538</v>
      </c>
      <c r="J64" s="249">
        <f ca="1">IFERROR(IF(A64="","",SUM(INDIRECT("K"&amp;ROW()&amp;":K"&amp;IFERROR(MATCH("*",A65:A$1115,0),1000)+ROW()-1)))*D64,"")</f>
        <v>0</v>
      </c>
    </row>
    <row r="65" spans="1:10" x14ac:dyDescent="0.25">
      <c r="A65" s="263"/>
      <c r="B65" s="206" t="s">
        <v>74</v>
      </c>
      <c r="C65" s="264"/>
      <c r="D65" s="208"/>
      <c r="E65" s="265">
        <v>0.1</v>
      </c>
      <c r="F65" s="266"/>
      <c r="G65" s="267"/>
      <c r="H65" s="194">
        <f t="shared" si="1"/>
        <v>2.2103246570405051</v>
      </c>
      <c r="I65" s="195" t="str">
        <f ca="1">IFERROR(IF(A65="","",SUM(INDIRECT("H"&amp;ROW()&amp;":H"&amp;IFERROR(MATCH("*",A66:A$1115,0),1000)+ROW()-1)))*D65,"")</f>
        <v/>
      </c>
      <c r="J65" s="249" t="str">
        <f ca="1">IFERROR(IF(A65="","",SUM(INDIRECT("K"&amp;ROW()&amp;":K"&amp;IFERROR(MATCH("*",A66:A$1115,0),1000)+ROW()-1)))*D65,"")</f>
        <v/>
      </c>
    </row>
    <row r="66" spans="1:10" x14ac:dyDescent="0.25">
      <c r="A66" s="263"/>
      <c r="B66" s="206" t="s">
        <v>154</v>
      </c>
      <c r="C66" s="264"/>
      <c r="D66" s="208"/>
      <c r="E66" s="265"/>
      <c r="F66" s="266">
        <v>1</v>
      </c>
      <c r="G66" s="267">
        <v>0.72</v>
      </c>
      <c r="H66" s="194">
        <f t="shared" si="1"/>
        <v>0.72</v>
      </c>
      <c r="I66" s="195" t="str">
        <f ca="1">IFERROR(IF(A66="","",SUM(INDIRECT("H"&amp;ROW()&amp;":H"&amp;IFERROR(MATCH("*",A67:A$1115,0),1000)+ROW()-1)))*D66,"")</f>
        <v/>
      </c>
      <c r="J66" s="249" t="str">
        <f ca="1">IFERROR(IF(A66="","",SUM(INDIRECT("K"&amp;ROW()&amp;":K"&amp;IFERROR(MATCH("*",A67:A$1115,0),1000)+ROW()-1)))*D66,"")</f>
        <v/>
      </c>
    </row>
    <row r="67" spans="1:10" x14ac:dyDescent="0.25">
      <c r="A67" s="263"/>
      <c r="B67" s="206" t="s">
        <v>120</v>
      </c>
      <c r="C67" s="264"/>
      <c r="D67" s="208"/>
      <c r="E67" s="265"/>
      <c r="F67" s="266">
        <v>1</v>
      </c>
      <c r="G67" s="267">
        <v>1.44</v>
      </c>
      <c r="H67" s="194">
        <f t="shared" si="1"/>
        <v>1.44</v>
      </c>
      <c r="I67" s="195" t="str">
        <f ca="1">IFERROR(IF(A67="","",SUM(INDIRECT("H"&amp;ROW()&amp;":H"&amp;IFERROR(MATCH("*",A68:A$1115,0),1000)+ROW()-1)))*D67,"")</f>
        <v/>
      </c>
      <c r="J67" s="249" t="str">
        <f ca="1">IFERROR(IF(A67="","",SUM(INDIRECT("K"&amp;ROW()&amp;":K"&amp;IFERROR(MATCH("*",A68:A$1115,0),1000)+ROW()-1)))*D67,"")</f>
        <v/>
      </c>
    </row>
    <row r="68" spans="1:10" x14ac:dyDescent="0.25">
      <c r="A68" s="263" t="s">
        <v>143</v>
      </c>
      <c r="B68" s="206"/>
      <c r="C68" s="264" t="s">
        <v>121</v>
      </c>
      <c r="D68" s="208">
        <v>267</v>
      </c>
      <c r="E68" s="265"/>
      <c r="F68" s="266"/>
      <c r="G68" s="267"/>
      <c r="H68" s="194">
        <f t="shared" si="1"/>
        <v>0</v>
      </c>
      <c r="I68" s="195">
        <f ca="1">IFERROR(IF(A68="","",SUM(INDIRECT("H"&amp;ROW()&amp;":H"&amp;IFERROR(MATCH("*",A69:A$1115,0),1000)+ROW()-1)))*D68,"")</f>
        <v>4850.4700437894444</v>
      </c>
      <c r="J68" s="249">
        <f ca="1">IFERROR(IF(A68="","",SUM(INDIRECT("K"&amp;ROW()&amp;":K"&amp;IFERROR(MATCH("*",A69:A$1115,0),1000)+ROW()-1)))*D68,"")</f>
        <v>0</v>
      </c>
    </row>
    <row r="69" spans="1:10" x14ac:dyDescent="0.25">
      <c r="A69" s="263"/>
      <c r="B69" s="206" t="s">
        <v>74</v>
      </c>
      <c r="C69" s="264"/>
      <c r="D69" s="208"/>
      <c r="E69" s="265">
        <v>0.3</v>
      </c>
      <c r="F69" s="266"/>
      <c r="G69" s="267"/>
      <c r="H69" s="194">
        <f t="shared" si="1"/>
        <v>6.6309739711215139</v>
      </c>
      <c r="I69" s="195" t="str">
        <f ca="1">IFERROR(IF(A69="","",SUM(INDIRECT("H"&amp;ROW()&amp;":H"&amp;IFERROR(MATCH("*",A70:A$1115,0),1000)+ROW()-1)))*D69,"")</f>
        <v/>
      </c>
      <c r="J69" s="249" t="str">
        <f ca="1">IFERROR(IF(A69="","",SUM(INDIRECT("K"&amp;ROW()&amp;":K"&amp;IFERROR(MATCH("*",A70:A$1115,0),1000)+ROW()-1)))*D69,"")</f>
        <v/>
      </c>
    </row>
    <row r="70" spans="1:10" x14ac:dyDescent="0.25">
      <c r="A70" s="263"/>
      <c r="B70" s="206" t="s">
        <v>120</v>
      </c>
      <c r="C70" s="264"/>
      <c r="D70" s="208"/>
      <c r="E70" s="265"/>
      <c r="F70" s="266">
        <v>1</v>
      </c>
      <c r="G70" s="267">
        <v>11.5355805</v>
      </c>
      <c r="H70" s="194">
        <f t="shared" si="1"/>
        <v>11.5355805</v>
      </c>
      <c r="I70" s="195" t="str">
        <f ca="1">IFERROR(IF(A70="","",SUM(INDIRECT("H"&amp;ROW()&amp;":H"&amp;IFERROR(MATCH("*",A71:A$1115,0),1000)+ROW()-1)))*D70,"")</f>
        <v/>
      </c>
      <c r="J70" s="249" t="str">
        <f ca="1">IFERROR(IF(A70="","",SUM(INDIRECT("K"&amp;ROW()&amp;":K"&amp;IFERROR(MATCH("*",A71:A$1115,0),1000)+ROW()-1)))*D70,"")</f>
        <v/>
      </c>
    </row>
    <row r="71" spans="1:10" x14ac:dyDescent="0.25">
      <c r="A71" s="263" t="s">
        <v>144</v>
      </c>
      <c r="B71" s="206"/>
      <c r="C71" s="264" t="s">
        <v>121</v>
      </c>
      <c r="D71" s="208">
        <v>147</v>
      </c>
      <c r="E71" s="265"/>
      <c r="F71" s="266"/>
      <c r="G71" s="267"/>
      <c r="H71" s="194">
        <f t="shared" si="1"/>
        <v>0</v>
      </c>
      <c r="I71" s="195">
        <f ca="1">IFERROR(IF(A71="","",SUM(INDIRECT("H"&amp;ROW()&amp;":H"&amp;IFERROR(MATCH("*",A72:A$1115,0),1000)+ROW()-1)))*D71,"")</f>
        <v>7694.7231836548626</v>
      </c>
      <c r="J71" s="249">
        <f ca="1">IFERROR(IF(A71="","",SUM(INDIRECT("K"&amp;ROW()&amp;":K"&amp;IFERROR(MATCH("*",A72:A$1115,0),1000)+ROW()-1)))*D71,"")</f>
        <v>0</v>
      </c>
    </row>
    <row r="72" spans="1:10" x14ac:dyDescent="0.25">
      <c r="A72" s="263"/>
      <c r="B72" s="206" t="s">
        <v>74</v>
      </c>
      <c r="C72" s="264"/>
      <c r="D72" s="208"/>
      <c r="E72" s="265">
        <v>0.3</v>
      </c>
      <c r="F72" s="266"/>
      <c r="G72" s="267"/>
      <c r="H72" s="194">
        <f t="shared" si="1"/>
        <v>6.6309739711215139</v>
      </c>
      <c r="I72" s="195" t="str">
        <f ca="1">IFERROR(IF(A72="","",SUM(INDIRECT("H"&amp;ROW()&amp;":H"&amp;IFERROR(MATCH("*",A74:A$1115,0),1000)+ROW()-1)))*D72,"")</f>
        <v/>
      </c>
      <c r="J72" s="249" t="str">
        <f ca="1">IFERROR(IF(A72="","",SUM(INDIRECT("K"&amp;ROW()&amp;":K"&amp;IFERROR(MATCH("*",A73:A$1115,0),1000)+ROW()-1)))*D72,"")</f>
        <v/>
      </c>
    </row>
    <row r="73" spans="1:10" x14ac:dyDescent="0.25">
      <c r="A73" s="263"/>
      <c r="B73" s="206" t="s">
        <v>154</v>
      </c>
      <c r="C73" s="264"/>
      <c r="D73" s="208"/>
      <c r="E73" s="265"/>
      <c r="F73" s="266">
        <v>1</v>
      </c>
      <c r="G73" s="267">
        <v>5.51</v>
      </c>
      <c r="H73" s="194">
        <f t="shared" si="1"/>
        <v>5.51</v>
      </c>
      <c r="I73" s="195" t="str">
        <f ca="1">IFERROR(IF(A73="","",SUM(INDIRECT("H"&amp;ROW()&amp;":H"&amp;IFERROR(MATCH("*",A74:A$1115,0),1000)+ROW()-1)))*D73,"")</f>
        <v/>
      </c>
      <c r="J73" s="249" t="str">
        <f ca="1">IFERROR(IF(A73="","",SUM(INDIRECT("K"&amp;ROW()&amp;":K"&amp;IFERROR(MATCH("*",A74:A$1115,0),1000)+ROW()-1)))*D73,"")</f>
        <v/>
      </c>
    </row>
    <row r="74" spans="1:10" x14ac:dyDescent="0.25">
      <c r="A74" s="263"/>
      <c r="B74" s="206" t="s">
        <v>120</v>
      </c>
      <c r="C74" s="264"/>
      <c r="D74" s="208"/>
      <c r="E74" s="265"/>
      <c r="F74" s="266">
        <v>1</v>
      </c>
      <c r="G74" s="267">
        <v>16.598639500000001</v>
      </c>
      <c r="H74" s="194">
        <f t="shared" si="1"/>
        <v>16.598639500000001</v>
      </c>
      <c r="I74" s="195" t="str">
        <f ca="1">IFERROR(IF(A74="","",SUM(INDIRECT("H"&amp;ROW()&amp;":H"&amp;IFERROR(MATCH("*",A76:A$1115,0),1000)+ROW()-1)))*D74,"")</f>
        <v/>
      </c>
      <c r="J74" s="249" t="str">
        <f ca="1">IFERROR(IF(A74="","",SUM(INDIRECT("K"&amp;ROW()&amp;":K"&amp;IFERROR(MATCH("*",A75:A$1115,0),1000)+ROW()-1)))*D74,"")</f>
        <v/>
      </c>
    </row>
    <row r="75" spans="1:10" x14ac:dyDescent="0.25">
      <c r="A75" s="263"/>
      <c r="B75" s="206" t="s">
        <v>153</v>
      </c>
      <c r="C75" s="264"/>
      <c r="D75" s="208"/>
      <c r="E75" s="265"/>
      <c r="F75" s="266">
        <v>1</v>
      </c>
      <c r="G75" s="267">
        <v>23.605442199999999</v>
      </c>
      <c r="H75" s="194">
        <f t="shared" si="1"/>
        <v>23.605442199999999</v>
      </c>
      <c r="I75" s="195" t="str">
        <f ca="1">IFERROR(IF(A75="","",SUM(INDIRECT("H"&amp;ROW()&amp;":H"&amp;IFERROR(MATCH("*",A76:A$1115,0),1000)+ROW()-1)))*D75,"")</f>
        <v/>
      </c>
      <c r="J75" s="249" t="str">
        <f ca="1">IFERROR(IF(A75="","",SUM(INDIRECT("K"&amp;ROW()&amp;":K"&amp;IFERROR(MATCH("*",A76:A$1115,0),1000)+ROW()-1)))*D75,"")</f>
        <v/>
      </c>
    </row>
    <row r="76" spans="1:10" x14ac:dyDescent="0.25">
      <c r="A76" s="263" t="s">
        <v>145</v>
      </c>
      <c r="B76" s="206"/>
      <c r="C76" s="264" t="s">
        <v>121</v>
      </c>
      <c r="D76" s="208">
        <v>174</v>
      </c>
      <c r="E76" s="265"/>
      <c r="F76" s="266"/>
      <c r="G76" s="267"/>
      <c r="H76" s="194">
        <f t="shared" si="1"/>
        <v>0</v>
      </c>
      <c r="I76" s="195">
        <f ca="1">IFERROR(IF(A76="","",SUM(INDIRECT("H"&amp;ROW()&amp;":H"&amp;IFERROR(MATCH("*",A77:A$1115,0),1000)+ROW()-1)))*D76,"")</f>
        <v>2160.4105235176289</v>
      </c>
      <c r="J76" s="249">
        <f ca="1">IFERROR(IF(A76="","",SUM(INDIRECT("K"&amp;ROW()&amp;":K"&amp;IFERROR(MATCH("*",A77:A$1115,0),1000)+ROW()-1)))*D76,"")</f>
        <v>0</v>
      </c>
    </row>
    <row r="77" spans="1:10" x14ac:dyDescent="0.25">
      <c r="A77" s="263"/>
      <c r="B77" s="206" t="s">
        <v>74</v>
      </c>
      <c r="C77" s="264"/>
      <c r="D77" s="208"/>
      <c r="E77" s="265">
        <v>0.27</v>
      </c>
      <c r="F77" s="266"/>
      <c r="G77" s="267"/>
      <c r="H77" s="194">
        <f t="shared" si="1"/>
        <v>5.9678765740093631</v>
      </c>
      <c r="I77" s="195" t="str">
        <f ca="1">IFERROR(IF(A77="","",SUM(INDIRECT("H"&amp;ROW()&amp;":H"&amp;IFERROR(MATCH("*",A78:A$1115,0),1000)+ROW()-1)))*D77,"")</f>
        <v/>
      </c>
      <c r="J77" s="249" t="str">
        <f ca="1">IFERROR(IF(A77="","",SUM(INDIRECT("K"&amp;ROW()&amp;":K"&amp;IFERROR(MATCH("*",A78:A$1115,0),1000)+ROW()-1)))*D77,"")</f>
        <v/>
      </c>
    </row>
    <row r="78" spans="1:10" x14ac:dyDescent="0.25">
      <c r="A78" s="263"/>
      <c r="B78" s="206" t="s">
        <v>120</v>
      </c>
      <c r="C78" s="264"/>
      <c r="D78" s="208"/>
      <c r="E78" s="265"/>
      <c r="F78" s="266">
        <v>1</v>
      </c>
      <c r="G78" s="267">
        <v>6.4482758599999999</v>
      </c>
      <c r="H78" s="194">
        <f t="shared" si="1"/>
        <v>6.4482758599999999</v>
      </c>
      <c r="I78" s="195" t="str">
        <f ca="1">IFERROR(IF(A78="","",SUM(INDIRECT("H"&amp;ROW()&amp;":H"&amp;IFERROR(MATCH("*",A79:A$1115,0),1000)+ROW()-1)))*D78,"")</f>
        <v/>
      </c>
      <c r="J78" s="249" t="str">
        <f ca="1">IFERROR(IF(A78="","",SUM(INDIRECT("K"&amp;ROW()&amp;":K"&amp;IFERROR(MATCH("*",A79:A$1115,0),1000)+ROW()-1)))*D78,"")</f>
        <v/>
      </c>
    </row>
    <row r="79" spans="1:10" x14ac:dyDescent="0.25">
      <c r="A79" s="263" t="s">
        <v>146</v>
      </c>
      <c r="B79" s="206"/>
      <c r="C79" s="264" t="s">
        <v>121</v>
      </c>
      <c r="D79" s="208">
        <v>230</v>
      </c>
      <c r="E79" s="265"/>
      <c r="F79" s="266"/>
      <c r="G79" s="267"/>
      <c r="H79" s="194">
        <f t="shared" si="1"/>
        <v>0</v>
      </c>
      <c r="I79" s="195">
        <f ca="1">IFERROR(IF(A79="","",SUM(INDIRECT("H"&amp;ROW()&amp;":H"&amp;IFERROR(MATCH("*",A80:A$1115,0),1000)+ROW()-1)))*D79,"")</f>
        <v>1604.1917435744269</v>
      </c>
      <c r="J79" s="249">
        <f ca="1">IFERROR(IF(A79="","",SUM(INDIRECT("K"&amp;ROW()&amp;":K"&amp;IFERROR(MATCH("*",A80:A$1115,0),1000)+ROW()-1)))*D79,"")</f>
        <v>0</v>
      </c>
    </row>
    <row r="80" spans="1:10" x14ac:dyDescent="0.25">
      <c r="A80" s="263"/>
      <c r="B80" s="206" t="s">
        <v>74</v>
      </c>
      <c r="C80" s="264"/>
      <c r="D80" s="208"/>
      <c r="E80" s="265">
        <v>0.23</v>
      </c>
      <c r="F80" s="266"/>
      <c r="G80" s="267"/>
      <c r="H80" s="194">
        <f t="shared" si="1"/>
        <v>5.0837467111931609</v>
      </c>
      <c r="I80" s="195" t="str">
        <f ca="1">IFERROR(IF(A80="","",SUM(INDIRECT("H"&amp;ROW()&amp;":H"&amp;IFERROR(MATCH("*",A81:A$1115,0),1000)+ROW()-1)))*D80,"")</f>
        <v/>
      </c>
      <c r="J80" s="249" t="str">
        <f ca="1">IFERROR(IF(A80="","",SUM(INDIRECT("K"&amp;ROW()&amp;":K"&amp;IFERROR(MATCH("*",A81:A$1115,0),1000)+ROW()-1)))*D80,"")</f>
        <v/>
      </c>
    </row>
    <row r="81" spans="1:10" x14ac:dyDescent="0.25">
      <c r="A81" s="263"/>
      <c r="B81" s="206" t="s">
        <v>120</v>
      </c>
      <c r="C81" s="264"/>
      <c r="D81" s="208"/>
      <c r="E81" s="265"/>
      <c r="F81" s="266">
        <v>1</v>
      </c>
      <c r="G81" s="267">
        <v>1.891</v>
      </c>
      <c r="H81" s="194">
        <f t="shared" si="1"/>
        <v>1.891</v>
      </c>
      <c r="I81" s="195" t="str">
        <f ca="1">IFERROR(IF(A81="","",SUM(INDIRECT("H"&amp;ROW()&amp;":H"&amp;IFERROR(MATCH("*",A82:A$1115,0),1000)+ROW()-1)))*D81,"")</f>
        <v/>
      </c>
      <c r="J81" s="249" t="str">
        <f ca="1">IFERROR(IF(A81="","",SUM(INDIRECT("K"&amp;ROW()&amp;":K"&amp;IFERROR(MATCH("*",A82:A$1115,0),1000)+ROW()-1)))*D81,"")</f>
        <v/>
      </c>
    </row>
    <row r="82" spans="1:10" x14ac:dyDescent="0.25">
      <c r="A82" s="263" t="s">
        <v>147</v>
      </c>
      <c r="B82" s="206"/>
      <c r="C82" s="264" t="s">
        <v>121</v>
      </c>
      <c r="D82" s="208">
        <v>210</v>
      </c>
      <c r="E82" s="265"/>
      <c r="F82" s="266"/>
      <c r="G82" s="267"/>
      <c r="H82" s="194">
        <f t="shared" si="1"/>
        <v>0</v>
      </c>
      <c r="I82" s="195">
        <f ca="1">IFERROR(IF(A82="","",SUM(INDIRECT("H"&amp;ROW()&amp;":H"&amp;IFERROR(MATCH("*",A83:A$1115,0),1000)+ROW()-1)))*D82,"")</f>
        <v>5854.6527119140237</v>
      </c>
      <c r="J82" s="249">
        <f ca="1">IFERROR(IF(A82="","",SUM(INDIRECT("K"&amp;ROW()&amp;":K"&amp;IFERROR(MATCH("*",A83:A$1115,0),1000)+ROW()-1)))*D82,"")</f>
        <v>0</v>
      </c>
    </row>
    <row r="83" spans="1:10" x14ac:dyDescent="0.25">
      <c r="A83" s="263"/>
      <c r="B83" s="206" t="s">
        <v>74</v>
      </c>
      <c r="C83" s="264"/>
      <c r="D83" s="208"/>
      <c r="E83" s="265">
        <v>0.4</v>
      </c>
      <c r="F83" s="266"/>
      <c r="G83" s="267"/>
      <c r="H83" s="194">
        <f t="shared" si="1"/>
        <v>8.8412986281620203</v>
      </c>
      <c r="I83" s="195" t="str">
        <f ca="1">IFERROR(IF(A83="","",SUM(INDIRECT("H"&amp;ROW()&amp;":H"&amp;IFERROR(MATCH("*",A84:A$1115,0),1000)+ROW()-1)))*D83,"")</f>
        <v/>
      </c>
      <c r="J83" s="249" t="str">
        <f ca="1">IFERROR(IF(A83="","",SUM(INDIRECT("K"&amp;ROW()&amp;":K"&amp;IFERROR(MATCH("*",A84:A$1115,0),1000)+ROW()-1)))*D83,"")</f>
        <v/>
      </c>
    </row>
    <row r="84" spans="1:10" x14ac:dyDescent="0.25">
      <c r="A84" s="263"/>
      <c r="B84" s="206" t="s">
        <v>154</v>
      </c>
      <c r="C84" s="264"/>
      <c r="D84" s="208"/>
      <c r="E84" s="265"/>
      <c r="F84" s="266">
        <v>1</v>
      </c>
      <c r="G84" s="267">
        <v>4.5</v>
      </c>
      <c r="H84" s="194">
        <f t="shared" si="1"/>
        <v>4.5</v>
      </c>
      <c r="I84" s="195" t="str">
        <f ca="1">IFERROR(IF(A84="","",SUM(INDIRECT("H"&amp;ROW()&amp;":H"&amp;IFERROR(MATCH("*",A85:A$1115,0),1000)+ROW()-1)))*D84,"")</f>
        <v/>
      </c>
      <c r="J84" s="249" t="str">
        <f ca="1">IFERROR(IF(A84="","",SUM(INDIRECT("K"&amp;ROW()&amp;":K"&amp;IFERROR(MATCH("*",A85:A$1115,0),1000)+ROW()-1)))*D84,"")</f>
        <v/>
      </c>
    </row>
    <row r="85" spans="1:10" x14ac:dyDescent="0.25">
      <c r="A85" s="263"/>
      <c r="B85" s="206" t="s">
        <v>120</v>
      </c>
      <c r="C85" s="264"/>
      <c r="D85" s="208"/>
      <c r="E85" s="265"/>
      <c r="F85" s="266">
        <v>1</v>
      </c>
      <c r="G85" s="267">
        <v>14.538</v>
      </c>
      <c r="H85" s="194">
        <f t="shared" si="1"/>
        <v>14.538</v>
      </c>
      <c r="I85" s="195" t="str">
        <f ca="1">IFERROR(IF(A85="","",SUM(INDIRECT("H"&amp;ROW()&amp;":H"&amp;IFERROR(MATCH("*",A86:A$1115,0),1000)+ROW()-1)))*D85,"")</f>
        <v/>
      </c>
      <c r="J85" s="249" t="str">
        <f ca="1">IFERROR(IF(A85="","",SUM(INDIRECT("K"&amp;ROW()&amp;":K"&amp;IFERROR(MATCH("*",A86:A$1115,0),1000)+ROW()-1)))*D85,"")</f>
        <v/>
      </c>
    </row>
    <row r="86" spans="1:10" x14ac:dyDescent="0.25">
      <c r="A86" s="263" t="s">
        <v>148</v>
      </c>
      <c r="B86" s="206"/>
      <c r="C86" s="264" t="s">
        <v>121</v>
      </c>
      <c r="D86" s="208">
        <v>190</v>
      </c>
      <c r="E86" s="265"/>
      <c r="F86" s="266"/>
      <c r="G86" s="267"/>
      <c r="H86" s="194">
        <f t="shared" si="1"/>
        <v>0</v>
      </c>
      <c r="I86" s="195">
        <f ca="1">IFERROR(IF(A86="","",SUM(INDIRECT("H"&amp;ROW()&amp;":H"&amp;IFERROR(MATCH("*",A87:A$1115,0),1000)+ROW()-1)))*D86,"")</f>
        <v>3573.7112229968575</v>
      </c>
      <c r="J86" s="249">
        <f ca="1">IFERROR(IF(A86="","",SUM(INDIRECT("K"&amp;ROW()&amp;":K"&amp;IFERROR(MATCH("*",A87:A$1115,0),1000)+ROW()-1)))*D86,"")</f>
        <v>0</v>
      </c>
    </row>
    <row r="87" spans="1:10" x14ac:dyDescent="0.25">
      <c r="A87" s="263"/>
      <c r="B87" s="206" t="s">
        <v>74</v>
      </c>
      <c r="C87" s="264"/>
      <c r="D87" s="208"/>
      <c r="E87" s="265">
        <v>0.31</v>
      </c>
      <c r="F87" s="266"/>
      <c r="G87" s="267"/>
      <c r="H87" s="194">
        <f t="shared" si="1"/>
        <v>6.8520064368255644</v>
      </c>
      <c r="I87" s="195" t="str">
        <f ca="1">IFERROR(IF(A87="","",SUM(INDIRECT("H"&amp;ROW()&amp;":H"&amp;IFERROR(MATCH("*",A88:A$1115,0),1000)+ROW()-1)))*D87,"")</f>
        <v/>
      </c>
      <c r="J87" s="249" t="str">
        <f ca="1">IFERROR(IF(A87="","",SUM(INDIRECT("K"&amp;ROW()&amp;":K"&amp;IFERROR(MATCH("*",A88:A$1115,0),1000)+ROW()-1)))*D87,"")</f>
        <v/>
      </c>
    </row>
    <row r="88" spans="1:10" x14ac:dyDescent="0.25">
      <c r="A88" s="263"/>
      <c r="B88" s="206" t="s">
        <v>120</v>
      </c>
      <c r="C88" s="264"/>
      <c r="D88" s="208"/>
      <c r="E88" s="265"/>
      <c r="F88" s="266">
        <v>1</v>
      </c>
      <c r="G88" s="267">
        <v>11.957000000000001</v>
      </c>
      <c r="H88" s="194">
        <f t="shared" si="1"/>
        <v>11.957000000000001</v>
      </c>
      <c r="I88" s="195" t="str">
        <f ca="1">IFERROR(IF(A88="","",SUM(INDIRECT("H"&amp;ROW()&amp;":H"&amp;IFERROR(MATCH("*",A89:A$1115,0),1000)+ROW()-1)))*D88,"")</f>
        <v/>
      </c>
      <c r="J88" s="249" t="str">
        <f ca="1">IFERROR(IF(A88="","",SUM(INDIRECT("K"&amp;ROW()&amp;":K"&amp;IFERROR(MATCH("*",A89:A$1115,0),1000)+ROW()-1)))*D88,"")</f>
        <v/>
      </c>
    </row>
    <row r="89" spans="1:10" x14ac:dyDescent="0.25">
      <c r="A89" s="263" t="s">
        <v>149</v>
      </c>
      <c r="B89" s="206"/>
      <c r="C89" s="264" t="s">
        <v>121</v>
      </c>
      <c r="D89" s="208">
        <v>96</v>
      </c>
      <c r="E89" s="265"/>
      <c r="F89" s="266"/>
      <c r="G89" s="267"/>
      <c r="H89" s="194">
        <f t="shared" si="1"/>
        <v>0</v>
      </c>
      <c r="I89" s="195">
        <f ca="1">IFERROR(IF(A89="","",SUM(INDIRECT("H"&amp;ROW()&amp;":H"&amp;IFERROR(MATCH("*",A90:A$1115,0),1000)+ROW()-1)))*D89,"")</f>
        <v>5274.3558321794426</v>
      </c>
      <c r="J89" s="249">
        <f ca="1">IFERROR(IF(A89="","",SUM(INDIRECT("K"&amp;ROW()&amp;":K"&amp;IFERROR(MATCH("*",A90:A$1115,0),1000)+ROW()-1)))*D89,"")</f>
        <v>0</v>
      </c>
    </row>
    <row r="90" spans="1:10" x14ac:dyDescent="0.25">
      <c r="A90" s="263"/>
      <c r="B90" s="206" t="s">
        <v>74</v>
      </c>
      <c r="C90" s="264"/>
      <c r="D90" s="208"/>
      <c r="E90" s="265">
        <v>0.5</v>
      </c>
      <c r="F90" s="266"/>
      <c r="G90" s="267"/>
      <c r="H90" s="194">
        <f t="shared" si="1"/>
        <v>11.051623285202524</v>
      </c>
      <c r="I90" s="195" t="str">
        <f ca="1">IFERROR(IF(A90="","",SUM(INDIRECT("H"&amp;ROW()&amp;":H"&amp;IFERROR(MATCH("*",A91:A$1115,0),1000)+ROW()-1)))*D90,"")</f>
        <v/>
      </c>
      <c r="J90" s="249" t="str">
        <f ca="1">IFERROR(IF(A90="","",SUM(INDIRECT("K"&amp;ROW()&amp;":K"&amp;IFERROR(MATCH("*",A91:A$1115,0),1000)+ROW()-1)))*D90,"")</f>
        <v/>
      </c>
    </row>
    <row r="91" spans="1:10" x14ac:dyDescent="0.25">
      <c r="A91" s="263"/>
      <c r="B91" s="206" t="s">
        <v>120</v>
      </c>
      <c r="C91" s="264"/>
      <c r="D91" s="208"/>
      <c r="E91" s="265"/>
      <c r="F91" s="266">
        <v>1</v>
      </c>
      <c r="G91" s="267">
        <v>19.2395833</v>
      </c>
      <c r="H91" s="194">
        <f t="shared" si="1"/>
        <v>19.2395833</v>
      </c>
      <c r="I91" s="195" t="str">
        <f ca="1">IFERROR(IF(A91="","",SUM(INDIRECT("H"&amp;ROW()&amp;":H"&amp;IFERROR(MATCH("*",A92:A$1115,0),1000)+ROW()-1)))*D91,"")</f>
        <v/>
      </c>
      <c r="J91" s="249" t="str">
        <f ca="1">IFERROR(IF(A91="","",SUM(INDIRECT("K"&amp;ROW()&amp;":K"&amp;IFERROR(MATCH("*",A92:A$1115,0),1000)+ROW()-1)))*D91,"")</f>
        <v/>
      </c>
    </row>
    <row r="92" spans="1:10" x14ac:dyDescent="0.25">
      <c r="A92" s="263"/>
      <c r="B92" s="206" t="s">
        <v>153</v>
      </c>
      <c r="C92" s="264"/>
      <c r="D92" s="208"/>
      <c r="E92" s="265"/>
      <c r="F92" s="266">
        <v>1</v>
      </c>
      <c r="G92" s="267">
        <v>24.65</v>
      </c>
      <c r="H92" s="194">
        <f t="shared" si="1"/>
        <v>24.65</v>
      </c>
      <c r="I92" s="195" t="str">
        <f ca="1">IFERROR(IF(A92="","",SUM(INDIRECT("H"&amp;ROW()&amp;":H"&amp;IFERROR(MATCH("*",A93:A$1115,0),1000)+ROW()-1)))*D92,"")</f>
        <v/>
      </c>
      <c r="J92" s="249" t="str">
        <f ca="1">IFERROR(IF(A92="","",SUM(INDIRECT("K"&amp;ROW()&amp;":K"&amp;IFERROR(MATCH("*",A93:A$1115,0),1000)+ROW()-1)))*D92,"")</f>
        <v/>
      </c>
    </row>
    <row r="93" spans="1:10" x14ac:dyDescent="0.25">
      <c r="A93" s="263" t="s">
        <v>150</v>
      </c>
      <c r="B93" s="206"/>
      <c r="C93" s="264" t="s">
        <v>121</v>
      </c>
      <c r="D93" s="208">
        <v>53</v>
      </c>
      <c r="E93" s="265"/>
      <c r="F93" s="266"/>
      <c r="G93" s="267"/>
      <c r="H93" s="194">
        <f t="shared" si="1"/>
        <v>0</v>
      </c>
      <c r="I93" s="195">
        <f ca="1">IFERROR(IF(A93="","",SUM(INDIRECT("H"&amp;ROW()&amp;":H"&amp;IFERROR(MATCH("*",A94:A$1115,0),1000)+ROW()-1)))*D93,"")</f>
        <v>1769.0426251668382</v>
      </c>
      <c r="J93" s="249">
        <f ca="1">IFERROR(IF(A93="","",SUM(INDIRECT("K"&amp;ROW()&amp;":K"&amp;IFERROR(MATCH("*",A94:A$1115,0),1000)+ROW()-1)))*D93,"")</f>
        <v>0</v>
      </c>
    </row>
    <row r="94" spans="1:10" x14ac:dyDescent="0.25">
      <c r="A94" s="263"/>
      <c r="B94" s="206" t="s">
        <v>74</v>
      </c>
      <c r="C94" s="264"/>
      <c r="D94" s="208"/>
      <c r="E94" s="265">
        <v>0.98</v>
      </c>
      <c r="F94" s="266"/>
      <c r="G94" s="267"/>
      <c r="H94" s="194">
        <f>IF(E94="",F94*G94,E94*T.H.M)</f>
        <v>21.661181638996947</v>
      </c>
      <c r="I94" s="195" t="str">
        <f ca="1">IFERROR(IF(A94="","",SUM(INDIRECT("H"&amp;ROW()&amp;":H"&amp;IFERROR(MATCH("*",A95:A$1115,0),1000)+ROW()-1)))*D94,"")</f>
        <v/>
      </c>
      <c r="J94" s="249" t="str">
        <f ca="1">IFERROR(IF(A94="","",SUM(INDIRECT("K"&amp;ROW()&amp;":K"&amp;IFERROR(MATCH("*",A95:A$1115,0),1000)+ROW()-1)))*D94,"")</f>
        <v/>
      </c>
    </row>
    <row r="95" spans="1:10" x14ac:dyDescent="0.25">
      <c r="A95" s="263"/>
      <c r="B95" s="206" t="s">
        <v>120</v>
      </c>
      <c r="C95" s="264"/>
      <c r="D95" s="208"/>
      <c r="E95" s="265"/>
      <c r="F95" s="266">
        <v>1</v>
      </c>
      <c r="G95" s="267">
        <v>11.7169811</v>
      </c>
      <c r="H95" s="194">
        <f>IF(E95="",F95*G95,E95*T.H.M)</f>
        <v>11.7169811</v>
      </c>
      <c r="I95" s="195" t="str">
        <f ca="1">IFERROR(IF(A95="","",SUM(INDIRECT("H"&amp;ROW()&amp;":H"&amp;IFERROR(MATCH("*",A96:A$1115,0),1000)+ROW()-1)))*D95,"")</f>
        <v/>
      </c>
      <c r="J95" s="249" t="str">
        <f ca="1">IFERROR(IF(A95="","",SUM(INDIRECT("K"&amp;ROW()&amp;":K"&amp;IFERROR(MATCH("*",A96:A$1115,0),1000)+ROW()-1)))*D95,"")</f>
        <v/>
      </c>
    </row>
    <row r="96" spans="1:10" x14ac:dyDescent="0.25">
      <c r="A96" s="263" t="s">
        <v>151</v>
      </c>
      <c r="B96" s="206"/>
      <c r="C96" s="264" t="s">
        <v>152</v>
      </c>
      <c r="D96" s="208">
        <v>1</v>
      </c>
      <c r="E96" s="265"/>
      <c r="F96" s="266"/>
      <c r="G96" s="267"/>
      <c r="H96" s="194">
        <f t="shared" si="1"/>
        <v>0</v>
      </c>
      <c r="I96" s="195">
        <f ca="1">IFERROR(IF(A96="","",SUM(INDIRECT("H"&amp;ROW()&amp;":H"&amp;IFERROR(MATCH("*",A97:A$1115,0),1000)+ROW()-1)))*D96,"")</f>
        <v>3510.3571227445555</v>
      </c>
      <c r="J96" s="249">
        <f ca="1">IFERROR(IF(A96="","",SUM(INDIRECT("K"&amp;ROW()&amp;":K"&amp;IFERROR(MATCH("*",A97:A$1115,0),1000)+ROW()-1)))*D96,"")</f>
        <v>0</v>
      </c>
    </row>
    <row r="97" spans="1:10" x14ac:dyDescent="0.25">
      <c r="A97" s="263"/>
      <c r="B97" s="206" t="s">
        <v>74</v>
      </c>
      <c r="C97" s="264"/>
      <c r="D97" s="208"/>
      <c r="E97" s="265">
        <v>110</v>
      </c>
      <c r="F97" s="266"/>
      <c r="G97" s="267"/>
      <c r="H97" s="194">
        <f t="shared" si="1"/>
        <v>2431.3571227445555</v>
      </c>
      <c r="I97" s="195" t="str">
        <f ca="1">IFERROR(IF(A97="","",SUM(INDIRECT("H"&amp;ROW()&amp;":H"&amp;IFERROR(MATCH("*",A98:A$1115,0),1000)+ROW()-1)))*D97,"")</f>
        <v/>
      </c>
      <c r="J97" s="249" t="str">
        <f ca="1">IFERROR(IF(A97="","",SUM(INDIRECT("K"&amp;ROW()&amp;":K"&amp;IFERROR(MATCH("*",A98:A$1115,0),1000)+ROW()-1)))*D97,"")</f>
        <v/>
      </c>
    </row>
    <row r="98" spans="1:10" x14ac:dyDescent="0.25">
      <c r="A98" s="263"/>
      <c r="B98" s="206" t="s">
        <v>120</v>
      </c>
      <c r="C98" s="264"/>
      <c r="D98" s="208"/>
      <c r="E98" s="265"/>
      <c r="F98" s="266">
        <v>1</v>
      </c>
      <c r="G98" s="267">
        <v>1079</v>
      </c>
      <c r="H98" s="194">
        <f t="shared" si="1"/>
        <v>1079</v>
      </c>
      <c r="I98" s="195" t="str">
        <f ca="1">IFERROR(IF(A98="","",SUM(INDIRECT("H"&amp;ROW()&amp;":H"&amp;IFERROR(MATCH("*",A99:A$1115,0),1000)+ROW()-1)))*D98,"")</f>
        <v/>
      </c>
      <c r="J98" s="249" t="str">
        <f ca="1">IFERROR(IF(A98="","",SUM(INDIRECT("K"&amp;ROW()&amp;":K"&amp;IFERROR(MATCH("*",A99:A$1115,0),1000)+ROW()-1)))*D98,"")</f>
        <v/>
      </c>
    </row>
    <row r="99" spans="1:10" ht="15.75" thickBot="1" x14ac:dyDescent="0.3">
      <c r="A99" s="247" t="s">
        <v>75</v>
      </c>
      <c r="B99" s="206"/>
      <c r="C99" s="207"/>
      <c r="D99" s="208"/>
      <c r="E99" s="209"/>
      <c r="F99" s="210"/>
      <c r="G99" s="211"/>
      <c r="H99" s="194">
        <f t="shared" si="1"/>
        <v>0</v>
      </c>
      <c r="I99" s="195">
        <f ca="1">IFERROR(IF(A99="","",SUM(INDIRECT("H"&amp;ROW()&amp;":H"&amp;IFERROR(MATCH("*",A100:A$1115,0),1000)+ROW()-1)))*D99,"")</f>
        <v>0</v>
      </c>
      <c r="J99" s="249">
        <f ca="1">IFERROR(IF(A99="","",SUM(INDIRECT("K"&amp;ROW()&amp;":K"&amp;IFERROR(MATCH("*",A100:A$1115,0),1000)+ROW()-1)))*D99,"")</f>
        <v>0</v>
      </c>
    </row>
    <row r="100" spans="1:10" x14ac:dyDescent="0.25">
      <c r="A100" s="250" t="s">
        <v>38</v>
      </c>
      <c r="B100" s="251"/>
      <c r="C100" s="252"/>
      <c r="D100" s="253"/>
      <c r="E100" s="254"/>
      <c r="F100" s="255"/>
      <c r="G100" s="256"/>
      <c r="H100" s="257"/>
      <c r="I100" s="258">
        <f ca="1">SUBTOTAL(109,I64:I99)</f>
        <v>39351.142269466436</v>
      </c>
      <c r="J100" s="259">
        <f ca="1">SUBTOTAL(109,J64:J99)</f>
        <v>0</v>
      </c>
    </row>
    <row r="101" spans="1:10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</row>
    <row r="102" spans="1:10" x14ac:dyDescent="0.25">
      <c r="A102" s="50" t="s">
        <v>41</v>
      </c>
      <c r="B102" s="50"/>
      <c r="C102" s="50"/>
      <c r="D102" s="50"/>
      <c r="E102" s="50"/>
      <c r="F102" s="50"/>
      <c r="G102" s="50"/>
      <c r="H102" s="50"/>
      <c r="I102" s="50"/>
      <c r="J102" s="51">
        <f ca="1">I100*T.H.M</f>
        <v>869788.00040910509</v>
      </c>
    </row>
    <row r="103" spans="1:10" x14ac:dyDescent="0.25">
      <c r="A103" s="52" t="s">
        <v>42</v>
      </c>
      <c r="B103" s="52"/>
      <c r="C103" s="52"/>
      <c r="D103" s="52"/>
      <c r="E103" s="52"/>
      <c r="F103" s="52"/>
      <c r="G103" s="52"/>
      <c r="H103" s="52"/>
      <c r="I103" s="52"/>
      <c r="J103" s="53">
        <f ca="1">J100-J102</f>
        <v>-869788.00040910509</v>
      </c>
    </row>
    <row r="104" spans="1:10" x14ac:dyDescent="0.25">
      <c r="A104" s="52" t="s">
        <v>24</v>
      </c>
      <c r="B104" s="52"/>
      <c r="C104" s="52"/>
      <c r="D104" s="52"/>
      <c r="E104" s="52"/>
      <c r="F104" s="52"/>
      <c r="G104" s="52"/>
      <c r="H104" s="52"/>
      <c r="I104" s="52"/>
      <c r="J104" s="53">
        <f ca="1">SUM(J102:J103)</f>
        <v>0</v>
      </c>
    </row>
    <row r="105" spans="1:10" x14ac:dyDescent="0.25">
      <c r="A105" s="42"/>
      <c r="B105" s="42"/>
      <c r="C105" s="42"/>
      <c r="D105" s="42"/>
      <c r="E105" s="42"/>
      <c r="F105" s="42"/>
      <c r="G105" s="42"/>
      <c r="H105" s="52" t="s">
        <v>85</v>
      </c>
      <c r="I105" s="52"/>
      <c r="J105" s="269">
        <v>1.3</v>
      </c>
    </row>
    <row r="106" spans="1:10" x14ac:dyDescent="0.25">
      <c r="A106" s="42"/>
      <c r="B106" s="42"/>
      <c r="C106" s="42"/>
      <c r="D106" s="42"/>
      <c r="E106" s="42"/>
      <c r="F106" s="42"/>
      <c r="G106" s="42"/>
      <c r="H106" s="42" t="s">
        <v>86</v>
      </c>
      <c r="I106" s="42"/>
      <c r="J106" s="268">
        <f ca="1">((Deb.frais.de.chantier+Déboursé)/(1-'Frais cachés'!B119))/Déboursé</f>
        <v>1.1363529947599913</v>
      </c>
    </row>
    <row r="107" spans="1:10" x14ac:dyDescent="0.25">
      <c r="A107" s="50" t="s">
        <v>43</v>
      </c>
      <c r="B107" s="50"/>
      <c r="C107" s="50"/>
      <c r="D107" s="50"/>
      <c r="E107" s="50"/>
      <c r="F107" s="50"/>
      <c r="G107" s="50"/>
      <c r="H107" s="52"/>
      <c r="I107" s="52"/>
      <c r="J107" s="53">
        <f ca="1">Déboursé*J106*J105</f>
        <v>58131.824874675061</v>
      </c>
    </row>
    <row r="108" spans="1:10" x14ac:dyDescent="0.25">
      <c r="A108" s="54"/>
      <c r="B108" s="54"/>
      <c r="C108" s="54"/>
      <c r="D108" s="54"/>
      <c r="E108" s="54"/>
      <c r="F108" s="54"/>
      <c r="G108" s="54"/>
      <c r="H108" s="42" t="s">
        <v>140</v>
      </c>
      <c r="I108" s="42"/>
      <c r="J108" s="268">
        <v>1.08</v>
      </c>
    </row>
    <row r="109" spans="1:10" x14ac:dyDescent="0.25">
      <c r="A109" s="50" t="s">
        <v>88</v>
      </c>
      <c r="B109" s="50"/>
      <c r="C109" s="50"/>
      <c r="D109" s="50"/>
      <c r="E109" s="50"/>
      <c r="F109" s="50"/>
      <c r="G109" s="50"/>
      <c r="H109" s="52"/>
      <c r="I109" s="52"/>
      <c r="J109" s="261">
        <f ca="1">Cout.de.revient*J108</f>
        <v>62782.37086464907</v>
      </c>
    </row>
    <row r="110" spans="1:10" x14ac:dyDescent="0.25">
      <c r="A110" s="42"/>
      <c r="B110" s="54"/>
      <c r="C110" s="54"/>
      <c r="D110" s="54"/>
      <c r="E110" s="25"/>
      <c r="F110" s="42"/>
      <c r="G110" s="42"/>
      <c r="H110" s="42"/>
      <c r="I110" s="42"/>
      <c r="J110" s="42"/>
    </row>
    <row r="111" spans="1:10" x14ac:dyDescent="0.25">
      <c r="A111" s="42"/>
      <c r="B111" s="42"/>
      <c r="C111" s="42"/>
      <c r="D111" s="42"/>
      <c r="E111" s="54"/>
      <c r="F111" s="42"/>
      <c r="G111" s="42"/>
      <c r="H111" s="42"/>
      <c r="I111" s="42"/>
      <c r="J111" s="42"/>
    </row>
  </sheetData>
  <mergeCells count="4">
    <mergeCell ref="F13:G13"/>
    <mergeCell ref="H13:J13"/>
    <mergeCell ref="F62:G62"/>
    <mergeCell ref="H62:J62"/>
  </mergeCells>
  <pageMargins left="0.7" right="0.7" top="0.75" bottom="0.75" header="0.3" footer="0.3"/>
  <legacy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T.H.M.</vt:lpstr>
      <vt:lpstr>Frais généraux</vt:lpstr>
      <vt:lpstr>Prix de vente global</vt:lpstr>
      <vt:lpstr>Frais cachés</vt:lpstr>
      <vt:lpstr>Etude de prix</vt:lpstr>
      <vt:lpstr>Récapitulatif</vt:lpstr>
      <vt:lpstr>Charges.social.patronales</vt:lpstr>
      <vt:lpstr>Coef.Bénéfice</vt:lpstr>
      <vt:lpstr>Coef.Frais.Généraux</vt:lpstr>
      <vt:lpstr>Coef.k</vt:lpstr>
      <vt:lpstr>Cout.de.revient</vt:lpstr>
      <vt:lpstr>Deb.frais.de.chantier</vt:lpstr>
      <vt:lpstr>Déboursé</vt:lpstr>
      <vt:lpstr>Perte.de.temps.sur.chantier</vt:lpstr>
      <vt:lpstr>PV.de.vente</vt:lpstr>
      <vt:lpstr>PV.hors.frais.caché</vt:lpstr>
      <vt:lpstr>T.H.M</vt:lpstr>
      <vt:lpstr>Total.Frais.généraux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Etude de prix</dc:title>
  <dc:creator>Geze</dc:creator>
  <cp:keywords>Frais généraux</cp:keywords>
  <cp:lastModifiedBy>Pierrot</cp:lastModifiedBy>
  <dcterms:created xsi:type="dcterms:W3CDTF">2017-02-21T14:15:44Z</dcterms:created>
  <dcterms:modified xsi:type="dcterms:W3CDTF">2017-09-05T17:48:56Z</dcterms:modified>
</cp:coreProperties>
</file>