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8" windowWidth="15480" windowHeight="10896" tabRatio="933" activeTab="1"/>
  </bookViews>
  <sheets>
    <sheet name="OM lot 1pàp C3" sheetId="20" r:id="rId1"/>
    <sheet name="données de base CCCL" sheetId="9" r:id="rId2"/>
    <sheet name="ratio de collecte Encombrants" sheetId="16" r:id="rId3"/>
    <sheet name="RATIO COLLECTE DV " sheetId="17" r:id="rId4"/>
    <sheet name="personnel" sheetId="6" r:id="rId5"/>
    <sheet name="Enc lot 1" sheetId="2" r:id="rId6"/>
    <sheet name="Enc lot 2" sheetId="10" r:id="rId7"/>
    <sheet name="DV lot 2 " sheetId="18" r:id="rId8"/>
    <sheet name="Enc lot 3" sheetId="11" r:id="rId9"/>
    <sheet name="DV lot 3" sheetId="19" r:id="rId10"/>
    <sheet name="Synthése prix" sheetId="3" r:id="rId11"/>
  </sheets>
  <externalReferences>
    <externalReference r:id="rId12"/>
    <externalReference r:id="rId13"/>
  </externalReferences>
  <calcPr calcId="145621"/>
</workbook>
</file>

<file path=xl/calcChain.xml><?xml version="1.0" encoding="utf-8"?>
<calcChain xmlns="http://schemas.openxmlformats.org/spreadsheetml/2006/main">
  <c r="B12" i="10" l="1"/>
  <c r="B12" i="18"/>
  <c r="B12" i="11"/>
  <c r="B12" i="19"/>
  <c r="B55" i="17"/>
  <c r="L40" i="18"/>
  <c r="B3" i="19"/>
  <c r="N27" i="11"/>
  <c r="B3" i="18"/>
  <c r="L41" i="20"/>
  <c r="M25" i="20"/>
  <c r="N25" i="20"/>
  <c r="B6" i="20"/>
  <c r="B7" i="20"/>
  <c r="B5" i="20"/>
  <c r="B39" i="20"/>
  <c r="E39" i="20" s="1"/>
  <c r="E52" i="20"/>
  <c r="I52" i="20"/>
  <c r="E51" i="20"/>
  <c r="I51" i="20"/>
  <c r="E50" i="20"/>
  <c r="I50" i="20"/>
  <c r="E49" i="20"/>
  <c r="I49" i="20"/>
  <c r="E46" i="20"/>
  <c r="B35" i="20"/>
  <c r="B31" i="20"/>
  <c r="B30" i="20"/>
  <c r="E30" i="20" s="1"/>
  <c r="D29" i="20"/>
  <c r="D36" i="20" s="1"/>
  <c r="E36" i="20" s="1"/>
  <c r="B29" i="20"/>
  <c r="B28" i="20"/>
  <c r="B25" i="20"/>
  <c r="B20" i="20"/>
  <c r="B19" i="20"/>
  <c r="B18" i="20"/>
  <c r="B21" i="20" s="1"/>
  <c r="B14" i="20"/>
  <c r="D13" i="20"/>
  <c r="D14" i="20"/>
  <c r="B12" i="20"/>
  <c r="E12" i="20"/>
  <c r="E42" i="20"/>
  <c r="H42" i="20" s="1"/>
  <c r="J42" i="20"/>
  <c r="I42" i="20"/>
  <c r="G42" i="20"/>
  <c r="L12" i="20"/>
  <c r="E29" i="20"/>
  <c r="F46" i="20"/>
  <c r="H46" i="20"/>
  <c r="J46" i="20"/>
  <c r="H49" i="20"/>
  <c r="J49" i="20"/>
  <c r="H50" i="20"/>
  <c r="J50" i="20"/>
  <c r="H51" i="20"/>
  <c r="J51" i="20"/>
  <c r="H52" i="20"/>
  <c r="J52" i="20"/>
  <c r="G46" i="20"/>
  <c r="I46" i="20"/>
  <c r="I53" i="20" s="1"/>
  <c r="G49" i="20"/>
  <c r="G50" i="20"/>
  <c r="G51" i="20"/>
  <c r="G52" i="20"/>
  <c r="B41" i="20"/>
  <c r="E41" i="20"/>
  <c r="E40" i="20"/>
  <c r="J40" i="20"/>
  <c r="H40" i="20"/>
  <c r="I40" i="20"/>
  <c r="G40" i="20"/>
  <c r="E51" i="19"/>
  <c r="E50" i="19"/>
  <c r="E49" i="19"/>
  <c r="J49" i="19" s="1"/>
  <c r="E48" i="19"/>
  <c r="E45" i="19"/>
  <c r="B34" i="19"/>
  <c r="B25" i="19"/>
  <c r="B14" i="19"/>
  <c r="E51" i="18"/>
  <c r="E50" i="18"/>
  <c r="I50" i="18" s="1"/>
  <c r="E49" i="18"/>
  <c r="E48" i="18"/>
  <c r="I48" i="18" s="1"/>
  <c r="E45" i="18"/>
  <c r="B34" i="18"/>
  <c r="B25" i="18"/>
  <c r="B14" i="18"/>
  <c r="B4" i="18"/>
  <c r="B33" i="17"/>
  <c r="B39" i="17" s="1"/>
  <c r="B43" i="17" s="1"/>
  <c r="D71" i="17"/>
  <c r="D69" i="17"/>
  <c r="D65" i="17"/>
  <c r="D58" i="17"/>
  <c r="D67" i="17"/>
  <c r="D49" i="17"/>
  <c r="D47" i="17"/>
  <c r="D43" i="17"/>
  <c r="D36" i="17"/>
  <c r="D45" i="17" s="1"/>
  <c r="D11" i="17"/>
  <c r="C11" i="17"/>
  <c r="C13" i="17"/>
  <c r="C14" i="17" s="1"/>
  <c r="F14" i="17" s="1"/>
  <c r="B11" i="17"/>
  <c r="B17" i="17"/>
  <c r="H53" i="20"/>
  <c r="G49" i="19"/>
  <c r="G45" i="18"/>
  <c r="J48" i="18"/>
  <c r="J50" i="18"/>
  <c r="G48" i="18"/>
  <c r="G50" i="18"/>
  <c r="B13" i="17"/>
  <c r="C17" i="17"/>
  <c r="E33" i="17"/>
  <c r="F33" i="17" s="1"/>
  <c r="B35" i="17"/>
  <c r="F11" i="17"/>
  <c r="B4" i="2"/>
  <c r="B3" i="2"/>
  <c r="B11" i="16"/>
  <c r="B17" i="16"/>
  <c r="C11" i="16"/>
  <c r="C17" i="16"/>
  <c r="B55" i="16"/>
  <c r="B4" i="11"/>
  <c r="B3" i="11"/>
  <c r="I48" i="11"/>
  <c r="B33" i="16"/>
  <c r="B35" i="16"/>
  <c r="D71" i="16"/>
  <c r="D69" i="16"/>
  <c r="D58" i="16"/>
  <c r="D67" i="16"/>
  <c r="D65" i="16"/>
  <c r="B4" i="10"/>
  <c r="B3" i="10"/>
  <c r="E33" i="16"/>
  <c r="F33" i="16"/>
  <c r="D11" i="16"/>
  <c r="D36" i="16"/>
  <c r="D45" i="16" s="1"/>
  <c r="D43" i="16"/>
  <c r="D47" i="16"/>
  <c r="D49" i="16"/>
  <c r="B12" i="2"/>
  <c r="C23" i="6"/>
  <c r="D5" i="9"/>
  <c r="D6" i="9"/>
  <c r="D7" i="9"/>
  <c r="C12" i="6"/>
  <c r="C13" i="6"/>
  <c r="B14" i="11"/>
  <c r="B25" i="11"/>
  <c r="B34" i="11"/>
  <c r="E45" i="11"/>
  <c r="J45" i="11"/>
  <c r="E48" i="11"/>
  <c r="G48" i="11" s="1"/>
  <c r="J48" i="11"/>
  <c r="E49" i="11"/>
  <c r="E50" i="11"/>
  <c r="G50" i="11" s="1"/>
  <c r="J50" i="11"/>
  <c r="E51" i="11"/>
  <c r="C13" i="9"/>
  <c r="B4" i="19" s="1"/>
  <c r="D13" i="9"/>
  <c r="C12" i="9"/>
  <c r="D12" i="9"/>
  <c r="C11" i="9"/>
  <c r="D11" i="9"/>
  <c r="B14" i="10"/>
  <c r="B25" i="10"/>
  <c r="B34" i="10"/>
  <c r="E45" i="10"/>
  <c r="E48" i="10"/>
  <c r="E49" i="10"/>
  <c r="E50" i="10"/>
  <c r="I50" i="10" s="1"/>
  <c r="E51" i="10"/>
  <c r="B14" i="9"/>
  <c r="D14" i="9" s="1"/>
  <c r="C17" i="9"/>
  <c r="D17" i="9" s="1"/>
  <c r="C18" i="9"/>
  <c r="D18" i="9" s="1"/>
  <c r="B8" i="9"/>
  <c r="D8" i="9" s="1"/>
  <c r="B20" i="9"/>
  <c r="D20" i="9" s="1"/>
  <c r="E45" i="2"/>
  <c r="E50" i="2"/>
  <c r="E48" i="2"/>
  <c r="E49" i="2"/>
  <c r="E51" i="2"/>
  <c r="C15" i="6"/>
  <c r="C14" i="6"/>
  <c r="C26" i="6"/>
  <c r="B14" i="2"/>
  <c r="B34" i="2"/>
  <c r="B25" i="2"/>
  <c r="C19" i="6"/>
  <c r="B29" i="2"/>
  <c r="C30" i="6"/>
  <c r="B19" i="2"/>
  <c r="C24" i="6"/>
  <c r="G48" i="2"/>
  <c r="G51" i="2"/>
  <c r="C18" i="17"/>
  <c r="B14" i="17"/>
  <c r="F13" i="17"/>
  <c r="B21" i="16"/>
  <c r="B27" i="16" s="1"/>
  <c r="G50" i="10"/>
  <c r="J50" i="10"/>
  <c r="I45" i="11"/>
  <c r="B36" i="16"/>
  <c r="E36" i="16" s="1"/>
  <c r="J49" i="10"/>
  <c r="G45" i="11"/>
  <c r="I50" i="11"/>
  <c r="F11" i="16"/>
  <c r="B13" i="16"/>
  <c r="B39" i="16"/>
  <c r="B40" i="16" s="1"/>
  <c r="E40" i="16" s="1"/>
  <c r="C13" i="16"/>
  <c r="C14" i="16"/>
  <c r="F14" i="16" s="1"/>
  <c r="F40" i="16"/>
  <c r="B14" i="16"/>
  <c r="F13" i="16"/>
  <c r="B29" i="19"/>
  <c r="B29" i="10"/>
  <c r="I51" i="2"/>
  <c r="J51" i="2"/>
  <c r="G50" i="2"/>
  <c r="I50" i="2"/>
  <c r="J50" i="2"/>
  <c r="G51" i="10"/>
  <c r="J51" i="10"/>
  <c r="J48" i="10"/>
  <c r="J29" i="20"/>
  <c r="G29" i="20"/>
  <c r="I49" i="19"/>
  <c r="I51" i="19"/>
  <c r="E55" i="17"/>
  <c r="F55" i="17"/>
  <c r="B57" i="17"/>
  <c r="G48" i="10"/>
  <c r="B61" i="17"/>
  <c r="I29" i="20"/>
  <c r="F36" i="20"/>
  <c r="J36" i="20" s="1"/>
  <c r="C5" i="20"/>
  <c r="C6" i="20" s="1"/>
  <c r="C7" i="20" s="1"/>
  <c r="F49" i="20"/>
  <c r="F51" i="20"/>
  <c r="F42" i="20"/>
  <c r="F50" i="20"/>
  <c r="F40" i="20"/>
  <c r="F52" i="20"/>
  <c r="J45" i="2"/>
  <c r="G45" i="10"/>
  <c r="J49" i="11"/>
  <c r="D13" i="16"/>
  <c r="D17" i="16"/>
  <c r="B18" i="16"/>
  <c r="C25" i="17"/>
  <c r="B45" i="17"/>
  <c r="E45" i="17" s="1"/>
  <c r="F45" i="17"/>
  <c r="B19" i="18"/>
  <c r="J45" i="19"/>
  <c r="I12" i="20"/>
  <c r="I15" i="20" s="1"/>
  <c r="J12" i="20"/>
  <c r="B32" i="20"/>
  <c r="E32" i="20" s="1"/>
  <c r="E28" i="20"/>
  <c r="J30" i="20"/>
  <c r="G32" i="20"/>
  <c r="D21" i="16"/>
  <c r="D23" i="16"/>
  <c r="D18" i="16"/>
  <c r="B62" i="17"/>
  <c r="E62" i="17" s="1"/>
  <c r="F62" i="17"/>
  <c r="B67" i="17"/>
  <c r="E67" i="17"/>
  <c r="F67" i="17" s="1"/>
  <c r="F74" i="17" s="1"/>
  <c r="E61" i="17"/>
  <c r="F61" i="17" s="1"/>
  <c r="B65" i="17"/>
  <c r="J28" i="20"/>
  <c r="F28" i="20"/>
  <c r="G28" i="20"/>
  <c r="H28" i="20"/>
  <c r="I28" i="20"/>
  <c r="B25" i="16"/>
  <c r="E57" i="17"/>
  <c r="F57" i="17"/>
  <c r="B58" i="17"/>
  <c r="E58" i="17"/>
  <c r="B69" i="17"/>
  <c r="E69" i="17" s="1"/>
  <c r="F69" i="17"/>
  <c r="B71" i="17"/>
  <c r="E71" i="17"/>
  <c r="F71" i="17" s="1"/>
  <c r="B8" i="19"/>
  <c r="H49" i="19"/>
  <c r="H39" i="20" l="1"/>
  <c r="H44" i="20" s="1"/>
  <c r="J39" i="20"/>
  <c r="F39" i="20"/>
  <c r="G39" i="20"/>
  <c r="I39" i="20"/>
  <c r="I44" i="20" s="1"/>
  <c r="D41" i="19"/>
  <c r="E41" i="19" s="1"/>
  <c r="H45" i="19"/>
  <c r="H51" i="19"/>
  <c r="H50" i="19"/>
  <c r="D39" i="19"/>
  <c r="H48" i="19"/>
  <c r="G57" i="17"/>
  <c r="C5" i="19" s="1"/>
  <c r="F73" i="17"/>
  <c r="D14" i="16"/>
  <c r="D27" i="16" s="1"/>
  <c r="D30" i="16" s="1"/>
  <c r="D25" i="16"/>
  <c r="I49" i="10"/>
  <c r="G49" i="10"/>
  <c r="G51" i="11"/>
  <c r="I51" i="11"/>
  <c r="J51" i="11"/>
  <c r="B28" i="2"/>
  <c r="C17" i="6"/>
  <c r="B30" i="2" s="1"/>
  <c r="D12" i="6"/>
  <c r="C18" i="6"/>
  <c r="C20" i="6" s="1"/>
  <c r="D19" i="20"/>
  <c r="E14" i="20"/>
  <c r="D20" i="20"/>
  <c r="D18" i="20"/>
  <c r="E18" i="20" s="1"/>
  <c r="J41" i="20"/>
  <c r="H41" i="20"/>
  <c r="I41" i="20"/>
  <c r="F41" i="20"/>
  <c r="G41" i="20"/>
  <c r="F32" i="20"/>
  <c r="H32" i="20"/>
  <c r="I32" i="20"/>
  <c r="J32" i="20"/>
  <c r="C25" i="6"/>
  <c r="C28" i="6" s="1"/>
  <c r="B20" i="2" s="1"/>
  <c r="G49" i="2"/>
  <c r="I49" i="2"/>
  <c r="J49" i="2"/>
  <c r="B21" i="17"/>
  <c r="B27" i="17" s="1"/>
  <c r="F17" i="17"/>
  <c r="B23" i="17"/>
  <c r="B18" i="17"/>
  <c r="J45" i="18"/>
  <c r="I45" i="18"/>
  <c r="I51" i="18"/>
  <c r="J51" i="18"/>
  <c r="G51" i="18"/>
  <c r="G45" i="19"/>
  <c r="I45" i="19"/>
  <c r="J51" i="19"/>
  <c r="G51" i="19"/>
  <c r="G36" i="20"/>
  <c r="H36" i="20"/>
  <c r="I36" i="20"/>
  <c r="B29" i="11"/>
  <c r="B29" i="18"/>
  <c r="I48" i="2"/>
  <c r="J48" i="2"/>
  <c r="C19" i="9"/>
  <c r="D19" i="9" s="1"/>
  <c r="I51" i="10"/>
  <c r="I48" i="10"/>
  <c r="B47" i="16"/>
  <c r="E47" i="16" s="1"/>
  <c r="F47" i="16" s="1"/>
  <c r="E35" i="16"/>
  <c r="F35" i="16" s="1"/>
  <c r="F17" i="16"/>
  <c r="B23" i="16"/>
  <c r="C23" i="17"/>
  <c r="C21" i="17"/>
  <c r="C27" i="17" s="1"/>
  <c r="D17" i="17"/>
  <c r="D13" i="17"/>
  <c r="J48" i="19"/>
  <c r="G48" i="19"/>
  <c r="I48" i="19"/>
  <c r="D31" i="20"/>
  <c r="B45" i="16"/>
  <c r="E45" i="16" s="1"/>
  <c r="F45" i="16" s="1"/>
  <c r="E39" i="16"/>
  <c r="F39" i="16" s="1"/>
  <c r="J45" i="10"/>
  <c r="I45" i="10"/>
  <c r="B57" i="16"/>
  <c r="B61" i="16"/>
  <c r="I49" i="18"/>
  <c r="J49" i="18"/>
  <c r="G49" i="18"/>
  <c r="F29" i="20"/>
  <c r="H29" i="20"/>
  <c r="E13" i="20"/>
  <c r="F12" i="20"/>
  <c r="G12" i="20"/>
  <c r="B43" i="16"/>
  <c r="B49" i="16" s="1"/>
  <c r="E49" i="16" s="1"/>
  <c r="F49" i="16" s="1"/>
  <c r="B19" i="10"/>
  <c r="B19" i="19"/>
  <c r="B19" i="11"/>
  <c r="G45" i="2"/>
  <c r="I45" i="2"/>
  <c r="I49" i="11"/>
  <c r="G49" i="11"/>
  <c r="E55" i="16"/>
  <c r="F55" i="16" s="1"/>
  <c r="C23" i="16"/>
  <c r="C18" i="16"/>
  <c r="C21" i="16"/>
  <c r="C27" i="16" s="1"/>
  <c r="F27" i="16" s="1"/>
  <c r="E35" i="17"/>
  <c r="F35" i="17" s="1"/>
  <c r="B36" i="17"/>
  <c r="E36" i="17" s="1"/>
  <c r="E39" i="17"/>
  <c r="F39" i="17" s="1"/>
  <c r="B40" i="17"/>
  <c r="E40" i="17" s="1"/>
  <c r="F40" i="17" s="1"/>
  <c r="G50" i="19"/>
  <c r="I50" i="19"/>
  <c r="J50" i="19"/>
  <c r="H12" i="20"/>
  <c r="H15" i="20" s="1"/>
  <c r="I30" i="20"/>
  <c r="F30" i="20"/>
  <c r="H30" i="20"/>
  <c r="G30" i="20"/>
  <c r="B20" i="11" l="1"/>
  <c r="B20" i="19"/>
  <c r="B20" i="18"/>
  <c r="B20" i="10"/>
  <c r="B8" i="2"/>
  <c r="C25" i="16"/>
  <c r="F25" i="16" s="1"/>
  <c r="F18" i="16"/>
  <c r="G35" i="16"/>
  <c r="F51" i="16"/>
  <c r="F18" i="17"/>
  <c r="B25" i="17"/>
  <c r="F25" i="17" s="1"/>
  <c r="D24" i="20"/>
  <c r="E24" i="20" s="1"/>
  <c r="E20" i="20"/>
  <c r="C29" i="6"/>
  <c r="C31" i="6" s="1"/>
  <c r="B30" i="11"/>
  <c r="B30" i="19"/>
  <c r="B30" i="18"/>
  <c r="B30" i="10"/>
  <c r="B40" i="19"/>
  <c r="E40" i="19" s="1"/>
  <c r="E39" i="19"/>
  <c r="H41" i="19"/>
  <c r="I41" i="19"/>
  <c r="J41" i="19"/>
  <c r="G41" i="19"/>
  <c r="B47" i="17"/>
  <c r="E47" i="17" s="1"/>
  <c r="F47" i="17" s="1"/>
  <c r="J13" i="20"/>
  <c r="F13" i="20"/>
  <c r="G13" i="20"/>
  <c r="I13" i="20"/>
  <c r="H13" i="20"/>
  <c r="E15" i="20"/>
  <c r="D35" i="20"/>
  <c r="E35" i="20" s="1"/>
  <c r="E37" i="20" s="1"/>
  <c r="E31" i="20"/>
  <c r="D14" i="17"/>
  <c r="F23" i="16"/>
  <c r="F30" i="16" s="1"/>
  <c r="F23" i="17"/>
  <c r="F14" i="20"/>
  <c r="F15" i="20" s="1"/>
  <c r="H14" i="20"/>
  <c r="I14" i="20"/>
  <c r="G14" i="20"/>
  <c r="J14" i="20"/>
  <c r="B18" i="2"/>
  <c r="B31" i="2"/>
  <c r="B28" i="18"/>
  <c r="B28" i="11"/>
  <c r="B28" i="10"/>
  <c r="B28" i="19"/>
  <c r="B49" i="17"/>
  <c r="E49" i="17" s="1"/>
  <c r="F49" i="17" s="1"/>
  <c r="D43" i="20"/>
  <c r="E43" i="20" s="1"/>
  <c r="E19" i="20"/>
  <c r="D25" i="20"/>
  <c r="E25" i="20" s="1"/>
  <c r="E21" i="20"/>
  <c r="C6" i="19"/>
  <c r="C7" i="19" s="1"/>
  <c r="D28" i="19" s="1"/>
  <c r="D38" i="19"/>
  <c r="E38" i="19" s="1"/>
  <c r="D12" i="19"/>
  <c r="B5" i="19"/>
  <c r="B58" i="16"/>
  <c r="E58" i="16" s="1"/>
  <c r="E57" i="16"/>
  <c r="F57" i="16" s="1"/>
  <c r="B8" i="10"/>
  <c r="F52" i="16"/>
  <c r="D23" i="17"/>
  <c r="D21" i="17"/>
  <c r="D27" i="17" s="1"/>
  <c r="D30" i="17" s="1"/>
  <c r="D18" i="17"/>
  <c r="D25" i="17" s="1"/>
  <c r="G15" i="20"/>
  <c r="B62" i="16"/>
  <c r="E62" i="16" s="1"/>
  <c r="F62" i="16" s="1"/>
  <c r="E61" i="16"/>
  <c r="F61" i="16" s="1"/>
  <c r="B67" i="16"/>
  <c r="E67" i="16" s="1"/>
  <c r="F67" i="16" s="1"/>
  <c r="B65" i="16"/>
  <c r="B71" i="16" s="1"/>
  <c r="E71" i="16" s="1"/>
  <c r="F71" i="16" s="1"/>
  <c r="F27" i="17"/>
  <c r="F30" i="17" s="1"/>
  <c r="G18" i="20"/>
  <c r="F18" i="20"/>
  <c r="H18" i="20"/>
  <c r="H37" i="20" s="1"/>
  <c r="H54" i="20" s="1"/>
  <c r="I18" i="20"/>
  <c r="I37" i="20" s="1"/>
  <c r="J18" i="20"/>
  <c r="I54" i="20"/>
  <c r="B18" i="18" l="1"/>
  <c r="B18" i="10"/>
  <c r="B18" i="19"/>
  <c r="B21" i="2"/>
  <c r="B18" i="11"/>
  <c r="F49" i="19"/>
  <c r="F50" i="19"/>
  <c r="B6" i="19"/>
  <c r="B7" i="19" s="1"/>
  <c r="F48" i="19"/>
  <c r="F45" i="19"/>
  <c r="F51" i="19"/>
  <c r="H21" i="20"/>
  <c r="G21" i="20"/>
  <c r="F21" i="20"/>
  <c r="J21" i="20"/>
  <c r="I21" i="20"/>
  <c r="F51" i="17"/>
  <c r="G35" i="17"/>
  <c r="C5" i="18" s="1"/>
  <c r="F29" i="16"/>
  <c r="G13" i="16"/>
  <c r="C5" i="2" s="1"/>
  <c r="E28" i="19"/>
  <c r="D29" i="19"/>
  <c r="G40" i="19"/>
  <c r="I40" i="19"/>
  <c r="F40" i="19"/>
  <c r="H40" i="19"/>
  <c r="J40" i="19"/>
  <c r="F74" i="16"/>
  <c r="B8" i="11"/>
  <c r="B69" i="16"/>
  <c r="E69" i="16" s="1"/>
  <c r="F69" i="16" s="1"/>
  <c r="E12" i="19"/>
  <c r="D13" i="19"/>
  <c r="D14" i="19" s="1"/>
  <c r="F25" i="20"/>
  <c r="I25" i="20"/>
  <c r="H25" i="20"/>
  <c r="J25" i="20"/>
  <c r="G25" i="20"/>
  <c r="B8" i="18"/>
  <c r="F52" i="17"/>
  <c r="F41" i="19"/>
  <c r="G20" i="20"/>
  <c r="F20" i="20"/>
  <c r="J20" i="20"/>
  <c r="H20" i="20"/>
  <c r="I20" i="20"/>
  <c r="D39" i="2"/>
  <c r="D41" i="2"/>
  <c r="E41" i="2" s="1"/>
  <c r="H50" i="2"/>
  <c r="H51" i="2"/>
  <c r="H48" i="2"/>
  <c r="H45" i="2"/>
  <c r="H49" i="2"/>
  <c r="G43" i="20"/>
  <c r="I43" i="20"/>
  <c r="H43" i="20"/>
  <c r="J43" i="20"/>
  <c r="J44" i="20" s="1"/>
  <c r="F43" i="20"/>
  <c r="F44" i="20" s="1"/>
  <c r="E44" i="20"/>
  <c r="J35" i="20"/>
  <c r="H35" i="20"/>
  <c r="G35" i="20"/>
  <c r="I35" i="20"/>
  <c r="F35" i="20"/>
  <c r="F29" i="17"/>
  <c r="G13" i="17"/>
  <c r="H48" i="10"/>
  <c r="D41" i="10"/>
  <c r="E41" i="10" s="1"/>
  <c r="D39" i="10"/>
  <c r="H51" i="10"/>
  <c r="H50" i="10"/>
  <c r="H45" i="10"/>
  <c r="H49" i="10"/>
  <c r="H38" i="19"/>
  <c r="G38" i="19"/>
  <c r="I38" i="19"/>
  <c r="F38" i="19"/>
  <c r="J38" i="19"/>
  <c r="I19" i="20"/>
  <c r="F19" i="20"/>
  <c r="G19" i="20"/>
  <c r="J19" i="20"/>
  <c r="J37" i="20" s="1"/>
  <c r="H19" i="20"/>
  <c r="B31" i="18"/>
  <c r="B31" i="10"/>
  <c r="B31" i="19"/>
  <c r="E31" i="19" s="1"/>
  <c r="B31" i="11"/>
  <c r="F31" i="20"/>
  <c r="F37" i="20" s="1"/>
  <c r="I31" i="20"/>
  <c r="G31" i="20"/>
  <c r="J31" i="20"/>
  <c r="H31" i="20"/>
  <c r="J15" i="20"/>
  <c r="I39" i="19"/>
  <c r="F39" i="19"/>
  <c r="H39" i="19"/>
  <c r="J39" i="19"/>
  <c r="G39" i="19"/>
  <c r="G24" i="20"/>
  <c r="I24" i="20"/>
  <c r="H24" i="20"/>
  <c r="J24" i="20"/>
  <c r="F24" i="20"/>
  <c r="C5" i="10"/>
  <c r="C6" i="10"/>
  <c r="C7" i="10"/>
  <c r="D28" i="10" s="1"/>
  <c r="D38" i="10" l="1"/>
  <c r="E38" i="10" s="1"/>
  <c r="D12" i="10"/>
  <c r="B5" i="10"/>
  <c r="F31" i="19"/>
  <c r="J31" i="19"/>
  <c r="G31" i="19"/>
  <c r="I31" i="19"/>
  <c r="H31" i="19"/>
  <c r="H50" i="11"/>
  <c r="H48" i="11"/>
  <c r="H45" i="11"/>
  <c r="D41" i="11"/>
  <c r="E41" i="11" s="1"/>
  <c r="D39" i="11"/>
  <c r="H49" i="11"/>
  <c r="H51" i="11"/>
  <c r="D35" i="19"/>
  <c r="E35" i="19" s="1"/>
  <c r="D30" i="19"/>
  <c r="E29" i="19"/>
  <c r="D12" i="18"/>
  <c r="D38" i="18"/>
  <c r="E38" i="18" s="1"/>
  <c r="C6" i="18"/>
  <c r="C7" i="18" s="1"/>
  <c r="D28" i="18" s="1"/>
  <c r="B5" i="18"/>
  <c r="G37" i="20"/>
  <c r="G44" i="20" s="1"/>
  <c r="J28" i="19"/>
  <c r="H28" i="19"/>
  <c r="G28" i="19"/>
  <c r="I28" i="19"/>
  <c r="F28" i="19"/>
  <c r="E39" i="10"/>
  <c r="B40" i="10"/>
  <c r="E40" i="10" s="1"/>
  <c r="E47" i="20"/>
  <c r="B48" i="20"/>
  <c r="E48" i="20" s="1"/>
  <c r="G41" i="2"/>
  <c r="H41" i="2"/>
  <c r="F41" i="2"/>
  <c r="J41" i="2"/>
  <c r="I41" i="2"/>
  <c r="E13" i="19"/>
  <c r="H12" i="19"/>
  <c r="G12" i="19"/>
  <c r="I12" i="19"/>
  <c r="J12" i="19"/>
  <c r="F12" i="19"/>
  <c r="B5" i="2"/>
  <c r="D12" i="2"/>
  <c r="C6" i="2"/>
  <c r="C7" i="2" s="1"/>
  <c r="D38" i="2"/>
  <c r="E38" i="2" s="1"/>
  <c r="D19" i="19"/>
  <c r="D18" i="19"/>
  <c r="E18" i="19" s="1"/>
  <c r="E14" i="19"/>
  <c r="D20" i="19"/>
  <c r="D29" i="10"/>
  <c r="E28" i="10"/>
  <c r="G41" i="10"/>
  <c r="I41" i="10"/>
  <c r="J41" i="10"/>
  <c r="H41" i="10"/>
  <c r="E39" i="2"/>
  <c r="B40" i="2"/>
  <c r="E40" i="2" s="1"/>
  <c r="D41" i="18"/>
  <c r="E41" i="18" s="1"/>
  <c r="H50" i="18"/>
  <c r="H48" i="18"/>
  <c r="H45" i="18"/>
  <c r="H49" i="18"/>
  <c r="H51" i="18"/>
  <c r="D39" i="18"/>
  <c r="F73" i="16"/>
  <c r="G57" i="16"/>
  <c r="C5" i="11" s="1"/>
  <c r="B21" i="11"/>
  <c r="B21" i="19"/>
  <c r="B21" i="10"/>
  <c r="B21" i="18"/>
  <c r="J14" i="19" l="1"/>
  <c r="I14" i="19"/>
  <c r="I15" i="19" s="1"/>
  <c r="F14" i="19"/>
  <c r="H14" i="19"/>
  <c r="G14" i="19"/>
  <c r="B6" i="18"/>
  <c r="B7" i="18" s="1"/>
  <c r="F50" i="18"/>
  <c r="F51" i="18"/>
  <c r="F48" i="18"/>
  <c r="F49" i="18"/>
  <c r="F45" i="18"/>
  <c r="F48" i="10"/>
  <c r="F45" i="10"/>
  <c r="F50" i="10"/>
  <c r="F51" i="10"/>
  <c r="B6" i="10"/>
  <c r="B7" i="10" s="1"/>
  <c r="F49" i="10"/>
  <c r="E21" i="19"/>
  <c r="E39" i="18"/>
  <c r="B40" i="18"/>
  <c r="E40" i="18" s="1"/>
  <c r="J39" i="2"/>
  <c r="F39" i="2"/>
  <c r="I39" i="2"/>
  <c r="H39" i="2"/>
  <c r="G39" i="2"/>
  <c r="F41" i="10"/>
  <c r="J28" i="10"/>
  <c r="H28" i="10"/>
  <c r="F28" i="10"/>
  <c r="G28" i="10"/>
  <c r="I28" i="10"/>
  <c r="G18" i="19"/>
  <c r="I18" i="19"/>
  <c r="F18" i="19"/>
  <c r="J18" i="19"/>
  <c r="H18" i="19"/>
  <c r="E36" i="19"/>
  <c r="D13" i="2"/>
  <c r="D14" i="2" s="1"/>
  <c r="E12" i="2"/>
  <c r="J13" i="19"/>
  <c r="J15" i="19" s="1"/>
  <c r="I13" i="19"/>
  <c r="G13" i="19"/>
  <c r="H13" i="19"/>
  <c r="F13" i="19"/>
  <c r="F15" i="19" s="1"/>
  <c r="H47" i="20"/>
  <c r="J47" i="20"/>
  <c r="F47" i="20"/>
  <c r="G47" i="20"/>
  <c r="G53" i="20" s="1"/>
  <c r="G54" i="20" s="1"/>
  <c r="E53" i="20"/>
  <c r="E54" i="20" s="1"/>
  <c r="I47" i="20"/>
  <c r="E28" i="18"/>
  <c r="D29" i="18"/>
  <c r="E30" i="19"/>
  <c r="D34" i="19"/>
  <c r="E34" i="19" s="1"/>
  <c r="B40" i="11"/>
  <c r="E40" i="11" s="1"/>
  <c r="E39" i="11"/>
  <c r="E12" i="10"/>
  <c r="D13" i="10"/>
  <c r="D14" i="10" s="1"/>
  <c r="H15" i="19"/>
  <c r="E29" i="10"/>
  <c r="D35" i="10"/>
  <c r="E35" i="10" s="1"/>
  <c r="D30" i="10"/>
  <c r="D42" i="19"/>
  <c r="E42" i="19" s="1"/>
  <c r="E19" i="19"/>
  <c r="D25" i="19"/>
  <c r="E25" i="19" s="1"/>
  <c r="F48" i="2"/>
  <c r="F50" i="2"/>
  <c r="F51" i="2"/>
  <c r="F45" i="2"/>
  <c r="B6" i="2"/>
  <c r="B7" i="2" s="1"/>
  <c r="F49" i="2"/>
  <c r="H40" i="10"/>
  <c r="J40" i="10"/>
  <c r="I40" i="10"/>
  <c r="F40" i="10"/>
  <c r="G40" i="10"/>
  <c r="E31" i="10"/>
  <c r="G38" i="18"/>
  <c r="H38" i="18"/>
  <c r="J38" i="18"/>
  <c r="F38" i="18"/>
  <c r="I38" i="18"/>
  <c r="G35" i="19"/>
  <c r="F35" i="19"/>
  <c r="J35" i="19" s="1"/>
  <c r="I35" i="19"/>
  <c r="H35" i="19"/>
  <c r="I41" i="11"/>
  <c r="F41" i="11"/>
  <c r="J41" i="11"/>
  <c r="G41" i="11"/>
  <c r="H41" i="11"/>
  <c r="J38" i="10"/>
  <c r="I38" i="10"/>
  <c r="G38" i="10"/>
  <c r="H38" i="10"/>
  <c r="F38" i="10"/>
  <c r="F40" i="2"/>
  <c r="I40" i="2"/>
  <c r="J40" i="2"/>
  <c r="G40" i="2"/>
  <c r="H40" i="2"/>
  <c r="J48" i="20"/>
  <c r="H48" i="20"/>
  <c r="I48" i="20"/>
  <c r="F48" i="20"/>
  <c r="H29" i="19"/>
  <c r="F29" i="19"/>
  <c r="G29" i="19"/>
  <c r="J29" i="19"/>
  <c r="I29" i="19"/>
  <c r="D38" i="11"/>
  <c r="E38" i="11" s="1"/>
  <c r="C6" i="11"/>
  <c r="C7" i="11" s="1"/>
  <c r="B5" i="11"/>
  <c r="D12" i="11"/>
  <c r="G41" i="18"/>
  <c r="J41" i="18"/>
  <c r="I41" i="18"/>
  <c r="H41" i="18"/>
  <c r="F41" i="18"/>
  <c r="D24" i="19"/>
  <c r="E24" i="19" s="1"/>
  <c r="E20" i="19"/>
  <c r="F38" i="2"/>
  <c r="G38" i="2"/>
  <c r="H38" i="2"/>
  <c r="J38" i="2"/>
  <c r="I38" i="2"/>
  <c r="E15" i="19"/>
  <c r="G15" i="19"/>
  <c r="F39" i="10"/>
  <c r="J39" i="10"/>
  <c r="H39" i="10"/>
  <c r="G39" i="10"/>
  <c r="I39" i="10"/>
  <c r="E12" i="18"/>
  <c r="D13" i="18"/>
  <c r="D14" i="18" s="1"/>
  <c r="E12" i="11" l="1"/>
  <c r="D13" i="11"/>
  <c r="D14" i="11" s="1"/>
  <c r="D34" i="10"/>
  <c r="E34" i="10" s="1"/>
  <c r="E30" i="10"/>
  <c r="H39" i="11"/>
  <c r="J39" i="11"/>
  <c r="F39" i="11"/>
  <c r="I39" i="11"/>
  <c r="G39" i="11"/>
  <c r="D30" i="18"/>
  <c r="E29" i="18"/>
  <c r="D35" i="18"/>
  <c r="E35" i="18" s="1"/>
  <c r="E31" i="18"/>
  <c r="J12" i="18"/>
  <c r="F12" i="18"/>
  <c r="G12" i="18"/>
  <c r="I12" i="18"/>
  <c r="E13" i="18"/>
  <c r="H12" i="18"/>
  <c r="J38" i="11"/>
  <c r="G38" i="11"/>
  <c r="H38" i="11"/>
  <c r="I38" i="11"/>
  <c r="F38" i="11"/>
  <c r="I42" i="19"/>
  <c r="I43" i="19" s="1"/>
  <c r="H42" i="19"/>
  <c r="H43" i="19" s="1"/>
  <c r="F42" i="19"/>
  <c r="F43" i="19" s="1"/>
  <c r="G42" i="19"/>
  <c r="J42" i="19"/>
  <c r="J43" i="19" s="1"/>
  <c r="E43" i="19"/>
  <c r="E13" i="10"/>
  <c r="J12" i="10"/>
  <c r="G12" i="10"/>
  <c r="F12" i="10"/>
  <c r="I12" i="10"/>
  <c r="H12" i="10"/>
  <c r="F30" i="19"/>
  <c r="G30" i="19"/>
  <c r="I30" i="19"/>
  <c r="H30" i="19"/>
  <c r="J30" i="19"/>
  <c r="B55" i="20"/>
  <c r="D19" i="2"/>
  <c r="E14" i="2"/>
  <c r="D18" i="2"/>
  <c r="D20" i="2"/>
  <c r="F21" i="19"/>
  <c r="H21" i="19"/>
  <c r="G21" i="19"/>
  <c r="I21" i="19"/>
  <c r="J21" i="19"/>
  <c r="I31" i="10"/>
  <c r="F31" i="10"/>
  <c r="J31" i="10"/>
  <c r="G31" i="10"/>
  <c r="H31" i="10"/>
  <c r="I36" i="19"/>
  <c r="B6" i="11"/>
  <c r="B7" i="11" s="1"/>
  <c r="F49" i="11"/>
  <c r="F45" i="11"/>
  <c r="F48" i="11"/>
  <c r="F50" i="11"/>
  <c r="F51" i="11"/>
  <c r="J25" i="19"/>
  <c r="I25" i="19"/>
  <c r="F25" i="19"/>
  <c r="G25" i="19"/>
  <c r="H25" i="19"/>
  <c r="I35" i="10"/>
  <c r="F35" i="10"/>
  <c r="J35" i="10" s="1"/>
  <c r="G35" i="10"/>
  <c r="H35" i="10"/>
  <c r="H40" i="11"/>
  <c r="I40" i="11"/>
  <c r="J40" i="11"/>
  <c r="G40" i="11"/>
  <c r="F40" i="11"/>
  <c r="H28" i="18"/>
  <c r="I28" i="18"/>
  <c r="F28" i="18"/>
  <c r="J28" i="18"/>
  <c r="G28" i="18"/>
  <c r="F53" i="20"/>
  <c r="F54" i="20" s="1"/>
  <c r="G40" i="18"/>
  <c r="F40" i="18"/>
  <c r="H40" i="18"/>
  <c r="I40" i="18"/>
  <c r="J40" i="18"/>
  <c r="F20" i="19"/>
  <c r="I20" i="19"/>
  <c r="J20" i="19"/>
  <c r="G20" i="19"/>
  <c r="H20" i="19"/>
  <c r="E14" i="18"/>
  <c r="D19" i="18"/>
  <c r="D20" i="18"/>
  <c r="D18" i="18"/>
  <c r="E18" i="18" s="1"/>
  <c r="H24" i="19"/>
  <c r="F24" i="19"/>
  <c r="G24" i="19"/>
  <c r="J24" i="19"/>
  <c r="I24" i="19"/>
  <c r="I19" i="19"/>
  <c r="F19" i="19"/>
  <c r="F36" i="19" s="1"/>
  <c r="J19" i="19"/>
  <c r="J36" i="19" s="1"/>
  <c r="G19" i="19"/>
  <c r="G36" i="19" s="1"/>
  <c r="H19" i="19"/>
  <c r="H36" i="19" s="1"/>
  <c r="I29" i="10"/>
  <c r="H29" i="10"/>
  <c r="J29" i="10"/>
  <c r="G29" i="10"/>
  <c r="F29" i="10"/>
  <c r="D20" i="10"/>
  <c r="D19" i="10"/>
  <c r="E14" i="10"/>
  <c r="D18" i="10"/>
  <c r="E18" i="10" s="1"/>
  <c r="F34" i="19"/>
  <c r="H34" i="19"/>
  <c r="I34" i="19"/>
  <c r="G34" i="19"/>
  <c r="J34" i="19"/>
  <c r="J53" i="20"/>
  <c r="J54" i="20" s="1"/>
  <c r="E13" i="2"/>
  <c r="G12" i="2"/>
  <c r="E15" i="2"/>
  <c r="I12" i="2"/>
  <c r="H12" i="2"/>
  <c r="J12" i="2"/>
  <c r="F12" i="2"/>
  <c r="I39" i="18"/>
  <c r="F39" i="18"/>
  <c r="H39" i="18"/>
  <c r="J39" i="18"/>
  <c r="G39" i="18"/>
  <c r="D24" i="18" l="1"/>
  <c r="E24" i="18" s="1"/>
  <c r="E20" i="18"/>
  <c r="E20" i="2"/>
  <c r="D24" i="2"/>
  <c r="E24" i="2" s="1"/>
  <c r="H31" i="18"/>
  <c r="I31" i="18"/>
  <c r="G31" i="18"/>
  <c r="F31" i="18"/>
  <c r="J31" i="18"/>
  <c r="J18" i="10"/>
  <c r="H18" i="10"/>
  <c r="I18" i="10"/>
  <c r="F18" i="10"/>
  <c r="G18" i="10"/>
  <c r="D42" i="18"/>
  <c r="E42" i="18" s="1"/>
  <c r="E19" i="18"/>
  <c r="D25" i="18"/>
  <c r="E25" i="18" s="1"/>
  <c r="E21" i="18"/>
  <c r="G43" i="19"/>
  <c r="D28" i="2"/>
  <c r="E18" i="2"/>
  <c r="B56" i="20"/>
  <c r="E56" i="20" s="1"/>
  <c r="E55" i="20"/>
  <c r="I13" i="10"/>
  <c r="F13" i="10"/>
  <c r="J13" i="10"/>
  <c r="H13" i="10"/>
  <c r="H15" i="10" s="1"/>
  <c r="G13" i="10"/>
  <c r="G35" i="18"/>
  <c r="I35" i="18"/>
  <c r="H35" i="18"/>
  <c r="F35" i="18"/>
  <c r="J35" i="18" s="1"/>
  <c r="J30" i="10"/>
  <c r="H30" i="10"/>
  <c r="G30" i="10"/>
  <c r="I30" i="10"/>
  <c r="F30" i="10"/>
  <c r="D20" i="11"/>
  <c r="D19" i="11"/>
  <c r="D18" i="11"/>
  <c r="E14" i="11"/>
  <c r="H15" i="2"/>
  <c r="G14" i="10"/>
  <c r="J14" i="10"/>
  <c r="J15" i="10" s="1"/>
  <c r="I14" i="10"/>
  <c r="F14" i="10"/>
  <c r="F15" i="10" s="1"/>
  <c r="H14" i="10"/>
  <c r="H14" i="18"/>
  <c r="I14" i="18"/>
  <c r="F14" i="18"/>
  <c r="F15" i="18" s="1"/>
  <c r="J14" i="18"/>
  <c r="G14" i="18"/>
  <c r="F14" i="2"/>
  <c r="J14" i="2"/>
  <c r="I14" i="2"/>
  <c r="G14" i="2"/>
  <c r="H14" i="2"/>
  <c r="E15" i="10"/>
  <c r="B46" i="19"/>
  <c r="E46" i="19"/>
  <c r="B47" i="19"/>
  <c r="E47" i="19" s="1"/>
  <c r="G13" i="18"/>
  <c r="G15" i="18" s="1"/>
  <c r="H13" i="18"/>
  <c r="H15" i="18" s="1"/>
  <c r="I13" i="18"/>
  <c r="I15" i="18" s="1"/>
  <c r="F13" i="18"/>
  <c r="J13" i="18"/>
  <c r="J15" i="18" s="1"/>
  <c r="J29" i="18"/>
  <c r="F29" i="18"/>
  <c r="I29" i="18"/>
  <c r="H29" i="18"/>
  <c r="G29" i="18"/>
  <c r="H34" i="10"/>
  <c r="F34" i="10"/>
  <c r="G34" i="10"/>
  <c r="I34" i="10"/>
  <c r="J34" i="10"/>
  <c r="F12" i="11"/>
  <c r="E13" i="11"/>
  <c r="H12" i="11"/>
  <c r="E15" i="11"/>
  <c r="I12" i="11"/>
  <c r="J12" i="11"/>
  <c r="G12" i="11"/>
  <c r="E20" i="10"/>
  <c r="E36" i="10" s="1"/>
  <c r="D24" i="10"/>
  <c r="E24" i="10" s="1"/>
  <c r="I15" i="10"/>
  <c r="J13" i="2"/>
  <c r="J15" i="2" s="1"/>
  <c r="I13" i="2"/>
  <c r="G13" i="2"/>
  <c r="G15" i="2" s="1"/>
  <c r="H13" i="2"/>
  <c r="F13" i="2"/>
  <c r="F15" i="2" s="1"/>
  <c r="I15" i="2"/>
  <c r="D25" i="10"/>
  <c r="E25" i="10" s="1"/>
  <c r="D42" i="10"/>
  <c r="E42" i="10" s="1"/>
  <c r="E19" i="10"/>
  <c r="E21" i="10"/>
  <c r="H18" i="18"/>
  <c r="F18" i="18"/>
  <c r="I18" i="18"/>
  <c r="G18" i="18"/>
  <c r="J18" i="18"/>
  <c r="E19" i="2"/>
  <c r="D25" i="2"/>
  <c r="E25" i="2" s="1"/>
  <c r="D42" i="2"/>
  <c r="E42" i="2" s="1"/>
  <c r="E21" i="2"/>
  <c r="G15" i="10"/>
  <c r="E15" i="18"/>
  <c r="E30" i="18"/>
  <c r="D34" i="18"/>
  <c r="E34" i="18" s="1"/>
  <c r="J21" i="2" l="1"/>
  <c r="I21" i="2"/>
  <c r="H21" i="2"/>
  <c r="F21" i="2"/>
  <c r="G21" i="2"/>
  <c r="J42" i="10"/>
  <c r="J43" i="10" s="1"/>
  <c r="G42" i="10"/>
  <c r="I42" i="10"/>
  <c r="I43" i="10" s="1"/>
  <c r="F42" i="10"/>
  <c r="F43" i="10" s="1"/>
  <c r="H42" i="10"/>
  <c r="H43" i="10" s="1"/>
  <c r="E43" i="10"/>
  <c r="G24" i="18"/>
  <c r="I24" i="18"/>
  <c r="F24" i="18"/>
  <c r="J24" i="18"/>
  <c r="H24" i="18"/>
  <c r="I30" i="18"/>
  <c r="G30" i="18"/>
  <c r="H30" i="18"/>
  <c r="J30" i="18"/>
  <c r="F30" i="18"/>
  <c r="I42" i="2"/>
  <c r="I43" i="2" s="1"/>
  <c r="G42" i="2"/>
  <c r="J42" i="2"/>
  <c r="J43" i="2" s="1"/>
  <c r="H42" i="2"/>
  <c r="H43" i="2" s="1"/>
  <c r="F42" i="2"/>
  <c r="F43" i="2" s="1"/>
  <c r="E43" i="2"/>
  <c r="I25" i="10"/>
  <c r="H25" i="10"/>
  <c r="F25" i="10"/>
  <c r="J25" i="10"/>
  <c r="G25" i="10"/>
  <c r="J47" i="19"/>
  <c r="H47" i="19"/>
  <c r="F47" i="19"/>
  <c r="I47" i="19"/>
  <c r="D42" i="11"/>
  <c r="E42" i="11" s="1"/>
  <c r="D25" i="11"/>
  <c r="E25" i="11" s="1"/>
  <c r="E19" i="11"/>
  <c r="E21" i="11"/>
  <c r="H55" i="20"/>
  <c r="H57" i="20" s="1"/>
  <c r="F55" i="20"/>
  <c r="J55" i="20"/>
  <c r="I55" i="20"/>
  <c r="G55" i="20"/>
  <c r="E57" i="20"/>
  <c r="J19" i="18"/>
  <c r="J36" i="18" s="1"/>
  <c r="I19" i="18"/>
  <c r="G19" i="18"/>
  <c r="H19" i="18"/>
  <c r="H36" i="18" s="1"/>
  <c r="F19" i="18"/>
  <c r="G24" i="2"/>
  <c r="F24" i="2"/>
  <c r="I24" i="2"/>
  <c r="J24" i="2"/>
  <c r="H24" i="2"/>
  <c r="J34" i="18"/>
  <c r="G34" i="18"/>
  <c r="I34" i="18"/>
  <c r="F34" i="18"/>
  <c r="H34" i="18"/>
  <c r="I20" i="10"/>
  <c r="J20" i="10"/>
  <c r="J36" i="10" s="1"/>
  <c r="H20" i="10"/>
  <c r="F20" i="10"/>
  <c r="G20" i="10"/>
  <c r="D29" i="2"/>
  <c r="E28" i="2"/>
  <c r="H21" i="10"/>
  <c r="I21" i="10"/>
  <c r="F21" i="10"/>
  <c r="F36" i="10" s="1"/>
  <c r="J21" i="10"/>
  <c r="G21" i="10"/>
  <c r="F46" i="19"/>
  <c r="F52" i="19" s="1"/>
  <c r="F53" i="19" s="1"/>
  <c r="G46" i="19"/>
  <c r="G52" i="19" s="1"/>
  <c r="G53" i="19" s="1"/>
  <c r="E52" i="19"/>
  <c r="E53" i="19" s="1"/>
  <c r="I46" i="19"/>
  <c r="I52" i="19" s="1"/>
  <c r="I53" i="19" s="1"/>
  <c r="J46" i="19"/>
  <c r="J52" i="19" s="1"/>
  <c r="J53" i="19" s="1"/>
  <c r="H46" i="19"/>
  <c r="H52" i="19" s="1"/>
  <c r="H53" i="19" s="1"/>
  <c r="D24" i="11"/>
  <c r="E24" i="11" s="1"/>
  <c r="E20" i="11"/>
  <c r="I56" i="20"/>
  <c r="H56" i="20"/>
  <c r="J56" i="20"/>
  <c r="F56" i="20"/>
  <c r="G56" i="20"/>
  <c r="I42" i="18"/>
  <c r="I43" i="18" s="1"/>
  <c r="H42" i="18"/>
  <c r="H43" i="18" s="1"/>
  <c r="J42" i="18"/>
  <c r="J43" i="18" s="1"/>
  <c r="F42" i="18"/>
  <c r="F43" i="18" s="1"/>
  <c r="G42" i="18"/>
  <c r="E43" i="18"/>
  <c r="I20" i="2"/>
  <c r="G20" i="2"/>
  <c r="J20" i="2"/>
  <c r="H20" i="2"/>
  <c r="F20" i="2"/>
  <c r="E36" i="18"/>
  <c r="D28" i="11"/>
  <c r="E18" i="11"/>
  <c r="J25" i="18"/>
  <c r="G25" i="18"/>
  <c r="F25" i="18"/>
  <c r="H25" i="18"/>
  <c r="I25" i="18"/>
  <c r="J25" i="2"/>
  <c r="I25" i="2"/>
  <c r="H25" i="2"/>
  <c r="F25" i="2"/>
  <c r="G25" i="2"/>
  <c r="I19" i="2"/>
  <c r="J19" i="2"/>
  <c r="F19" i="2"/>
  <c r="H19" i="2"/>
  <c r="G19" i="2"/>
  <c r="H19" i="10"/>
  <c r="H36" i="10" s="1"/>
  <c r="J19" i="10"/>
  <c r="F19" i="10"/>
  <c r="I19" i="10"/>
  <c r="I36" i="10" s="1"/>
  <c r="G19" i="10"/>
  <c r="G36" i="10" s="1"/>
  <c r="G43" i="10" s="1"/>
  <c r="F24" i="10"/>
  <c r="H24" i="10"/>
  <c r="J24" i="10"/>
  <c r="G24" i="10"/>
  <c r="I24" i="10"/>
  <c r="F13" i="11"/>
  <c r="F15" i="11" s="1"/>
  <c r="H13" i="11"/>
  <c r="H15" i="11" s="1"/>
  <c r="J13" i="11"/>
  <c r="J15" i="11" s="1"/>
  <c r="G13" i="11"/>
  <c r="I13" i="11"/>
  <c r="I15" i="11" s="1"/>
  <c r="J14" i="11"/>
  <c r="H14" i="11"/>
  <c r="I14" i="11"/>
  <c r="G14" i="11"/>
  <c r="G15" i="11" s="1"/>
  <c r="F14" i="11"/>
  <c r="F18" i="2"/>
  <c r="H18" i="2"/>
  <c r="J18" i="2"/>
  <c r="I18" i="2"/>
  <c r="G18" i="2"/>
  <c r="G21" i="18"/>
  <c r="J21" i="18"/>
  <c r="H21" i="18"/>
  <c r="F21" i="18"/>
  <c r="I21" i="18"/>
  <c r="I20" i="18"/>
  <c r="I36" i="18" s="1"/>
  <c r="G20" i="18"/>
  <c r="G36" i="18" s="1"/>
  <c r="F20" i="18"/>
  <c r="F36" i="18" s="1"/>
  <c r="H20" i="18"/>
  <c r="J20" i="18"/>
  <c r="G43" i="18" l="1"/>
  <c r="G18" i="11"/>
  <c r="I18" i="11"/>
  <c r="H18" i="11"/>
  <c r="J18" i="11"/>
  <c r="F18" i="11"/>
  <c r="D35" i="2"/>
  <c r="E35" i="2" s="1"/>
  <c r="D30" i="2"/>
  <c r="E29" i="2"/>
  <c r="E31" i="2"/>
  <c r="D29" i="11"/>
  <c r="E28" i="11"/>
  <c r="I20" i="11"/>
  <c r="F20" i="11"/>
  <c r="J20" i="11"/>
  <c r="H20" i="11"/>
  <c r="G20" i="11"/>
  <c r="I57" i="20"/>
  <c r="I21" i="11"/>
  <c r="F21" i="11"/>
  <c r="G21" i="11"/>
  <c r="H21" i="11"/>
  <c r="J21" i="11"/>
  <c r="E46" i="18"/>
  <c r="B47" i="18"/>
  <c r="E47" i="18" s="1"/>
  <c r="B46" i="18"/>
  <c r="H24" i="11"/>
  <c r="G24" i="11"/>
  <c r="F24" i="11"/>
  <c r="I24" i="11"/>
  <c r="J24" i="11"/>
  <c r="B54" i="19"/>
  <c r="J57" i="20"/>
  <c r="F19" i="11"/>
  <c r="H19" i="11"/>
  <c r="I19" i="11"/>
  <c r="J19" i="11"/>
  <c r="G19" i="11"/>
  <c r="B47" i="10"/>
  <c r="E47" i="10" s="1"/>
  <c r="B46" i="10"/>
  <c r="E46" i="10"/>
  <c r="G57" i="20"/>
  <c r="I42" i="11"/>
  <c r="I43" i="11" s="1"/>
  <c r="J42" i="11"/>
  <c r="J43" i="11" s="1"/>
  <c r="G42" i="11"/>
  <c r="F42" i="11"/>
  <c r="F43" i="11" s="1"/>
  <c r="H42" i="11"/>
  <c r="H43" i="11" s="1"/>
  <c r="E43" i="11"/>
  <c r="H28" i="2"/>
  <c r="G28" i="2"/>
  <c r="J28" i="2"/>
  <c r="I28" i="2"/>
  <c r="F28" i="2"/>
  <c r="F57" i="20"/>
  <c r="I25" i="11"/>
  <c r="F25" i="11"/>
  <c r="J25" i="11"/>
  <c r="G25" i="11"/>
  <c r="H25" i="11"/>
  <c r="E54" i="19" l="1"/>
  <c r="B55" i="19"/>
  <c r="E55" i="19" s="1"/>
  <c r="H47" i="18"/>
  <c r="J47" i="18"/>
  <c r="F47" i="18"/>
  <c r="I47" i="18"/>
  <c r="I47" i="10"/>
  <c r="H47" i="10"/>
  <c r="J47" i="10"/>
  <c r="F47" i="10"/>
  <c r="J28" i="11"/>
  <c r="F28" i="11"/>
  <c r="I28" i="11"/>
  <c r="H28" i="11"/>
  <c r="G28" i="11"/>
  <c r="I35" i="2"/>
  <c r="G35" i="2"/>
  <c r="H35" i="2"/>
  <c r="F35" i="2"/>
  <c r="J35" i="2" s="1"/>
  <c r="F29" i="2"/>
  <c r="I29" i="2"/>
  <c r="H29" i="2"/>
  <c r="J29" i="2"/>
  <c r="G29" i="2"/>
  <c r="J46" i="18"/>
  <c r="J52" i="18" s="1"/>
  <c r="J53" i="18" s="1"/>
  <c r="H46" i="18"/>
  <c r="H52" i="18" s="1"/>
  <c r="H53" i="18" s="1"/>
  <c r="I46" i="18"/>
  <c r="I52" i="18" s="1"/>
  <c r="I53" i="18" s="1"/>
  <c r="E52" i="18"/>
  <c r="E53" i="18" s="1"/>
  <c r="F46" i="18"/>
  <c r="F52" i="18" s="1"/>
  <c r="F53" i="18" s="1"/>
  <c r="G46" i="18"/>
  <c r="G52" i="18" s="1"/>
  <c r="G53" i="18" s="1"/>
  <c r="E30" i="2"/>
  <c r="D34" i="2"/>
  <c r="E34" i="2" s="1"/>
  <c r="G46" i="10"/>
  <c r="G52" i="10" s="1"/>
  <c r="G53" i="10" s="1"/>
  <c r="F46" i="10"/>
  <c r="F52" i="10" s="1"/>
  <c r="F53" i="10" s="1"/>
  <c r="E52" i="10"/>
  <c r="E53" i="10" s="1"/>
  <c r="H46" i="10"/>
  <c r="H52" i="10" s="1"/>
  <c r="H53" i="10" s="1"/>
  <c r="I46" i="10"/>
  <c r="J46" i="10"/>
  <c r="J52" i="10" s="1"/>
  <c r="J53" i="10" s="1"/>
  <c r="D30" i="11"/>
  <c r="E29" i="11"/>
  <c r="D35" i="11"/>
  <c r="E35" i="11" s="1"/>
  <c r="E31" i="11"/>
  <c r="G31" i="2"/>
  <c r="J31" i="2"/>
  <c r="I31" i="2"/>
  <c r="F31" i="2"/>
  <c r="H31" i="2"/>
  <c r="I34" i="2" l="1"/>
  <c r="F34" i="2"/>
  <c r="H34" i="2"/>
  <c r="J34" i="2"/>
  <c r="J36" i="2" s="1"/>
  <c r="G34" i="2"/>
  <c r="B54" i="18"/>
  <c r="I52" i="10"/>
  <c r="I53" i="10" s="1"/>
  <c r="G29" i="11"/>
  <c r="F29" i="11"/>
  <c r="J29" i="11"/>
  <c r="H29" i="11"/>
  <c r="I29" i="11"/>
  <c r="G30" i="2"/>
  <c r="F30" i="2"/>
  <c r="F36" i="2" s="1"/>
  <c r="J30" i="2"/>
  <c r="I30" i="2"/>
  <c r="I36" i="2" s="1"/>
  <c r="H30" i="2"/>
  <c r="H36" i="2" s="1"/>
  <c r="E36" i="2"/>
  <c r="F55" i="19"/>
  <c r="I55" i="19"/>
  <c r="H55" i="19"/>
  <c r="J55" i="19"/>
  <c r="G55" i="19"/>
  <c r="J31" i="11"/>
  <c r="I31" i="11"/>
  <c r="F31" i="11"/>
  <c r="G31" i="11"/>
  <c r="H31" i="11"/>
  <c r="F35" i="11"/>
  <c r="J35" i="11" s="1"/>
  <c r="H35" i="11"/>
  <c r="I35" i="11"/>
  <c r="G35" i="11"/>
  <c r="D34" i="11"/>
  <c r="E34" i="11" s="1"/>
  <c r="E30" i="11"/>
  <c r="B54" i="10"/>
  <c r="G36" i="2"/>
  <c r="G43" i="2"/>
  <c r="H54" i="19"/>
  <c r="H56" i="19" s="1"/>
  <c r="E17" i="3" s="1"/>
  <c r="G54" i="19"/>
  <c r="I54" i="19"/>
  <c r="I56" i="19" s="1"/>
  <c r="F54" i="19"/>
  <c r="F56" i="19" s="1"/>
  <c r="C17" i="3" s="1"/>
  <c r="J54" i="19"/>
  <c r="J56" i="19" s="1"/>
  <c r="E56" i="19"/>
  <c r="B17" i="3" s="1"/>
  <c r="B47" i="2" l="1"/>
  <c r="E47" i="2" s="1"/>
  <c r="E46" i="2"/>
  <c r="B46" i="2"/>
  <c r="G56" i="19"/>
  <c r="D17" i="3" s="1"/>
  <c r="F30" i="11"/>
  <c r="H30" i="11"/>
  <c r="G30" i="11"/>
  <c r="J30" i="11"/>
  <c r="I30" i="11"/>
  <c r="E36" i="11"/>
  <c r="H36" i="11"/>
  <c r="I34" i="11"/>
  <c r="G34" i="11"/>
  <c r="G36" i="11" s="1"/>
  <c r="F34" i="11"/>
  <c r="F36" i="11" s="1"/>
  <c r="H34" i="11"/>
  <c r="J34" i="11"/>
  <c r="J36" i="11"/>
  <c r="B55" i="10"/>
  <c r="E55" i="10" s="1"/>
  <c r="E54" i="10"/>
  <c r="I36" i="11"/>
  <c r="B55" i="18"/>
  <c r="E55" i="18" s="1"/>
  <c r="E54" i="18"/>
  <c r="F55" i="10" l="1"/>
  <c r="I55" i="10"/>
  <c r="J55" i="10"/>
  <c r="G55" i="10"/>
  <c r="H55" i="10"/>
  <c r="F55" i="18"/>
  <c r="G55" i="18"/>
  <c r="H55" i="18"/>
  <c r="I55" i="18"/>
  <c r="J55" i="18"/>
  <c r="B47" i="11"/>
  <c r="E47" i="11" s="1"/>
  <c r="B46" i="11"/>
  <c r="E46" i="11"/>
  <c r="E52" i="2"/>
  <c r="E53" i="2" s="1"/>
  <c r="G46" i="2"/>
  <c r="G52" i="2" s="1"/>
  <c r="G53" i="2" s="1"/>
  <c r="J46" i="2"/>
  <c r="F46" i="2"/>
  <c r="F52" i="2" s="1"/>
  <c r="F53" i="2" s="1"/>
  <c r="H46" i="2"/>
  <c r="I46" i="2"/>
  <c r="I54" i="10"/>
  <c r="F54" i="10"/>
  <c r="F56" i="10" s="1"/>
  <c r="C6" i="3" s="1"/>
  <c r="J54" i="10"/>
  <c r="J56" i="10" s="1"/>
  <c r="E6" i="3" s="1"/>
  <c r="G54" i="10"/>
  <c r="H54" i="10"/>
  <c r="E56" i="10"/>
  <c r="B6" i="3" s="1"/>
  <c r="H47" i="2"/>
  <c r="F47" i="2"/>
  <c r="J47" i="2"/>
  <c r="I47" i="2"/>
  <c r="H54" i="18"/>
  <c r="H56" i="18" s="1"/>
  <c r="E14" i="3" s="1"/>
  <c r="I54" i="18"/>
  <c r="G54" i="18"/>
  <c r="G56" i="18" s="1"/>
  <c r="D14" i="3" s="1"/>
  <c r="J54" i="18"/>
  <c r="F54" i="18"/>
  <c r="F56" i="18" s="1"/>
  <c r="C14" i="3" s="1"/>
  <c r="E56" i="18"/>
  <c r="B14" i="3" s="1"/>
  <c r="G43" i="11"/>
  <c r="B54" i="2" l="1"/>
  <c r="J56" i="18"/>
  <c r="F46" i="11"/>
  <c r="E52" i="11"/>
  <c r="E53" i="11" s="1"/>
  <c r="J46" i="11"/>
  <c r="G46" i="11"/>
  <c r="G52" i="11" s="1"/>
  <c r="G53" i="11" s="1"/>
  <c r="H46" i="11"/>
  <c r="H52" i="11" s="1"/>
  <c r="H53" i="11" s="1"/>
  <c r="I46" i="11"/>
  <c r="H56" i="10"/>
  <c r="I56" i="10"/>
  <c r="D6" i="3" s="1"/>
  <c r="J52" i="2"/>
  <c r="J53" i="2" s="1"/>
  <c r="B21" i="3"/>
  <c r="I56" i="18"/>
  <c r="G56" i="10"/>
  <c r="I52" i="2"/>
  <c r="I53" i="2" s="1"/>
  <c r="J47" i="11"/>
  <c r="H47" i="11"/>
  <c r="F47" i="11"/>
  <c r="I47" i="11"/>
  <c r="H52" i="2"/>
  <c r="H53" i="2" s="1"/>
  <c r="B54" i="11" l="1"/>
  <c r="F52" i="11"/>
  <c r="F53" i="11" s="1"/>
  <c r="J52" i="11"/>
  <c r="J53" i="11" s="1"/>
  <c r="I52" i="11"/>
  <c r="I53" i="11" s="1"/>
  <c r="B55" i="2"/>
  <c r="E55" i="2" s="1"/>
  <c r="E54" i="2"/>
  <c r="E54" i="11" l="1"/>
  <c r="B55" i="11"/>
  <c r="E55" i="11" s="1"/>
  <c r="H54" i="2"/>
  <c r="H56" i="2" s="1"/>
  <c r="G54" i="2"/>
  <c r="F54" i="2"/>
  <c r="I54" i="2"/>
  <c r="I56" i="2" s="1"/>
  <c r="J54" i="2"/>
  <c r="J56" i="2" s="1"/>
  <c r="E56" i="2"/>
  <c r="J55" i="2"/>
  <c r="H55" i="2"/>
  <c r="G55" i="2"/>
  <c r="I55" i="2"/>
  <c r="F55" i="2"/>
  <c r="F56" i="2" l="1"/>
  <c r="I55" i="11"/>
  <c r="F55" i="11"/>
  <c r="J55" i="11"/>
  <c r="G55" i="11"/>
  <c r="H55" i="11"/>
  <c r="G56" i="2"/>
  <c r="G54" i="11"/>
  <c r="G56" i="11" s="1"/>
  <c r="H54" i="11"/>
  <c r="H56" i="11" s="1"/>
  <c r="I54" i="11"/>
  <c r="I56" i="11" s="1"/>
  <c r="D9" i="3" s="1"/>
  <c r="F54" i="11"/>
  <c r="F56" i="11" s="1"/>
  <c r="C9" i="3" s="1"/>
  <c r="J54" i="11"/>
  <c r="J56" i="11" s="1"/>
  <c r="E9" i="3" s="1"/>
  <c r="E56" i="11"/>
  <c r="B9" i="3" s="1"/>
  <c r="B24" i="3" s="1"/>
</calcChain>
</file>

<file path=xl/sharedStrings.xml><?xml version="1.0" encoding="utf-8"?>
<sst xmlns="http://schemas.openxmlformats.org/spreadsheetml/2006/main" count="746" uniqueCount="130">
  <si>
    <t>km</t>
  </si>
  <si>
    <t>habitants</t>
  </si>
  <si>
    <t>kg/hab/an</t>
  </si>
  <si>
    <t>€ HT/hab/an</t>
  </si>
  <si>
    <t>Désignation</t>
  </si>
  <si>
    <t>Montant HT</t>
  </si>
  <si>
    <t>Unité</t>
  </si>
  <si>
    <t>Quantité</t>
  </si>
  <si>
    <t>Total HT</t>
  </si>
  <si>
    <t>COUT HORAIRE</t>
  </si>
  <si>
    <t>COUT KM</t>
  </si>
  <si>
    <t>Frais d’investissement</t>
  </si>
  <si>
    <t xml:space="preserve">     Amortissement annuel</t>
  </si>
  <si>
    <t>u</t>
  </si>
  <si>
    <t xml:space="preserve">     Frais financiers</t>
  </si>
  <si>
    <t>Total frais d’investissement</t>
  </si>
  <si>
    <t>Personnel (chauffeur)</t>
  </si>
  <si>
    <t xml:space="preserve">     Salaire brut annuel</t>
  </si>
  <si>
    <t>homme</t>
  </si>
  <si>
    <t xml:space="preserve">     Charges patronales</t>
  </si>
  <si>
    <t>%</t>
  </si>
  <si>
    <t>Camion</t>
  </si>
  <si>
    <t xml:space="preserve">     Entretiens et réparations courantes</t>
  </si>
  <si>
    <t>camion</t>
  </si>
  <si>
    <t xml:space="preserve">     Carburant 55 litres/100 km</t>
  </si>
  <si>
    <t>€ /litre</t>
  </si>
  <si>
    <t xml:space="preserve">     Lubrifiant</t>
  </si>
  <si>
    <t xml:space="preserve">     Pneumatiques, train de 10 pneus pour 20.000 km</t>
  </si>
  <si>
    <t xml:space="preserve">     Assurances, taxes diverses </t>
  </si>
  <si>
    <t>Equipement pour le personnel</t>
  </si>
  <si>
    <t xml:space="preserve">     Habillement</t>
  </si>
  <si>
    <t xml:space="preserve">     téléphone</t>
  </si>
  <si>
    <t>Frais généraux</t>
  </si>
  <si>
    <t>Personnel de service et encadrement</t>
  </si>
  <si>
    <t>Frais de siège</t>
  </si>
  <si>
    <t>Taxes (hors impôts sur les bénéfices)</t>
  </si>
  <si>
    <t xml:space="preserve">     Taxe professionnelle</t>
  </si>
  <si>
    <t xml:space="preserve">     Taxe d’apprentissage</t>
  </si>
  <si>
    <t xml:space="preserve">     Fond national I.C.</t>
  </si>
  <si>
    <t xml:space="preserve">     Formation continue</t>
  </si>
  <si>
    <t>Total frais généraux</t>
  </si>
  <si>
    <t>Total du coût d’exploitation</t>
  </si>
  <si>
    <t>Marge brute</t>
  </si>
  <si>
    <t>Imprévus</t>
  </si>
  <si>
    <t>Coût total hors T.V.A.</t>
  </si>
  <si>
    <t>Personnel (ripeur)</t>
  </si>
  <si>
    <t>Tonnage</t>
  </si>
  <si>
    <t>Nbre d'heure de travail machine</t>
  </si>
  <si>
    <t>Nbre d'heure chauffeur</t>
  </si>
  <si>
    <t>Nbre d'heure ripeur</t>
  </si>
  <si>
    <t>km parcourus</t>
  </si>
  <si>
    <t>ETP</t>
  </si>
  <si>
    <t>Total main d'œuvre de production</t>
  </si>
  <si>
    <t xml:space="preserve">     Matériels et outillage de service GPS</t>
  </si>
  <si>
    <t xml:space="preserve">     Majorations pour remplacement pendant CP</t>
  </si>
  <si>
    <t>Frais de PERSONNEL</t>
  </si>
  <si>
    <t>Total coût d'entretien du matériel</t>
  </si>
  <si>
    <t>Valeur du point</t>
  </si>
  <si>
    <t>Ind CC</t>
  </si>
  <si>
    <t>Ind SAL</t>
  </si>
  <si>
    <t>Equipier de collecte</t>
  </si>
  <si>
    <t>Salaire annuel brut</t>
  </si>
  <si>
    <t>Prime 13éme mois</t>
  </si>
  <si>
    <t>Taux de charge</t>
  </si>
  <si>
    <t>Total annuel hors ind.</t>
  </si>
  <si>
    <t>Total annuel avec indem</t>
  </si>
  <si>
    <t>nbre de jour de travail par mois</t>
  </si>
  <si>
    <t>nbre d'heure par mois</t>
  </si>
  <si>
    <t>par jour</t>
  </si>
  <si>
    <t>par heure</t>
  </si>
  <si>
    <t>Primes diverses</t>
  </si>
  <si>
    <t>€ par mois</t>
  </si>
  <si>
    <t>Indéminités</t>
  </si>
  <si>
    <t>Conducteur de matériel de collecte</t>
  </si>
  <si>
    <t>Montant charges patronales</t>
  </si>
  <si>
    <t>COUT TONNE</t>
  </si>
  <si>
    <t>ancienneté moyenne</t>
  </si>
  <si>
    <t>Ancienneté</t>
  </si>
  <si>
    <t>COUT HAB</t>
  </si>
  <si>
    <t>€ HT/an</t>
  </si>
  <si>
    <t>€ HT/tonne</t>
  </si>
  <si>
    <t>€ HT/heure</t>
  </si>
  <si>
    <t>lot 2</t>
  </si>
  <si>
    <t>lot 1</t>
  </si>
  <si>
    <t>lot 3</t>
  </si>
  <si>
    <t>total</t>
  </si>
  <si>
    <t>3éme jour</t>
  </si>
  <si>
    <t>C1</t>
  </si>
  <si>
    <t>total/sem</t>
  </si>
  <si>
    <t>temps de collecte</t>
  </si>
  <si>
    <t>tonnage/benne</t>
  </si>
  <si>
    <t>total/an</t>
  </si>
  <si>
    <t>km/tour</t>
  </si>
  <si>
    <t>tonne</t>
  </si>
  <si>
    <t>ratio tonne/heure</t>
  </si>
  <si>
    <t>Lot 2</t>
  </si>
  <si>
    <t>Lot 3</t>
  </si>
  <si>
    <t>COLLECTE DES OM EN PAP C3 - COMPTE EXPLOITATION - SANS CS</t>
  </si>
  <si>
    <t>ind CC+SAL</t>
  </si>
  <si>
    <t>nbre de vidage</t>
  </si>
  <si>
    <t>nbre de tournée</t>
  </si>
  <si>
    <t>km de collecte</t>
  </si>
  <si>
    <t>temps de HLP+vidage</t>
  </si>
  <si>
    <t>Temps de service global</t>
  </si>
  <si>
    <t>km de vidage/tour</t>
  </si>
  <si>
    <t>km total vidage + HLP</t>
  </si>
  <si>
    <t>Encombrants</t>
  </si>
  <si>
    <t>Déchets verts</t>
  </si>
  <si>
    <t>Cartons</t>
  </si>
  <si>
    <t>DONNEES DE BASE - CCCL - ENCOMBRANTS - DECHETS VERTS</t>
  </si>
  <si>
    <t>Tonnes/an</t>
  </si>
  <si>
    <t>Encombrants lot 1</t>
  </si>
  <si>
    <t>Encombrants lot 2</t>
  </si>
  <si>
    <t>Encombrants lot 3</t>
  </si>
  <si>
    <t xml:space="preserve">DETERMINATIONS UO - CCCL - ENCOMBRANTS </t>
  </si>
  <si>
    <t xml:space="preserve">SYNTHESE PRIX CCCL </t>
  </si>
  <si>
    <t>fréquence</t>
  </si>
  <si>
    <t>C0,25</t>
  </si>
  <si>
    <t xml:space="preserve">COLLECTE DES ENCOMBRANTS LOT 2 - COMPTE EXPLOITATION </t>
  </si>
  <si>
    <t>temps/tournée</t>
  </si>
  <si>
    <t>C0,5</t>
  </si>
  <si>
    <t>COLLECTE DES ENCOMBRANTS C0,25 - COMPTE EXPLOITATION</t>
  </si>
  <si>
    <t xml:space="preserve">DETERMINATIONS UO - CCCL - DECHETS VERTS </t>
  </si>
  <si>
    <t>DV  lot 2</t>
  </si>
  <si>
    <t>DV lot 3</t>
  </si>
  <si>
    <t xml:space="preserve">prime </t>
  </si>
  <si>
    <t xml:space="preserve">COLLECTE DES dv LOT 2 - COMPTE EXPLOITATION </t>
  </si>
  <si>
    <t xml:space="preserve">COLLECTE DES dv LOT 3 - COMPTE EXPLOITATION </t>
  </si>
  <si>
    <t>DV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</si>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</sst>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1" formatCode="_-* #,##0.00\ _€_-;\-* #,##0.00\ _€_-;_-* &quot;-&quot;??\ _€_-;_-@_-"/>
    <numFmt numFmtId="173" formatCode="_-* #,##0\ _€_-;\-* #,##0\ _€_-;_-* &quot;-&quot;??\ _€_-;_-@_-"/>
    <numFmt numFmtId="174" formatCode="0.0%"/>
  </numFmts>
  <fonts count="16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u/>
      <sz val="11"/>
      <name val="Calibri"/>
      <family val="2"/>
    </font>
    <font>
      <b/>
      <sz val="8"/>
      <name val="Calibri"/>
      <family val="2"/>
    </font>
    <font>
      <b/>
      <sz val="8"/>
      <color indexed="10"/>
      <name val="Calibri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8"/>
      <color indexed="12"/>
      <name val="Calibri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14"/>
      <name val="Arial"/>
      <family val="2"/>
    </font>
    <font>
      <b/>
      <sz val="14"/>
      <color indexed="48"/>
      <name val="Arial"/>
      <family val="2"/>
    </font>
    <font>
      <sz val="10"/>
      <color indexed="48"/>
      <name val="Arial"/>
      <family val="2"/>
    </font>
    <font>
      <b/>
      <sz val="10"/>
      <color indexed="52"/>
      <name val="Arial"/>
      <family val="2"/>
    </font>
    <font>
      <b/>
      <sz val="16"/>
      <color indexed="4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5" tint="0.59999389629810485"/>
        <bgColor indexed="64"/>
      </patternFill>
    </fill>
  </fills>
  <borders count="55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10"/>
      </bottom>
      <diagonal/>
    </border>
    <border>
      <left/>
      <right style="medium">
        <color indexed="8"/>
      </right>
      <top/>
      <bottom style="medium">
        <color indexed="10"/>
      </bottom>
      <diagonal/>
    </border>
    <border>
      <left/>
      <right style="medium">
        <color indexed="10"/>
      </right>
      <top/>
      <bottom style="medium">
        <color indexed="10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10"/>
      </left>
      <right/>
      <top style="medium">
        <color indexed="10"/>
      </top>
      <bottom style="medium">
        <color indexed="10"/>
      </bottom>
      <diagonal/>
    </border>
    <border>
      <left/>
      <right/>
      <top style="medium">
        <color indexed="10"/>
      </top>
      <bottom style="medium">
        <color indexed="10"/>
      </bottom>
      <diagonal/>
    </border>
    <border>
      <left/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171" fontId="1" fillId="0" borderId="0" applyFont="0" applyFill="0" applyBorder="0" applyAlignment="0" applyProtection="0"/>
    <xf numFmtId="171" fontId="9" fillId="0" borderId="0" applyFont="0" applyFill="0" applyBorder="0" applyAlignment="0" applyProtection="0"/>
    <xf numFmtId="0" fontId="9" fillId="0" borderId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209">
    <xf numFmtId="0" fontId="0" fillId="0" borderId="0" xfId="0"/>
    <xf numFmtId="171" fontId="0" fillId="0" borderId="0" xfId="1" applyFont="1"/>
    <xf numFmtId="9" fontId="0" fillId="0" borderId="0" xfId="4" applyFont="1"/>
    <xf numFmtId="0" fontId="3" fillId="2" borderId="1" xfId="0" applyFont="1" applyFill="1" applyBorder="1" applyAlignment="1">
      <alignment horizontal="center" vertical="top" wrapText="1"/>
    </xf>
    <xf numFmtId="171" fontId="3" fillId="2" borderId="2" xfId="1" applyFont="1" applyFill="1" applyBorder="1" applyAlignment="1">
      <alignment horizontal="center" vertical="top" wrapText="1"/>
    </xf>
    <xf numFmtId="171" fontId="3" fillId="2" borderId="2" xfId="1" applyFont="1" applyFill="1" applyBorder="1" applyAlignment="1">
      <alignment horizontal="right" vertical="top" wrapText="1"/>
    </xf>
    <xf numFmtId="171" fontId="4" fillId="0" borderId="3" xfId="1" applyFont="1" applyBorder="1" applyAlignment="1">
      <alignment horizontal="center" vertical="top" wrapText="1"/>
    </xf>
    <xf numFmtId="171" fontId="4" fillId="0" borderId="3" xfId="1" applyFont="1" applyBorder="1" applyAlignment="1">
      <alignment horizontal="right" vertical="top" wrapText="1"/>
    </xf>
    <xf numFmtId="0" fontId="4" fillId="2" borderId="4" xfId="0" applyFont="1" applyFill="1" applyBorder="1" applyAlignment="1">
      <alignment vertical="top" wrapText="1"/>
    </xf>
    <xf numFmtId="0" fontId="4" fillId="2" borderId="5" xfId="0" applyFont="1" applyFill="1" applyBorder="1" applyAlignment="1">
      <alignment vertical="top" wrapText="1"/>
    </xf>
    <xf numFmtId="171" fontId="4" fillId="0" borderId="6" xfId="1" applyFont="1" applyBorder="1" applyAlignment="1">
      <alignment horizontal="center" vertical="top" wrapText="1"/>
    </xf>
    <xf numFmtId="171" fontId="4" fillId="0" borderId="6" xfId="1" applyFont="1" applyBorder="1" applyAlignment="1">
      <alignment horizontal="right" vertical="top" wrapText="1"/>
    </xf>
    <xf numFmtId="171" fontId="4" fillId="3" borderId="7" xfId="1" applyFont="1" applyFill="1" applyBorder="1" applyAlignment="1">
      <alignment horizontal="right" vertical="top" wrapText="1"/>
    </xf>
    <xf numFmtId="171" fontId="4" fillId="3" borderId="8" xfId="1" applyFont="1" applyFill="1" applyBorder="1" applyAlignment="1">
      <alignment horizontal="right" vertical="top" wrapText="1"/>
    </xf>
    <xf numFmtId="9" fontId="4" fillId="0" borderId="3" xfId="4" applyFont="1" applyBorder="1" applyAlignment="1">
      <alignment horizontal="right" vertical="top" wrapText="1"/>
    </xf>
    <xf numFmtId="171" fontId="4" fillId="3" borderId="9" xfId="1" applyFont="1" applyFill="1" applyBorder="1" applyAlignment="1">
      <alignment horizontal="right" vertical="top" wrapText="1"/>
    </xf>
    <xf numFmtId="171" fontId="4" fillId="3" borderId="10" xfId="1" applyFont="1" applyFill="1" applyBorder="1" applyAlignment="1">
      <alignment horizontal="right" vertical="top" wrapText="1"/>
    </xf>
    <xf numFmtId="171" fontId="4" fillId="0" borderId="11" xfId="1" applyFont="1" applyBorder="1" applyAlignment="1">
      <alignment horizontal="center" vertical="top" wrapText="1"/>
    </xf>
    <xf numFmtId="9" fontId="4" fillId="0" borderId="11" xfId="4" applyFont="1" applyBorder="1" applyAlignment="1">
      <alignment horizontal="right" vertical="top" wrapText="1"/>
    </xf>
    <xf numFmtId="171" fontId="4" fillId="2" borderId="11" xfId="1" applyFont="1" applyFill="1" applyBorder="1" applyAlignment="1">
      <alignment horizontal="right" vertical="top" wrapText="1"/>
    </xf>
    <xf numFmtId="0" fontId="4" fillId="2" borderId="12" xfId="0" applyFont="1" applyFill="1" applyBorder="1" applyAlignment="1">
      <alignment vertical="top" wrapText="1"/>
    </xf>
    <xf numFmtId="171" fontId="4" fillId="0" borderId="13" xfId="1" applyFont="1" applyBorder="1" applyAlignment="1">
      <alignment horizontal="center" vertical="top" wrapText="1"/>
    </xf>
    <xf numFmtId="9" fontId="4" fillId="0" borderId="13" xfId="4" applyFont="1" applyBorder="1" applyAlignment="1">
      <alignment horizontal="right" vertical="top" wrapText="1"/>
    </xf>
    <xf numFmtId="171" fontId="4" fillId="0" borderId="13" xfId="1" applyFont="1" applyBorder="1" applyAlignment="1">
      <alignment horizontal="right" vertical="top" wrapText="1"/>
    </xf>
    <xf numFmtId="171" fontId="5" fillId="2" borderId="14" xfId="1" applyFont="1" applyFill="1" applyBorder="1" applyAlignment="1">
      <alignment horizontal="right" vertical="top" wrapText="1"/>
    </xf>
    <xf numFmtId="0" fontId="0" fillId="0" borderId="0" xfId="0" applyAlignment="1">
      <alignment horizontal="center"/>
    </xf>
    <xf numFmtId="171" fontId="0" fillId="0" borderId="0" xfId="0" applyNumberFormat="1"/>
    <xf numFmtId="0" fontId="4" fillId="2" borderId="4" xfId="0" applyFont="1" applyFill="1" applyBorder="1" applyAlignment="1">
      <alignment horizontal="right" vertical="top" wrapText="1"/>
    </xf>
    <xf numFmtId="9" fontId="4" fillId="0" borderId="3" xfId="4" applyFont="1" applyBorder="1" applyAlignment="1">
      <alignment horizontal="center" vertical="top" wrapText="1"/>
    </xf>
    <xf numFmtId="174" fontId="0" fillId="0" borderId="0" xfId="4" applyNumberFormat="1" applyFont="1"/>
    <xf numFmtId="171" fontId="7" fillId="0" borderId="0" xfId="1" applyFont="1"/>
    <xf numFmtId="0" fontId="7" fillId="0" borderId="0" xfId="0" applyFont="1"/>
    <xf numFmtId="0" fontId="8" fillId="2" borderId="4" xfId="0" applyFont="1" applyFill="1" applyBorder="1" applyAlignment="1">
      <alignment horizontal="left" vertical="top" wrapText="1"/>
    </xf>
    <xf numFmtId="0" fontId="8" fillId="2" borderId="4" xfId="0" applyFont="1" applyFill="1" applyBorder="1" applyAlignment="1">
      <alignment vertical="top" wrapText="1"/>
    </xf>
    <xf numFmtId="171" fontId="0" fillId="0" borderId="0" xfId="1" applyFont="1" applyAlignment="1">
      <alignment horizontal="center"/>
    </xf>
    <xf numFmtId="0" fontId="4" fillId="2" borderId="15" xfId="0" applyFont="1" applyFill="1" applyBorder="1" applyAlignment="1">
      <alignment horizontal="right" vertical="top" wrapText="1"/>
    </xf>
    <xf numFmtId="9" fontId="0" fillId="0" borderId="0" xfId="0" applyNumberFormat="1"/>
    <xf numFmtId="171" fontId="4" fillId="0" borderId="3" xfId="4" applyNumberFormat="1" applyFont="1" applyBorder="1" applyAlignment="1">
      <alignment horizontal="right" vertical="top" wrapText="1"/>
    </xf>
    <xf numFmtId="0" fontId="7" fillId="4" borderId="16" xfId="0" applyFont="1" applyFill="1" applyBorder="1"/>
    <xf numFmtId="171" fontId="7" fillId="4" borderId="17" xfId="1" applyFont="1" applyFill="1" applyBorder="1"/>
    <xf numFmtId="0" fontId="7" fillId="4" borderId="17" xfId="0" applyFont="1" applyFill="1" applyBorder="1"/>
    <xf numFmtId="0" fontId="7" fillId="4" borderId="18" xfId="0" applyFont="1" applyFill="1" applyBorder="1"/>
    <xf numFmtId="0" fontId="7" fillId="4" borderId="19" xfId="0" applyFont="1" applyFill="1" applyBorder="1"/>
    <xf numFmtId="171" fontId="7" fillId="4" borderId="0" xfId="1" applyFont="1" applyFill="1" applyBorder="1"/>
    <xf numFmtId="171" fontId="7" fillId="4" borderId="0" xfId="0" applyNumberFormat="1" applyFont="1" applyFill="1" applyBorder="1"/>
    <xf numFmtId="0" fontId="7" fillId="4" borderId="20" xfId="0" applyFont="1" applyFill="1" applyBorder="1"/>
    <xf numFmtId="0" fontId="7" fillId="4" borderId="21" xfId="0" applyFont="1" applyFill="1" applyBorder="1"/>
    <xf numFmtId="171" fontId="7" fillId="4" borderId="22" xfId="1" applyFont="1" applyFill="1" applyBorder="1"/>
    <xf numFmtId="0" fontId="7" fillId="4" borderId="22" xfId="0" applyFont="1" applyFill="1" applyBorder="1"/>
    <xf numFmtId="0" fontId="7" fillId="4" borderId="23" xfId="0" applyFont="1" applyFill="1" applyBorder="1"/>
    <xf numFmtId="171" fontId="1" fillId="0" borderId="0" xfId="1" applyAlignment="1">
      <alignment horizontal="center"/>
    </xf>
    <xf numFmtId="171" fontId="1" fillId="0" borderId="0" xfId="1"/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171" fontId="7" fillId="0" borderId="0" xfId="1" applyFont="1" applyFill="1" applyBorder="1" applyAlignment="1">
      <alignment horizontal="right"/>
    </xf>
    <xf numFmtId="173" fontId="7" fillId="4" borderId="0" xfId="1" applyNumberFormat="1" applyFont="1" applyFill="1" applyBorder="1"/>
    <xf numFmtId="171" fontId="4" fillId="0" borderId="0" xfId="1" applyFont="1" applyBorder="1" applyAlignment="1">
      <alignment horizontal="right" vertical="top" wrapText="1"/>
    </xf>
    <xf numFmtId="0" fontId="0" fillId="0" borderId="0" xfId="0" applyBorder="1"/>
    <xf numFmtId="173" fontId="1" fillId="0" borderId="0" xfId="1" applyNumberFormat="1"/>
    <xf numFmtId="171" fontId="1" fillId="0" borderId="0" xfId="1" applyFont="1"/>
    <xf numFmtId="173" fontId="1" fillId="0" borderId="0" xfId="1" applyNumberFormat="1" applyFont="1"/>
    <xf numFmtId="9" fontId="1" fillId="0" borderId="0" xfId="4" applyFill="1" applyBorder="1" applyAlignment="1"/>
    <xf numFmtId="173" fontId="1" fillId="0" borderId="0" xfId="1" applyNumberFormat="1" applyAlignment="1">
      <alignment horizontal="left"/>
    </xf>
    <xf numFmtId="171" fontId="1" fillId="0" borderId="0" xfId="1" applyFill="1" applyBorder="1"/>
    <xf numFmtId="171" fontId="1" fillId="0" borderId="0" xfId="1" applyFont="1" applyFill="1" applyBorder="1"/>
    <xf numFmtId="173" fontId="1" fillId="0" borderId="0" xfId="1" applyNumberFormat="1" applyFill="1" applyBorder="1"/>
    <xf numFmtId="171" fontId="7" fillId="0" borderId="0" xfId="1" applyFont="1" applyFill="1" applyBorder="1"/>
    <xf numFmtId="171" fontId="1" fillId="0" borderId="0" xfId="1" applyAlignment="1">
      <alignment horizontal="right"/>
    </xf>
    <xf numFmtId="171" fontId="7" fillId="0" borderId="0" xfId="1" applyFont="1" applyAlignment="1">
      <alignment horizontal="right"/>
    </xf>
    <xf numFmtId="0" fontId="11" fillId="0" borderId="0" xfId="0" applyFont="1"/>
    <xf numFmtId="9" fontId="7" fillId="0" borderId="0" xfId="1" applyNumberFormat="1" applyFont="1" applyFill="1" applyBorder="1"/>
    <xf numFmtId="173" fontId="7" fillId="0" borderId="0" xfId="1" applyNumberFormat="1" applyFont="1"/>
    <xf numFmtId="171" fontId="1" fillId="0" borderId="0" xfId="1" applyFill="1" applyBorder="1" applyAlignment="1">
      <alignment horizontal="right"/>
    </xf>
    <xf numFmtId="173" fontId="7" fillId="0" borderId="0" xfId="1" applyNumberFormat="1" applyFont="1" applyFill="1" applyBorder="1"/>
    <xf numFmtId="173" fontId="14" fillId="0" borderId="0" xfId="1" applyNumberFormat="1" applyFont="1"/>
    <xf numFmtId="171" fontId="11" fillId="5" borderId="24" xfId="0" applyNumberFormat="1" applyFont="1" applyFill="1" applyBorder="1"/>
    <xf numFmtId="0" fontId="11" fillId="5" borderId="25" xfId="0" applyFont="1" applyFill="1" applyBorder="1"/>
    <xf numFmtId="0" fontId="6" fillId="5" borderId="26" xfId="0" applyFont="1" applyFill="1" applyBorder="1" applyAlignment="1">
      <alignment horizontal="center"/>
    </xf>
    <xf numFmtId="0" fontId="6" fillId="5" borderId="27" xfId="0" applyFont="1" applyFill="1" applyBorder="1" applyAlignment="1">
      <alignment horizontal="center"/>
    </xf>
    <xf numFmtId="0" fontId="6" fillId="5" borderId="28" xfId="0" applyFont="1" applyFill="1" applyBorder="1"/>
    <xf numFmtId="171" fontId="11" fillId="5" borderId="29" xfId="0" applyNumberFormat="1" applyFont="1" applyFill="1" applyBorder="1"/>
    <xf numFmtId="0" fontId="10" fillId="5" borderId="25" xfId="0" applyFont="1" applyFill="1" applyBorder="1" applyAlignment="1">
      <alignment horizontal="left"/>
    </xf>
    <xf numFmtId="0" fontId="7" fillId="5" borderId="26" xfId="0" applyFont="1" applyFill="1" applyBorder="1" applyAlignment="1"/>
    <xf numFmtId="0" fontId="7" fillId="5" borderId="26" xfId="0" applyFont="1" applyFill="1" applyBorder="1" applyAlignment="1">
      <alignment horizontal="center"/>
    </xf>
    <xf numFmtId="171" fontId="7" fillId="5" borderId="27" xfId="1" applyFont="1" applyFill="1" applyBorder="1" applyAlignment="1">
      <alignment horizontal="right"/>
    </xf>
    <xf numFmtId="173" fontId="7" fillId="5" borderId="28" xfId="1" applyNumberFormat="1" applyFont="1" applyFill="1" applyBorder="1" applyAlignment="1">
      <alignment horizontal="left"/>
    </xf>
    <xf numFmtId="171" fontId="1" fillId="5" borderId="24" xfId="1" applyFill="1" applyBorder="1" applyAlignment="1">
      <alignment horizontal="right"/>
    </xf>
    <xf numFmtId="4" fontId="0" fillId="5" borderId="24" xfId="0" applyNumberFormat="1" applyFill="1" applyBorder="1" applyAlignment="1">
      <alignment horizontal="right"/>
    </xf>
    <xf numFmtId="171" fontId="7" fillId="5" borderId="29" xfId="1" applyFont="1" applyFill="1" applyBorder="1" applyAlignment="1">
      <alignment horizontal="right"/>
    </xf>
    <xf numFmtId="0" fontId="7" fillId="5" borderId="28" xfId="0" applyFont="1" applyFill="1" applyBorder="1" applyAlignment="1">
      <alignment horizontal="left"/>
    </xf>
    <xf numFmtId="0" fontId="0" fillId="5" borderId="24" xfId="0" applyFill="1" applyBorder="1" applyAlignment="1">
      <alignment horizontal="right"/>
    </xf>
    <xf numFmtId="171" fontId="0" fillId="5" borderId="24" xfId="0" applyNumberFormat="1" applyFill="1" applyBorder="1" applyAlignment="1">
      <alignment horizontal="right"/>
    </xf>
    <xf numFmtId="2" fontId="9" fillId="5" borderId="24" xfId="0" applyNumberFormat="1" applyFont="1" applyFill="1" applyBorder="1" applyAlignment="1">
      <alignment horizontal="right"/>
    </xf>
    <xf numFmtId="0" fontId="9" fillId="5" borderId="24" xfId="0" applyFont="1" applyFill="1" applyBorder="1" applyAlignment="1">
      <alignment horizontal="right"/>
    </xf>
    <xf numFmtId="173" fontId="7" fillId="5" borderId="30" xfId="1" applyNumberFormat="1" applyFont="1" applyFill="1" applyBorder="1" applyAlignment="1">
      <alignment horizontal="left"/>
    </xf>
    <xf numFmtId="171" fontId="1" fillId="5" borderId="31" xfId="1" applyFill="1" applyBorder="1" applyAlignment="1">
      <alignment horizontal="right"/>
    </xf>
    <xf numFmtId="171" fontId="7" fillId="5" borderId="32" xfId="1" applyFont="1" applyFill="1" applyBorder="1" applyAlignment="1">
      <alignment horizontal="right"/>
    </xf>
    <xf numFmtId="173" fontId="10" fillId="5" borderId="25" xfId="1" applyNumberFormat="1" applyFont="1" applyFill="1" applyBorder="1" applyAlignment="1">
      <alignment horizontal="left"/>
    </xf>
    <xf numFmtId="0" fontId="7" fillId="5" borderId="26" xfId="0" applyFont="1" applyFill="1" applyBorder="1" applyAlignment="1">
      <alignment horizontal="right"/>
    </xf>
    <xf numFmtId="171" fontId="15" fillId="5" borderId="33" xfId="1" applyFont="1" applyFill="1" applyBorder="1" applyAlignment="1">
      <alignment horizontal="center"/>
    </xf>
    <xf numFmtId="9" fontId="1" fillId="0" borderId="0" xfId="4" applyFont="1" applyFill="1" applyBorder="1" applyAlignment="1"/>
    <xf numFmtId="171" fontId="7" fillId="5" borderId="24" xfId="0" applyNumberFormat="1" applyFont="1" applyFill="1" applyBorder="1" applyAlignment="1">
      <alignment horizontal="right"/>
    </xf>
    <xf numFmtId="173" fontId="7" fillId="5" borderId="34" xfId="1" applyNumberFormat="1" applyFont="1" applyFill="1" applyBorder="1" applyAlignment="1">
      <alignment horizontal="left"/>
    </xf>
    <xf numFmtId="171" fontId="1" fillId="5" borderId="35" xfId="1" applyFill="1" applyBorder="1" applyAlignment="1">
      <alignment horizontal="right"/>
    </xf>
    <xf numFmtId="171" fontId="7" fillId="5" borderId="36" xfId="1" applyFont="1" applyFill="1" applyBorder="1" applyAlignment="1">
      <alignment horizontal="right"/>
    </xf>
    <xf numFmtId="171" fontId="1" fillId="0" borderId="0" xfId="1" applyBorder="1"/>
    <xf numFmtId="173" fontId="7" fillId="5" borderId="37" xfId="1" applyNumberFormat="1" applyFont="1" applyFill="1" applyBorder="1" applyAlignment="1">
      <alignment horizontal="left"/>
    </xf>
    <xf numFmtId="171" fontId="1" fillId="5" borderId="38" xfId="1" applyFill="1" applyBorder="1" applyAlignment="1">
      <alignment horizontal="right"/>
    </xf>
    <xf numFmtId="171" fontId="1" fillId="5" borderId="32" xfId="1" applyFill="1" applyBorder="1" applyAlignment="1">
      <alignment horizontal="right"/>
    </xf>
    <xf numFmtId="171" fontId="1" fillId="5" borderId="39" xfId="1" applyFill="1" applyBorder="1" applyAlignment="1">
      <alignment horizontal="right"/>
    </xf>
    <xf numFmtId="173" fontId="7" fillId="0" borderId="0" xfId="1" applyNumberFormat="1" applyFont="1" applyFill="1" applyBorder="1" applyAlignment="1">
      <alignment horizontal="left"/>
    </xf>
    <xf numFmtId="171" fontId="1" fillId="5" borderId="40" xfId="1" applyFill="1" applyBorder="1" applyAlignment="1">
      <alignment horizontal="right"/>
    </xf>
    <xf numFmtId="173" fontId="7" fillId="5" borderId="41" xfId="1" applyNumberFormat="1" applyFont="1" applyFill="1" applyBorder="1" applyAlignment="1">
      <alignment horizontal="left"/>
    </xf>
    <xf numFmtId="171" fontId="1" fillId="5" borderId="42" xfId="1" applyFill="1" applyBorder="1" applyAlignment="1">
      <alignment horizontal="right"/>
    </xf>
    <xf numFmtId="0" fontId="9" fillId="0" borderId="0" xfId="3"/>
    <xf numFmtId="0" fontId="9" fillId="0" borderId="0" xfId="3" applyAlignment="1">
      <alignment horizontal="center"/>
    </xf>
    <xf numFmtId="171" fontId="0" fillId="0" borderId="0" xfId="2" applyFont="1" applyAlignment="1">
      <alignment horizontal="center"/>
    </xf>
    <xf numFmtId="0" fontId="7" fillId="4" borderId="16" xfId="3" applyFont="1" applyFill="1" applyBorder="1"/>
    <xf numFmtId="171" fontId="7" fillId="4" borderId="17" xfId="2" applyFont="1" applyFill="1" applyBorder="1"/>
    <xf numFmtId="0" fontId="7" fillId="4" borderId="17" xfId="3" applyFont="1" applyFill="1" applyBorder="1"/>
    <xf numFmtId="0" fontId="7" fillId="4" borderId="18" xfId="3" applyFont="1" applyFill="1" applyBorder="1"/>
    <xf numFmtId="0" fontId="7" fillId="4" borderId="19" xfId="3" applyFont="1" applyFill="1" applyBorder="1"/>
    <xf numFmtId="173" fontId="7" fillId="4" borderId="0" xfId="2" applyNumberFormat="1" applyFont="1" applyFill="1" applyBorder="1"/>
    <xf numFmtId="171" fontId="7" fillId="4" borderId="0" xfId="3" applyNumberFormat="1" applyFont="1" applyFill="1" applyBorder="1"/>
    <xf numFmtId="0" fontId="7" fillId="4" borderId="20" xfId="3" applyFont="1" applyFill="1" applyBorder="1"/>
    <xf numFmtId="171" fontId="7" fillId="4" borderId="0" xfId="2" applyFont="1" applyFill="1" applyBorder="1"/>
    <xf numFmtId="0" fontId="7" fillId="4" borderId="21" xfId="3" applyFont="1" applyFill="1" applyBorder="1"/>
    <xf numFmtId="171" fontId="7" fillId="4" borderId="22" xfId="2" applyFont="1" applyFill="1" applyBorder="1"/>
    <xf numFmtId="0" fontId="7" fillId="4" borderId="22" xfId="3" applyFont="1" applyFill="1" applyBorder="1"/>
    <xf numFmtId="0" fontId="7" fillId="4" borderId="23" xfId="3" applyFont="1" applyFill="1" applyBorder="1"/>
    <xf numFmtId="171" fontId="0" fillId="0" borderId="0" xfId="2" applyFont="1"/>
    <xf numFmtId="0" fontId="3" fillId="2" borderId="1" xfId="3" applyFont="1" applyFill="1" applyBorder="1" applyAlignment="1">
      <alignment horizontal="center" vertical="top" wrapText="1"/>
    </xf>
    <xf numFmtId="171" fontId="3" fillId="2" borderId="2" xfId="2" applyFont="1" applyFill="1" applyBorder="1" applyAlignment="1">
      <alignment horizontal="center" vertical="top" wrapText="1"/>
    </xf>
    <xf numFmtId="171" fontId="3" fillId="2" borderId="2" xfId="2" applyFont="1" applyFill="1" applyBorder="1" applyAlignment="1">
      <alignment horizontal="right" vertical="top" wrapText="1"/>
    </xf>
    <xf numFmtId="0" fontId="8" fillId="2" borderId="4" xfId="3" applyFont="1" applyFill="1" applyBorder="1" applyAlignment="1">
      <alignment horizontal="left" vertical="top" wrapText="1"/>
    </xf>
    <xf numFmtId="171" fontId="4" fillId="0" borderId="3" xfId="2" applyFont="1" applyBorder="1" applyAlignment="1">
      <alignment horizontal="center" vertical="top" wrapText="1"/>
    </xf>
    <xf numFmtId="171" fontId="4" fillId="0" borderId="3" xfId="2" applyFont="1" applyBorder="1" applyAlignment="1">
      <alignment horizontal="right" vertical="top" wrapText="1"/>
    </xf>
    <xf numFmtId="0" fontId="4" fillId="2" borderId="4" xfId="3" applyFont="1" applyFill="1" applyBorder="1" applyAlignment="1">
      <alignment vertical="top" wrapText="1"/>
    </xf>
    <xf numFmtId="9" fontId="4" fillId="0" borderId="3" xfId="5" applyFont="1" applyBorder="1" applyAlignment="1">
      <alignment horizontal="center" vertical="top" wrapText="1"/>
    </xf>
    <xf numFmtId="0" fontId="4" fillId="2" borderId="5" xfId="3" applyFont="1" applyFill="1" applyBorder="1" applyAlignment="1">
      <alignment vertical="top" wrapText="1"/>
    </xf>
    <xf numFmtId="171" fontId="4" fillId="0" borderId="6" xfId="2" applyFont="1" applyBorder="1" applyAlignment="1">
      <alignment horizontal="center" vertical="top" wrapText="1"/>
    </xf>
    <xf numFmtId="171" fontId="4" fillId="0" borderId="6" xfId="2" applyFont="1" applyBorder="1" applyAlignment="1">
      <alignment horizontal="right" vertical="top" wrapText="1"/>
    </xf>
    <xf numFmtId="171" fontId="4" fillId="3" borderId="7" xfId="2" applyFont="1" applyFill="1" applyBorder="1" applyAlignment="1">
      <alignment horizontal="right" vertical="top" wrapText="1"/>
    </xf>
    <xf numFmtId="171" fontId="4" fillId="3" borderId="8" xfId="2" applyFont="1" applyFill="1" applyBorder="1" applyAlignment="1">
      <alignment horizontal="right" vertical="top" wrapText="1"/>
    </xf>
    <xf numFmtId="0" fontId="4" fillId="2" borderId="4" xfId="3" applyFont="1" applyFill="1" applyBorder="1" applyAlignment="1">
      <alignment horizontal="right" vertical="top" wrapText="1"/>
    </xf>
    <xf numFmtId="9" fontId="4" fillId="0" borderId="3" xfId="5" applyFont="1" applyBorder="1" applyAlignment="1">
      <alignment horizontal="right" vertical="top" wrapText="1"/>
    </xf>
    <xf numFmtId="171" fontId="4" fillId="3" borderId="9" xfId="2" applyFont="1" applyFill="1" applyBorder="1" applyAlignment="1">
      <alignment horizontal="right" vertical="top" wrapText="1"/>
    </xf>
    <xf numFmtId="0" fontId="8" fillId="2" borderId="4" xfId="3" applyFont="1" applyFill="1" applyBorder="1" applyAlignment="1">
      <alignment vertical="top" wrapText="1"/>
    </xf>
    <xf numFmtId="171" fontId="4" fillId="0" borderId="3" xfId="5" applyNumberFormat="1" applyFont="1" applyBorder="1" applyAlignment="1">
      <alignment horizontal="right" vertical="top" wrapText="1"/>
    </xf>
    <xf numFmtId="171" fontId="4" fillId="3" borderId="10" xfId="2" applyFont="1" applyFill="1" applyBorder="1" applyAlignment="1">
      <alignment horizontal="right" vertical="top" wrapText="1"/>
    </xf>
    <xf numFmtId="171" fontId="9" fillId="0" borderId="0" xfId="3" applyNumberFormat="1"/>
    <xf numFmtId="171" fontId="4" fillId="0" borderId="0" xfId="2" applyFont="1" applyBorder="1" applyAlignment="1">
      <alignment horizontal="right" vertical="top" wrapText="1"/>
    </xf>
    <xf numFmtId="0" fontId="9" fillId="0" borderId="0" xfId="3" applyBorder="1"/>
    <xf numFmtId="0" fontId="4" fillId="2" borderId="15" xfId="3" applyFont="1" applyFill="1" applyBorder="1" applyAlignment="1">
      <alignment horizontal="right" vertical="top" wrapText="1"/>
    </xf>
    <xf numFmtId="171" fontId="4" fillId="0" borderId="11" xfId="2" applyFont="1" applyBorder="1" applyAlignment="1">
      <alignment horizontal="center" vertical="top" wrapText="1"/>
    </xf>
    <xf numFmtId="9" fontId="4" fillId="0" borderId="11" xfId="5" applyFont="1" applyBorder="1" applyAlignment="1">
      <alignment horizontal="right" vertical="top" wrapText="1"/>
    </xf>
    <xf numFmtId="171" fontId="4" fillId="2" borderId="11" xfId="2" applyFont="1" applyFill="1" applyBorder="1" applyAlignment="1">
      <alignment horizontal="right" vertical="top" wrapText="1"/>
    </xf>
    <xf numFmtId="0" fontId="4" fillId="2" borderId="12" xfId="3" applyFont="1" applyFill="1" applyBorder="1" applyAlignment="1">
      <alignment vertical="top" wrapText="1"/>
    </xf>
    <xf numFmtId="171" fontId="4" fillId="0" borderId="13" xfId="2" applyFont="1" applyBorder="1" applyAlignment="1">
      <alignment horizontal="center" vertical="top" wrapText="1"/>
    </xf>
    <xf numFmtId="9" fontId="4" fillId="0" borderId="13" xfId="5" applyFont="1" applyBorder="1" applyAlignment="1">
      <alignment horizontal="right" vertical="top" wrapText="1"/>
    </xf>
    <xf numFmtId="171" fontId="4" fillId="0" borderId="13" xfId="2" applyFont="1" applyBorder="1" applyAlignment="1">
      <alignment horizontal="right" vertical="top" wrapText="1"/>
    </xf>
    <xf numFmtId="171" fontId="5" fillId="2" borderId="14" xfId="2" applyFont="1" applyFill="1" applyBorder="1" applyAlignment="1">
      <alignment horizontal="right" vertical="top" wrapText="1"/>
    </xf>
    <xf numFmtId="9" fontId="4" fillId="6" borderId="3" xfId="5" applyFont="1" applyFill="1" applyBorder="1" applyAlignment="1">
      <alignment horizontal="right" vertical="top" wrapText="1"/>
    </xf>
    <xf numFmtId="173" fontId="4" fillId="0" borderId="3" xfId="2" applyNumberFormat="1" applyFont="1" applyBorder="1" applyAlignment="1">
      <alignment horizontal="right" vertical="top" wrapText="1"/>
    </xf>
    <xf numFmtId="0" fontId="5" fillId="2" borderId="43" xfId="3" applyFont="1" applyFill="1" applyBorder="1" applyAlignment="1">
      <alignment horizontal="center" vertical="top" wrapText="1"/>
    </xf>
    <xf numFmtId="0" fontId="5" fillId="2" borderId="44" xfId="3" applyFont="1" applyFill="1" applyBorder="1" applyAlignment="1">
      <alignment horizontal="center" vertical="top" wrapText="1"/>
    </xf>
    <xf numFmtId="0" fontId="5" fillId="2" borderId="45" xfId="3" applyFont="1" applyFill="1" applyBorder="1" applyAlignment="1">
      <alignment horizontal="center" vertical="top" wrapText="1"/>
    </xf>
    <xf numFmtId="0" fontId="6" fillId="2" borderId="46" xfId="3" applyFont="1" applyFill="1" applyBorder="1" applyAlignment="1">
      <alignment horizontal="center"/>
    </xf>
    <xf numFmtId="0" fontId="6" fillId="2" borderId="47" xfId="3" applyFont="1" applyFill="1" applyBorder="1" applyAlignment="1">
      <alignment horizontal="center"/>
    </xf>
    <xf numFmtId="0" fontId="6" fillId="2" borderId="10" xfId="3" applyFont="1" applyFill="1" applyBorder="1" applyAlignment="1">
      <alignment horizontal="center"/>
    </xf>
    <xf numFmtId="0" fontId="4" fillId="3" borderId="48" xfId="3" applyFont="1" applyFill="1" applyBorder="1" applyAlignment="1">
      <alignment vertical="top" wrapText="1"/>
    </xf>
    <xf numFmtId="0" fontId="4" fillId="3" borderId="49" xfId="3" applyFont="1" applyFill="1" applyBorder="1" applyAlignment="1">
      <alignment vertical="top" wrapText="1"/>
    </xf>
    <xf numFmtId="0" fontId="4" fillId="3" borderId="2" xfId="3" applyFont="1" applyFill="1" applyBorder="1" applyAlignment="1">
      <alignment vertical="top" wrapText="1"/>
    </xf>
    <xf numFmtId="0" fontId="4" fillId="3" borderId="50" xfId="3" applyFont="1" applyFill="1" applyBorder="1" applyAlignment="1">
      <alignment vertical="top" wrapText="1"/>
    </xf>
    <xf numFmtId="0" fontId="4" fillId="3" borderId="47" xfId="3" applyFont="1" applyFill="1" applyBorder="1" applyAlignment="1">
      <alignment vertical="top" wrapText="1"/>
    </xf>
    <xf numFmtId="0" fontId="4" fillId="2" borderId="50" xfId="3" applyFont="1" applyFill="1" applyBorder="1" applyAlignment="1">
      <alignment horizontal="center" vertical="top" wrapText="1"/>
    </xf>
    <xf numFmtId="0" fontId="4" fillId="2" borderId="47" xfId="3" applyFont="1" applyFill="1" applyBorder="1" applyAlignment="1">
      <alignment horizontal="center" vertical="top" wrapText="1"/>
    </xf>
    <xf numFmtId="0" fontId="4" fillId="2" borderId="51" xfId="3" applyFont="1" applyFill="1" applyBorder="1" applyAlignment="1">
      <alignment horizontal="center" vertical="top" wrapText="1"/>
    </xf>
    <xf numFmtId="0" fontId="12" fillId="5" borderId="16" xfId="0" applyFont="1" applyFill="1" applyBorder="1" applyAlignment="1">
      <alignment horizontal="center" vertical="center" wrapText="1"/>
    </xf>
    <xf numFmtId="0" fontId="13" fillId="5" borderId="17" xfId="0" applyFont="1" applyFill="1" applyBorder="1" applyAlignment="1">
      <alignment horizontal="center" vertical="center" wrapText="1"/>
    </xf>
    <xf numFmtId="0" fontId="13" fillId="5" borderId="18" xfId="0" applyFont="1" applyFill="1" applyBorder="1" applyAlignment="1">
      <alignment horizontal="center" vertical="center" wrapText="1"/>
    </xf>
    <xf numFmtId="0" fontId="13" fillId="5" borderId="21" xfId="0" applyFont="1" applyFill="1" applyBorder="1" applyAlignment="1">
      <alignment horizontal="center" vertical="center" wrapText="1"/>
    </xf>
    <xf numFmtId="0" fontId="13" fillId="5" borderId="22" xfId="0" applyFont="1" applyFill="1" applyBorder="1" applyAlignment="1">
      <alignment horizontal="center" vertical="center" wrapText="1"/>
    </xf>
    <xf numFmtId="0" fontId="13" fillId="5" borderId="23" xfId="0" applyFont="1" applyFill="1" applyBorder="1" applyAlignment="1">
      <alignment horizontal="center" vertical="center" wrapText="1"/>
    </xf>
    <xf numFmtId="171" fontId="15" fillId="5" borderId="52" xfId="1" applyFont="1" applyFill="1" applyBorder="1" applyAlignment="1">
      <alignment horizontal="center" vertical="center"/>
    </xf>
    <xf numFmtId="171" fontId="15" fillId="5" borderId="53" xfId="1" applyFont="1" applyFill="1" applyBorder="1" applyAlignment="1">
      <alignment horizontal="center" vertical="center"/>
    </xf>
    <xf numFmtId="171" fontId="15" fillId="5" borderId="54" xfId="1" applyFont="1" applyFill="1" applyBorder="1" applyAlignment="1">
      <alignment horizontal="center" vertical="center"/>
    </xf>
    <xf numFmtId="0" fontId="12" fillId="5" borderId="17" xfId="0" applyFont="1" applyFill="1" applyBorder="1" applyAlignment="1">
      <alignment horizontal="center" vertical="center" wrapText="1"/>
    </xf>
    <xf numFmtId="0" fontId="12" fillId="5" borderId="18" xfId="0" applyFont="1" applyFill="1" applyBorder="1" applyAlignment="1">
      <alignment horizontal="center" vertical="center" wrapText="1"/>
    </xf>
    <xf numFmtId="0" fontId="12" fillId="5" borderId="21" xfId="0" applyFont="1" applyFill="1" applyBorder="1" applyAlignment="1">
      <alignment horizontal="center" vertical="center" wrapText="1"/>
    </xf>
    <xf numFmtId="0" fontId="12" fillId="5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horizontal="center" vertical="center" wrapText="1"/>
    </xf>
    <xf numFmtId="0" fontId="6" fillId="2" borderId="46" xfId="0" applyFont="1" applyFill="1" applyBorder="1" applyAlignment="1">
      <alignment horizontal="center"/>
    </xf>
    <xf numFmtId="0" fontId="6" fillId="2" borderId="47" xfId="0" applyFont="1" applyFill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0" fontId="5" fillId="2" borderId="43" xfId="0" applyFont="1" applyFill="1" applyBorder="1" applyAlignment="1">
      <alignment horizontal="center" vertical="top" wrapText="1"/>
    </xf>
    <xf numFmtId="0" fontId="5" fillId="2" borderId="44" xfId="0" applyFont="1" applyFill="1" applyBorder="1" applyAlignment="1">
      <alignment horizontal="center" vertical="top" wrapText="1"/>
    </xf>
    <xf numFmtId="0" fontId="5" fillId="2" borderId="45" xfId="0" applyFont="1" applyFill="1" applyBorder="1" applyAlignment="1">
      <alignment horizontal="center" vertical="top" wrapText="1"/>
    </xf>
    <xf numFmtId="0" fontId="4" fillId="3" borderId="48" xfId="0" applyFont="1" applyFill="1" applyBorder="1" applyAlignment="1">
      <alignment vertical="top" wrapText="1"/>
    </xf>
    <xf numFmtId="0" fontId="4" fillId="3" borderId="49" xfId="0" applyFont="1" applyFill="1" applyBorder="1" applyAlignment="1">
      <alignment vertical="top" wrapText="1"/>
    </xf>
    <xf numFmtId="0" fontId="4" fillId="3" borderId="2" xfId="0" applyFont="1" applyFill="1" applyBorder="1" applyAlignment="1">
      <alignment vertical="top" wrapText="1"/>
    </xf>
    <xf numFmtId="0" fontId="4" fillId="3" borderId="50" xfId="0" applyFont="1" applyFill="1" applyBorder="1" applyAlignment="1">
      <alignment vertical="top" wrapText="1"/>
    </xf>
    <xf numFmtId="0" fontId="4" fillId="3" borderId="47" xfId="0" applyFont="1" applyFill="1" applyBorder="1" applyAlignment="1">
      <alignment vertical="top" wrapText="1"/>
    </xf>
    <xf numFmtId="0" fontId="4" fillId="2" borderId="50" xfId="0" applyFont="1" applyFill="1" applyBorder="1" applyAlignment="1">
      <alignment horizontal="center" vertical="top" wrapText="1"/>
    </xf>
    <xf numFmtId="0" fontId="4" fillId="2" borderId="47" xfId="0" applyFont="1" applyFill="1" applyBorder="1" applyAlignment="1">
      <alignment horizontal="center" vertical="top" wrapText="1"/>
    </xf>
    <xf numFmtId="0" fontId="4" fillId="2" borderId="51" xfId="0" applyFont="1" applyFill="1" applyBorder="1" applyAlignment="1">
      <alignment horizontal="center" vertical="top" wrapText="1"/>
    </xf>
    <xf numFmtId="0" fontId="6" fillId="5" borderId="46" xfId="0" applyFont="1" applyFill="1" applyBorder="1" applyAlignment="1">
      <alignment horizontal="center"/>
    </xf>
    <xf numFmtId="0" fontId="6" fillId="5" borderId="47" xfId="0" applyFont="1" applyFill="1" applyBorder="1" applyAlignment="1">
      <alignment horizontal="center"/>
    </xf>
    <xf numFmtId="0" fontId="6" fillId="5" borderId="10" xfId="0" applyFont="1" applyFill="1" applyBorder="1" applyAlignment="1">
      <alignment horizontal="center"/>
    </xf>
  </cellXfs>
  <cellStyles count="6">
    <cellStyle name="Milliers" xfId="1" builtinId="3"/>
    <cellStyle name="Milliers 2" xfId="2"/>
    <cellStyle name="Normal" xfId="0" builtinId="0"/>
    <cellStyle name="Normal 2" xfId="3"/>
    <cellStyle name="Pourcentage" xfId="4" builtinId="5"/>
    <cellStyle name="Pourcentage 2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289560</xdr:colOff>
      <xdr:row>0</xdr:row>
      <xdr:rowOff>53340</xdr:rowOff>
    </xdr:from>
    <xdr:to>
      <xdr:col>12</xdr:col>
      <xdr:colOff>0</xdr:colOff>
      <xdr:row>1</xdr:row>
      <xdr:rowOff>30480</xdr:rowOff>
    </xdr:to>
    <xdr:sp macro="[0]!Retour" textlink="">
      <xdr:nvSpPr>
        <xdr:cNvPr id="2" name="Rectangle à coins arrondis 1"/>
        <xdr:cNvSpPr/>
      </xdr:nvSpPr>
      <xdr:spPr>
        <a:xfrm>
          <a:off x="8046720" y="53340"/>
          <a:ext cx="137922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Données de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106680</xdr:colOff>
      <xdr:row>0</xdr:row>
      <xdr:rowOff>129540</xdr:rowOff>
    </xdr:from>
    <xdr:to>
      <xdr:col>7</xdr:col>
      <xdr:colOff>1028700</xdr:colOff>
      <xdr:row>1</xdr:row>
      <xdr:rowOff>266700</xdr:rowOff>
    </xdr:to>
    <xdr:sp macro="[0]!Debut" textlink="">
      <xdr:nvSpPr>
        <xdr:cNvPr id="2" name="Rectangle à coins arrondis 1"/>
        <xdr:cNvSpPr/>
      </xdr:nvSpPr>
      <xdr:spPr>
        <a:xfrm>
          <a:off x="6515100" y="129540"/>
          <a:ext cx="2179320" cy="3505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>
              <a:solidFill>
                <a:srgbClr val="FFFF00"/>
              </a:solidFill>
            </a:rPr>
            <a:t>Arborescence des feuilles</a:t>
          </a:r>
        </a:p>
      </xdr:txBody>
    </xdr:sp>
    <xdr:clientData/>
  </xdr:twoCellAnchor>
  <xdr:twoCellAnchor>
    <xdr:from>
      <xdr:col>6</xdr:col>
      <xdr:colOff>129540</xdr:colOff>
      <xdr:row>3</xdr:row>
      <xdr:rowOff>144780</xdr:rowOff>
    </xdr:from>
    <xdr:to>
      <xdr:col>9</xdr:col>
      <xdr:colOff>137160</xdr:colOff>
      <xdr:row>20</xdr:row>
      <xdr:rowOff>30480</xdr:rowOff>
    </xdr:to>
    <xdr:sp macro="" textlink="">
      <xdr:nvSpPr>
        <xdr:cNvPr id="3" name="ZoneTexte 2"/>
        <xdr:cNvSpPr txBox="1"/>
      </xdr:nvSpPr>
      <xdr:spPr>
        <a:xfrm>
          <a:off x="6537960" y="800100"/>
          <a:ext cx="3596640" cy="27355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j'ai créé</a:t>
          </a:r>
          <a:r>
            <a:rPr lang="fr-BE" sz="1100" baseline="0"/>
            <a:t> un UserForm avec des boutons qui vous permettent d'aller d'une feuille à l'autre toujours au départ de cette feuille Données de base	</a:t>
          </a:r>
          <a:br>
            <a:rPr lang="fr-BE" sz="1100" baseline="0"/>
          </a:br>
          <a:r>
            <a:rPr lang="fr-BE" sz="1100" baseline="0"/>
            <a:t>Sur chaque feuille, vous avez un bouton qui vous ramène </a:t>
          </a:r>
          <a:br>
            <a:rPr lang="fr-BE" sz="1100" baseline="0"/>
          </a:br>
          <a:r>
            <a:rPr lang="fr-BE" sz="1100" baseline="0"/>
            <a:t>sur cette fuille de départ.</a:t>
          </a:r>
          <a:br>
            <a:rPr lang="fr-BE" sz="1100" baseline="0"/>
          </a:br>
          <a:r>
            <a:rPr lang="fr-BE" sz="1100" baseline="0"/>
            <a:t>Testez le programme et si vous avez un problème ou si vous souhaitez un changement, postez un MSG sur le forum</a:t>
          </a:r>
          <a:br>
            <a:rPr lang="fr-BE" sz="1100" baseline="0"/>
          </a:br>
          <a:r>
            <a:rPr lang="fr-BE" sz="1100" baseline="0"/>
            <a:t>ou envoyez-moi un mail celà est possible du forum.</a:t>
          </a:r>
          <a:br>
            <a:rPr lang="fr-BE" sz="1100" baseline="0"/>
          </a:br>
          <a:r>
            <a:rPr lang="fr-BE" sz="1100" baseline="0"/>
            <a:t>L'UserForm s'ouvre en cliquant sur le bouton Arborescence</a:t>
          </a:r>
          <a:br>
            <a:rPr lang="fr-BE" sz="1100" baseline="0"/>
          </a:br>
          <a:r>
            <a:rPr lang="fr-BE" sz="1100" baseline="0"/>
            <a:t>ci-dessus.</a:t>
          </a:r>
        </a:p>
        <a:p>
          <a:r>
            <a:rPr lang="fr-BE" sz="1100" baseline="0"/>
            <a:t>Bonne soirée, Cordialement,</a:t>
          </a:r>
          <a:br>
            <a:rPr lang="fr-BE" sz="1100" baseline="0"/>
          </a:br>
          <a:r>
            <a:rPr lang="fr-BE" sz="1100" baseline="0"/>
            <a:t>Papy Pierrot</a:t>
          </a:r>
          <a:br>
            <a:rPr lang="fr-BE" sz="1100" baseline="0"/>
          </a:br>
          <a:r>
            <a:rPr lang="fr-BE" sz="1100" baseline="0"/>
            <a:t>Belgique</a:t>
          </a:r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0</xdr:rowOff>
    </xdr:from>
    <xdr:to>
      <xdr:col>8</xdr:col>
      <xdr:colOff>236220</xdr:colOff>
      <xdr:row>2</xdr:row>
      <xdr:rowOff>30480</xdr:rowOff>
    </xdr:to>
    <xdr:sp macro="[0]!Retour" textlink="">
      <xdr:nvSpPr>
        <xdr:cNvPr id="2" name="Rectangle à coins arrondis 1"/>
        <xdr:cNvSpPr/>
      </xdr:nvSpPr>
      <xdr:spPr>
        <a:xfrm>
          <a:off x="6781800" y="160020"/>
          <a:ext cx="137922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Données de base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0</xdr:rowOff>
    </xdr:from>
    <xdr:to>
      <xdr:col>8</xdr:col>
      <xdr:colOff>236220</xdr:colOff>
      <xdr:row>2</xdr:row>
      <xdr:rowOff>30480</xdr:rowOff>
    </xdr:to>
    <xdr:sp macro="[0]!Retour" textlink="">
      <xdr:nvSpPr>
        <xdr:cNvPr id="2" name="Rectangle à coins arrondis 1"/>
        <xdr:cNvSpPr/>
      </xdr:nvSpPr>
      <xdr:spPr>
        <a:xfrm>
          <a:off x="6781800" y="160020"/>
          <a:ext cx="137922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Données de base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9</xdr:col>
      <xdr:colOff>586740</xdr:colOff>
      <xdr:row>1</xdr:row>
      <xdr:rowOff>38100</xdr:rowOff>
    </xdr:to>
    <xdr:sp macro="[0]!Retour" textlink="">
      <xdr:nvSpPr>
        <xdr:cNvPr id="2" name="Rectangle à coins arrondis 1"/>
        <xdr:cNvSpPr/>
      </xdr:nvSpPr>
      <xdr:spPr>
        <a:xfrm>
          <a:off x="7719060" y="0"/>
          <a:ext cx="137922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Données de base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586740</xdr:colOff>
      <xdr:row>0</xdr:row>
      <xdr:rowOff>205740</xdr:rowOff>
    </xdr:to>
    <xdr:sp macro="[0]!Retour" textlink="">
      <xdr:nvSpPr>
        <xdr:cNvPr id="2" name="Rectangle à coins arrondis 1"/>
        <xdr:cNvSpPr/>
      </xdr:nvSpPr>
      <xdr:spPr>
        <a:xfrm>
          <a:off x="7757160" y="0"/>
          <a:ext cx="137922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Données de base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586740</xdr:colOff>
      <xdr:row>0</xdr:row>
      <xdr:rowOff>205740</xdr:rowOff>
    </xdr:to>
    <xdr:sp macro="[0]!Retour" textlink="">
      <xdr:nvSpPr>
        <xdr:cNvPr id="2" name="Rectangle à coins arrondis 1"/>
        <xdr:cNvSpPr/>
      </xdr:nvSpPr>
      <xdr:spPr>
        <a:xfrm>
          <a:off x="7894320" y="0"/>
          <a:ext cx="137922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Données de base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586740</xdr:colOff>
      <xdr:row>0</xdr:row>
      <xdr:rowOff>205740</xdr:rowOff>
    </xdr:to>
    <xdr:sp macro="[0]!Retour" textlink="">
      <xdr:nvSpPr>
        <xdr:cNvPr id="2" name="Rectangle à coins arrondis 1"/>
        <xdr:cNvSpPr/>
      </xdr:nvSpPr>
      <xdr:spPr>
        <a:xfrm>
          <a:off x="7894320" y="0"/>
          <a:ext cx="137922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Données de base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586740</xdr:colOff>
      <xdr:row>0</xdr:row>
      <xdr:rowOff>205740</xdr:rowOff>
    </xdr:to>
    <xdr:sp macro="[0]!Retour" textlink="">
      <xdr:nvSpPr>
        <xdr:cNvPr id="2" name="Rectangle à coins arrondis 1"/>
        <xdr:cNvSpPr/>
      </xdr:nvSpPr>
      <xdr:spPr>
        <a:xfrm>
          <a:off x="7757160" y="0"/>
          <a:ext cx="137922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Données de base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586740</xdr:colOff>
      <xdr:row>0</xdr:row>
      <xdr:rowOff>205740</xdr:rowOff>
    </xdr:to>
    <xdr:sp macro="[0]!Retour" textlink="">
      <xdr:nvSpPr>
        <xdr:cNvPr id="2" name="Rectangle à coins arrondis 1"/>
        <xdr:cNvSpPr/>
      </xdr:nvSpPr>
      <xdr:spPr>
        <a:xfrm>
          <a:off x="7894320" y="0"/>
          <a:ext cx="137922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Données de base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7</xdr:row>
      <xdr:rowOff>0</xdr:rowOff>
    </xdr:from>
    <xdr:to>
      <xdr:col>7</xdr:col>
      <xdr:colOff>594360</xdr:colOff>
      <xdr:row>7</xdr:row>
      <xdr:rowOff>205740</xdr:rowOff>
    </xdr:to>
    <xdr:sp macro="[0]!Retour" textlink="">
      <xdr:nvSpPr>
        <xdr:cNvPr id="2" name="Rectangle à coins arrondis 1"/>
        <xdr:cNvSpPr/>
      </xdr:nvSpPr>
      <xdr:spPr>
        <a:xfrm>
          <a:off x="7559040" y="1569720"/>
          <a:ext cx="137922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200" b="1">
              <a:solidFill>
                <a:srgbClr val="FFFF00"/>
              </a:solidFill>
            </a:rPr>
            <a:t>Données de base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Mes%20documents\SITA%20ESPERANCE\COLLECTIVITES\CCNBT\TRI%20TRAITEMENT%20DES%20OE%20ET%20DV\cout%20de%20transport%20transfer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ISLER\Documents\CCCL%20AO%20REPONSE\&#233;tude%20lot%201%20(1)%20sita%20modif%20dt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s de transports"/>
      <sheetName val="BUDGET"/>
      <sheetName val="benne"/>
      <sheetName val="Offre CCNBT"/>
    </sheetNames>
    <sheetDataSet>
      <sheetData sheetId="0">
        <row r="46">
          <cell r="E46">
            <v>42444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M lot 1pàp C3 hn"/>
      <sheetName val="personnel hn "/>
      <sheetName val="population"/>
      <sheetName val="données de base CCCL"/>
      <sheetName val="personnel hj "/>
      <sheetName val="OM lot 1pàp C3"/>
      <sheetName val="OM lot 1pàp C2"/>
      <sheetName val="Verrelot 1pàp"/>
      <sheetName val="CSlot 1 pàp"/>
      <sheetName val="Synthése prix"/>
    </sheetNames>
    <sheetDataSet>
      <sheetData sheetId="0"/>
      <sheetData sheetId="1"/>
      <sheetData sheetId="2"/>
      <sheetData sheetId="3"/>
      <sheetData sheetId="4">
        <row r="12">
          <cell r="C12">
            <v>17899.2</v>
          </cell>
        </row>
        <row r="13">
          <cell r="C13">
            <v>1491.6000000000001</v>
          </cell>
        </row>
        <row r="14">
          <cell r="C14">
            <v>1939.08</v>
          </cell>
        </row>
        <row r="15">
          <cell r="C15">
            <v>650</v>
          </cell>
        </row>
        <row r="17">
          <cell r="C17">
            <v>4395.9759999999997</v>
          </cell>
        </row>
        <row r="20">
          <cell r="C20">
            <v>1706.3990784</v>
          </cell>
        </row>
        <row r="24">
          <cell r="C24">
            <v>18550.080000000002</v>
          </cell>
        </row>
        <row r="25">
          <cell r="C25">
            <v>1545.8400000000001</v>
          </cell>
        </row>
        <row r="26">
          <cell r="C26">
            <v>2009.5920000000003</v>
          </cell>
        </row>
        <row r="27">
          <cell r="C27">
            <v>0</v>
          </cell>
        </row>
        <row r="29">
          <cell r="C29">
            <v>4421.1024000000007</v>
          </cell>
        </row>
        <row r="31">
          <cell r="C31">
            <v>1706.3990784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N57"/>
  <sheetViews>
    <sheetView workbookViewId="0">
      <selection activeCell="I3" sqref="I3"/>
    </sheetView>
  </sheetViews>
  <sheetFormatPr baseColWidth="10" defaultColWidth="11.44140625" defaultRowHeight="13.2" x14ac:dyDescent="0.25"/>
  <cols>
    <col min="1" max="1" width="32.33203125" style="114" customWidth="1"/>
    <col min="2" max="2" width="12.88671875" style="130" bestFit="1" customWidth="1"/>
    <col min="3" max="3" width="8" style="114" bestFit="1" customWidth="1"/>
    <col min="4" max="4" width="9.6640625" style="114" bestFit="1" customWidth="1"/>
    <col min="5" max="5" width="10.88671875" style="114" bestFit="1" customWidth="1"/>
    <col min="6" max="6" width="9.6640625" style="114" bestFit="1" customWidth="1"/>
    <col min="7" max="7" width="9.6640625" style="114" hidden="1" customWidth="1"/>
    <col min="8" max="10" width="9.88671875" style="114" bestFit="1" customWidth="1"/>
    <col min="11" max="11" width="11.44140625" style="114"/>
    <col min="12" max="12" width="12.88671875" style="114" bestFit="1" customWidth="1"/>
    <col min="13" max="16384" width="11.44140625" style="114"/>
  </cols>
  <sheetData>
    <row r="1" spans="1:12" ht="18" thickBot="1" x14ac:dyDescent="0.35">
      <c r="A1" s="167" t="s">
        <v>97</v>
      </c>
      <c r="B1" s="168"/>
      <c r="C1" s="168"/>
      <c r="D1" s="168"/>
      <c r="E1" s="168"/>
      <c r="F1" s="168"/>
      <c r="G1" s="168"/>
      <c r="H1" s="168"/>
      <c r="I1" s="168"/>
      <c r="J1" s="169"/>
    </row>
    <row r="2" spans="1:12" ht="13.8" thickBot="1" x14ac:dyDescent="0.3">
      <c r="A2" s="115"/>
      <c r="B2" s="116"/>
      <c r="C2" s="115"/>
      <c r="D2" s="115"/>
      <c r="E2" s="115"/>
      <c r="F2" s="115"/>
      <c r="G2" s="115"/>
      <c r="H2" s="115"/>
      <c r="I2" s="115"/>
      <c r="J2" s="115"/>
    </row>
    <row r="3" spans="1:12" x14ac:dyDescent="0.25">
      <c r="A3" s="117" t="s">
        <v>46</v>
      </c>
      <c r="B3" s="118"/>
      <c r="C3" s="119"/>
      <c r="D3" s="120"/>
      <c r="E3" s="115"/>
      <c r="F3" s="115"/>
      <c r="G3" s="115"/>
      <c r="H3" s="115"/>
      <c r="I3" s="115"/>
      <c r="J3" s="115"/>
    </row>
    <row r="4" spans="1:12" x14ac:dyDescent="0.25">
      <c r="A4" s="121" t="s">
        <v>1</v>
      </c>
      <c r="B4" s="122">
        <v>1924</v>
      </c>
      <c r="C4" s="123"/>
      <c r="D4" s="124"/>
    </row>
    <row r="5" spans="1:12" x14ac:dyDescent="0.25">
      <c r="A5" s="121" t="s">
        <v>47</v>
      </c>
      <c r="B5" s="125">
        <f>151.67*12</f>
        <v>1820.04</v>
      </c>
      <c r="C5" s="123">
        <f>B5/1820</f>
        <v>1.0000219780219779</v>
      </c>
      <c r="D5" s="124" t="s">
        <v>51</v>
      </c>
    </row>
    <row r="6" spans="1:12" x14ac:dyDescent="0.25">
      <c r="A6" s="121" t="s">
        <v>48</v>
      </c>
      <c r="B6" s="125">
        <f>151.67*12</f>
        <v>1820.04</v>
      </c>
      <c r="C6" s="123">
        <f>C5</f>
        <v>1.0000219780219779</v>
      </c>
      <c r="D6" s="124" t="s">
        <v>51</v>
      </c>
    </row>
    <row r="7" spans="1:12" x14ac:dyDescent="0.25">
      <c r="A7" s="121" t="s">
        <v>49</v>
      </c>
      <c r="B7" s="125">
        <f>151.67*12</f>
        <v>1820.04</v>
      </c>
      <c r="C7" s="123">
        <f>C6</f>
        <v>1.0000219780219779</v>
      </c>
      <c r="D7" s="124" t="s">
        <v>51</v>
      </c>
    </row>
    <row r="8" spans="1:12" ht="13.8" thickBot="1" x14ac:dyDescent="0.3">
      <c r="A8" s="126" t="s">
        <v>50</v>
      </c>
      <c r="B8" s="127"/>
      <c r="C8" s="128"/>
      <c r="D8" s="129"/>
    </row>
    <row r="9" spans="1:12" ht="13.8" thickBot="1" x14ac:dyDescent="0.3"/>
    <row r="10" spans="1:12" ht="29.4" thickBot="1" x14ac:dyDescent="0.3">
      <c r="A10" s="131" t="s">
        <v>4</v>
      </c>
      <c r="B10" s="132" t="s">
        <v>5</v>
      </c>
      <c r="C10" s="132" t="s">
        <v>6</v>
      </c>
      <c r="D10" s="133" t="s">
        <v>7</v>
      </c>
      <c r="E10" s="133" t="s">
        <v>8</v>
      </c>
      <c r="F10" s="133" t="s">
        <v>9</v>
      </c>
      <c r="G10" s="133">
        <v>1820</v>
      </c>
      <c r="H10" s="133" t="s">
        <v>10</v>
      </c>
      <c r="I10" s="133" t="s">
        <v>75</v>
      </c>
      <c r="J10" s="133" t="s">
        <v>78</v>
      </c>
    </row>
    <row r="11" spans="1:12" x14ac:dyDescent="0.25">
      <c r="A11" s="134" t="s">
        <v>11</v>
      </c>
      <c r="B11" s="135"/>
      <c r="C11" s="135"/>
      <c r="D11" s="136"/>
      <c r="E11" s="136"/>
      <c r="F11" s="136"/>
      <c r="G11" s="136"/>
      <c r="H11" s="136"/>
      <c r="I11" s="136"/>
      <c r="J11" s="136"/>
    </row>
    <row r="12" spans="1:12" x14ac:dyDescent="0.25">
      <c r="A12" s="137" t="s">
        <v>12</v>
      </c>
      <c r="B12" s="135">
        <f>(165000-(165000*30%))/5</f>
        <v>23100</v>
      </c>
      <c r="C12" s="135" t="s">
        <v>13</v>
      </c>
      <c r="D12" s="136">
        <v>1</v>
      </c>
      <c r="E12" s="136">
        <f>D12*B12</f>
        <v>23100</v>
      </c>
      <c r="F12" s="136">
        <f>+E12/$B$5</f>
        <v>12.692028746620954</v>
      </c>
      <c r="G12" s="136">
        <f>E12/$G$10</f>
        <v>12.692307692307692</v>
      </c>
      <c r="H12" s="136" t="e">
        <f>+E12/$B$8</f>
        <v>#DIV/0!</v>
      </c>
      <c r="I12" s="136" t="e">
        <f>+E12/$B$3</f>
        <v>#DIV/0!</v>
      </c>
      <c r="J12" s="136">
        <f>+E12/$B$4</f>
        <v>12.006237006237006</v>
      </c>
      <c r="L12" s="114">
        <f>+E12/12</f>
        <v>1925</v>
      </c>
    </row>
    <row r="13" spans="1:12" x14ac:dyDescent="0.25">
      <c r="A13" s="137" t="s">
        <v>14</v>
      </c>
      <c r="B13" s="138">
        <v>0.12</v>
      </c>
      <c r="C13" s="135" t="s">
        <v>20</v>
      </c>
      <c r="D13" s="136">
        <f>D12</f>
        <v>1</v>
      </c>
      <c r="E13" s="136">
        <f>+E12*B13</f>
        <v>2772</v>
      </c>
      <c r="F13" s="136">
        <f>+E13/$B$5</f>
        <v>1.5230434495945144</v>
      </c>
      <c r="G13" s="136">
        <f>E13/$G$10</f>
        <v>1.523076923076923</v>
      </c>
      <c r="H13" s="136" t="e">
        <f>+E13/$B$8</f>
        <v>#DIV/0!</v>
      </c>
      <c r="I13" s="136" t="e">
        <f>+E13/$B$3</f>
        <v>#DIV/0!</v>
      </c>
      <c r="J13" s="136">
        <f>+E13/$B$4</f>
        <v>1.4407484407484408</v>
      </c>
    </row>
    <row r="14" spans="1:12" ht="13.8" thickBot="1" x14ac:dyDescent="0.3">
      <c r="A14" s="139" t="s">
        <v>53</v>
      </c>
      <c r="B14" s="140">
        <f>5000/5</f>
        <v>1000</v>
      </c>
      <c r="C14" s="140" t="s">
        <v>13</v>
      </c>
      <c r="D14" s="141">
        <f>D13</f>
        <v>1</v>
      </c>
      <c r="E14" s="141">
        <f>D14*B14</f>
        <v>1000</v>
      </c>
      <c r="F14" s="136">
        <f>+E14/$B$5</f>
        <v>0.54943847387969491</v>
      </c>
      <c r="G14" s="136">
        <f>E14/$G$10</f>
        <v>0.5494505494505495</v>
      </c>
      <c r="H14" s="136" t="e">
        <f>+E14/$B$8</f>
        <v>#DIV/0!</v>
      </c>
      <c r="I14" s="136" t="e">
        <f>+E14/$B$3</f>
        <v>#DIV/0!</v>
      </c>
      <c r="J14" s="136">
        <f>+E14/$B$4</f>
        <v>0.51975051975051978</v>
      </c>
    </row>
    <row r="15" spans="1:12" ht="13.8" thickBot="1" x14ac:dyDescent="0.3">
      <c r="A15" s="170" t="s">
        <v>15</v>
      </c>
      <c r="B15" s="171"/>
      <c r="C15" s="171"/>
      <c r="D15" s="172"/>
      <c r="E15" s="142">
        <f t="shared" ref="E15:J15" si="0">SUM(E12:E14)</f>
        <v>26872</v>
      </c>
      <c r="F15" s="143">
        <f t="shared" si="0"/>
        <v>14.764510670095163</v>
      </c>
      <c r="G15" s="143">
        <f t="shared" si="0"/>
        <v>14.764835164835164</v>
      </c>
      <c r="H15" s="143" t="e">
        <f t="shared" si="0"/>
        <v>#DIV/0!</v>
      </c>
      <c r="I15" s="143" t="e">
        <f t="shared" si="0"/>
        <v>#DIV/0!</v>
      </c>
      <c r="J15" s="143">
        <f t="shared" si="0"/>
        <v>13.966735966735968</v>
      </c>
    </row>
    <row r="16" spans="1:12" x14ac:dyDescent="0.25">
      <c r="A16" s="134" t="s">
        <v>55</v>
      </c>
      <c r="B16" s="135"/>
      <c r="C16" s="135"/>
      <c r="D16" s="136"/>
      <c r="E16" s="136"/>
      <c r="F16" s="136"/>
      <c r="G16" s="136"/>
      <c r="H16" s="136"/>
      <c r="I16" s="136"/>
      <c r="J16" s="136"/>
    </row>
    <row r="17" spans="1:14" x14ac:dyDescent="0.25">
      <c r="A17" s="144" t="s">
        <v>16</v>
      </c>
      <c r="B17" s="135"/>
      <c r="C17" s="135"/>
      <c r="D17" s="136"/>
      <c r="E17" s="136"/>
      <c r="F17" s="136"/>
      <c r="G17" s="136"/>
      <c r="H17" s="136"/>
      <c r="I17" s="136"/>
      <c r="J17" s="136"/>
    </row>
    <row r="18" spans="1:14" x14ac:dyDescent="0.25">
      <c r="A18" s="144" t="s">
        <v>17</v>
      </c>
      <c r="B18" s="135">
        <f>'[2]personnel hj '!C24+'[2]personnel hj '!C25+'[2]personnel hj '!C26+'[2]personnel hj '!C27</f>
        <v>22105.512000000002</v>
      </c>
      <c r="C18" s="135" t="s">
        <v>18</v>
      </c>
      <c r="D18" s="136">
        <f>D14</f>
        <v>1</v>
      </c>
      <c r="E18" s="136">
        <f>D18*B18</f>
        <v>22105.512000000002</v>
      </c>
      <c r="F18" s="136">
        <f>+E18/$B$5</f>
        <v>12.145618777609284</v>
      </c>
      <c r="G18" s="136">
        <f>E18/$G$10</f>
        <v>12.145885714285715</v>
      </c>
      <c r="H18" s="136" t="e">
        <f>+E18/$B$8</f>
        <v>#DIV/0!</v>
      </c>
      <c r="I18" s="136" t="e">
        <f>+E18/$B$3</f>
        <v>#DIV/0!</v>
      </c>
      <c r="J18" s="136">
        <f>+E18/$B$4</f>
        <v>11.489351351351353</v>
      </c>
    </row>
    <row r="19" spans="1:14" x14ac:dyDescent="0.25">
      <c r="A19" s="144" t="s">
        <v>72</v>
      </c>
      <c r="B19" s="135">
        <f>'[2]personnel hj '!C31</f>
        <v>1706.3990784</v>
      </c>
      <c r="C19" s="135" t="s">
        <v>18</v>
      </c>
      <c r="D19" s="136">
        <f>D14</f>
        <v>1</v>
      </c>
      <c r="E19" s="136">
        <f>D19*B19</f>
        <v>1706.3990784</v>
      </c>
      <c r="F19" s="136">
        <f>+E19/$B$5</f>
        <v>0.93756130546581395</v>
      </c>
      <c r="G19" s="136">
        <f>E19/$G$10</f>
        <v>0.9375819112087912</v>
      </c>
      <c r="H19" s="136" t="e">
        <f>+E19/$B$8</f>
        <v>#DIV/0!</v>
      </c>
      <c r="I19" s="136" t="e">
        <f>+E19/$B$3</f>
        <v>#DIV/0!</v>
      </c>
      <c r="J19" s="136">
        <f>+E19/$B$4</f>
        <v>0.88690180790020789</v>
      </c>
    </row>
    <row r="20" spans="1:14" ht="12" customHeight="1" x14ac:dyDescent="0.25">
      <c r="A20" s="144" t="s">
        <v>19</v>
      </c>
      <c r="B20" s="135">
        <f>'[2]personnel hj '!C29</f>
        <v>4421.1024000000007</v>
      </c>
      <c r="C20" s="135" t="s">
        <v>18</v>
      </c>
      <c r="D20" s="136">
        <f>D14</f>
        <v>1</v>
      </c>
      <c r="E20" s="136">
        <f>D20*B20</f>
        <v>4421.1024000000007</v>
      </c>
      <c r="F20" s="136">
        <f>+E20/$B$5</f>
        <v>2.4291237555218572</v>
      </c>
      <c r="G20" s="136">
        <f>E20/$G$10</f>
        <v>2.4291771428571431</v>
      </c>
      <c r="H20" s="136" t="e">
        <f>+E20/$B$8</f>
        <v>#DIV/0!</v>
      </c>
      <c r="I20" s="136" t="e">
        <f>+E20/$B$3</f>
        <v>#DIV/0!</v>
      </c>
      <c r="J20" s="136">
        <f>+E20/$B$4</f>
        <v>2.2978702702702707</v>
      </c>
    </row>
    <row r="21" spans="1:14" ht="12" customHeight="1" x14ac:dyDescent="0.25">
      <c r="A21" s="144" t="s">
        <v>54</v>
      </c>
      <c r="B21" s="135">
        <f>B18+B19+B20</f>
        <v>28233.013478400004</v>
      </c>
      <c r="C21" s="135" t="s">
        <v>20</v>
      </c>
      <c r="D21" s="145">
        <v>0.1</v>
      </c>
      <c r="E21" s="136">
        <f>D21*B21*D19</f>
        <v>2823.3013478400007</v>
      </c>
      <c r="F21" s="136">
        <f>+E21/$B$5</f>
        <v>1.5512303838596959</v>
      </c>
      <c r="G21" s="136">
        <f>E21/$G$10</f>
        <v>1.5512644768351653</v>
      </c>
      <c r="H21" s="136" t="e">
        <f>+E21/$B$8</f>
        <v>#DIV/0!</v>
      </c>
      <c r="I21" s="136" t="e">
        <f>+E21/$B$3</f>
        <v>#DIV/0!</v>
      </c>
      <c r="J21" s="136">
        <f>+E21/$B$4</f>
        <v>1.4674123429521833</v>
      </c>
    </row>
    <row r="22" spans="1:14" ht="12" customHeight="1" x14ac:dyDescent="0.25">
      <c r="A22" s="144"/>
      <c r="B22" s="135"/>
      <c r="C22" s="135"/>
      <c r="D22" s="145"/>
      <c r="E22" s="136"/>
      <c r="F22" s="136"/>
      <c r="G22" s="136"/>
      <c r="H22" s="136"/>
      <c r="I22" s="136"/>
      <c r="J22" s="136"/>
    </row>
    <row r="23" spans="1:14" ht="12" customHeight="1" x14ac:dyDescent="0.25">
      <c r="A23" s="144" t="s">
        <v>29</v>
      </c>
      <c r="B23" s="135"/>
      <c r="C23" s="135"/>
      <c r="D23" s="136"/>
      <c r="E23" s="136"/>
      <c r="F23" s="136"/>
      <c r="G23" s="136"/>
      <c r="H23" s="136"/>
      <c r="I23" s="136"/>
      <c r="J23" s="136"/>
    </row>
    <row r="24" spans="1:14" ht="12" customHeight="1" x14ac:dyDescent="0.25">
      <c r="A24" s="144" t="s">
        <v>30</v>
      </c>
      <c r="B24" s="135">
        <v>350</v>
      </c>
      <c r="C24" s="135" t="s">
        <v>18</v>
      </c>
      <c r="D24" s="136">
        <f>D20</f>
        <v>1</v>
      </c>
      <c r="E24" s="136">
        <f>D24*B24</f>
        <v>350</v>
      </c>
      <c r="F24" s="136">
        <f>+E24/$B$5</f>
        <v>0.19230346585789324</v>
      </c>
      <c r="G24" s="136">
        <f>E24/$G$10</f>
        <v>0.19230769230769232</v>
      </c>
      <c r="H24" s="136" t="e">
        <f>+E24/$B$8</f>
        <v>#DIV/0!</v>
      </c>
      <c r="I24" s="136" t="e">
        <f>+E24/$B$3</f>
        <v>#DIV/0!</v>
      </c>
      <c r="J24" s="136">
        <f>+E24/$B$4</f>
        <v>0.18191268191268192</v>
      </c>
    </row>
    <row r="25" spans="1:14" ht="12" customHeight="1" x14ac:dyDescent="0.25">
      <c r="A25" s="144" t="s">
        <v>31</v>
      </c>
      <c r="B25" s="135">
        <f>15*12</f>
        <v>180</v>
      </c>
      <c r="C25" s="135" t="s">
        <v>18</v>
      </c>
      <c r="D25" s="136">
        <f>D19</f>
        <v>1</v>
      </c>
      <c r="E25" s="136">
        <f>D25*B25</f>
        <v>180</v>
      </c>
      <c r="F25" s="136">
        <f>+E25/$B$5</f>
        <v>9.8898925298345097E-2</v>
      </c>
      <c r="G25" s="136">
        <f>E25/$G$10</f>
        <v>9.8901098901098897E-2</v>
      </c>
      <c r="H25" s="136" t="e">
        <f>+E25/$B$8</f>
        <v>#DIV/0!</v>
      </c>
      <c r="I25" s="136" t="e">
        <f>+E25/$B$3</f>
        <v>#DIV/0!</v>
      </c>
      <c r="J25" s="136">
        <f>+E25/$B$4</f>
        <v>9.355509355509356E-2</v>
      </c>
      <c r="M25" s="114">
        <f>90*2*52</f>
        <v>9360</v>
      </c>
      <c r="N25" s="114">
        <f>M25*0.25</f>
        <v>2340</v>
      </c>
    </row>
    <row r="26" spans="1:14" ht="12" customHeight="1" x14ac:dyDescent="0.25">
      <c r="A26" s="144"/>
      <c r="B26" s="135"/>
      <c r="C26" s="135"/>
      <c r="D26" s="136"/>
      <c r="E26" s="136"/>
      <c r="F26" s="136"/>
      <c r="G26" s="136"/>
      <c r="H26" s="136"/>
      <c r="I26" s="136"/>
      <c r="J26" s="136"/>
    </row>
    <row r="27" spans="1:14" ht="12" customHeight="1" x14ac:dyDescent="0.25">
      <c r="A27" s="144" t="s">
        <v>45</v>
      </c>
      <c r="B27" s="135"/>
      <c r="C27" s="135"/>
      <c r="D27" s="136"/>
      <c r="E27" s="136"/>
      <c r="F27" s="136"/>
      <c r="G27" s="136"/>
      <c r="H27" s="136"/>
      <c r="I27" s="136"/>
      <c r="J27" s="136"/>
    </row>
    <row r="28" spans="1:14" ht="12" customHeight="1" x14ac:dyDescent="0.25">
      <c r="A28" s="144" t="s">
        <v>17</v>
      </c>
      <c r="B28" s="135">
        <f>+'[2]personnel hj '!C12+'[2]personnel hj '!C13+'[2]personnel hj '!C14+'[2]personnel hj '!C15</f>
        <v>21979.879999999997</v>
      </c>
      <c r="C28" s="135" t="s">
        <v>18</v>
      </c>
      <c r="D28" s="136">
        <v>1</v>
      </c>
      <c r="E28" s="136">
        <f>D28*B28</f>
        <v>21979.879999999997</v>
      </c>
      <c r="F28" s="136">
        <f>+E28/$B$5</f>
        <v>12.076591723258828</v>
      </c>
      <c r="G28" s="136">
        <f>E28/$G$10</f>
        <v>12.076857142857142</v>
      </c>
      <c r="H28" s="136" t="e">
        <f>+E28/$B$8</f>
        <v>#DIV/0!</v>
      </c>
      <c r="I28" s="136" t="e">
        <f>+E28/$B$3</f>
        <v>#DIV/0!</v>
      </c>
      <c r="J28" s="136">
        <f>+E28/$B$4</f>
        <v>11.424054054054052</v>
      </c>
    </row>
    <row r="29" spans="1:14" ht="12" customHeight="1" x14ac:dyDescent="0.25">
      <c r="A29" s="144" t="s">
        <v>72</v>
      </c>
      <c r="B29" s="135">
        <f>'[2]personnel hj '!C20</f>
        <v>1706.3990784</v>
      </c>
      <c r="C29" s="135" t="s">
        <v>18</v>
      </c>
      <c r="D29" s="136">
        <f>D28</f>
        <v>1</v>
      </c>
      <c r="E29" s="136">
        <f>D29*B29</f>
        <v>1706.3990784</v>
      </c>
      <c r="F29" s="136">
        <f>+E29/$B$5</f>
        <v>0.93756130546581395</v>
      </c>
      <c r="G29" s="136">
        <f>E29/$G$10</f>
        <v>0.9375819112087912</v>
      </c>
      <c r="H29" s="136" t="e">
        <f>+E29/$B$8</f>
        <v>#DIV/0!</v>
      </c>
      <c r="I29" s="136" t="e">
        <f>+E29/$B$3</f>
        <v>#DIV/0!</v>
      </c>
      <c r="J29" s="136">
        <f>+E29/$B$4</f>
        <v>0.88690180790020789</v>
      </c>
    </row>
    <row r="30" spans="1:14" ht="12" customHeight="1" x14ac:dyDescent="0.25">
      <c r="A30" s="144" t="s">
        <v>125</v>
      </c>
      <c r="B30" s="135">
        <f>'[2]personnel hj '!C15</f>
        <v>650</v>
      </c>
      <c r="C30" s="135" t="s">
        <v>18</v>
      </c>
      <c r="D30" s="136">
        <v>3</v>
      </c>
      <c r="E30" s="136">
        <f>D30*B30</f>
        <v>1950</v>
      </c>
      <c r="F30" s="136">
        <f>+E30/$B$5</f>
        <v>1.0714050240654052</v>
      </c>
      <c r="G30" s="136">
        <f>E30/$G$10</f>
        <v>1.0714285714285714</v>
      </c>
      <c r="H30" s="136" t="e">
        <f>+E30/$B$8</f>
        <v>#DIV/0!</v>
      </c>
      <c r="I30" s="136" t="e">
        <f>+E30/$B$3</f>
        <v>#DIV/0!</v>
      </c>
      <c r="J30" s="136">
        <f>+E30/$B$4</f>
        <v>1.0135135135135136</v>
      </c>
    </row>
    <row r="31" spans="1:14" ht="12" customHeight="1" x14ac:dyDescent="0.25">
      <c r="A31" s="144" t="s">
        <v>19</v>
      </c>
      <c r="B31" s="135">
        <f>+'[2]personnel hj '!C17</f>
        <v>4395.9759999999997</v>
      </c>
      <c r="C31" s="135" t="s">
        <v>18</v>
      </c>
      <c r="D31" s="136">
        <f>D29</f>
        <v>1</v>
      </c>
      <c r="E31" s="136">
        <f>D31*B31</f>
        <v>4395.9759999999997</v>
      </c>
      <c r="F31" s="136">
        <f>E31/$B$5</f>
        <v>2.4153183446517659</v>
      </c>
      <c r="G31" s="136">
        <f>E31/$G$10</f>
        <v>2.4153714285714285</v>
      </c>
      <c r="H31" s="136" t="e">
        <f>+E31/$B$8</f>
        <v>#DIV/0!</v>
      </c>
      <c r="I31" s="136" t="e">
        <f>+E31/$B$3</f>
        <v>#DIV/0!</v>
      </c>
      <c r="J31" s="136">
        <f>+E31/$B$4</f>
        <v>2.2848108108108107</v>
      </c>
    </row>
    <row r="32" spans="1:14" ht="12" customHeight="1" x14ac:dyDescent="0.25">
      <c r="A32" s="144" t="s">
        <v>54</v>
      </c>
      <c r="B32" s="135">
        <f>B28+B29+B31</f>
        <v>28082.255078399998</v>
      </c>
      <c r="C32" s="135" t="s">
        <v>20</v>
      </c>
      <c r="D32" s="145">
        <v>0.1</v>
      </c>
      <c r="E32" s="136">
        <f>D32*B32*D29</f>
        <v>2808.2255078399999</v>
      </c>
      <c r="F32" s="136">
        <f>E32/$B$5</f>
        <v>1.5429471373376409</v>
      </c>
      <c r="G32" s="136">
        <f>E32/$G$10</f>
        <v>1.5429810482637363</v>
      </c>
      <c r="H32" s="136" t="e">
        <f>+E32/$B$8</f>
        <v>#DIV/0!</v>
      </c>
      <c r="I32" s="136" t="e">
        <f>+E32/$B$3</f>
        <v>#DIV/0!</v>
      </c>
      <c r="J32" s="136">
        <f>+E32/$B$4</f>
        <v>1.4595766672765071</v>
      </c>
    </row>
    <row r="33" spans="1:14" ht="12" customHeight="1" x14ac:dyDescent="0.25">
      <c r="A33" s="144"/>
      <c r="B33" s="135"/>
      <c r="C33" s="135"/>
      <c r="D33" s="145"/>
      <c r="E33" s="136"/>
      <c r="F33" s="136"/>
      <c r="G33" s="136"/>
      <c r="H33" s="136"/>
      <c r="I33" s="136"/>
      <c r="J33" s="136"/>
    </row>
    <row r="34" spans="1:14" ht="12" customHeight="1" x14ac:dyDescent="0.25">
      <c r="A34" s="144" t="s">
        <v>29</v>
      </c>
      <c r="B34" s="135"/>
      <c r="C34" s="135"/>
      <c r="D34" s="136"/>
      <c r="E34" s="136"/>
      <c r="F34" s="136"/>
      <c r="G34" s="136"/>
      <c r="H34" s="136"/>
      <c r="I34" s="136"/>
      <c r="J34" s="136"/>
    </row>
    <row r="35" spans="1:14" ht="12" customHeight="1" x14ac:dyDescent="0.25">
      <c r="A35" s="144" t="s">
        <v>30</v>
      </c>
      <c r="B35" s="135">
        <f>B24</f>
        <v>350</v>
      </c>
      <c r="C35" s="135" t="s">
        <v>18</v>
      </c>
      <c r="D35" s="136">
        <f>D31</f>
        <v>1</v>
      </c>
      <c r="E35" s="136">
        <f>D35*B35</f>
        <v>350</v>
      </c>
      <c r="F35" s="136">
        <f>E35/$B$5</f>
        <v>0.19230346585789324</v>
      </c>
      <c r="G35" s="136">
        <f>E35/$G$10</f>
        <v>0.19230769230769232</v>
      </c>
      <c r="H35" s="136" t="e">
        <f>+E35/$B$8</f>
        <v>#DIV/0!</v>
      </c>
      <c r="I35" s="136" t="e">
        <f>+E35/$B$3</f>
        <v>#DIV/0!</v>
      </c>
      <c r="J35" s="136">
        <f>+E35/$B$4</f>
        <v>0.18191268191268192</v>
      </c>
    </row>
    <row r="36" spans="1:14" ht="12" customHeight="1" thickBot="1" x14ac:dyDescent="0.3">
      <c r="A36" s="144" t="s">
        <v>31</v>
      </c>
      <c r="B36" s="135">
        <v>180</v>
      </c>
      <c r="C36" s="135" t="s">
        <v>18</v>
      </c>
      <c r="D36" s="136">
        <f>D29</f>
        <v>1</v>
      </c>
      <c r="E36" s="136">
        <f>D36*B36</f>
        <v>180</v>
      </c>
      <c r="F36" s="136">
        <f>+E36/$B$5</f>
        <v>9.8898925298345097E-2</v>
      </c>
      <c r="G36" s="136">
        <f>E36/$G$10</f>
        <v>9.8901098901098897E-2</v>
      </c>
      <c r="H36" s="136" t="e">
        <f>+E36/$B$8</f>
        <v>#DIV/0!</v>
      </c>
      <c r="I36" s="136" t="e">
        <f>+E36/$B$3</f>
        <v>#DIV/0!</v>
      </c>
      <c r="J36" s="163">
        <f>+F36/$B$4</f>
        <v>5.140276782658269E-5</v>
      </c>
    </row>
    <row r="37" spans="1:14" ht="13.8" thickBot="1" x14ac:dyDescent="0.3">
      <c r="A37" s="170" t="s">
        <v>52</v>
      </c>
      <c r="B37" s="171"/>
      <c r="C37" s="171"/>
      <c r="D37" s="171"/>
      <c r="E37" s="146">
        <f t="shared" ref="E37:J37" si="1">SUM(E16:E36)</f>
        <v>64956.795412480002</v>
      </c>
      <c r="F37" s="146">
        <f>SUM(F16:F36)</f>
        <v>35.689762539548575</v>
      </c>
      <c r="G37" s="146">
        <f t="shared" si="1"/>
        <v>35.690546929934065</v>
      </c>
      <c r="H37" s="146" t="e">
        <f t="shared" si="1"/>
        <v>#DIV/0!</v>
      </c>
      <c r="I37" s="146" t="e">
        <f t="shared" si="1"/>
        <v>#DIV/0!</v>
      </c>
      <c r="J37" s="146">
        <f t="shared" si="1"/>
        <v>33.667824486177388</v>
      </c>
    </row>
    <row r="38" spans="1:14" x14ac:dyDescent="0.25">
      <c r="A38" s="147" t="s">
        <v>21</v>
      </c>
      <c r="B38" s="135"/>
      <c r="C38" s="135"/>
      <c r="D38" s="136"/>
      <c r="E38" s="136"/>
      <c r="F38" s="136"/>
      <c r="G38" s="136"/>
      <c r="H38" s="136"/>
      <c r="I38" s="136"/>
      <c r="J38" s="136"/>
    </row>
    <row r="39" spans="1:14" x14ac:dyDescent="0.25">
      <c r="A39" s="144" t="s">
        <v>22</v>
      </c>
      <c r="B39" s="135">
        <f>165000*5%</f>
        <v>8250</v>
      </c>
      <c r="C39" s="135" t="s">
        <v>23</v>
      </c>
      <c r="D39" s="136">
        <v>1</v>
      </c>
      <c r="E39" s="136">
        <f>D39*B39</f>
        <v>8250</v>
      </c>
      <c r="F39" s="136">
        <f>E39/$B$5</f>
        <v>4.5328674095074835</v>
      </c>
      <c r="G39" s="136">
        <f>E39/$G$10</f>
        <v>4.5329670329670328</v>
      </c>
      <c r="H39" s="136" t="e">
        <f>+E39/$B$8</f>
        <v>#DIV/0!</v>
      </c>
      <c r="I39" s="136" t="e">
        <f>+E39/$B$3</f>
        <v>#DIV/0!</v>
      </c>
      <c r="J39" s="136">
        <f>+E39/$B$4</f>
        <v>4.2879417879417883</v>
      </c>
    </row>
    <row r="40" spans="1:14" x14ac:dyDescent="0.25">
      <c r="A40" s="144" t="s">
        <v>24</v>
      </c>
      <c r="B40" s="135">
        <v>1.2</v>
      </c>
      <c r="C40" s="135" t="s">
        <v>25</v>
      </c>
      <c r="D40" s="136">
        <v>12000</v>
      </c>
      <c r="E40" s="136">
        <f>D40*B40</f>
        <v>14400</v>
      </c>
      <c r="F40" s="136">
        <f>E40/$B$5</f>
        <v>7.9119140238676078</v>
      </c>
      <c r="G40" s="136">
        <f>E40/$G$10</f>
        <v>7.9120879120879124</v>
      </c>
      <c r="H40" s="136" t="e">
        <f>+E40/$B$8</f>
        <v>#DIV/0!</v>
      </c>
      <c r="I40" s="136" t="e">
        <f>+E40/$B$3</f>
        <v>#DIV/0!</v>
      </c>
      <c r="J40" s="136">
        <f>+E40/$B$4</f>
        <v>7.4844074844074848</v>
      </c>
    </row>
    <row r="41" spans="1:14" x14ac:dyDescent="0.25">
      <c r="A41" s="144" t="s">
        <v>26</v>
      </c>
      <c r="B41" s="135">
        <f>D40</f>
        <v>12000</v>
      </c>
      <c r="C41" s="135" t="s">
        <v>20</v>
      </c>
      <c r="D41" s="145">
        <v>0.1</v>
      </c>
      <c r="E41" s="136">
        <f>D41*B41</f>
        <v>1200</v>
      </c>
      <c r="F41" s="136">
        <f>E41/$B$5</f>
        <v>0.65932616865563398</v>
      </c>
      <c r="G41" s="136">
        <f>E41/$G$10</f>
        <v>0.65934065934065933</v>
      </c>
      <c r="H41" s="136" t="e">
        <f>+E41/$B$8</f>
        <v>#DIV/0!</v>
      </c>
      <c r="I41" s="136" t="e">
        <f>+E41/$B$3</f>
        <v>#DIV/0!</v>
      </c>
      <c r="J41" s="136">
        <f>+E41/$B$4</f>
        <v>0.62370062370062374</v>
      </c>
      <c r="L41" s="114">
        <f>12000/55</f>
        <v>218.18181818181819</v>
      </c>
    </row>
    <row r="42" spans="1:14" ht="20.399999999999999" x14ac:dyDescent="0.25">
      <c r="A42" s="144" t="s">
        <v>27</v>
      </c>
      <c r="B42" s="135">
        <v>0.4</v>
      </c>
      <c r="C42" s="135" t="s">
        <v>0</v>
      </c>
      <c r="D42" s="148">
        <v>12000</v>
      </c>
      <c r="E42" s="136">
        <f>D42*B42</f>
        <v>4800</v>
      </c>
      <c r="F42" s="136">
        <f>E42/$B$5</f>
        <v>2.6373046746225359</v>
      </c>
      <c r="G42" s="136">
        <f>E42/$G$10</f>
        <v>2.6373626373626373</v>
      </c>
      <c r="H42" s="136" t="e">
        <f>+E42/$B$8</f>
        <v>#DIV/0!</v>
      </c>
      <c r="I42" s="136" t="e">
        <f>+E42/$B$3</f>
        <v>#DIV/0!</v>
      </c>
      <c r="J42" s="136">
        <f>+E42/$B$4</f>
        <v>2.4948024948024949</v>
      </c>
    </row>
    <row r="43" spans="1:14" ht="13.8" thickBot="1" x14ac:dyDescent="0.3">
      <c r="A43" s="144" t="s">
        <v>28</v>
      </c>
      <c r="B43" s="135">
        <v>900</v>
      </c>
      <c r="C43" s="135" t="s">
        <v>23</v>
      </c>
      <c r="D43" s="136">
        <f>D19</f>
        <v>1</v>
      </c>
      <c r="E43" s="136">
        <f>D43*B43</f>
        <v>900</v>
      </c>
      <c r="F43" s="136">
        <f>E43/$B$5</f>
        <v>0.49449462649172549</v>
      </c>
      <c r="G43" s="136">
        <f>E43/$G$10</f>
        <v>0.49450549450549453</v>
      </c>
      <c r="H43" s="136" t="e">
        <f>+E43/$B$8</f>
        <v>#DIV/0!</v>
      </c>
      <c r="I43" s="136" t="e">
        <f>+E43/$B$3</f>
        <v>#DIV/0!</v>
      </c>
      <c r="J43" s="136">
        <f>+E43/$B$4</f>
        <v>0.4677754677754678</v>
      </c>
    </row>
    <row r="44" spans="1:14" ht="13.8" thickBot="1" x14ac:dyDescent="0.3">
      <c r="A44" s="170" t="s">
        <v>56</v>
      </c>
      <c r="B44" s="171"/>
      <c r="C44" s="171"/>
      <c r="D44" s="171"/>
      <c r="E44" s="146">
        <f>SUM(E39:E43)</f>
        <v>29550</v>
      </c>
      <c r="F44" s="149">
        <f>SUM(F38:F43)</f>
        <v>16.235906903144986</v>
      </c>
      <c r="G44" s="149">
        <f>SUM(G16:G43)</f>
        <v>87.617357596131868</v>
      </c>
      <c r="H44" s="149" t="e">
        <f>SUM(H38:H43)</f>
        <v>#DIV/0!</v>
      </c>
      <c r="I44" s="149" t="e">
        <f>SUM(I38:I43)</f>
        <v>#DIV/0!</v>
      </c>
      <c r="J44" s="149">
        <f>SUM(J38:J43)</f>
        <v>15.358627858627859</v>
      </c>
      <c r="L44" s="150"/>
    </row>
    <row r="45" spans="1:14" x14ac:dyDescent="0.25">
      <c r="A45" s="134" t="s">
        <v>32</v>
      </c>
      <c r="B45" s="135"/>
      <c r="C45" s="135"/>
      <c r="D45" s="136"/>
      <c r="E45" s="136"/>
      <c r="F45" s="136"/>
      <c r="G45" s="136"/>
      <c r="H45" s="136"/>
      <c r="I45" s="136"/>
      <c r="J45" s="136"/>
    </row>
    <row r="46" spans="1:14" x14ac:dyDescent="0.25">
      <c r="A46" s="137" t="s">
        <v>33</v>
      </c>
      <c r="B46" s="135">
        <v>50000</v>
      </c>
      <c r="C46" s="135" t="s">
        <v>20</v>
      </c>
      <c r="D46" s="145">
        <v>0.1</v>
      </c>
      <c r="E46" s="136">
        <f>D46*B46</f>
        <v>5000</v>
      </c>
      <c r="F46" s="136">
        <f>E46/$B$5</f>
        <v>2.747192369398475</v>
      </c>
      <c r="G46" s="136">
        <f>E46/$G$10</f>
        <v>2.7472527472527473</v>
      </c>
      <c r="H46" s="136" t="e">
        <f>+E46/$B$8</f>
        <v>#DIV/0!</v>
      </c>
      <c r="I46" s="136" t="e">
        <f t="shared" ref="I46:I52" si="2">+E46/$B$3</f>
        <v>#DIV/0!</v>
      </c>
      <c r="J46" s="136">
        <f>+E46/$B$4</f>
        <v>2.5987525987525988</v>
      </c>
    </row>
    <row r="47" spans="1:14" x14ac:dyDescent="0.25">
      <c r="A47" s="137" t="s">
        <v>34</v>
      </c>
      <c r="B47" s="136">
        <v>1000000</v>
      </c>
      <c r="C47" s="135" t="s">
        <v>20</v>
      </c>
      <c r="D47" s="145">
        <v>0.05</v>
      </c>
      <c r="E47" s="136">
        <f>(E44+E37+E15)*D47</f>
        <v>6068.9397706240006</v>
      </c>
      <c r="F47" s="136">
        <f>E47/$B$5</f>
        <v>3.3345090056394371</v>
      </c>
      <c r="G47" s="136">
        <f>E47/$G$10</f>
        <v>3.3345822915516488</v>
      </c>
      <c r="H47" s="136" t="e">
        <f>+E47/$B$8</f>
        <v>#DIV/0!</v>
      </c>
      <c r="I47" s="136" t="e">
        <f t="shared" si="2"/>
        <v>#DIV/0!</v>
      </c>
      <c r="J47" s="136">
        <f>+E47/$B$4</f>
        <v>3.1543346001164245</v>
      </c>
    </row>
    <row r="48" spans="1:14" ht="13.8" thickBot="1" x14ac:dyDescent="0.3">
      <c r="A48" s="137" t="s">
        <v>35</v>
      </c>
      <c r="B48" s="135">
        <f>E44+E37+E15</f>
        <v>121378.79541248</v>
      </c>
      <c r="C48" s="135" t="s">
        <v>20</v>
      </c>
      <c r="D48" s="145">
        <v>0.05</v>
      </c>
      <c r="E48" s="136">
        <f>D48*B48</f>
        <v>6068.9397706240006</v>
      </c>
      <c r="F48" s="136">
        <f>E48/$B$5</f>
        <v>3.3345090056394371</v>
      </c>
      <c r="G48" s="136"/>
      <c r="H48" s="136">
        <f>+E48/'[1]Temps de transports'!$E$46</f>
        <v>0.14298698922401284</v>
      </c>
      <c r="I48" s="136" t="e">
        <f t="shared" si="2"/>
        <v>#DIV/0!</v>
      </c>
      <c r="J48" s="136">
        <f>+E48/$B$4</f>
        <v>3.1543346001164245</v>
      </c>
      <c r="M48" s="151"/>
      <c r="N48" s="152"/>
    </row>
    <row r="49" spans="1:10" ht="13.8" hidden="1" thickBot="1" x14ac:dyDescent="0.3">
      <c r="A49" s="144" t="s">
        <v>36</v>
      </c>
      <c r="B49" s="135"/>
      <c r="C49" s="135"/>
      <c r="D49" s="145"/>
      <c r="E49" s="136">
        <f>D49*B49</f>
        <v>0</v>
      </c>
      <c r="F49" s="136">
        <f>+E49/$B$5</f>
        <v>0</v>
      </c>
      <c r="G49" s="136">
        <f>E49/$G$10</f>
        <v>0</v>
      </c>
      <c r="H49" s="136" t="e">
        <f>+E49/$B$8</f>
        <v>#DIV/0!</v>
      </c>
      <c r="I49" s="136" t="e">
        <f t="shared" si="2"/>
        <v>#DIV/0!</v>
      </c>
      <c r="J49" s="136" t="e">
        <f>+E49/#REF!</f>
        <v>#REF!</v>
      </c>
    </row>
    <row r="50" spans="1:10" ht="13.8" hidden="1" thickBot="1" x14ac:dyDescent="0.3">
      <c r="A50" s="144" t="s">
        <v>37</v>
      </c>
      <c r="B50" s="135"/>
      <c r="C50" s="135"/>
      <c r="D50" s="145"/>
      <c r="E50" s="136">
        <f>D50*B50</f>
        <v>0</v>
      </c>
      <c r="F50" s="136">
        <f>+E50/$B$5</f>
        <v>0</v>
      </c>
      <c r="G50" s="136">
        <f>E50/$G$10</f>
        <v>0</v>
      </c>
      <c r="H50" s="136" t="e">
        <f>+E50/$B$8</f>
        <v>#DIV/0!</v>
      </c>
      <c r="I50" s="136" t="e">
        <f t="shared" si="2"/>
        <v>#DIV/0!</v>
      </c>
      <c r="J50" s="136" t="e">
        <f>+E50/#REF!</f>
        <v>#REF!</v>
      </c>
    </row>
    <row r="51" spans="1:10" ht="13.8" hidden="1" thickBot="1" x14ac:dyDescent="0.3">
      <c r="A51" s="144" t="s">
        <v>38</v>
      </c>
      <c r="B51" s="135"/>
      <c r="C51" s="135"/>
      <c r="D51" s="145"/>
      <c r="E51" s="136">
        <f>D51*B51</f>
        <v>0</v>
      </c>
      <c r="F51" s="136">
        <f>+E51/$B$5</f>
        <v>0</v>
      </c>
      <c r="G51" s="136">
        <f>E51/$G$10</f>
        <v>0</v>
      </c>
      <c r="H51" s="136" t="e">
        <f>+E51/$B$8</f>
        <v>#DIV/0!</v>
      </c>
      <c r="I51" s="136" t="e">
        <f t="shared" si="2"/>
        <v>#DIV/0!</v>
      </c>
      <c r="J51" s="136" t="e">
        <f>+E51/#REF!</f>
        <v>#REF!</v>
      </c>
    </row>
    <row r="52" spans="1:10" ht="13.8" hidden="1" thickBot="1" x14ac:dyDescent="0.3">
      <c r="A52" s="153" t="s">
        <v>39</v>
      </c>
      <c r="B52" s="154"/>
      <c r="C52" s="154"/>
      <c r="D52" s="155"/>
      <c r="E52" s="136">
        <f>D52*B52</f>
        <v>0</v>
      </c>
      <c r="F52" s="136">
        <f>+E52/$B$5</f>
        <v>0</v>
      </c>
      <c r="G52" s="136">
        <f>E52/$G$10</f>
        <v>0</v>
      </c>
      <c r="H52" s="136" t="e">
        <f>+E52/$B$8</f>
        <v>#DIV/0!</v>
      </c>
      <c r="I52" s="136" t="e">
        <f t="shared" si="2"/>
        <v>#DIV/0!</v>
      </c>
      <c r="J52" s="136" t="e">
        <f>+E52/#REF!</f>
        <v>#REF!</v>
      </c>
    </row>
    <row r="53" spans="1:10" ht="13.8" thickBot="1" x14ac:dyDescent="0.3">
      <c r="A53" s="173" t="s">
        <v>40</v>
      </c>
      <c r="B53" s="174"/>
      <c r="C53" s="174"/>
      <c r="D53" s="174"/>
      <c r="E53" s="146">
        <f>SUM(E45:E52)</f>
        <v>17137.879541248003</v>
      </c>
      <c r="F53" s="149">
        <f>SUM(F45:F52)</f>
        <v>9.4162103806773487</v>
      </c>
      <c r="G53" s="149">
        <f>SUM(G45:G52)</f>
        <v>6.081835038804396</v>
      </c>
      <c r="H53" s="149" t="e">
        <f>SUM(H45:H52)</f>
        <v>#DIV/0!</v>
      </c>
      <c r="I53" s="149" t="e">
        <f>SUM(I45:I52)</f>
        <v>#DIV/0!</v>
      </c>
      <c r="J53" s="149">
        <f>SUM(J46:J48)</f>
        <v>8.9074217989854478</v>
      </c>
    </row>
    <row r="54" spans="1:10" ht="13.8" thickBot="1" x14ac:dyDescent="0.3">
      <c r="A54" s="175" t="s">
        <v>41</v>
      </c>
      <c r="B54" s="176"/>
      <c r="C54" s="176"/>
      <c r="D54" s="177"/>
      <c r="E54" s="156">
        <f>E53+E44+E15+E37</f>
        <v>138516.67495372798</v>
      </c>
      <c r="F54" s="156">
        <f>F53+F44+F15+F37</f>
        <v>76.10639049346608</v>
      </c>
      <c r="G54" s="156">
        <f>G53+G44+G15</f>
        <v>108.46402779977143</v>
      </c>
      <c r="H54" s="156" t="e">
        <f>H53+H44+H15+H37</f>
        <v>#DIV/0!</v>
      </c>
      <c r="I54" s="156" t="e">
        <f>I53+I44+I15+I37</f>
        <v>#DIV/0!</v>
      </c>
      <c r="J54" s="156">
        <f>J53+J44+J15+J37</f>
        <v>71.900610110526657</v>
      </c>
    </row>
    <row r="55" spans="1:10" x14ac:dyDescent="0.25">
      <c r="A55" s="137" t="s">
        <v>42</v>
      </c>
      <c r="B55" s="135">
        <f>E54</f>
        <v>138516.67495372798</v>
      </c>
      <c r="C55" s="135" t="s">
        <v>20</v>
      </c>
      <c r="D55" s="162">
        <v>0.3</v>
      </c>
      <c r="E55" s="136">
        <f>D55*B55</f>
        <v>41555.002486118392</v>
      </c>
      <c r="F55" s="136">
        <f>E55/$B$5</f>
        <v>22.831917148039821</v>
      </c>
      <c r="G55" s="136">
        <f>E55/$G$10</f>
        <v>22.832418948416699</v>
      </c>
      <c r="H55" s="136">
        <f>+E55/'[1]Temps de transports'!$E$46</f>
        <v>0.97905481307413045</v>
      </c>
      <c r="I55" s="136" t="e">
        <f>+E55/$B$3</f>
        <v>#DIV/0!</v>
      </c>
      <c r="J55" s="136">
        <f>+E55/$B$4</f>
        <v>21.598234140394176</v>
      </c>
    </row>
    <row r="56" spans="1:10" ht="13.8" thickBot="1" x14ac:dyDescent="0.3">
      <c r="A56" s="157" t="s">
        <v>43</v>
      </c>
      <c r="B56" s="158">
        <f>B55</f>
        <v>138516.67495372798</v>
      </c>
      <c r="C56" s="158" t="s">
        <v>20</v>
      </c>
      <c r="D56" s="159">
        <v>0.01</v>
      </c>
      <c r="E56" s="160">
        <f>D56*B56</f>
        <v>1385.1667495372799</v>
      </c>
      <c r="F56" s="160">
        <f>E56/$B$5</f>
        <v>0.7610639049346607</v>
      </c>
      <c r="G56" s="136">
        <f>E56/$G$10</f>
        <v>0.76108063161389006</v>
      </c>
      <c r="H56" s="160">
        <f>+E56/'[1]Temps de transports'!$E$46</f>
        <v>3.2635160435804354E-2</v>
      </c>
      <c r="I56" s="160" t="e">
        <f>+E56/$B$3</f>
        <v>#DIV/0!</v>
      </c>
      <c r="J56" s="160">
        <f>+E56/$B$4</f>
        <v>0.71994113801313919</v>
      </c>
    </row>
    <row r="57" spans="1:10" ht="13.8" thickBot="1" x14ac:dyDescent="0.3">
      <c r="A57" s="164" t="s">
        <v>44</v>
      </c>
      <c r="B57" s="165"/>
      <c r="C57" s="165"/>
      <c r="D57" s="166"/>
      <c r="E57" s="161">
        <f t="shared" ref="E57:J57" si="3">E54+E55+E56</f>
        <v>181456.84418938367</v>
      </c>
      <c r="F57" s="161">
        <f t="shared" si="3"/>
        <v>99.69937154644056</v>
      </c>
      <c r="G57" s="161">
        <f t="shared" si="3"/>
        <v>132.057527379802</v>
      </c>
      <c r="H57" s="161" t="e">
        <f t="shared" si="3"/>
        <v>#DIV/0!</v>
      </c>
      <c r="I57" s="161" t="e">
        <f t="shared" si="3"/>
        <v>#DIV/0!</v>
      </c>
      <c r="J57" s="161">
        <f t="shared" si="3"/>
        <v>94.218785388933966</v>
      </c>
    </row>
  </sheetData>
  <mergeCells count="7">
    <mergeCell ref="A57:D57"/>
    <mergeCell ref="A1:J1"/>
    <mergeCell ref="A15:D15"/>
    <mergeCell ref="A37:D37"/>
    <mergeCell ref="A44:D44"/>
    <mergeCell ref="A53:D53"/>
    <mergeCell ref="A54:D54"/>
  </mergeCells>
  <printOptions horizontalCentered="1"/>
  <pageMargins left="0.23622047244094491" right="0.23622047244094491" top="0.43307086614173229" bottom="0.3" header="0.23622047244094491" footer="0.19"/>
  <pageSetup paperSize="9" scale="73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20"/>
  <sheetViews>
    <sheetView tabSelected="1" workbookViewId="0">
      <selection activeCell="F20" sqref="F20"/>
    </sheetView>
  </sheetViews>
  <sheetFormatPr baseColWidth="10" defaultColWidth="11.44140625" defaultRowHeight="13.2" x14ac:dyDescent="0.25"/>
  <cols>
    <col min="1" max="1" width="23.44140625" style="58" bestFit="1" customWidth="1"/>
    <col min="2" max="2" width="11.88671875" style="51" bestFit="1" customWidth="1"/>
    <col min="3" max="3" width="15.33203125" style="51" bestFit="1" customWidth="1"/>
    <col min="4" max="4" width="12.88671875" style="51" bestFit="1" customWidth="1"/>
    <col min="5" max="5" width="17" style="51" bestFit="1" customWidth="1"/>
    <col min="6" max="6" width="12.88671875" style="51" bestFit="1" customWidth="1"/>
    <col min="7" max="7" width="18.33203125" style="63" bestFit="1" customWidth="1"/>
    <col min="8" max="8" width="16.6640625" style="63" bestFit="1" customWidth="1"/>
    <col min="9" max="9" width="17.33203125" style="63" bestFit="1" customWidth="1"/>
    <col min="10" max="10" width="14.33203125" style="63" bestFit="1" customWidth="1"/>
    <col min="11" max="11" width="13" style="63" bestFit="1" customWidth="1"/>
    <col min="12" max="16384" width="11.44140625" style="51"/>
  </cols>
  <sheetData>
    <row r="1" spans="1:5" ht="17.25" customHeight="1" x14ac:dyDescent="0.25">
      <c r="A1" s="178" t="s">
        <v>109</v>
      </c>
      <c r="B1" s="179"/>
      <c r="C1" s="179"/>
      <c r="D1" s="179"/>
      <c r="E1" s="180"/>
    </row>
    <row r="2" spans="1:5" ht="21.75" customHeight="1" thickBot="1" x14ac:dyDescent="0.3">
      <c r="A2" s="181"/>
      <c r="B2" s="182"/>
      <c r="C2" s="182"/>
      <c r="D2" s="182"/>
      <c r="E2" s="183"/>
    </row>
    <row r="4" spans="1:5" x14ac:dyDescent="0.25">
      <c r="A4" s="74" t="s">
        <v>106</v>
      </c>
      <c r="B4" s="59" t="s">
        <v>110</v>
      </c>
      <c r="C4" s="59" t="s">
        <v>1</v>
      </c>
      <c r="D4" s="59" t="s">
        <v>2</v>
      </c>
    </row>
    <row r="5" spans="1:5" x14ac:dyDescent="0.25">
      <c r="A5" s="60" t="s">
        <v>83</v>
      </c>
      <c r="B5" s="51">
        <v>8000</v>
      </c>
      <c r="C5" s="58">
        <v>64042</v>
      </c>
      <c r="D5" s="51">
        <f>B5/C5*1000</f>
        <v>124.91802254770306</v>
      </c>
    </row>
    <row r="6" spans="1:5" x14ac:dyDescent="0.25">
      <c r="A6" s="60" t="s">
        <v>82</v>
      </c>
      <c r="B6" s="51">
        <v>3000</v>
      </c>
      <c r="C6" s="58">
        <v>26501</v>
      </c>
      <c r="D6" s="51">
        <f>B6/C6*1000</f>
        <v>113.20327534810006</v>
      </c>
    </row>
    <row r="7" spans="1:5" x14ac:dyDescent="0.25">
      <c r="A7" s="60" t="s">
        <v>84</v>
      </c>
      <c r="B7" s="51">
        <v>5400</v>
      </c>
      <c r="C7" s="58">
        <v>38314</v>
      </c>
      <c r="D7" s="51">
        <f>B7/C7*1000</f>
        <v>140.94064832698231</v>
      </c>
    </row>
    <row r="8" spans="1:5" x14ac:dyDescent="0.25">
      <c r="A8" s="71" t="s">
        <v>85</v>
      </c>
      <c r="B8" s="30">
        <f>SUM(B5:B7)</f>
        <v>16400</v>
      </c>
      <c r="C8" s="71">
        <v>114394</v>
      </c>
      <c r="D8" s="30">
        <f>B8/C8*1000</f>
        <v>143.36416245607288</v>
      </c>
    </row>
    <row r="9" spans="1:5" x14ac:dyDescent="0.25">
      <c r="A9" s="51"/>
    </row>
    <row r="10" spans="1:5" x14ac:dyDescent="0.25">
      <c r="A10" s="74" t="s">
        <v>107</v>
      </c>
      <c r="B10" s="59" t="s">
        <v>110</v>
      </c>
      <c r="C10" s="59" t="s">
        <v>1</v>
      </c>
      <c r="D10" s="59" t="s">
        <v>2</v>
      </c>
    </row>
    <row r="11" spans="1:5" x14ac:dyDescent="0.25">
      <c r="A11" s="60" t="s">
        <v>83</v>
      </c>
      <c r="B11" s="51">
        <v>1200</v>
      </c>
      <c r="C11" s="58">
        <f>C5</f>
        <v>64042</v>
      </c>
      <c r="D11" s="51">
        <f>B11/C11*1000</f>
        <v>18.737703382155463</v>
      </c>
    </row>
    <row r="12" spans="1:5" x14ac:dyDescent="0.25">
      <c r="A12" s="60" t="s">
        <v>82</v>
      </c>
      <c r="B12" s="51">
        <v>1200</v>
      </c>
      <c r="C12" s="58">
        <f>C6</f>
        <v>26501</v>
      </c>
      <c r="D12" s="51">
        <f>B12/C12*1000</f>
        <v>45.281310139240027</v>
      </c>
    </row>
    <row r="13" spans="1:5" x14ac:dyDescent="0.25">
      <c r="A13" s="60" t="s">
        <v>84</v>
      </c>
      <c r="B13" s="51">
        <v>2200</v>
      </c>
      <c r="C13" s="58">
        <f>C7</f>
        <v>38314</v>
      </c>
      <c r="D13" s="51">
        <f>B13/C13*1000</f>
        <v>57.420264133215014</v>
      </c>
    </row>
    <row r="14" spans="1:5" x14ac:dyDescent="0.25">
      <c r="A14" s="71" t="s">
        <v>85</v>
      </c>
      <c r="B14" s="30">
        <f>SUM(B11:B13)</f>
        <v>4600</v>
      </c>
      <c r="C14" s="71">
        <v>114394</v>
      </c>
      <c r="D14" s="30">
        <f>B14/C14*1000</f>
        <v>40.211899225483855</v>
      </c>
    </row>
    <row r="16" spans="1:5" x14ac:dyDescent="0.25">
      <c r="A16" s="74" t="s">
        <v>108</v>
      </c>
      <c r="B16" s="59" t="s">
        <v>110</v>
      </c>
      <c r="C16" s="59" t="s">
        <v>1</v>
      </c>
      <c r="D16" s="64" t="s">
        <v>2</v>
      </c>
    </row>
    <row r="17" spans="1:11" x14ac:dyDescent="0.25">
      <c r="A17" s="60" t="s">
        <v>83</v>
      </c>
      <c r="B17" s="63">
        <v>400</v>
      </c>
      <c r="C17" s="65">
        <f>+C11</f>
        <v>64042</v>
      </c>
      <c r="D17" s="63">
        <f>+B17/C17*1000</f>
        <v>6.2459011273851539</v>
      </c>
    </row>
    <row r="18" spans="1:11" x14ac:dyDescent="0.25">
      <c r="A18" s="60" t="s">
        <v>82</v>
      </c>
      <c r="B18" s="63"/>
      <c r="C18" s="65">
        <f>+C12</f>
        <v>26501</v>
      </c>
      <c r="D18" s="63">
        <f>+B18/C18*1000</f>
        <v>0</v>
      </c>
    </row>
    <row r="19" spans="1:11" x14ac:dyDescent="0.25">
      <c r="A19" s="60" t="s">
        <v>84</v>
      </c>
      <c r="B19" s="63"/>
      <c r="C19" s="65">
        <f>+C13</f>
        <v>38314</v>
      </c>
      <c r="D19" s="63">
        <f>+B19/C19*1000</f>
        <v>0</v>
      </c>
    </row>
    <row r="20" spans="1:11" s="30" customFormat="1" x14ac:dyDescent="0.25">
      <c r="A20" s="71" t="s">
        <v>85</v>
      </c>
      <c r="B20" s="66">
        <f>SUM(B17:B19)</f>
        <v>400</v>
      </c>
      <c r="C20" s="73">
        <v>114394</v>
      </c>
      <c r="D20" s="66">
        <f>+B20/C20*1000</f>
        <v>3.4966868891725094</v>
      </c>
      <c r="G20" s="66"/>
      <c r="H20" s="66"/>
      <c r="I20" s="66"/>
      <c r="J20" s="66"/>
      <c r="K20" s="66"/>
    </row>
  </sheetData>
  <mergeCells count="1">
    <mergeCell ref="A1:E2"/>
  </mergeCells>
  <phoneticPr fontId="2" type="noConversion"/>
  <pageMargins left="0.2" right="0.21" top="0.41" bottom="0.23" header="0.28999999999999998" footer="0.18"/>
  <pageSetup paperSize="9" orientation="landscape" r:id="rId1"/>
  <headerFooter alignWithMargins="0">
    <oddFooter>&amp;Lcrée par ssu le 22/06/09&amp;C&amp;F&amp;R&amp;A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74"/>
  <sheetViews>
    <sheetView workbookViewId="0">
      <selection activeCell="A3" sqref="A3"/>
    </sheetView>
  </sheetViews>
  <sheetFormatPr baseColWidth="10" defaultColWidth="11.44140625" defaultRowHeight="13.2" x14ac:dyDescent="0.25"/>
  <cols>
    <col min="1" max="1" width="23.44140625" style="58" bestFit="1" customWidth="1"/>
    <col min="2" max="2" width="11.88671875" style="51" bestFit="1" customWidth="1"/>
    <col min="3" max="3" width="15.33203125" style="51" bestFit="1" customWidth="1"/>
    <col min="4" max="4" width="12.88671875" style="51" hidden="1" customWidth="1"/>
    <col min="5" max="5" width="17" style="51" bestFit="1" customWidth="1"/>
    <col min="6" max="6" width="12.88671875" style="51" bestFit="1" customWidth="1"/>
    <col min="7" max="7" width="18.33203125" style="63" bestFit="1" customWidth="1"/>
    <col min="8" max="8" width="16.6640625" style="63" bestFit="1" customWidth="1"/>
    <col min="9" max="9" width="17.33203125" style="63" bestFit="1" customWidth="1"/>
    <col min="10" max="10" width="14.33203125" style="63" bestFit="1" customWidth="1"/>
    <col min="11" max="11" width="13" style="63" bestFit="1" customWidth="1"/>
    <col min="12" max="16384" width="11.44140625" style="51"/>
  </cols>
  <sheetData>
    <row r="1" spans="1:11" ht="12.75" customHeight="1" x14ac:dyDescent="0.25">
      <c r="A1" s="178" t="s">
        <v>114</v>
      </c>
      <c r="B1" s="187"/>
      <c r="C1" s="187"/>
      <c r="D1" s="187"/>
      <c r="E1" s="187"/>
      <c r="F1" s="187"/>
      <c r="G1" s="188"/>
    </row>
    <row r="2" spans="1:11" ht="13.8" thickBot="1" x14ac:dyDescent="0.3">
      <c r="A2" s="189"/>
      <c r="B2" s="190"/>
      <c r="C2" s="190"/>
      <c r="D2" s="190"/>
      <c r="E2" s="190"/>
      <c r="F2" s="190"/>
      <c r="G2" s="191"/>
    </row>
    <row r="5" spans="1:11" x14ac:dyDescent="0.25">
      <c r="A5" s="52" t="s">
        <v>116</v>
      </c>
      <c r="B5" s="52"/>
      <c r="C5" s="52"/>
      <c r="D5" s="52"/>
      <c r="E5" s="52"/>
    </row>
    <row r="6" spans="1:11" x14ac:dyDescent="0.25">
      <c r="A6" s="52" t="s">
        <v>83</v>
      </c>
      <c r="B6" s="100" t="s">
        <v>87</v>
      </c>
      <c r="C6" s="100" t="s">
        <v>120</v>
      </c>
      <c r="D6" s="61"/>
      <c r="E6" s="52"/>
    </row>
    <row r="7" spans="1:11" x14ac:dyDescent="0.25">
      <c r="A7" s="52" t="s">
        <v>82</v>
      </c>
      <c r="B7" s="100" t="s">
        <v>117</v>
      </c>
      <c r="C7" s="61"/>
      <c r="D7" s="53"/>
      <c r="E7" s="52"/>
    </row>
    <row r="8" spans="1:11" x14ac:dyDescent="0.25">
      <c r="A8" s="52" t="s">
        <v>84</v>
      </c>
      <c r="B8" s="100" t="s">
        <v>117</v>
      </c>
      <c r="C8" s="52"/>
      <c r="D8" s="53"/>
      <c r="E8" s="52"/>
    </row>
    <row r="9" spans="1:11" x14ac:dyDescent="0.25">
      <c r="A9" s="52"/>
      <c r="B9" s="52"/>
      <c r="C9" s="52"/>
      <c r="D9" s="53"/>
      <c r="E9" s="52"/>
    </row>
    <row r="10" spans="1:11" hidden="1" x14ac:dyDescent="0.25">
      <c r="A10" s="81" t="s">
        <v>111</v>
      </c>
      <c r="B10" s="82" t="s">
        <v>87</v>
      </c>
      <c r="C10" s="82" t="s">
        <v>120</v>
      </c>
      <c r="D10" s="83" t="s">
        <v>86</v>
      </c>
      <c r="E10" s="82" t="s">
        <v>88</v>
      </c>
      <c r="F10" s="84" t="s">
        <v>91</v>
      </c>
    </row>
    <row r="11" spans="1:11" ht="13.8" hidden="1" thickBot="1" x14ac:dyDescent="0.3">
      <c r="A11" s="85" t="s">
        <v>93</v>
      </c>
      <c r="B11" s="86">
        <f>('données de base CCCL'!B5/2)/52</f>
        <v>76.92307692307692</v>
      </c>
      <c r="C11" s="86">
        <f>(+'données de base CCCL'!B5/2)/26</f>
        <v>153.84615384615384</v>
      </c>
      <c r="D11" s="86" t="e">
        <f>D6*#REF!/52</f>
        <v>#REF!</v>
      </c>
      <c r="E11" s="87"/>
      <c r="F11" s="88">
        <f>(E11*B11*52+C11*26)*2</f>
        <v>8000</v>
      </c>
    </row>
    <row r="12" spans="1:11" ht="21" hidden="1" x14ac:dyDescent="0.4">
      <c r="A12" s="89" t="s">
        <v>94</v>
      </c>
      <c r="B12" s="90">
        <v>1.3</v>
      </c>
      <c r="C12" s="90">
        <v>1.3</v>
      </c>
      <c r="D12" s="90">
        <v>2.5</v>
      </c>
      <c r="E12" s="90"/>
      <c r="F12" s="88"/>
      <c r="G12" s="99" t="s">
        <v>51</v>
      </c>
    </row>
    <row r="13" spans="1:11" hidden="1" x14ac:dyDescent="0.25">
      <c r="A13" s="89" t="s">
        <v>89</v>
      </c>
      <c r="B13" s="91">
        <f>B11/B12</f>
        <v>59.171597633136088</v>
      </c>
      <c r="C13" s="91">
        <f>C11/C12</f>
        <v>118.34319526627218</v>
      </c>
      <c r="D13" s="91" t="e">
        <f>D11/D12</f>
        <v>#REF!</v>
      </c>
      <c r="E13" s="91"/>
      <c r="F13" s="88">
        <f>B13*52+C13*26</f>
        <v>6153.8461538461534</v>
      </c>
      <c r="G13" s="184">
        <f>+F25/1820</f>
        <v>4.4800912933220625</v>
      </c>
      <c r="H13" s="66"/>
      <c r="I13" s="70"/>
      <c r="J13" s="66"/>
      <c r="K13" s="66"/>
    </row>
    <row r="14" spans="1:11" hidden="1" x14ac:dyDescent="0.25">
      <c r="A14" s="89" t="s">
        <v>101</v>
      </c>
      <c r="B14" s="91">
        <f>B13*12</f>
        <v>710.05917159763305</v>
      </c>
      <c r="C14" s="91">
        <f>C13*12</f>
        <v>1420.1183431952661</v>
      </c>
      <c r="D14" s="91" t="e">
        <f>D13*12</f>
        <v>#REF!</v>
      </c>
      <c r="E14" s="91"/>
      <c r="F14" s="88">
        <f>B14*52+C14*26</f>
        <v>73846.153846153844</v>
      </c>
      <c r="G14" s="185"/>
      <c r="H14" s="66"/>
      <c r="I14" s="70"/>
      <c r="J14" s="66"/>
      <c r="K14" s="66"/>
    </row>
    <row r="15" spans="1:11" hidden="1" x14ac:dyDescent="0.25">
      <c r="A15" s="89"/>
      <c r="B15" s="91"/>
      <c r="C15" s="91"/>
      <c r="D15" s="91"/>
      <c r="E15" s="91"/>
      <c r="F15" s="88"/>
      <c r="G15" s="185"/>
      <c r="H15" s="66"/>
      <c r="I15" s="70"/>
      <c r="J15" s="66"/>
      <c r="K15" s="66"/>
    </row>
    <row r="16" spans="1:11" ht="13.8" hidden="1" thickBot="1" x14ac:dyDescent="0.3">
      <c r="A16" s="89" t="s">
        <v>90</v>
      </c>
      <c r="B16" s="92">
        <v>4</v>
      </c>
      <c r="C16" s="92">
        <v>4</v>
      </c>
      <c r="D16" s="92">
        <v>7</v>
      </c>
      <c r="E16" s="93"/>
      <c r="F16" s="88"/>
      <c r="G16" s="186"/>
      <c r="H16" s="66"/>
      <c r="I16" s="66"/>
      <c r="J16" s="66"/>
      <c r="K16" s="66"/>
    </row>
    <row r="17" spans="1:11" hidden="1" x14ac:dyDescent="0.25">
      <c r="A17" s="89" t="s">
        <v>99</v>
      </c>
      <c r="B17" s="91">
        <f>ROUND(B11/B16,2)</f>
        <v>19.23</v>
      </c>
      <c r="C17" s="91">
        <f>ROUND(C11/C16,2)</f>
        <v>38.46</v>
      </c>
      <c r="D17" s="91" t="e">
        <f>ROUND(D11/D16,2)</f>
        <v>#REF!</v>
      </c>
      <c r="E17" s="91"/>
      <c r="F17" s="88">
        <f>B17*52+C17*26</f>
        <v>1999.92</v>
      </c>
      <c r="G17" s="54"/>
      <c r="H17" s="66"/>
      <c r="I17" s="66"/>
      <c r="J17" s="66"/>
      <c r="K17" s="66"/>
    </row>
    <row r="18" spans="1:11" hidden="1" x14ac:dyDescent="0.25">
      <c r="A18" s="89" t="s">
        <v>102</v>
      </c>
      <c r="B18" s="91">
        <f>B17*1</f>
        <v>19.23</v>
      </c>
      <c r="C18" s="91">
        <f>C17*1</f>
        <v>38.46</v>
      </c>
      <c r="D18" s="91" t="e">
        <f>D17*1</f>
        <v>#REF!</v>
      </c>
      <c r="E18" s="91"/>
      <c r="F18" s="88">
        <f>(E18*B18*52+C18*26)*2</f>
        <v>1999.92</v>
      </c>
      <c r="G18" s="54"/>
      <c r="H18" s="66"/>
      <c r="I18" s="66"/>
      <c r="J18" s="66"/>
      <c r="K18" s="66"/>
    </row>
    <row r="19" spans="1:11" hidden="1" x14ac:dyDescent="0.25">
      <c r="A19" s="89"/>
      <c r="B19" s="91"/>
      <c r="C19" s="91"/>
      <c r="D19" s="91"/>
      <c r="E19" s="91"/>
      <c r="F19" s="88"/>
      <c r="G19" s="54"/>
      <c r="H19" s="66"/>
      <c r="I19" s="66"/>
      <c r="J19" s="66"/>
      <c r="K19" s="66"/>
    </row>
    <row r="20" spans="1:11" hidden="1" x14ac:dyDescent="0.25">
      <c r="A20" s="89" t="s">
        <v>104</v>
      </c>
      <c r="B20" s="91">
        <v>25</v>
      </c>
      <c r="C20" s="91">
        <v>25</v>
      </c>
      <c r="D20" s="91">
        <v>25</v>
      </c>
      <c r="E20" s="91"/>
      <c r="F20" s="88"/>
      <c r="G20" s="54"/>
      <c r="H20" s="66"/>
      <c r="I20" s="66"/>
      <c r="J20" s="66"/>
      <c r="K20" s="66"/>
    </row>
    <row r="21" spans="1:11" hidden="1" x14ac:dyDescent="0.25">
      <c r="A21" s="89" t="s">
        <v>105</v>
      </c>
      <c r="B21" s="91">
        <f>+B20*B17</f>
        <v>480.75</v>
      </c>
      <c r="C21" s="91">
        <f>+C20*C17</f>
        <v>961.5</v>
      </c>
      <c r="D21" s="91" t="e">
        <f>+D20*D17</f>
        <v>#REF!</v>
      </c>
      <c r="E21" s="91"/>
      <c r="F21" s="88"/>
      <c r="G21" s="54"/>
      <c r="H21" s="66"/>
      <c r="I21" s="66"/>
      <c r="J21" s="66"/>
      <c r="K21" s="66"/>
    </row>
    <row r="22" spans="1:11" hidden="1" x14ac:dyDescent="0.25">
      <c r="A22" s="89"/>
      <c r="B22" s="91"/>
      <c r="C22" s="91"/>
      <c r="D22" s="91"/>
      <c r="E22" s="91"/>
      <c r="F22" s="88"/>
      <c r="G22" s="54"/>
      <c r="H22" s="66"/>
      <c r="I22" s="66"/>
      <c r="J22" s="66"/>
      <c r="K22" s="66"/>
    </row>
    <row r="23" spans="1:11" hidden="1" x14ac:dyDescent="0.25">
      <c r="A23" s="89" t="s">
        <v>100</v>
      </c>
      <c r="B23" s="91">
        <f>B17/2</f>
        <v>9.6150000000000002</v>
      </c>
      <c r="C23" s="91">
        <f>C17/2</f>
        <v>19.23</v>
      </c>
      <c r="D23" s="91" t="e">
        <f>D17/2</f>
        <v>#REF!</v>
      </c>
      <c r="E23" s="91"/>
      <c r="F23" s="88">
        <f>B23*52+C23*26</f>
        <v>999.96</v>
      </c>
      <c r="G23" s="54"/>
      <c r="H23" s="66"/>
      <c r="I23" s="66"/>
      <c r="J23" s="66"/>
      <c r="K23" s="66"/>
    </row>
    <row r="24" spans="1:11" hidden="1" x14ac:dyDescent="0.25">
      <c r="A24" s="89"/>
      <c r="B24" s="91"/>
      <c r="C24" s="91"/>
      <c r="D24" s="91"/>
      <c r="E24" s="91"/>
      <c r="F24" s="88"/>
      <c r="G24" s="54"/>
      <c r="H24" s="66"/>
      <c r="I24" s="66"/>
      <c r="J24" s="66"/>
      <c r="K24" s="66"/>
    </row>
    <row r="25" spans="1:11" hidden="1" x14ac:dyDescent="0.25">
      <c r="A25" s="89" t="s">
        <v>103</v>
      </c>
      <c r="B25" s="91">
        <f>B13+B18</f>
        <v>78.401597633136092</v>
      </c>
      <c r="C25" s="91">
        <f>C13+C18</f>
        <v>156.80319526627218</v>
      </c>
      <c r="D25" s="91" t="e">
        <f>D13+D18</f>
        <v>#REF!</v>
      </c>
      <c r="E25" s="91"/>
      <c r="F25" s="88">
        <f>B25*52+C25*26</f>
        <v>8153.7661538461534</v>
      </c>
      <c r="G25" s="54"/>
      <c r="H25" s="66"/>
      <c r="I25" s="66"/>
      <c r="J25" s="66"/>
      <c r="K25" s="66"/>
    </row>
    <row r="26" spans="1:11" hidden="1" x14ac:dyDescent="0.25">
      <c r="A26" s="89"/>
      <c r="B26" s="91"/>
      <c r="C26" s="91"/>
      <c r="D26" s="91"/>
      <c r="E26" s="91"/>
      <c r="F26" s="88"/>
      <c r="G26" s="54"/>
      <c r="H26" s="66"/>
      <c r="I26" s="66"/>
      <c r="J26" s="66"/>
      <c r="K26" s="66"/>
    </row>
    <row r="27" spans="1:11" hidden="1" x14ac:dyDescent="0.25">
      <c r="A27" s="85" t="s">
        <v>0</v>
      </c>
      <c r="B27" s="86">
        <f>+B21+B14</f>
        <v>1190.8091715976329</v>
      </c>
      <c r="C27" s="86">
        <f>+C21+C14</f>
        <v>2381.6183431952659</v>
      </c>
      <c r="D27" s="86" t="e">
        <f>+D21+D14</f>
        <v>#REF!</v>
      </c>
      <c r="E27" s="86"/>
      <c r="F27" s="88">
        <f>B27*52+C27*26</f>
        <v>123844.15384615383</v>
      </c>
      <c r="G27" s="54"/>
      <c r="H27" s="66"/>
      <c r="I27" s="66"/>
      <c r="J27" s="66"/>
      <c r="K27" s="66"/>
    </row>
    <row r="28" spans="1:11" ht="13.8" hidden="1" thickBot="1" x14ac:dyDescent="0.3">
      <c r="A28" s="94"/>
      <c r="B28" s="95"/>
      <c r="C28" s="95"/>
      <c r="D28" s="95"/>
      <c r="E28" s="95"/>
      <c r="F28" s="96"/>
      <c r="G28" s="54"/>
      <c r="H28" s="66"/>
      <c r="I28" s="66"/>
      <c r="J28" s="66"/>
      <c r="K28" s="66"/>
    </row>
    <row r="29" spans="1:11" hidden="1" x14ac:dyDescent="0.25">
      <c r="A29" s="110"/>
      <c r="B29" s="72"/>
      <c r="C29" s="72"/>
      <c r="D29" s="111"/>
      <c r="E29" s="112" t="s">
        <v>119</v>
      </c>
      <c r="F29" s="113">
        <f>F25/F23</f>
        <v>8.1540923175388542</v>
      </c>
      <c r="G29" s="54"/>
      <c r="H29" s="66"/>
      <c r="I29" s="66"/>
      <c r="J29" s="66"/>
      <c r="K29" s="66"/>
    </row>
    <row r="30" spans="1:11" ht="13.8" hidden="1" thickBot="1" x14ac:dyDescent="0.3">
      <c r="A30" s="110"/>
      <c r="B30" s="72"/>
      <c r="C30" s="72"/>
      <c r="D30" s="109" t="e">
        <f>+D27/D23</f>
        <v>#REF!</v>
      </c>
      <c r="E30" s="94" t="s">
        <v>92</v>
      </c>
      <c r="F30" s="108">
        <f>F27/F23</f>
        <v>123.84910781046625</v>
      </c>
      <c r="G30" s="54"/>
      <c r="H30" s="66"/>
      <c r="I30" s="66"/>
      <c r="J30" s="66"/>
      <c r="K30" s="66"/>
    </row>
    <row r="31" spans="1:11" ht="13.8" thickBot="1" x14ac:dyDescent="0.3">
      <c r="A31" s="62"/>
      <c r="B31" s="67"/>
      <c r="C31" s="67"/>
      <c r="D31" s="67"/>
      <c r="E31" s="67"/>
      <c r="F31" s="68"/>
      <c r="G31" s="54"/>
      <c r="H31" s="66"/>
      <c r="I31" s="66"/>
      <c r="J31" s="66"/>
      <c r="K31" s="66"/>
    </row>
    <row r="32" spans="1:11" x14ac:dyDescent="0.25">
      <c r="A32" s="97" t="s">
        <v>112</v>
      </c>
      <c r="B32" s="98" t="s">
        <v>117</v>
      </c>
      <c r="C32" s="98"/>
      <c r="D32" s="98"/>
      <c r="E32" s="98" t="s">
        <v>88</v>
      </c>
      <c r="F32" s="84" t="s">
        <v>91</v>
      </c>
      <c r="G32" s="54"/>
      <c r="H32" s="66"/>
      <c r="I32" s="66"/>
      <c r="J32" s="66"/>
      <c r="K32" s="66"/>
    </row>
    <row r="33" spans="1:11" ht="13.8" thickBot="1" x14ac:dyDescent="0.3">
      <c r="A33" s="85" t="s">
        <v>93</v>
      </c>
      <c r="B33" s="86">
        <f>+'données de base CCCL'!B6/12</f>
        <v>250</v>
      </c>
      <c r="C33" s="86"/>
      <c r="D33" s="86"/>
      <c r="E33" s="87">
        <f>SUM(B33:D33)</f>
        <v>250</v>
      </c>
      <c r="F33" s="88">
        <f>E33*12</f>
        <v>3000</v>
      </c>
      <c r="G33" s="54"/>
      <c r="H33" s="66"/>
      <c r="I33" s="66"/>
      <c r="J33" s="66"/>
      <c r="K33" s="66"/>
    </row>
    <row r="34" spans="1:11" ht="21" x14ac:dyDescent="0.4">
      <c r="A34" s="89" t="s">
        <v>94</v>
      </c>
      <c r="B34" s="90">
        <v>3</v>
      </c>
      <c r="C34" s="90"/>
      <c r="D34" s="90"/>
      <c r="E34" s="90"/>
      <c r="F34" s="88"/>
      <c r="G34" s="99" t="s">
        <v>51</v>
      </c>
      <c r="H34" s="66"/>
      <c r="I34" s="66"/>
      <c r="J34" s="66"/>
      <c r="K34" s="66"/>
    </row>
    <row r="35" spans="1:11" x14ac:dyDescent="0.25">
      <c r="A35" s="89" t="s">
        <v>89</v>
      </c>
      <c r="B35" s="101">
        <f>B33/B34</f>
        <v>83.333333333333329</v>
      </c>
      <c r="C35" s="91"/>
      <c r="D35" s="91"/>
      <c r="E35" s="91">
        <f>SUM(B35:D35)</f>
        <v>83.333333333333329</v>
      </c>
      <c r="F35" s="88">
        <f>E35*12</f>
        <v>1000</v>
      </c>
      <c r="G35" s="184">
        <f>+F47/1820</f>
        <v>0.96153846153846145</v>
      </c>
      <c r="H35" s="66"/>
      <c r="I35" s="70"/>
      <c r="J35" s="66"/>
      <c r="K35" s="66"/>
    </row>
    <row r="36" spans="1:11" x14ac:dyDescent="0.25">
      <c r="A36" s="89" t="s">
        <v>101</v>
      </c>
      <c r="B36" s="91">
        <f>B35*10</f>
        <v>833.33333333333326</v>
      </c>
      <c r="C36" s="91"/>
      <c r="D36" s="91">
        <f>D35*12</f>
        <v>0</v>
      </c>
      <c r="E36" s="91">
        <f>SUM(B36:D36)</f>
        <v>833.33333333333326</v>
      </c>
      <c r="F36" s="88"/>
      <c r="G36" s="185"/>
      <c r="H36" s="66"/>
      <c r="I36" s="70"/>
      <c r="J36" s="66"/>
      <c r="K36" s="66"/>
    </row>
    <row r="37" spans="1:11" x14ac:dyDescent="0.25">
      <c r="A37" s="89"/>
      <c r="B37" s="91"/>
      <c r="C37" s="91"/>
      <c r="D37" s="91"/>
      <c r="E37" s="91"/>
      <c r="F37" s="88"/>
      <c r="G37" s="185"/>
      <c r="H37" s="66"/>
      <c r="I37" s="70"/>
      <c r="J37" s="66"/>
      <c r="K37" s="66"/>
    </row>
    <row r="38" spans="1:11" ht="13.8" thickBot="1" x14ac:dyDescent="0.3">
      <c r="A38" s="89" t="s">
        <v>90</v>
      </c>
      <c r="B38" s="93">
        <v>4</v>
      </c>
      <c r="C38" s="93"/>
      <c r="D38" s="93"/>
      <c r="E38" s="93"/>
      <c r="F38" s="88"/>
      <c r="G38" s="186"/>
      <c r="H38" s="66"/>
      <c r="I38" s="66"/>
      <c r="J38" s="66"/>
      <c r="K38" s="66"/>
    </row>
    <row r="39" spans="1:11" x14ac:dyDescent="0.25">
      <c r="A39" s="89" t="s">
        <v>99</v>
      </c>
      <c r="B39" s="91">
        <f>ROUND(B33/B38,2)</f>
        <v>62.5</v>
      </c>
      <c r="C39" s="91"/>
      <c r="D39" s="91"/>
      <c r="E39" s="91">
        <f>SUM(B39:D39)</f>
        <v>62.5</v>
      </c>
      <c r="F39" s="88">
        <f>E39*12</f>
        <v>750</v>
      </c>
      <c r="G39" s="54"/>
      <c r="H39" s="66"/>
      <c r="I39" s="66"/>
      <c r="J39" s="66"/>
      <c r="K39" s="66"/>
    </row>
    <row r="40" spans="1:11" x14ac:dyDescent="0.25">
      <c r="A40" s="89" t="s">
        <v>102</v>
      </c>
      <c r="B40" s="101">
        <f>B39*1</f>
        <v>62.5</v>
      </c>
      <c r="C40" s="91"/>
      <c r="D40" s="91"/>
      <c r="E40" s="91">
        <f>SUM(B40:D40)</f>
        <v>62.5</v>
      </c>
      <c r="F40" s="88">
        <f>E40*12</f>
        <v>750</v>
      </c>
      <c r="G40" s="54"/>
      <c r="H40" s="66"/>
      <c r="I40" s="66"/>
      <c r="J40" s="66"/>
      <c r="K40" s="66"/>
    </row>
    <row r="41" spans="1:11" x14ac:dyDescent="0.25">
      <c r="A41" s="89"/>
      <c r="B41" s="91"/>
      <c r="C41" s="91"/>
      <c r="D41" s="91"/>
      <c r="E41" s="91"/>
      <c r="F41" s="88"/>
      <c r="G41" s="54"/>
      <c r="H41" s="66"/>
      <c r="I41" s="66"/>
      <c r="J41" s="66"/>
      <c r="K41" s="66"/>
    </row>
    <row r="42" spans="1:11" x14ac:dyDescent="0.25">
      <c r="A42" s="89" t="s">
        <v>104</v>
      </c>
      <c r="B42" s="91">
        <v>25</v>
      </c>
      <c r="C42" s="91"/>
      <c r="D42" s="91"/>
      <c r="E42" s="91"/>
      <c r="F42" s="88"/>
      <c r="G42" s="54"/>
      <c r="H42" s="66"/>
      <c r="I42" s="66"/>
      <c r="J42" s="66"/>
      <c r="K42" s="66"/>
    </row>
    <row r="43" spans="1:11" x14ac:dyDescent="0.25">
      <c r="A43" s="89" t="s">
        <v>105</v>
      </c>
      <c r="B43" s="91">
        <f>+B42*B39</f>
        <v>1562.5</v>
      </c>
      <c r="C43" s="91"/>
      <c r="D43" s="91">
        <f>+D42*D39</f>
        <v>0</v>
      </c>
      <c r="E43" s="91"/>
      <c r="F43" s="88"/>
      <c r="G43" s="54"/>
      <c r="H43" s="66"/>
      <c r="I43" s="66"/>
      <c r="J43" s="66"/>
      <c r="K43" s="66"/>
    </row>
    <row r="44" spans="1:11" x14ac:dyDescent="0.25">
      <c r="A44" s="89"/>
      <c r="B44" s="93"/>
      <c r="C44" s="93"/>
      <c r="D44" s="93"/>
      <c r="E44" s="93"/>
      <c r="F44" s="88"/>
      <c r="G44" s="54"/>
      <c r="H44" s="66"/>
      <c r="I44" s="66"/>
      <c r="J44" s="66"/>
      <c r="K44" s="66"/>
    </row>
    <row r="45" spans="1:11" x14ac:dyDescent="0.25">
      <c r="A45" s="89" t="s">
        <v>100</v>
      </c>
      <c r="B45" s="91">
        <f>ROUND(B39/2,0)</f>
        <v>31</v>
      </c>
      <c r="C45" s="91"/>
      <c r="D45" s="91">
        <f>D36/2</f>
        <v>0</v>
      </c>
      <c r="E45" s="91">
        <f>SUM(B45:D45)</f>
        <v>31</v>
      </c>
      <c r="F45" s="88">
        <f>E45*12</f>
        <v>372</v>
      </c>
      <c r="G45" s="54"/>
      <c r="H45" s="66"/>
      <c r="I45" s="66"/>
      <c r="J45" s="66"/>
      <c r="K45" s="66"/>
    </row>
    <row r="46" spans="1:11" x14ac:dyDescent="0.25">
      <c r="A46" s="89"/>
      <c r="B46" s="93"/>
      <c r="C46" s="93"/>
      <c r="D46" s="93"/>
      <c r="E46" s="93"/>
      <c r="F46" s="88"/>
      <c r="G46" s="54"/>
      <c r="H46" s="66"/>
      <c r="I46" s="66"/>
      <c r="J46" s="66"/>
      <c r="K46" s="66"/>
    </row>
    <row r="47" spans="1:11" x14ac:dyDescent="0.25">
      <c r="A47" s="89" t="s">
        <v>103</v>
      </c>
      <c r="B47" s="101">
        <f>B35+B40</f>
        <v>145.83333333333331</v>
      </c>
      <c r="C47" s="91"/>
      <c r="D47" s="91">
        <f>D32+D37</f>
        <v>0</v>
      </c>
      <c r="E47" s="91">
        <f>SUM(B47:D47)</f>
        <v>145.83333333333331</v>
      </c>
      <c r="F47" s="88">
        <f>E47*12</f>
        <v>1749.9999999999998</v>
      </c>
      <c r="G47" s="54"/>
      <c r="H47" s="66"/>
      <c r="I47" s="66"/>
      <c r="J47" s="66"/>
      <c r="K47" s="66"/>
    </row>
    <row r="48" spans="1:11" x14ac:dyDescent="0.25">
      <c r="A48" s="89"/>
      <c r="B48" s="93"/>
      <c r="C48" s="93"/>
      <c r="D48" s="93"/>
      <c r="E48" s="93"/>
      <c r="F48" s="88"/>
      <c r="G48" s="54"/>
      <c r="H48" s="66"/>
      <c r="I48" s="66"/>
      <c r="J48" s="66"/>
      <c r="K48" s="66"/>
    </row>
    <row r="49" spans="1:11" x14ac:dyDescent="0.25">
      <c r="A49" s="85" t="s">
        <v>0</v>
      </c>
      <c r="B49" s="86">
        <f>+B43+B36</f>
        <v>2395.833333333333</v>
      </c>
      <c r="C49" s="86"/>
      <c r="D49" s="86">
        <f>+D40+D33</f>
        <v>0</v>
      </c>
      <c r="E49" s="86">
        <f>SUM(B49:D49)</f>
        <v>2395.833333333333</v>
      </c>
      <c r="F49" s="88">
        <f>E49*12</f>
        <v>28749.999999999996</v>
      </c>
      <c r="G49" s="54"/>
      <c r="H49" s="66"/>
      <c r="I49" s="66"/>
      <c r="J49" s="66"/>
      <c r="K49" s="66"/>
    </row>
    <row r="50" spans="1:11" ht="13.8" thickBot="1" x14ac:dyDescent="0.3">
      <c r="A50" s="102"/>
      <c r="B50" s="103"/>
      <c r="C50" s="103"/>
      <c r="D50" s="103"/>
      <c r="E50" s="103"/>
      <c r="F50" s="104"/>
      <c r="G50" s="54"/>
      <c r="H50" s="66"/>
      <c r="I50" s="66"/>
      <c r="J50" s="66"/>
      <c r="K50" s="66"/>
    </row>
    <row r="51" spans="1:11" x14ac:dyDescent="0.25">
      <c r="A51" s="51"/>
      <c r="C51" s="72"/>
      <c r="D51" s="72"/>
      <c r="E51" s="106" t="s">
        <v>119</v>
      </c>
      <c r="F51" s="107">
        <f>F47/F45</f>
        <v>4.704301075268817</v>
      </c>
      <c r="G51" s="54"/>
    </row>
    <row r="52" spans="1:11" ht="13.8" thickBot="1" x14ac:dyDescent="0.3">
      <c r="A52" s="51"/>
      <c r="C52" s="72"/>
      <c r="D52" s="72"/>
      <c r="E52" s="94" t="s">
        <v>92</v>
      </c>
      <c r="F52" s="108">
        <f>F49/F45</f>
        <v>77.284946236559136</v>
      </c>
      <c r="G52" s="54"/>
      <c r="H52" s="66"/>
      <c r="I52" s="66"/>
      <c r="J52" s="66"/>
      <c r="K52" s="66"/>
    </row>
    <row r="53" spans="1:11" ht="9.75" customHeight="1" thickBot="1" x14ac:dyDescent="0.3">
      <c r="A53" s="62"/>
      <c r="B53" s="72"/>
      <c r="C53" s="72"/>
      <c r="D53" s="72"/>
      <c r="E53" s="72"/>
      <c r="F53" s="54"/>
      <c r="G53" s="54"/>
      <c r="H53" s="66"/>
      <c r="I53" s="66"/>
      <c r="J53" s="66"/>
      <c r="K53" s="66"/>
    </row>
    <row r="54" spans="1:11" x14ac:dyDescent="0.25">
      <c r="A54" s="97" t="s">
        <v>113</v>
      </c>
      <c r="B54" s="98" t="s">
        <v>117</v>
      </c>
      <c r="C54" s="98"/>
      <c r="D54" s="98"/>
      <c r="E54" s="98" t="s">
        <v>88</v>
      </c>
      <c r="F54" s="84" t="s">
        <v>91</v>
      </c>
      <c r="G54" s="54"/>
    </row>
    <row r="55" spans="1:11" ht="13.8" thickBot="1" x14ac:dyDescent="0.3">
      <c r="A55" s="85" t="s">
        <v>93</v>
      </c>
      <c r="B55" s="86">
        <f>'données de base CCCL'!B7/12</f>
        <v>450</v>
      </c>
      <c r="C55" s="86"/>
      <c r="D55" s="86"/>
      <c r="E55" s="87">
        <f>SUM(B55:D55)</f>
        <v>450</v>
      </c>
      <c r="F55" s="88">
        <f>E55*12</f>
        <v>5400</v>
      </c>
      <c r="G55" s="54"/>
    </row>
    <row r="56" spans="1:11" ht="21" x14ac:dyDescent="0.4">
      <c r="A56" s="89" t="s">
        <v>94</v>
      </c>
      <c r="B56" s="90">
        <v>3</v>
      </c>
      <c r="C56" s="90"/>
      <c r="D56" s="90"/>
      <c r="E56" s="90"/>
      <c r="F56" s="88"/>
      <c r="G56" s="99" t="s">
        <v>51</v>
      </c>
    </row>
    <row r="57" spans="1:11" x14ac:dyDescent="0.25">
      <c r="A57" s="89" t="s">
        <v>89</v>
      </c>
      <c r="B57" s="101">
        <f>B55/B56</f>
        <v>150</v>
      </c>
      <c r="C57" s="91"/>
      <c r="D57" s="91"/>
      <c r="E57" s="91">
        <f>SUM(B57:D57)</f>
        <v>150</v>
      </c>
      <c r="F57" s="88">
        <f>E57*12</f>
        <v>1800</v>
      </c>
      <c r="G57" s="184">
        <f>+F69/1820</f>
        <v>1.7307692307692308</v>
      </c>
    </row>
    <row r="58" spans="1:11" x14ac:dyDescent="0.25">
      <c r="A58" s="89" t="s">
        <v>101</v>
      </c>
      <c r="B58" s="91">
        <f>B57*10</f>
        <v>1500</v>
      </c>
      <c r="C58" s="91"/>
      <c r="D58" s="91">
        <f>D57*12</f>
        <v>0</v>
      </c>
      <c r="E58" s="91">
        <f>SUM(B58:D58)</f>
        <v>1500</v>
      </c>
      <c r="F58" s="88"/>
      <c r="G58" s="185"/>
    </row>
    <row r="59" spans="1:11" x14ac:dyDescent="0.25">
      <c r="A59" s="89"/>
      <c r="B59" s="91"/>
      <c r="C59" s="91"/>
      <c r="D59" s="91"/>
      <c r="E59" s="91"/>
      <c r="F59" s="88"/>
      <c r="G59" s="185"/>
    </row>
    <row r="60" spans="1:11" ht="13.8" thickBot="1" x14ac:dyDescent="0.3">
      <c r="A60" s="89" t="s">
        <v>90</v>
      </c>
      <c r="B60" s="93">
        <v>4</v>
      </c>
      <c r="C60" s="93"/>
      <c r="D60" s="93"/>
      <c r="E60" s="93"/>
      <c r="F60" s="88"/>
      <c r="G60" s="186"/>
    </row>
    <row r="61" spans="1:11" x14ac:dyDescent="0.25">
      <c r="A61" s="89" t="s">
        <v>99</v>
      </c>
      <c r="B61" s="91">
        <f>ROUND(B55/B60,2)</f>
        <v>112.5</v>
      </c>
      <c r="C61" s="91"/>
      <c r="D61" s="91"/>
      <c r="E61" s="91">
        <f>SUM(B61:D61)</f>
        <v>112.5</v>
      </c>
      <c r="F61" s="88">
        <f>E61*12</f>
        <v>1350</v>
      </c>
      <c r="G61" s="54"/>
    </row>
    <row r="62" spans="1:11" x14ac:dyDescent="0.25">
      <c r="A62" s="89" t="s">
        <v>102</v>
      </c>
      <c r="B62" s="101">
        <f>B61*1</f>
        <v>112.5</v>
      </c>
      <c r="C62" s="91"/>
      <c r="D62" s="91"/>
      <c r="E62" s="91">
        <f>SUM(B62:D62)</f>
        <v>112.5</v>
      </c>
      <c r="F62" s="88">
        <f>E62*12</f>
        <v>1350</v>
      </c>
      <c r="G62" s="54"/>
    </row>
    <row r="63" spans="1:11" x14ac:dyDescent="0.25">
      <c r="A63" s="89"/>
      <c r="B63" s="91"/>
      <c r="C63" s="91"/>
      <c r="D63" s="91"/>
      <c r="E63" s="91"/>
      <c r="F63" s="88"/>
      <c r="G63" s="54"/>
    </row>
    <row r="64" spans="1:11" x14ac:dyDescent="0.25">
      <c r="A64" s="89" t="s">
        <v>104</v>
      </c>
      <c r="B64" s="91">
        <v>25</v>
      </c>
      <c r="C64" s="91"/>
      <c r="D64" s="91"/>
      <c r="E64" s="91"/>
      <c r="F64" s="88"/>
      <c r="G64" s="54"/>
    </row>
    <row r="65" spans="1:7" x14ac:dyDescent="0.25">
      <c r="A65" s="89" t="s">
        <v>105</v>
      </c>
      <c r="B65" s="91">
        <f>+B64*B61</f>
        <v>2812.5</v>
      </c>
      <c r="C65" s="91"/>
      <c r="D65" s="91">
        <f>+D64*D61</f>
        <v>0</v>
      </c>
      <c r="E65" s="91"/>
      <c r="F65" s="88"/>
      <c r="G65" s="54"/>
    </row>
    <row r="66" spans="1:7" x14ac:dyDescent="0.25">
      <c r="A66" s="89"/>
      <c r="B66" s="93"/>
      <c r="C66" s="93"/>
      <c r="D66" s="93"/>
      <c r="E66" s="93"/>
      <c r="F66" s="88"/>
      <c r="G66" s="54"/>
    </row>
    <row r="67" spans="1:7" x14ac:dyDescent="0.25">
      <c r="A67" s="89" t="s">
        <v>100</v>
      </c>
      <c r="B67" s="91">
        <f>ROUND(B61/2,0)</f>
        <v>56</v>
      </c>
      <c r="C67" s="91"/>
      <c r="D67" s="91">
        <f>D58/2</f>
        <v>0</v>
      </c>
      <c r="E67" s="91">
        <f>SUM(B67:D67)</f>
        <v>56</v>
      </c>
      <c r="F67" s="88">
        <f>E67*12</f>
        <v>672</v>
      </c>
      <c r="G67" s="54"/>
    </row>
    <row r="68" spans="1:7" x14ac:dyDescent="0.25">
      <c r="A68" s="89"/>
      <c r="B68" s="93"/>
      <c r="C68" s="93"/>
      <c r="D68" s="93"/>
      <c r="E68" s="93"/>
      <c r="F68" s="88"/>
      <c r="G68" s="54"/>
    </row>
    <row r="69" spans="1:7" x14ac:dyDescent="0.25">
      <c r="A69" s="89" t="s">
        <v>103</v>
      </c>
      <c r="B69" s="101">
        <f>B57+B62</f>
        <v>262.5</v>
      </c>
      <c r="C69" s="91"/>
      <c r="D69" s="91">
        <f>D54+D59</f>
        <v>0</v>
      </c>
      <c r="E69" s="91">
        <f>SUM(B69:D69)</f>
        <v>262.5</v>
      </c>
      <c r="F69" s="88">
        <f>E69*12</f>
        <v>3150</v>
      </c>
      <c r="G69" s="54"/>
    </row>
    <row r="70" spans="1:7" x14ac:dyDescent="0.25">
      <c r="A70" s="89"/>
      <c r="B70" s="93"/>
      <c r="C70" s="93"/>
      <c r="D70" s="93"/>
      <c r="E70" s="93"/>
      <c r="F70" s="88"/>
      <c r="G70" s="54"/>
    </row>
    <row r="71" spans="1:7" x14ac:dyDescent="0.25">
      <c r="A71" s="85" t="s">
        <v>0</v>
      </c>
      <c r="B71" s="86">
        <f>+B65+B58</f>
        <v>4312.5</v>
      </c>
      <c r="C71" s="86"/>
      <c r="D71" s="86">
        <f>+D62+D55</f>
        <v>0</v>
      </c>
      <c r="E71" s="86">
        <f>SUM(B71:D71)</f>
        <v>4312.5</v>
      </c>
      <c r="F71" s="88">
        <f>E71*12</f>
        <v>51750</v>
      </c>
      <c r="G71" s="54"/>
    </row>
    <row r="72" spans="1:7" ht="13.8" thickBot="1" x14ac:dyDescent="0.3">
      <c r="A72" s="102"/>
      <c r="B72" s="103"/>
      <c r="C72" s="103"/>
      <c r="D72" s="103"/>
      <c r="E72" s="103"/>
      <c r="F72" s="104"/>
      <c r="G72" s="54"/>
    </row>
    <row r="73" spans="1:7" x14ac:dyDescent="0.25">
      <c r="A73" s="51"/>
      <c r="C73" s="105"/>
      <c r="D73" s="105"/>
      <c r="E73" s="106" t="s">
        <v>119</v>
      </c>
      <c r="F73" s="107">
        <f>F69/F67</f>
        <v>4.6875</v>
      </c>
      <c r="G73" s="54"/>
    </row>
    <row r="74" spans="1:7" ht="13.8" thickBot="1" x14ac:dyDescent="0.3">
      <c r="A74" s="51"/>
      <c r="C74" s="72"/>
      <c r="D74" s="72"/>
      <c r="E74" s="94" t="s">
        <v>92</v>
      </c>
      <c r="F74" s="108">
        <f>F71/F67</f>
        <v>77.008928571428569</v>
      </c>
      <c r="G74" s="54"/>
    </row>
  </sheetData>
  <mergeCells count="4">
    <mergeCell ref="G57:G60"/>
    <mergeCell ref="G13:G16"/>
    <mergeCell ref="G35:G38"/>
    <mergeCell ref="A1:G2"/>
  </mergeCells>
  <phoneticPr fontId="2" type="noConversion"/>
  <pageMargins left="0.2" right="0.21" top="0.41" bottom="0.23" header="0.28999999999999998" footer="0.18"/>
  <pageSetup paperSize="9" orientation="landscape" r:id="rId1"/>
  <headerFooter alignWithMargins="0">
    <oddFooter>&amp;Lcrée par ssu le 22/06/09&amp;C&amp;F&amp;R&amp;A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K74"/>
  <sheetViews>
    <sheetView workbookViewId="0">
      <selection activeCell="I2" sqref="I2"/>
    </sheetView>
  </sheetViews>
  <sheetFormatPr baseColWidth="10" defaultColWidth="11.44140625" defaultRowHeight="13.2" x14ac:dyDescent="0.25"/>
  <cols>
    <col min="1" max="1" width="23.44140625" style="58" bestFit="1" customWidth="1"/>
    <col min="2" max="2" width="11.88671875" style="51" bestFit="1" customWidth="1"/>
    <col min="3" max="3" width="15.33203125" style="51" bestFit="1" customWidth="1"/>
    <col min="4" max="4" width="12.88671875" style="51" hidden="1" customWidth="1"/>
    <col min="5" max="5" width="17" style="51" bestFit="1" customWidth="1"/>
    <col min="6" max="6" width="12.88671875" style="51" bestFit="1" customWidth="1"/>
    <col min="7" max="7" width="18.33203125" style="63" bestFit="1" customWidth="1"/>
    <col min="8" max="8" width="16.6640625" style="63" bestFit="1" customWidth="1"/>
    <col min="9" max="9" width="17.33203125" style="63" bestFit="1" customWidth="1"/>
    <col min="10" max="10" width="14.33203125" style="63" bestFit="1" customWidth="1"/>
    <col min="11" max="11" width="13" style="63" bestFit="1" customWidth="1"/>
    <col min="12" max="16384" width="11.44140625" style="51"/>
  </cols>
  <sheetData>
    <row r="1" spans="1:11" ht="12.75" customHeight="1" x14ac:dyDescent="0.25">
      <c r="A1" s="178" t="s">
        <v>122</v>
      </c>
      <c r="B1" s="187"/>
      <c r="C1" s="187"/>
      <c r="D1" s="187"/>
      <c r="E1" s="187"/>
      <c r="F1" s="187"/>
      <c r="G1" s="188"/>
    </row>
    <row r="2" spans="1:11" ht="13.8" thickBot="1" x14ac:dyDescent="0.3">
      <c r="A2" s="189"/>
      <c r="B2" s="190"/>
      <c r="C2" s="190"/>
      <c r="D2" s="190"/>
      <c r="E2" s="190"/>
      <c r="F2" s="190"/>
      <c r="G2" s="191"/>
    </row>
    <row r="5" spans="1:11" x14ac:dyDescent="0.25">
      <c r="A5" s="52" t="s">
        <v>116</v>
      </c>
      <c r="B5" s="52"/>
      <c r="C5" s="52"/>
      <c r="D5" s="52"/>
      <c r="E5" s="52"/>
    </row>
    <row r="6" spans="1:11" x14ac:dyDescent="0.25">
      <c r="A6" s="52" t="s">
        <v>83</v>
      </c>
      <c r="B6" s="100" t="s">
        <v>87</v>
      </c>
      <c r="C6" s="100" t="s">
        <v>120</v>
      </c>
      <c r="D6" s="61"/>
      <c r="E6" s="52"/>
    </row>
    <row r="7" spans="1:11" x14ac:dyDescent="0.25">
      <c r="A7" s="52" t="s">
        <v>82</v>
      </c>
      <c r="B7" s="100" t="s">
        <v>117</v>
      </c>
      <c r="C7" s="61"/>
      <c r="D7" s="53"/>
      <c r="E7" s="52"/>
    </row>
    <row r="8" spans="1:11" x14ac:dyDescent="0.25">
      <c r="A8" s="52" t="s">
        <v>84</v>
      </c>
      <c r="B8" s="100" t="s">
        <v>117</v>
      </c>
      <c r="C8" s="52"/>
      <c r="D8" s="53"/>
      <c r="E8" s="52"/>
    </row>
    <row r="9" spans="1:11" x14ac:dyDescent="0.25">
      <c r="A9" s="52"/>
      <c r="B9" s="52"/>
      <c r="C9" s="52"/>
      <c r="D9" s="53"/>
      <c r="E9" s="52"/>
    </row>
    <row r="10" spans="1:11" hidden="1" x14ac:dyDescent="0.25">
      <c r="A10" s="81" t="s">
        <v>111</v>
      </c>
      <c r="B10" s="82" t="s">
        <v>87</v>
      </c>
      <c r="C10" s="82" t="s">
        <v>120</v>
      </c>
      <c r="D10" s="83" t="s">
        <v>86</v>
      </c>
      <c r="E10" s="82" t="s">
        <v>88</v>
      </c>
      <c r="F10" s="84" t="s">
        <v>91</v>
      </c>
    </row>
    <row r="11" spans="1:11" hidden="1" x14ac:dyDescent="0.25">
      <c r="A11" s="85" t="s">
        <v>93</v>
      </c>
      <c r="B11" s="86">
        <f>('données de base CCCL'!B5/2)/52</f>
        <v>76.92307692307692</v>
      </c>
      <c r="C11" s="86">
        <f>(+'données de base CCCL'!B5/2)/26</f>
        <v>153.84615384615384</v>
      </c>
      <c r="D11" s="86" t="e">
        <f>D6*#REF!/52</f>
        <v>#REF!</v>
      </c>
      <c r="E11" s="87"/>
      <c r="F11" s="88">
        <f>(E11*B11*52+C11*26)*2</f>
        <v>8000</v>
      </c>
    </row>
    <row r="12" spans="1:11" ht="21" hidden="1" x14ac:dyDescent="0.4">
      <c r="A12" s="89" t="s">
        <v>94</v>
      </c>
      <c r="B12" s="90">
        <v>1.3</v>
      </c>
      <c r="C12" s="90">
        <v>1.3</v>
      </c>
      <c r="D12" s="90">
        <v>2.5</v>
      </c>
      <c r="E12" s="90"/>
      <c r="F12" s="88"/>
      <c r="G12" s="99" t="s">
        <v>51</v>
      </c>
    </row>
    <row r="13" spans="1:11" hidden="1" x14ac:dyDescent="0.25">
      <c r="A13" s="89" t="s">
        <v>89</v>
      </c>
      <c r="B13" s="91">
        <f>B11/B12</f>
        <v>59.171597633136088</v>
      </c>
      <c r="C13" s="91">
        <f>C11/C12</f>
        <v>118.34319526627218</v>
      </c>
      <c r="D13" s="91" t="e">
        <f>D11/D12</f>
        <v>#REF!</v>
      </c>
      <c r="E13" s="91"/>
      <c r="F13" s="88">
        <f>B13*52+C13*26</f>
        <v>6153.8461538461534</v>
      </c>
      <c r="G13" s="184">
        <f>+F25/1820</f>
        <v>4.4800912933220625</v>
      </c>
      <c r="H13" s="66"/>
      <c r="I13" s="70"/>
      <c r="J13" s="66"/>
      <c r="K13" s="66"/>
    </row>
    <row r="14" spans="1:11" hidden="1" x14ac:dyDescent="0.25">
      <c r="A14" s="89" t="s">
        <v>101</v>
      </c>
      <c r="B14" s="91">
        <f>B13*12</f>
        <v>710.05917159763305</v>
      </c>
      <c r="C14" s="91">
        <f>C13*12</f>
        <v>1420.1183431952661</v>
      </c>
      <c r="D14" s="91" t="e">
        <f>D13*12</f>
        <v>#REF!</v>
      </c>
      <c r="E14" s="91"/>
      <c r="F14" s="88">
        <f>B14*52+C14*26</f>
        <v>73846.153846153844</v>
      </c>
      <c r="G14" s="185"/>
      <c r="H14" s="66"/>
      <c r="I14" s="70"/>
      <c r="J14" s="66"/>
      <c r="K14" s="66"/>
    </row>
    <row r="15" spans="1:11" hidden="1" x14ac:dyDescent="0.25">
      <c r="A15" s="89"/>
      <c r="B15" s="91"/>
      <c r="C15" s="91"/>
      <c r="D15" s="91"/>
      <c r="E15" s="91"/>
      <c r="F15" s="88"/>
      <c r="G15" s="185"/>
      <c r="H15" s="66"/>
      <c r="I15" s="70"/>
      <c r="J15" s="66"/>
      <c r="K15" s="66"/>
    </row>
    <row r="16" spans="1:11" ht="13.8" hidden="1" thickBot="1" x14ac:dyDescent="0.3">
      <c r="A16" s="89" t="s">
        <v>90</v>
      </c>
      <c r="B16" s="92">
        <v>4</v>
      </c>
      <c r="C16" s="92">
        <v>4</v>
      </c>
      <c r="D16" s="92">
        <v>7</v>
      </c>
      <c r="E16" s="93"/>
      <c r="F16" s="88"/>
      <c r="G16" s="186"/>
      <c r="H16" s="66"/>
      <c r="I16" s="66"/>
      <c r="J16" s="66"/>
      <c r="K16" s="66"/>
    </row>
    <row r="17" spans="1:11" hidden="1" x14ac:dyDescent="0.25">
      <c r="A17" s="89" t="s">
        <v>99</v>
      </c>
      <c r="B17" s="91">
        <f>ROUND(B11/B16,2)</f>
        <v>19.23</v>
      </c>
      <c r="C17" s="91">
        <f>ROUND(C11/C16,2)</f>
        <v>38.46</v>
      </c>
      <c r="D17" s="91" t="e">
        <f>ROUND(D11/D16,2)</f>
        <v>#REF!</v>
      </c>
      <c r="E17" s="91"/>
      <c r="F17" s="88">
        <f>B17*52+C17*26</f>
        <v>1999.92</v>
      </c>
      <c r="G17" s="54"/>
      <c r="H17" s="66"/>
      <c r="I17" s="66"/>
      <c r="J17" s="66"/>
      <c r="K17" s="66"/>
    </row>
    <row r="18" spans="1:11" hidden="1" x14ac:dyDescent="0.25">
      <c r="A18" s="89" t="s">
        <v>102</v>
      </c>
      <c r="B18" s="91">
        <f>B17*1</f>
        <v>19.23</v>
      </c>
      <c r="C18" s="91">
        <f>C17*1</f>
        <v>38.46</v>
      </c>
      <c r="D18" s="91" t="e">
        <f>D17*1</f>
        <v>#REF!</v>
      </c>
      <c r="E18" s="91"/>
      <c r="F18" s="88">
        <f>(E18*B18*52+C18*26)*2</f>
        <v>1999.92</v>
      </c>
      <c r="G18" s="54"/>
      <c r="H18" s="66"/>
      <c r="I18" s="66"/>
      <c r="J18" s="66"/>
      <c r="K18" s="66"/>
    </row>
    <row r="19" spans="1:11" hidden="1" x14ac:dyDescent="0.25">
      <c r="A19" s="89"/>
      <c r="B19" s="91"/>
      <c r="C19" s="91"/>
      <c r="D19" s="91"/>
      <c r="E19" s="91"/>
      <c r="F19" s="88"/>
      <c r="G19" s="54"/>
      <c r="H19" s="66"/>
      <c r="I19" s="66"/>
      <c r="J19" s="66"/>
      <c r="K19" s="66"/>
    </row>
    <row r="20" spans="1:11" hidden="1" x14ac:dyDescent="0.25">
      <c r="A20" s="89" t="s">
        <v>104</v>
      </c>
      <c r="B20" s="91">
        <v>25</v>
      </c>
      <c r="C20" s="91">
        <v>25</v>
      </c>
      <c r="D20" s="91">
        <v>25</v>
      </c>
      <c r="E20" s="91"/>
      <c r="F20" s="88"/>
      <c r="G20" s="54"/>
      <c r="H20" s="66"/>
      <c r="I20" s="66"/>
      <c r="J20" s="66"/>
      <c r="K20" s="66"/>
    </row>
    <row r="21" spans="1:11" hidden="1" x14ac:dyDescent="0.25">
      <c r="A21" s="89" t="s">
        <v>105</v>
      </c>
      <c r="B21" s="91">
        <f>+B20*B17</f>
        <v>480.75</v>
      </c>
      <c r="C21" s="91">
        <f>+C20*C17</f>
        <v>961.5</v>
      </c>
      <c r="D21" s="91" t="e">
        <f>+D20*D17</f>
        <v>#REF!</v>
      </c>
      <c r="E21" s="91"/>
      <c r="F21" s="88"/>
      <c r="G21" s="54"/>
      <c r="H21" s="66"/>
      <c r="I21" s="66"/>
      <c r="J21" s="66"/>
      <c r="K21" s="66"/>
    </row>
    <row r="22" spans="1:11" hidden="1" x14ac:dyDescent="0.25">
      <c r="A22" s="89"/>
      <c r="B22" s="91"/>
      <c r="C22" s="91"/>
      <c r="D22" s="91"/>
      <c r="E22" s="91"/>
      <c r="F22" s="88"/>
      <c r="G22" s="54"/>
      <c r="H22" s="66"/>
      <c r="I22" s="66"/>
      <c r="J22" s="66"/>
      <c r="K22" s="66"/>
    </row>
    <row r="23" spans="1:11" hidden="1" x14ac:dyDescent="0.25">
      <c r="A23" s="89" t="s">
        <v>100</v>
      </c>
      <c r="B23" s="91">
        <f>B17/2</f>
        <v>9.6150000000000002</v>
      </c>
      <c r="C23" s="91">
        <f>C17/2</f>
        <v>19.23</v>
      </c>
      <c r="D23" s="91" t="e">
        <f>D17/2</f>
        <v>#REF!</v>
      </c>
      <c r="E23" s="91"/>
      <c r="F23" s="88">
        <f>B23*52+C23*26</f>
        <v>999.96</v>
      </c>
      <c r="G23" s="54"/>
      <c r="H23" s="66"/>
      <c r="I23" s="66"/>
      <c r="J23" s="66"/>
      <c r="K23" s="66"/>
    </row>
    <row r="24" spans="1:11" hidden="1" x14ac:dyDescent="0.25">
      <c r="A24" s="89"/>
      <c r="B24" s="91"/>
      <c r="C24" s="91"/>
      <c r="D24" s="91"/>
      <c r="E24" s="91"/>
      <c r="F24" s="88"/>
      <c r="G24" s="54"/>
      <c r="H24" s="66"/>
      <c r="I24" s="66"/>
      <c r="J24" s="66"/>
      <c r="K24" s="66"/>
    </row>
    <row r="25" spans="1:11" hidden="1" x14ac:dyDescent="0.25">
      <c r="A25" s="89" t="s">
        <v>103</v>
      </c>
      <c r="B25" s="91">
        <f>B13+B18</f>
        <v>78.401597633136092</v>
      </c>
      <c r="C25" s="91">
        <f>C13+C18</f>
        <v>156.80319526627218</v>
      </c>
      <c r="D25" s="91" t="e">
        <f>D13+D18</f>
        <v>#REF!</v>
      </c>
      <c r="E25" s="91"/>
      <c r="F25" s="88">
        <f>B25*52+C25*26</f>
        <v>8153.7661538461534</v>
      </c>
      <c r="G25" s="54"/>
      <c r="H25" s="66"/>
      <c r="I25" s="66"/>
      <c r="J25" s="66"/>
      <c r="K25" s="66"/>
    </row>
    <row r="26" spans="1:11" hidden="1" x14ac:dyDescent="0.25">
      <c r="A26" s="89"/>
      <c r="B26" s="91"/>
      <c r="C26" s="91"/>
      <c r="D26" s="91"/>
      <c r="E26" s="91"/>
      <c r="F26" s="88"/>
      <c r="G26" s="54"/>
      <c r="H26" s="66"/>
      <c r="I26" s="66"/>
      <c r="J26" s="66"/>
      <c r="K26" s="66"/>
    </row>
    <row r="27" spans="1:11" hidden="1" x14ac:dyDescent="0.25">
      <c r="A27" s="85" t="s">
        <v>0</v>
      </c>
      <c r="B27" s="86">
        <f>+B21+B14</f>
        <v>1190.8091715976329</v>
      </c>
      <c r="C27" s="86">
        <f>+C21+C14</f>
        <v>2381.6183431952659</v>
      </c>
      <c r="D27" s="86" t="e">
        <f>+D21+D14</f>
        <v>#REF!</v>
      </c>
      <c r="E27" s="86"/>
      <c r="F27" s="88">
        <f>B27*52+C27*26</f>
        <v>123844.15384615383</v>
      </c>
      <c r="G27" s="54"/>
      <c r="H27" s="66"/>
      <c r="I27" s="66"/>
      <c r="J27" s="66"/>
      <c r="K27" s="66"/>
    </row>
    <row r="28" spans="1:11" ht="13.8" hidden="1" thickBot="1" x14ac:dyDescent="0.3">
      <c r="A28" s="94"/>
      <c r="B28" s="95"/>
      <c r="C28" s="95"/>
      <c r="D28" s="95"/>
      <c r="E28" s="95"/>
      <c r="F28" s="96"/>
      <c r="G28" s="54"/>
      <c r="H28" s="66"/>
      <c r="I28" s="66"/>
      <c r="J28" s="66"/>
      <c r="K28" s="66"/>
    </row>
    <row r="29" spans="1:11" hidden="1" x14ac:dyDescent="0.25">
      <c r="A29" s="110"/>
      <c r="B29" s="72"/>
      <c r="C29" s="72"/>
      <c r="D29" s="111"/>
      <c r="E29" s="112" t="s">
        <v>119</v>
      </c>
      <c r="F29" s="113">
        <f>F25/F23</f>
        <v>8.1540923175388542</v>
      </c>
      <c r="G29" s="54"/>
      <c r="H29" s="66"/>
      <c r="I29" s="66"/>
      <c r="J29" s="66"/>
      <c r="K29" s="66"/>
    </row>
    <row r="30" spans="1:11" ht="13.8" hidden="1" thickBot="1" x14ac:dyDescent="0.3">
      <c r="A30" s="110"/>
      <c r="B30" s="72"/>
      <c r="C30" s="72"/>
      <c r="D30" s="109" t="e">
        <f>+D27/D23</f>
        <v>#REF!</v>
      </c>
      <c r="E30" s="94" t="s">
        <v>92</v>
      </c>
      <c r="F30" s="108">
        <f>F27/F23</f>
        <v>123.84910781046625</v>
      </c>
      <c r="G30" s="54"/>
      <c r="H30" s="66"/>
      <c r="I30" s="66"/>
      <c r="J30" s="66"/>
      <c r="K30" s="66"/>
    </row>
    <row r="31" spans="1:11" ht="13.8" thickBot="1" x14ac:dyDescent="0.3">
      <c r="A31" s="62"/>
      <c r="B31" s="67"/>
      <c r="C31" s="67"/>
      <c r="D31" s="67"/>
      <c r="E31" s="67"/>
      <c r="F31" s="68"/>
      <c r="G31" s="54"/>
      <c r="H31" s="66"/>
      <c r="I31" s="66"/>
      <c r="J31" s="66"/>
      <c r="K31" s="66"/>
    </row>
    <row r="32" spans="1:11" x14ac:dyDescent="0.25">
      <c r="A32" s="97" t="s">
        <v>123</v>
      </c>
      <c r="B32" s="98" t="s">
        <v>117</v>
      </c>
      <c r="C32" s="98"/>
      <c r="D32" s="98"/>
      <c r="E32" s="98" t="s">
        <v>88</v>
      </c>
      <c r="F32" s="84" t="s">
        <v>91</v>
      </c>
      <c r="G32" s="54"/>
      <c r="H32" s="66"/>
      <c r="I32" s="66"/>
      <c r="J32" s="66"/>
      <c r="K32" s="66"/>
    </row>
    <row r="33" spans="1:11" ht="13.8" thickBot="1" x14ac:dyDescent="0.3">
      <c r="A33" s="85" t="s">
        <v>93</v>
      </c>
      <c r="B33" s="86">
        <f>'données de base CCCL'!B12/12</f>
        <v>100</v>
      </c>
      <c r="C33" s="86"/>
      <c r="D33" s="86"/>
      <c r="E33" s="87">
        <f>SUM(B33:D33)</f>
        <v>100</v>
      </c>
      <c r="F33" s="88">
        <f>E33*12</f>
        <v>1200</v>
      </c>
      <c r="G33" s="54"/>
      <c r="H33" s="66"/>
      <c r="I33" s="66"/>
      <c r="J33" s="66"/>
      <c r="K33" s="66"/>
    </row>
    <row r="34" spans="1:11" ht="21" x14ac:dyDescent="0.4">
      <c r="A34" s="89" t="s">
        <v>94</v>
      </c>
      <c r="B34" s="90">
        <v>3</v>
      </c>
      <c r="C34" s="90"/>
      <c r="D34" s="90"/>
      <c r="E34" s="90"/>
      <c r="F34" s="88"/>
      <c r="G34" s="99" t="s">
        <v>51</v>
      </c>
      <c r="H34" s="66"/>
      <c r="I34" s="66"/>
      <c r="J34" s="66"/>
      <c r="K34" s="66"/>
    </row>
    <row r="35" spans="1:11" x14ac:dyDescent="0.25">
      <c r="A35" s="89" t="s">
        <v>89</v>
      </c>
      <c r="B35" s="101">
        <f>B33/B34</f>
        <v>33.333333333333336</v>
      </c>
      <c r="C35" s="91"/>
      <c r="D35" s="91"/>
      <c r="E35" s="91">
        <f>SUM(B35:D35)</f>
        <v>33.333333333333336</v>
      </c>
      <c r="F35" s="88">
        <f>E35*12</f>
        <v>400</v>
      </c>
      <c r="G35" s="184">
        <f>+F47/1820</f>
        <v>0.38461538461538464</v>
      </c>
      <c r="H35" s="66"/>
      <c r="I35" s="70"/>
      <c r="J35" s="66"/>
      <c r="K35" s="66"/>
    </row>
    <row r="36" spans="1:11" x14ac:dyDescent="0.25">
      <c r="A36" s="89" t="s">
        <v>101</v>
      </c>
      <c r="B36" s="91">
        <f>B35*10</f>
        <v>333.33333333333337</v>
      </c>
      <c r="C36" s="91"/>
      <c r="D36" s="91">
        <f>D35*12</f>
        <v>0</v>
      </c>
      <c r="E36" s="91">
        <f>SUM(B36:D36)</f>
        <v>333.33333333333337</v>
      </c>
      <c r="F36" s="88"/>
      <c r="G36" s="185"/>
      <c r="H36" s="66"/>
      <c r="I36" s="70"/>
      <c r="J36" s="66"/>
      <c r="K36" s="66"/>
    </row>
    <row r="37" spans="1:11" x14ac:dyDescent="0.25">
      <c r="A37" s="89"/>
      <c r="B37" s="91"/>
      <c r="C37" s="91"/>
      <c r="D37" s="91"/>
      <c r="E37" s="91"/>
      <c r="F37" s="88"/>
      <c r="G37" s="185"/>
      <c r="H37" s="66"/>
      <c r="I37" s="70"/>
      <c r="J37" s="66"/>
      <c r="K37" s="66"/>
    </row>
    <row r="38" spans="1:11" ht="13.8" thickBot="1" x14ac:dyDescent="0.3">
      <c r="A38" s="89" t="s">
        <v>90</v>
      </c>
      <c r="B38" s="93">
        <v>4</v>
      </c>
      <c r="C38" s="93"/>
      <c r="D38" s="93"/>
      <c r="E38" s="93"/>
      <c r="F38" s="88"/>
      <c r="G38" s="186"/>
      <c r="H38" s="66"/>
      <c r="I38" s="66"/>
      <c r="J38" s="66"/>
      <c r="K38" s="66"/>
    </row>
    <row r="39" spans="1:11" x14ac:dyDescent="0.25">
      <c r="A39" s="89" t="s">
        <v>99</v>
      </c>
      <c r="B39" s="91">
        <f>ROUND(B33/B38,2)</f>
        <v>25</v>
      </c>
      <c r="C39" s="91"/>
      <c r="D39" s="91"/>
      <c r="E39" s="91">
        <f>SUM(B39:D39)</f>
        <v>25</v>
      </c>
      <c r="F39" s="88">
        <f>E39*12</f>
        <v>300</v>
      </c>
      <c r="G39" s="54"/>
      <c r="H39" s="66"/>
      <c r="I39" s="66"/>
      <c r="J39" s="66"/>
      <c r="K39" s="66"/>
    </row>
    <row r="40" spans="1:11" x14ac:dyDescent="0.25">
      <c r="A40" s="89" t="s">
        <v>102</v>
      </c>
      <c r="B40" s="101">
        <f>B39*1</f>
        <v>25</v>
      </c>
      <c r="C40" s="91"/>
      <c r="D40" s="91"/>
      <c r="E40" s="91">
        <f>SUM(B40:D40)</f>
        <v>25</v>
      </c>
      <c r="F40" s="88">
        <f>E40*12</f>
        <v>300</v>
      </c>
      <c r="G40" s="54"/>
      <c r="H40" s="66"/>
      <c r="I40" s="66"/>
      <c r="J40" s="66"/>
      <c r="K40" s="66"/>
    </row>
    <row r="41" spans="1:11" x14ac:dyDescent="0.25">
      <c r="A41" s="89"/>
      <c r="B41" s="91"/>
      <c r="C41" s="91"/>
      <c r="D41" s="91"/>
      <c r="E41" s="91"/>
      <c r="F41" s="88"/>
      <c r="G41" s="54"/>
      <c r="H41" s="66"/>
      <c r="I41" s="66"/>
      <c r="J41" s="66"/>
      <c r="K41" s="66"/>
    </row>
    <row r="42" spans="1:11" x14ac:dyDescent="0.25">
      <c r="A42" s="89" t="s">
        <v>104</v>
      </c>
      <c r="B42" s="91">
        <v>25</v>
      </c>
      <c r="C42" s="91"/>
      <c r="D42" s="91"/>
      <c r="E42" s="91"/>
      <c r="F42" s="88"/>
      <c r="G42" s="54"/>
      <c r="H42" s="66"/>
      <c r="I42" s="66"/>
      <c r="J42" s="66"/>
      <c r="K42" s="66"/>
    </row>
    <row r="43" spans="1:11" x14ac:dyDescent="0.25">
      <c r="A43" s="89" t="s">
        <v>105</v>
      </c>
      <c r="B43" s="91">
        <f>+B42*B39</f>
        <v>625</v>
      </c>
      <c r="C43" s="91"/>
      <c r="D43" s="91">
        <f>+D42*D39</f>
        <v>0</v>
      </c>
      <c r="E43" s="91"/>
      <c r="F43" s="88"/>
      <c r="G43" s="54"/>
      <c r="H43" s="66"/>
      <c r="I43" s="66"/>
      <c r="J43" s="66"/>
      <c r="K43" s="66"/>
    </row>
    <row r="44" spans="1:11" x14ac:dyDescent="0.25">
      <c r="A44" s="89"/>
      <c r="B44" s="93"/>
      <c r="C44" s="93"/>
      <c r="D44" s="93"/>
      <c r="E44" s="93"/>
      <c r="F44" s="88"/>
      <c r="G44" s="54"/>
      <c r="H44" s="66"/>
      <c r="I44" s="66"/>
      <c r="J44" s="66"/>
      <c r="K44" s="66"/>
    </row>
    <row r="45" spans="1:11" x14ac:dyDescent="0.25">
      <c r="A45" s="89" t="s">
        <v>100</v>
      </c>
      <c r="B45" s="91">
        <f>ROUND(B39/2,0)</f>
        <v>13</v>
      </c>
      <c r="C45" s="91"/>
      <c r="D45" s="91">
        <f>D36/2</f>
        <v>0</v>
      </c>
      <c r="E45" s="91">
        <f>SUM(B45:D45)</f>
        <v>13</v>
      </c>
      <c r="F45" s="88">
        <f>E45*12</f>
        <v>156</v>
      </c>
      <c r="G45" s="54"/>
      <c r="H45" s="66"/>
      <c r="I45" s="66"/>
      <c r="J45" s="66"/>
      <c r="K45" s="66"/>
    </row>
    <row r="46" spans="1:11" x14ac:dyDescent="0.25">
      <c r="A46" s="89"/>
      <c r="B46" s="93"/>
      <c r="C46" s="93"/>
      <c r="D46" s="93"/>
      <c r="E46" s="93"/>
      <c r="F46" s="88"/>
      <c r="G46" s="54"/>
      <c r="H46" s="66"/>
      <c r="I46" s="66"/>
      <c r="J46" s="66"/>
      <c r="K46" s="66"/>
    </row>
    <row r="47" spans="1:11" x14ac:dyDescent="0.25">
      <c r="A47" s="89" t="s">
        <v>103</v>
      </c>
      <c r="B47" s="101">
        <f>B35+B40</f>
        <v>58.333333333333336</v>
      </c>
      <c r="C47" s="91"/>
      <c r="D47" s="91">
        <f>D32+D37</f>
        <v>0</v>
      </c>
      <c r="E47" s="91">
        <f>SUM(B47:D47)</f>
        <v>58.333333333333336</v>
      </c>
      <c r="F47" s="88">
        <f>E47*12</f>
        <v>700</v>
      </c>
      <c r="G47" s="54"/>
      <c r="H47" s="66"/>
      <c r="I47" s="66"/>
      <c r="J47" s="66"/>
      <c r="K47" s="66"/>
    </row>
    <row r="48" spans="1:11" x14ac:dyDescent="0.25">
      <c r="A48" s="89"/>
      <c r="B48" s="93"/>
      <c r="C48" s="93"/>
      <c r="D48" s="93"/>
      <c r="E48" s="93"/>
      <c r="F48" s="88"/>
      <c r="G48" s="54"/>
      <c r="H48" s="66"/>
      <c r="I48" s="66"/>
      <c r="J48" s="66"/>
      <c r="K48" s="66"/>
    </row>
    <row r="49" spans="1:11" x14ac:dyDescent="0.25">
      <c r="A49" s="85" t="s">
        <v>0</v>
      </c>
      <c r="B49" s="86">
        <f>+B43+B36</f>
        <v>958.33333333333337</v>
      </c>
      <c r="C49" s="86"/>
      <c r="D49" s="86">
        <f>+D40+D33</f>
        <v>0</v>
      </c>
      <c r="E49" s="86">
        <f>SUM(B49:D49)</f>
        <v>958.33333333333337</v>
      </c>
      <c r="F49" s="88">
        <f>E49*12</f>
        <v>11500</v>
      </c>
      <c r="G49" s="54"/>
      <c r="H49" s="66"/>
      <c r="I49" s="66"/>
      <c r="J49" s="66"/>
      <c r="K49" s="66"/>
    </row>
    <row r="50" spans="1:11" ht="13.8" thickBot="1" x14ac:dyDescent="0.3">
      <c r="A50" s="102"/>
      <c r="B50" s="103"/>
      <c r="C50" s="103"/>
      <c r="D50" s="103"/>
      <c r="E50" s="103"/>
      <c r="F50" s="104"/>
      <c r="G50" s="54"/>
      <c r="H50" s="66"/>
      <c r="I50" s="66"/>
      <c r="J50" s="66"/>
      <c r="K50" s="66"/>
    </row>
    <row r="51" spans="1:11" x14ac:dyDescent="0.25">
      <c r="A51" s="51"/>
      <c r="C51" s="72"/>
      <c r="D51" s="72"/>
      <c r="E51" s="106" t="s">
        <v>119</v>
      </c>
      <c r="F51" s="107">
        <f>F47/F45</f>
        <v>4.4871794871794872</v>
      </c>
      <c r="G51" s="54"/>
    </row>
    <row r="52" spans="1:11" ht="13.8" thickBot="1" x14ac:dyDescent="0.3">
      <c r="A52" s="51"/>
      <c r="C52" s="72"/>
      <c r="D52" s="72"/>
      <c r="E52" s="94" t="s">
        <v>92</v>
      </c>
      <c r="F52" s="108">
        <f>F49/F45</f>
        <v>73.717948717948715</v>
      </c>
      <c r="G52" s="54"/>
      <c r="H52" s="66"/>
      <c r="I52" s="66"/>
      <c r="J52" s="66"/>
      <c r="K52" s="66"/>
    </row>
    <row r="53" spans="1:11" ht="9.75" customHeight="1" thickBot="1" x14ac:dyDescent="0.3">
      <c r="A53" s="62"/>
      <c r="B53" s="72"/>
      <c r="C53" s="72"/>
      <c r="D53" s="72"/>
      <c r="E53" s="72"/>
      <c r="F53" s="54"/>
      <c r="G53" s="54"/>
      <c r="H53" s="66"/>
      <c r="I53" s="66"/>
      <c r="J53" s="66"/>
      <c r="K53" s="66"/>
    </row>
    <row r="54" spans="1:11" x14ac:dyDescent="0.25">
      <c r="A54" s="97" t="s">
        <v>124</v>
      </c>
      <c r="B54" s="98" t="s">
        <v>117</v>
      </c>
      <c r="C54" s="98"/>
      <c r="D54" s="98"/>
      <c r="E54" s="98" t="s">
        <v>88</v>
      </c>
      <c r="F54" s="84" t="s">
        <v>91</v>
      </c>
      <c r="G54" s="54"/>
    </row>
    <row r="55" spans="1:11" ht="13.8" thickBot="1" x14ac:dyDescent="0.3">
      <c r="A55" s="85" t="s">
        <v>93</v>
      </c>
      <c r="B55" s="86">
        <f>'données de base CCCL'!B13/12</f>
        <v>183.33333333333334</v>
      </c>
      <c r="C55" s="86"/>
      <c r="D55" s="86"/>
      <c r="E55" s="87">
        <f>SUM(B55:D55)</f>
        <v>183.33333333333334</v>
      </c>
      <c r="F55" s="88">
        <f>E55*12</f>
        <v>2200</v>
      </c>
      <c r="G55" s="54"/>
    </row>
    <row r="56" spans="1:11" ht="21" x14ac:dyDescent="0.4">
      <c r="A56" s="89" t="s">
        <v>94</v>
      </c>
      <c r="B56" s="90">
        <v>3</v>
      </c>
      <c r="C56" s="90"/>
      <c r="D56" s="90"/>
      <c r="E56" s="90"/>
      <c r="F56" s="88"/>
      <c r="G56" s="99" t="s">
        <v>51</v>
      </c>
    </row>
    <row r="57" spans="1:11" x14ac:dyDescent="0.25">
      <c r="A57" s="89" t="s">
        <v>89</v>
      </c>
      <c r="B57" s="101">
        <f>B55/B56</f>
        <v>61.111111111111114</v>
      </c>
      <c r="C57" s="91"/>
      <c r="D57" s="91"/>
      <c r="E57" s="91">
        <f>SUM(B57:D57)</f>
        <v>61.111111111111114</v>
      </c>
      <c r="F57" s="88">
        <f>E57*12</f>
        <v>733.33333333333337</v>
      </c>
      <c r="G57" s="184">
        <f>+F69/1820</f>
        <v>0.70510622710622706</v>
      </c>
    </row>
    <row r="58" spans="1:11" x14ac:dyDescent="0.25">
      <c r="A58" s="89" t="s">
        <v>101</v>
      </c>
      <c r="B58" s="91">
        <f>B57*10</f>
        <v>611.11111111111109</v>
      </c>
      <c r="C58" s="91"/>
      <c r="D58" s="91">
        <f>D57*12</f>
        <v>0</v>
      </c>
      <c r="E58" s="91">
        <f>SUM(B58:D58)</f>
        <v>611.11111111111109</v>
      </c>
      <c r="F58" s="88"/>
      <c r="G58" s="185"/>
    </row>
    <row r="59" spans="1:11" x14ac:dyDescent="0.25">
      <c r="A59" s="89"/>
      <c r="B59" s="91"/>
      <c r="C59" s="91"/>
      <c r="D59" s="91"/>
      <c r="E59" s="91"/>
      <c r="F59" s="88"/>
      <c r="G59" s="185"/>
    </row>
    <row r="60" spans="1:11" ht="13.8" thickBot="1" x14ac:dyDescent="0.3">
      <c r="A60" s="89" t="s">
        <v>90</v>
      </c>
      <c r="B60" s="93">
        <v>4</v>
      </c>
      <c r="C60" s="93"/>
      <c r="D60" s="93"/>
      <c r="E60" s="93"/>
      <c r="F60" s="88"/>
      <c r="G60" s="186"/>
    </row>
    <row r="61" spans="1:11" x14ac:dyDescent="0.25">
      <c r="A61" s="89" t="s">
        <v>99</v>
      </c>
      <c r="B61" s="91">
        <f>ROUND(B55/B60,2)</f>
        <v>45.83</v>
      </c>
      <c r="C61" s="91"/>
      <c r="D61" s="91"/>
      <c r="E61" s="91">
        <f>SUM(B61:D61)</f>
        <v>45.83</v>
      </c>
      <c r="F61" s="88">
        <f>E61*12</f>
        <v>549.96</v>
      </c>
      <c r="G61" s="54"/>
    </row>
    <row r="62" spans="1:11" x14ac:dyDescent="0.25">
      <c r="A62" s="89" t="s">
        <v>102</v>
      </c>
      <c r="B62" s="101">
        <f>B61*1</f>
        <v>45.83</v>
      </c>
      <c r="C62" s="91"/>
      <c r="D62" s="91"/>
      <c r="E62" s="91">
        <f>SUM(B62:D62)</f>
        <v>45.83</v>
      </c>
      <c r="F62" s="88">
        <f>E62*12</f>
        <v>549.96</v>
      </c>
      <c r="G62" s="54"/>
    </row>
    <row r="63" spans="1:11" x14ac:dyDescent="0.25">
      <c r="A63" s="89"/>
      <c r="B63" s="91"/>
      <c r="C63" s="91"/>
      <c r="D63" s="91"/>
      <c r="E63" s="91"/>
      <c r="F63" s="88"/>
      <c r="G63" s="54"/>
    </row>
    <row r="64" spans="1:11" x14ac:dyDescent="0.25">
      <c r="A64" s="89" t="s">
        <v>104</v>
      </c>
      <c r="B64" s="91">
        <v>25</v>
      </c>
      <c r="C64" s="91"/>
      <c r="D64" s="91"/>
      <c r="E64" s="91"/>
      <c r="F64" s="88"/>
      <c r="G64" s="54"/>
    </row>
    <row r="65" spans="1:7" x14ac:dyDescent="0.25">
      <c r="A65" s="89" t="s">
        <v>105</v>
      </c>
      <c r="B65" s="91">
        <f>+B64*B61</f>
        <v>1145.75</v>
      </c>
      <c r="C65" s="91"/>
      <c r="D65" s="91">
        <f>+D64*D61</f>
        <v>0</v>
      </c>
      <c r="E65" s="91"/>
      <c r="F65" s="88"/>
      <c r="G65" s="54"/>
    </row>
    <row r="66" spans="1:7" x14ac:dyDescent="0.25">
      <c r="A66" s="89"/>
      <c r="B66" s="93"/>
      <c r="C66" s="93"/>
      <c r="D66" s="93"/>
      <c r="E66" s="93"/>
      <c r="F66" s="88"/>
      <c r="G66" s="54"/>
    </row>
    <row r="67" spans="1:7" x14ac:dyDescent="0.25">
      <c r="A67" s="89" t="s">
        <v>100</v>
      </c>
      <c r="B67" s="91">
        <f>ROUND(B61/2,0)</f>
        <v>23</v>
      </c>
      <c r="C67" s="91"/>
      <c r="D67" s="91">
        <f>D58/2</f>
        <v>0</v>
      </c>
      <c r="E67" s="91">
        <f>SUM(B67:D67)</f>
        <v>23</v>
      </c>
      <c r="F67" s="88">
        <f>E67*12</f>
        <v>276</v>
      </c>
      <c r="G67" s="54"/>
    </row>
    <row r="68" spans="1:7" x14ac:dyDescent="0.25">
      <c r="A68" s="89"/>
      <c r="B68" s="93"/>
      <c r="C68" s="93"/>
      <c r="D68" s="93"/>
      <c r="E68" s="93"/>
      <c r="F68" s="88"/>
      <c r="G68" s="54"/>
    </row>
    <row r="69" spans="1:7" x14ac:dyDescent="0.25">
      <c r="A69" s="89" t="s">
        <v>103</v>
      </c>
      <c r="B69" s="101">
        <f>B57+B62</f>
        <v>106.94111111111111</v>
      </c>
      <c r="C69" s="91"/>
      <c r="D69" s="91">
        <f>D54+D59</f>
        <v>0</v>
      </c>
      <c r="E69" s="91">
        <f>SUM(B69:D69)</f>
        <v>106.94111111111111</v>
      </c>
      <c r="F69" s="88">
        <f>E69*12</f>
        <v>1283.2933333333333</v>
      </c>
      <c r="G69" s="54"/>
    </row>
    <row r="70" spans="1:7" x14ac:dyDescent="0.25">
      <c r="A70" s="89"/>
      <c r="B70" s="93"/>
      <c r="C70" s="93"/>
      <c r="D70" s="93"/>
      <c r="E70" s="93"/>
      <c r="F70" s="88"/>
      <c r="G70" s="54"/>
    </row>
    <row r="71" spans="1:7" x14ac:dyDescent="0.25">
      <c r="A71" s="85" t="s">
        <v>0</v>
      </c>
      <c r="B71" s="86">
        <f>+B65+B58</f>
        <v>1756.8611111111111</v>
      </c>
      <c r="C71" s="86"/>
      <c r="D71" s="86">
        <f>+D62+D55</f>
        <v>0</v>
      </c>
      <c r="E71" s="86">
        <f>SUM(B71:D71)</f>
        <v>1756.8611111111111</v>
      </c>
      <c r="F71" s="88">
        <f>E71*12</f>
        <v>21082.333333333332</v>
      </c>
      <c r="G71" s="54"/>
    </row>
    <row r="72" spans="1:7" ht="13.8" thickBot="1" x14ac:dyDescent="0.3">
      <c r="A72" s="102"/>
      <c r="B72" s="103"/>
      <c r="C72" s="103"/>
      <c r="D72" s="103"/>
      <c r="E72" s="103"/>
      <c r="F72" s="104"/>
      <c r="G72" s="54"/>
    </row>
    <row r="73" spans="1:7" x14ac:dyDescent="0.25">
      <c r="A73" s="51"/>
      <c r="C73" s="105"/>
      <c r="D73" s="105"/>
      <c r="E73" s="106" t="s">
        <v>119</v>
      </c>
      <c r="F73" s="107">
        <f>F69/F67</f>
        <v>4.6496135265700484</v>
      </c>
      <c r="G73" s="54"/>
    </row>
    <row r="74" spans="1:7" ht="13.8" thickBot="1" x14ac:dyDescent="0.3">
      <c r="A74" s="51"/>
      <c r="C74" s="72"/>
      <c r="D74" s="72"/>
      <c r="E74" s="94" t="s">
        <v>92</v>
      </c>
      <c r="F74" s="108">
        <f>F71/F67</f>
        <v>76.385265700483089</v>
      </c>
      <c r="G74" s="54"/>
    </row>
  </sheetData>
  <mergeCells count="4">
    <mergeCell ref="A1:G2"/>
    <mergeCell ref="G13:G16"/>
    <mergeCell ref="G35:G38"/>
    <mergeCell ref="G57:G60"/>
  </mergeCells>
  <pageMargins left="0.2" right="0.21" top="0.41" bottom="0.23" header="0.28999999999999998" footer="0.18"/>
  <pageSetup paperSize="9" orientation="landscape" r:id="rId1"/>
  <headerFooter alignWithMargins="0">
    <oddFooter>&amp;Lcrée par ssu le 22/06/09&amp;C&amp;F&amp;R&amp;A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31"/>
  <sheetViews>
    <sheetView workbookViewId="0"/>
  </sheetViews>
  <sheetFormatPr baseColWidth="10" defaultRowHeight="13.2" x14ac:dyDescent="0.25"/>
  <cols>
    <col min="1" max="1" width="26.6640625" bestFit="1" customWidth="1"/>
    <col min="3" max="3" width="16.5546875" bestFit="1" customWidth="1"/>
  </cols>
  <sheetData>
    <row r="3" spans="1:5" x14ac:dyDescent="0.25">
      <c r="A3" t="s">
        <v>57</v>
      </c>
      <c r="C3">
        <v>13.56</v>
      </c>
    </row>
    <row r="4" spans="1:5" x14ac:dyDescent="0.25">
      <c r="A4" t="s">
        <v>58</v>
      </c>
      <c r="C4" s="2">
        <v>0.31</v>
      </c>
      <c r="D4" t="s">
        <v>68</v>
      </c>
    </row>
    <row r="5" spans="1:5" x14ac:dyDescent="0.25">
      <c r="A5" t="s">
        <v>59</v>
      </c>
      <c r="C5" s="29">
        <v>1.6E-2</v>
      </c>
      <c r="D5" t="s">
        <v>69</v>
      </c>
    </row>
    <row r="6" spans="1:5" x14ac:dyDescent="0.25">
      <c r="C6" s="29"/>
    </row>
    <row r="7" spans="1:5" x14ac:dyDescent="0.25">
      <c r="A7" t="s">
        <v>66</v>
      </c>
      <c r="C7" s="1">
        <v>26</v>
      </c>
    </row>
    <row r="8" spans="1:5" x14ac:dyDescent="0.25">
      <c r="A8" t="s">
        <v>67</v>
      </c>
      <c r="C8">
        <v>151.66999999999999</v>
      </c>
    </row>
    <row r="9" spans="1:5" x14ac:dyDescent="0.25">
      <c r="A9" t="s">
        <v>76</v>
      </c>
      <c r="C9" s="36">
        <v>0.1</v>
      </c>
    </row>
    <row r="11" spans="1:5" x14ac:dyDescent="0.25">
      <c r="A11" s="31" t="s">
        <v>60</v>
      </c>
      <c r="B11" s="31"/>
      <c r="C11" s="31">
        <v>110</v>
      </c>
    </row>
    <row r="12" spans="1:5" x14ac:dyDescent="0.25">
      <c r="A12" t="s">
        <v>61</v>
      </c>
      <c r="C12" s="1">
        <f>C3*C11*12</f>
        <v>17899.2</v>
      </c>
      <c r="D12" s="26">
        <f>C12/12</f>
        <v>1491.6000000000001</v>
      </c>
    </row>
    <row r="13" spans="1:5" x14ac:dyDescent="0.25">
      <c r="A13" t="s">
        <v>62</v>
      </c>
      <c r="C13" s="1">
        <f>C11*C3</f>
        <v>1491.6000000000001</v>
      </c>
    </row>
    <row r="14" spans="1:5" x14ac:dyDescent="0.25">
      <c r="A14" t="s">
        <v>77</v>
      </c>
      <c r="C14" s="1">
        <f>$C$9*(C13+C12)</f>
        <v>1939.08</v>
      </c>
    </row>
    <row r="15" spans="1:5" x14ac:dyDescent="0.25">
      <c r="A15" t="s">
        <v>70</v>
      </c>
      <c r="C15" s="1">
        <f>D15*12</f>
        <v>0</v>
      </c>
      <c r="D15">
        <v>0</v>
      </c>
      <c r="E15" t="s">
        <v>71</v>
      </c>
    </row>
    <row r="16" spans="1:5" x14ac:dyDescent="0.25">
      <c r="A16" t="s">
        <v>63</v>
      </c>
      <c r="C16" s="2">
        <v>0.4</v>
      </c>
    </row>
    <row r="17" spans="1:5" x14ac:dyDescent="0.25">
      <c r="A17" t="s">
        <v>74</v>
      </c>
      <c r="C17" s="26">
        <f>C16*(C12+C15+C13+C14)</f>
        <v>8531.9519999999993</v>
      </c>
    </row>
    <row r="18" spans="1:5" x14ac:dyDescent="0.25">
      <c r="A18" t="s">
        <v>64</v>
      </c>
      <c r="C18" s="1">
        <f>(C12+C13+C15+C14)*(1+C16)</f>
        <v>29861.831999999995</v>
      </c>
    </row>
    <row r="19" spans="1:5" x14ac:dyDescent="0.25">
      <c r="A19" t="s">
        <v>98</v>
      </c>
      <c r="C19" s="1">
        <f>($C$3*$C$5*$C$8+$C$7*$C$4*$C$3)*12</f>
        <v>1706.3990784</v>
      </c>
    </row>
    <row r="20" spans="1:5" x14ac:dyDescent="0.25">
      <c r="A20" t="s">
        <v>65</v>
      </c>
      <c r="C20" s="30">
        <f>C18+C19</f>
        <v>31568.231078399996</v>
      </c>
      <c r="D20">
        <v>30860</v>
      </c>
      <c r="E20" s="26"/>
    </row>
    <row r="21" spans="1:5" x14ac:dyDescent="0.25">
      <c r="C21" s="1"/>
    </row>
    <row r="22" spans="1:5" x14ac:dyDescent="0.25">
      <c r="A22" s="31" t="s">
        <v>73</v>
      </c>
      <c r="B22" s="31"/>
      <c r="C22" s="31">
        <v>114</v>
      </c>
    </row>
    <row r="23" spans="1:5" x14ac:dyDescent="0.25">
      <c r="A23" t="s">
        <v>61</v>
      </c>
      <c r="C23" s="1">
        <f>C22*$C$3*12</f>
        <v>18550.080000000002</v>
      </c>
    </row>
    <row r="24" spans="1:5" x14ac:dyDescent="0.25">
      <c r="A24" t="s">
        <v>62</v>
      </c>
      <c r="C24" s="1">
        <f>C22*$C$3</f>
        <v>1545.8400000000001</v>
      </c>
    </row>
    <row r="25" spans="1:5" x14ac:dyDescent="0.25">
      <c r="A25" t="s">
        <v>77</v>
      </c>
      <c r="C25" s="1">
        <f>$C$9*(C24+C23)</f>
        <v>2009.5920000000003</v>
      </c>
    </row>
    <row r="26" spans="1:5" x14ac:dyDescent="0.25">
      <c r="A26" t="s">
        <v>70</v>
      </c>
      <c r="C26" s="1">
        <f>D26*13</f>
        <v>0</v>
      </c>
      <c r="D26">
        <v>0</v>
      </c>
      <c r="E26" t="s">
        <v>71</v>
      </c>
    </row>
    <row r="27" spans="1:5" x14ac:dyDescent="0.25">
      <c r="A27" t="s">
        <v>63</v>
      </c>
      <c r="C27" s="2">
        <v>0.4</v>
      </c>
    </row>
    <row r="28" spans="1:5" x14ac:dyDescent="0.25">
      <c r="A28" t="s">
        <v>74</v>
      </c>
      <c r="C28" s="26">
        <f>C27*(C23+C26+C24+C25)</f>
        <v>8842.2048000000013</v>
      </c>
    </row>
    <row r="29" spans="1:5" x14ac:dyDescent="0.25">
      <c r="A29" t="s">
        <v>64</v>
      </c>
      <c r="C29" s="1">
        <f>(C23+C24+C26+C25)*(1+C27)</f>
        <v>30947.716800000002</v>
      </c>
    </row>
    <row r="30" spans="1:5" x14ac:dyDescent="0.25">
      <c r="A30" t="s">
        <v>98</v>
      </c>
      <c r="C30" s="1">
        <f>($C$3*$C$5*$C$8+$C$7*$C$4*$C$3)*12</f>
        <v>1706.3990784</v>
      </c>
    </row>
    <row r="31" spans="1:5" x14ac:dyDescent="0.25">
      <c r="A31" t="s">
        <v>65</v>
      </c>
      <c r="C31" s="30">
        <f>C29+C30</f>
        <v>32654.115878400004</v>
      </c>
      <c r="D31">
        <v>31642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>
    <oddFooter>&amp;Lcrée par SSU le 22/06/09&amp;C&amp;F&amp;R&amp;A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N56"/>
  <sheetViews>
    <sheetView workbookViewId="0">
      <selection activeCell="K2" sqref="K2"/>
    </sheetView>
  </sheetViews>
  <sheetFormatPr baseColWidth="10" defaultRowHeight="13.2" x14ac:dyDescent="0.25"/>
  <cols>
    <col min="1" max="1" width="32.33203125" customWidth="1"/>
    <col min="2" max="2" width="12.88671875" style="1" bestFit="1" customWidth="1"/>
    <col min="3" max="3" width="8" bestFit="1" customWidth="1"/>
    <col min="4" max="4" width="9.6640625" bestFit="1" customWidth="1"/>
    <col min="5" max="5" width="10.88671875" bestFit="1" customWidth="1"/>
    <col min="6" max="6" width="9.6640625" bestFit="1" customWidth="1"/>
    <col min="7" max="7" width="9.6640625" hidden="1" customWidth="1"/>
    <col min="8" max="10" width="9.88671875" bestFit="1" customWidth="1"/>
    <col min="12" max="12" width="12.88671875" bestFit="1" customWidth="1"/>
  </cols>
  <sheetData>
    <row r="1" spans="1:10" ht="18" thickBot="1" x14ac:dyDescent="0.35">
      <c r="A1" s="192" t="s">
        <v>97</v>
      </c>
      <c r="B1" s="193"/>
      <c r="C1" s="193"/>
      <c r="D1" s="193"/>
      <c r="E1" s="193"/>
      <c r="F1" s="193"/>
      <c r="G1" s="193"/>
      <c r="H1" s="193"/>
      <c r="I1" s="193"/>
      <c r="J1" s="194"/>
    </row>
    <row r="2" spans="1:10" ht="13.8" thickBot="1" x14ac:dyDescent="0.3">
      <c r="A2" s="25"/>
      <c r="B2" s="34"/>
      <c r="C2" s="25"/>
      <c r="D2" s="25"/>
      <c r="E2" s="25"/>
      <c r="F2" s="25"/>
      <c r="G2" s="25"/>
      <c r="H2" s="25"/>
      <c r="I2" s="25"/>
      <c r="J2" s="25"/>
    </row>
    <row r="3" spans="1:10" x14ac:dyDescent="0.25">
      <c r="A3" s="38" t="s">
        <v>46</v>
      </c>
      <c r="B3" s="39">
        <f>'données de base CCCL'!B5</f>
        <v>8000</v>
      </c>
      <c r="C3" s="40"/>
      <c r="D3" s="41"/>
      <c r="E3" s="25"/>
      <c r="F3" s="25"/>
      <c r="G3" s="25"/>
      <c r="H3" s="25"/>
      <c r="I3" s="25"/>
      <c r="J3" s="25"/>
    </row>
    <row r="4" spans="1:10" x14ac:dyDescent="0.25">
      <c r="A4" s="42" t="s">
        <v>1</v>
      </c>
      <c r="B4" s="55">
        <f>'données de base CCCL'!C5</f>
        <v>64042</v>
      </c>
      <c r="C4" s="44"/>
      <c r="D4" s="45"/>
    </row>
    <row r="5" spans="1:10" x14ac:dyDescent="0.25">
      <c r="A5" s="42" t="s">
        <v>47</v>
      </c>
      <c r="B5" s="43">
        <f>+C5*1820</f>
        <v>8153.7661538461534</v>
      </c>
      <c r="C5" s="44">
        <f>'ratio de collecte Encombrants'!G13</f>
        <v>4.4800912933220625</v>
      </c>
      <c r="D5" s="45" t="s">
        <v>51</v>
      </c>
    </row>
    <row r="6" spans="1:10" x14ac:dyDescent="0.25">
      <c r="A6" s="42" t="s">
        <v>48</v>
      </c>
      <c r="B6" s="43">
        <f>B5</f>
        <v>8153.7661538461534</v>
      </c>
      <c r="C6" s="44">
        <f>C5</f>
        <v>4.4800912933220625</v>
      </c>
      <c r="D6" s="45" t="s">
        <v>51</v>
      </c>
    </row>
    <row r="7" spans="1:10" x14ac:dyDescent="0.25">
      <c r="A7" s="42" t="s">
        <v>49</v>
      </c>
      <c r="B7" s="43">
        <f>B6</f>
        <v>8153.7661538461534</v>
      </c>
      <c r="C7" s="44">
        <f>C6</f>
        <v>4.4800912933220625</v>
      </c>
      <c r="D7" s="45" t="s">
        <v>51</v>
      </c>
    </row>
    <row r="8" spans="1:10" ht="13.8" thickBot="1" x14ac:dyDescent="0.3">
      <c r="A8" s="46" t="s">
        <v>50</v>
      </c>
      <c r="B8" s="47">
        <f>'ratio de collecte Encombrants'!F27</f>
        <v>123844.15384615383</v>
      </c>
      <c r="C8" s="48"/>
      <c r="D8" s="49"/>
    </row>
    <row r="9" spans="1:10" ht="13.8" thickBot="1" x14ac:dyDescent="0.3"/>
    <row r="10" spans="1:10" ht="29.4" thickBot="1" x14ac:dyDescent="0.3">
      <c r="A10" s="3" t="s">
        <v>4</v>
      </c>
      <c r="B10" s="4" t="s">
        <v>5</v>
      </c>
      <c r="C10" s="4" t="s">
        <v>6</v>
      </c>
      <c r="D10" s="5" t="s">
        <v>7</v>
      </c>
      <c r="E10" s="5" t="s">
        <v>8</v>
      </c>
      <c r="F10" s="5" t="s">
        <v>9</v>
      </c>
      <c r="G10" s="5">
        <v>1820</v>
      </c>
      <c r="H10" s="5" t="s">
        <v>10</v>
      </c>
      <c r="I10" s="5" t="s">
        <v>75</v>
      </c>
      <c r="J10" s="5" t="s">
        <v>78</v>
      </c>
    </row>
    <row r="11" spans="1:10" x14ac:dyDescent="0.25">
      <c r="A11" s="32" t="s">
        <v>11</v>
      </c>
      <c r="B11" s="6"/>
      <c r="C11" s="6"/>
      <c r="D11" s="7"/>
      <c r="E11" s="7"/>
      <c r="F11" s="7"/>
      <c r="G11" s="7"/>
      <c r="H11" s="7"/>
      <c r="I11" s="7"/>
      <c r="J11" s="7"/>
    </row>
    <row r="12" spans="1:10" x14ac:dyDescent="0.25">
      <c r="A12" s="8" t="s">
        <v>12</v>
      </c>
      <c r="B12" s="6">
        <f>125000/7</f>
        <v>17857.142857142859</v>
      </c>
      <c r="C12" s="6" t="s">
        <v>13</v>
      </c>
      <c r="D12" s="7">
        <f>C5</f>
        <v>4.4800912933220625</v>
      </c>
      <c r="E12" s="7">
        <f>D12*B12</f>
        <v>80001.630237893973</v>
      </c>
      <c r="F12" s="7">
        <f>+E12/$B$5</f>
        <v>9.811616954474097</v>
      </c>
      <c r="G12" s="7">
        <f>E12/$G$10</f>
        <v>43.956939691150538</v>
      </c>
      <c r="H12" s="7">
        <f>+E12/$B$8</f>
        <v>0.64598632840817416</v>
      </c>
      <c r="I12" s="7">
        <f>+E12/$B$3</f>
        <v>10.000203779736747</v>
      </c>
      <c r="J12" s="7">
        <f>+E12/$B$4</f>
        <v>1.2492056812387804</v>
      </c>
    </row>
    <row r="13" spans="1:10" x14ac:dyDescent="0.25">
      <c r="A13" s="8" t="s">
        <v>14</v>
      </c>
      <c r="B13" s="28">
        <v>0.12</v>
      </c>
      <c r="C13" s="6" t="s">
        <v>20</v>
      </c>
      <c r="D13" s="7">
        <f>D12</f>
        <v>4.4800912933220625</v>
      </c>
      <c r="E13" s="7">
        <f>+E12*B13</f>
        <v>9600.195628547277</v>
      </c>
      <c r="F13" s="7">
        <f>+E13/$B$5</f>
        <v>1.1773940345368918</v>
      </c>
      <c r="G13" s="7">
        <f>E13/$G$10</f>
        <v>5.2748327629380647</v>
      </c>
      <c r="H13" s="7">
        <f>+E13/$B$8</f>
        <v>7.75183594089809E-2</v>
      </c>
      <c r="I13" s="7">
        <f>+E13/$B$3</f>
        <v>1.2000244535684097</v>
      </c>
      <c r="J13" s="7">
        <f>+E13/$B$4</f>
        <v>0.14990468174865365</v>
      </c>
    </row>
    <row r="14" spans="1:10" ht="13.8" thickBot="1" x14ac:dyDescent="0.3">
      <c r="A14" s="9" t="s">
        <v>53</v>
      </c>
      <c r="B14" s="10">
        <f>5000/7</f>
        <v>714.28571428571433</v>
      </c>
      <c r="C14" s="10" t="s">
        <v>13</v>
      </c>
      <c r="D14" s="11">
        <f>D13</f>
        <v>4.4800912933220625</v>
      </c>
      <c r="E14" s="11">
        <f>D14*B14</f>
        <v>3200.0652095157593</v>
      </c>
      <c r="F14" s="7">
        <f>+E14/$B$5</f>
        <v>0.39246467817896397</v>
      </c>
      <c r="G14" s="7">
        <f>E14/$G$10</f>
        <v>1.7582775876460215</v>
      </c>
      <c r="H14" s="7">
        <f>+E14/$B$8</f>
        <v>2.5839453136326969E-2</v>
      </c>
      <c r="I14" s="7">
        <f>+E14/$B$3</f>
        <v>0.40000815118946992</v>
      </c>
      <c r="J14" s="7">
        <f>+E14/$B$4</f>
        <v>4.9968227249551224E-2</v>
      </c>
    </row>
    <row r="15" spans="1:10" ht="13.8" thickBot="1" x14ac:dyDescent="0.3">
      <c r="A15" s="198" t="s">
        <v>15</v>
      </c>
      <c r="B15" s="199"/>
      <c r="C15" s="199"/>
      <c r="D15" s="200"/>
      <c r="E15" s="12">
        <f t="shared" ref="E15:J15" si="0">SUM(E12:E14)</f>
        <v>92801.891075956999</v>
      </c>
      <c r="F15" s="13">
        <f t="shared" si="0"/>
        <v>11.381475667189953</v>
      </c>
      <c r="G15" s="13">
        <f t="shared" si="0"/>
        <v>50.990050041734619</v>
      </c>
      <c r="H15" s="13">
        <f t="shared" si="0"/>
        <v>0.74934414095348201</v>
      </c>
      <c r="I15" s="13">
        <f t="shared" si="0"/>
        <v>11.600236384494627</v>
      </c>
      <c r="J15" s="13">
        <f t="shared" si="0"/>
        <v>1.4490785902369852</v>
      </c>
    </row>
    <row r="16" spans="1:10" x14ac:dyDescent="0.25">
      <c r="A16" s="32" t="s">
        <v>55</v>
      </c>
      <c r="B16" s="6"/>
      <c r="C16" s="6"/>
      <c r="D16" s="7"/>
      <c r="E16" s="7"/>
      <c r="F16" s="7"/>
      <c r="G16" s="7"/>
      <c r="H16" s="7"/>
      <c r="I16" s="7"/>
      <c r="J16" s="7"/>
    </row>
    <row r="17" spans="1:10" x14ac:dyDescent="0.25">
      <c r="A17" s="27" t="s">
        <v>16</v>
      </c>
      <c r="B17" s="6"/>
      <c r="C17" s="6"/>
      <c r="D17" s="7"/>
      <c r="E17" s="7"/>
      <c r="F17" s="7"/>
      <c r="G17" s="7"/>
      <c r="H17" s="7"/>
      <c r="I17" s="7"/>
      <c r="J17" s="7"/>
    </row>
    <row r="18" spans="1:10" x14ac:dyDescent="0.25">
      <c r="A18" s="27" t="s">
        <v>17</v>
      </c>
      <c r="B18" s="6">
        <f>personnel!C23+personnel!C24+personnel!C25+personnel!C26</f>
        <v>22105.512000000002</v>
      </c>
      <c r="C18" s="6" t="s">
        <v>18</v>
      </c>
      <c r="D18" s="7">
        <f>D14</f>
        <v>4.4800912933220625</v>
      </c>
      <c r="E18" s="7">
        <f>D18*B18</f>
        <v>99034.711845626385</v>
      </c>
      <c r="F18" s="7">
        <f>+E18/$B$5</f>
        <v>12.145885714285717</v>
      </c>
      <c r="G18" s="7">
        <f>E18/$G$10</f>
        <v>54.414676838256256</v>
      </c>
      <c r="H18" s="7">
        <f>+E18/$B$8</f>
        <v>0.7996720779299189</v>
      </c>
      <c r="I18" s="7">
        <f>+E18/$B$3</f>
        <v>12.379338980703299</v>
      </c>
      <c r="J18" s="7">
        <f>+E18/$B$4</f>
        <v>1.5464025459171542</v>
      </c>
    </row>
    <row r="19" spans="1:10" x14ac:dyDescent="0.25">
      <c r="A19" s="27" t="s">
        <v>72</v>
      </c>
      <c r="B19" s="6">
        <f>personnel!C30</f>
        <v>1706.3990784</v>
      </c>
      <c r="C19" s="6" t="s">
        <v>18</v>
      </c>
      <c r="D19" s="7">
        <f>D14</f>
        <v>4.4800912933220625</v>
      </c>
      <c r="E19" s="7">
        <f>D19*B19</f>
        <v>7644.8236540726311</v>
      </c>
      <c r="F19" s="7">
        <f>+E19/$B$5</f>
        <v>0.9375819112087912</v>
      </c>
      <c r="G19" s="7">
        <f>E19/$G$10</f>
        <v>4.2004525571827642</v>
      </c>
      <c r="H19" s="7">
        <f>+E19/$B$8</f>
        <v>6.172938662546365E-2</v>
      </c>
      <c r="I19" s="7">
        <f>+E19/$B$3</f>
        <v>0.95560295675907891</v>
      </c>
      <c r="J19" s="7">
        <f>+E19/$B$4</f>
        <v>0.11937203169908234</v>
      </c>
    </row>
    <row r="20" spans="1:10" ht="12" customHeight="1" x14ac:dyDescent="0.25">
      <c r="A20" s="27" t="s">
        <v>19</v>
      </c>
      <c r="B20" s="6">
        <f>personnel!C28</f>
        <v>8842.2048000000013</v>
      </c>
      <c r="C20" s="6" t="s">
        <v>18</v>
      </c>
      <c r="D20" s="7">
        <f>D14</f>
        <v>4.4800912933220625</v>
      </c>
      <c r="E20" s="7">
        <f>D20*B20</f>
        <v>39613.884738250556</v>
      </c>
      <c r="F20" s="7">
        <f>+E20/$B$5</f>
        <v>4.8583542857142863</v>
      </c>
      <c r="G20" s="7">
        <f>E20/$G$10</f>
        <v>21.765870735302503</v>
      </c>
      <c r="H20" s="7">
        <f>+E20/$B$8</f>
        <v>0.31986883117196757</v>
      </c>
      <c r="I20" s="7">
        <f>+E20/$B$3</f>
        <v>4.9517355922813193</v>
      </c>
      <c r="J20" s="7">
        <f>+E20/$B$4</f>
        <v>0.61856101836686173</v>
      </c>
    </row>
    <row r="21" spans="1:10" ht="12" customHeight="1" x14ac:dyDescent="0.25">
      <c r="A21" s="27" t="s">
        <v>54</v>
      </c>
      <c r="B21" s="6">
        <f>B18+B19+B20</f>
        <v>32654.115878400007</v>
      </c>
      <c r="C21" s="6" t="s">
        <v>20</v>
      </c>
      <c r="D21" s="14">
        <v>0.1</v>
      </c>
      <c r="E21" s="7">
        <f>D21*B21*D19</f>
        <v>14629.342023794958</v>
      </c>
      <c r="F21" s="7">
        <f>+E21/$B$5</f>
        <v>1.7941821911208795</v>
      </c>
      <c r="G21" s="7">
        <f>E21/$G$10</f>
        <v>8.0381000130741533</v>
      </c>
      <c r="H21" s="7">
        <f>+E21/$B$8</f>
        <v>0.11812702957273501</v>
      </c>
      <c r="I21" s="7">
        <f>+E21/$B$3</f>
        <v>1.8286677529743698</v>
      </c>
      <c r="J21" s="7">
        <f>+E21/$B$4</f>
        <v>0.22843355959830983</v>
      </c>
    </row>
    <row r="22" spans="1:10" ht="12" customHeight="1" x14ac:dyDescent="0.25">
      <c r="A22" s="27"/>
      <c r="B22" s="6"/>
      <c r="C22" s="6"/>
      <c r="D22" s="14"/>
      <c r="E22" s="7"/>
      <c r="F22" s="7"/>
      <c r="G22" s="7"/>
      <c r="H22" s="7"/>
      <c r="I22" s="7"/>
      <c r="J22" s="7"/>
    </row>
    <row r="23" spans="1:10" ht="12" customHeight="1" x14ac:dyDescent="0.25">
      <c r="A23" s="27" t="s">
        <v>29</v>
      </c>
      <c r="B23" s="6"/>
      <c r="C23" s="6"/>
      <c r="D23" s="7"/>
      <c r="E23" s="7"/>
      <c r="F23" s="7"/>
      <c r="G23" s="7"/>
      <c r="H23" s="7"/>
      <c r="I23" s="7"/>
      <c r="J23" s="7"/>
    </row>
    <row r="24" spans="1:10" ht="12" customHeight="1" x14ac:dyDescent="0.25">
      <c r="A24" s="27" t="s">
        <v>30</v>
      </c>
      <c r="B24" s="6">
        <v>350</v>
      </c>
      <c r="C24" s="6" t="s">
        <v>18</v>
      </c>
      <c r="D24" s="7">
        <f>D20</f>
        <v>4.4800912933220625</v>
      </c>
      <c r="E24" s="7">
        <f>D24*B24</f>
        <v>1568.0319526627218</v>
      </c>
      <c r="F24" s="7">
        <f>+E24/$B$5</f>
        <v>0.19230769230769229</v>
      </c>
      <c r="G24" s="7">
        <f>E24/$G$10</f>
        <v>0.86155601794655046</v>
      </c>
      <c r="H24" s="7">
        <f>+E24/$B$8</f>
        <v>1.2661332036800213E-2</v>
      </c>
      <c r="I24" s="7">
        <f>+E24/$B$3</f>
        <v>0.19600399408284022</v>
      </c>
      <c r="J24" s="7">
        <f>+E24/$B$4</f>
        <v>2.4484431352280095E-2</v>
      </c>
    </row>
    <row r="25" spans="1:10" ht="12" customHeight="1" x14ac:dyDescent="0.25">
      <c r="A25" s="27" t="s">
        <v>31</v>
      </c>
      <c r="B25" s="6">
        <f>15*12</f>
        <v>180</v>
      </c>
      <c r="C25" s="6" t="s">
        <v>18</v>
      </c>
      <c r="D25" s="7">
        <f>D19</f>
        <v>4.4800912933220625</v>
      </c>
      <c r="E25" s="7">
        <f>D25*B25</f>
        <v>806.4164327979712</v>
      </c>
      <c r="F25" s="7">
        <f>+E25/$B$5</f>
        <v>9.8901098901098897E-2</v>
      </c>
      <c r="G25" s="7">
        <f>E25/$G$10</f>
        <v>0.44308595208679735</v>
      </c>
      <c r="H25" s="7">
        <f>+E25/$B$8</f>
        <v>6.5115421903543949E-3</v>
      </c>
      <c r="I25" s="7">
        <f>+E25/$B$3</f>
        <v>0.10080205409974639</v>
      </c>
      <c r="J25" s="7">
        <f>+E25/$B$4</f>
        <v>1.2591993266886906E-2</v>
      </c>
    </row>
    <row r="26" spans="1:10" ht="12" customHeight="1" x14ac:dyDescent="0.25">
      <c r="A26" s="27"/>
      <c r="B26" s="6"/>
      <c r="C26" s="6"/>
      <c r="D26" s="7"/>
      <c r="E26" s="7"/>
      <c r="F26" s="7"/>
      <c r="G26" s="7"/>
      <c r="H26" s="7"/>
      <c r="I26" s="7"/>
      <c r="J26" s="7"/>
    </row>
    <row r="27" spans="1:10" ht="12" customHeight="1" x14ac:dyDescent="0.25">
      <c r="A27" s="27" t="s">
        <v>45</v>
      </c>
      <c r="B27" s="6"/>
      <c r="C27" s="6"/>
      <c r="D27" s="7"/>
      <c r="E27" s="7"/>
      <c r="F27" s="7"/>
      <c r="G27" s="7"/>
      <c r="H27" s="7"/>
      <c r="I27" s="7"/>
      <c r="J27" s="7"/>
    </row>
    <row r="28" spans="1:10" ht="12" customHeight="1" x14ac:dyDescent="0.25">
      <c r="A28" s="27" t="s">
        <v>17</v>
      </c>
      <c r="B28" s="6">
        <f>+personnel!C12+personnel!C13+personnel!C14+personnel!C15</f>
        <v>21329.879999999997</v>
      </c>
      <c r="C28" s="6" t="s">
        <v>18</v>
      </c>
      <c r="D28" s="7">
        <f>D18</f>
        <v>4.4800912933220625</v>
      </c>
      <c r="E28" s="7">
        <f>D28*B28</f>
        <v>95559.809675604381</v>
      </c>
      <c r="F28" s="7">
        <f>+E28/$B$5</f>
        <v>11.719714285714284</v>
      </c>
      <c r="G28" s="7">
        <f>E28/$G$10</f>
        <v>52.505389931650761</v>
      </c>
      <c r="H28" s="7">
        <f>+E28/$B$8</f>
        <v>0.77161340852886884</v>
      </c>
      <c r="I28" s="7">
        <f>+E28/$B$3</f>
        <v>11.944976209450548</v>
      </c>
      <c r="J28" s="7">
        <f>+E28/$B$4</f>
        <v>1.4921428074639203</v>
      </c>
    </row>
    <row r="29" spans="1:10" ht="12" customHeight="1" x14ac:dyDescent="0.25">
      <c r="A29" s="27" t="s">
        <v>72</v>
      </c>
      <c r="B29" s="6">
        <f>personnel!C19</f>
        <v>1706.3990784</v>
      </c>
      <c r="C29" s="6" t="s">
        <v>18</v>
      </c>
      <c r="D29" s="7">
        <f>D28</f>
        <v>4.4800912933220625</v>
      </c>
      <c r="E29" s="7">
        <f>D29*B29</f>
        <v>7644.8236540726311</v>
      </c>
      <c r="F29" s="7">
        <f>+E29/$B$5</f>
        <v>0.9375819112087912</v>
      </c>
      <c r="G29" s="7">
        <f>E29/$G$10</f>
        <v>4.2004525571827642</v>
      </c>
      <c r="H29" s="7">
        <f>+E29/$B$8</f>
        <v>6.172938662546365E-2</v>
      </c>
      <c r="I29" s="7">
        <f>+E29/$B$3</f>
        <v>0.95560295675907891</v>
      </c>
      <c r="J29" s="7">
        <f>+E29/$B$4</f>
        <v>0.11937203169908234</v>
      </c>
    </row>
    <row r="30" spans="1:10" ht="12" customHeight="1" x14ac:dyDescent="0.25">
      <c r="A30" s="27" t="s">
        <v>19</v>
      </c>
      <c r="B30" s="6">
        <f>+personnel!C17</f>
        <v>8531.9519999999993</v>
      </c>
      <c r="C30" s="6" t="s">
        <v>18</v>
      </c>
      <c r="D30" s="7">
        <f>D29</f>
        <v>4.4800912933220625</v>
      </c>
      <c r="E30" s="7">
        <f>D30*B30</f>
        <v>38223.923870241757</v>
      </c>
      <c r="F30" s="7">
        <f>E30/$B$5</f>
        <v>4.6878857142857147</v>
      </c>
      <c r="G30" s="7">
        <f>E30/$G$10</f>
        <v>21.002155972660304</v>
      </c>
      <c r="H30" s="7">
        <f>+E30/$B$8</f>
        <v>0.30864536341154758</v>
      </c>
      <c r="I30" s="7">
        <f>+E30/$B$3</f>
        <v>4.7779904837802194</v>
      </c>
      <c r="J30" s="7">
        <f>+E30/$B$4</f>
        <v>0.59685712298556814</v>
      </c>
    </row>
    <row r="31" spans="1:10" ht="12" customHeight="1" x14ac:dyDescent="0.25">
      <c r="A31" s="27" t="s">
        <v>54</v>
      </c>
      <c r="B31" s="6">
        <f>B28+B29+B30</f>
        <v>31568.2310784</v>
      </c>
      <c r="C31" s="6" t="s">
        <v>20</v>
      </c>
      <c r="D31" s="14">
        <v>0.1</v>
      </c>
      <c r="E31" s="7">
        <f>D31*B31*D29</f>
        <v>14142.85571999188</v>
      </c>
      <c r="F31" s="7">
        <f>E31/$B$5</f>
        <v>1.7345181911208793</v>
      </c>
      <c r="G31" s="7">
        <f>E31/$G$10</f>
        <v>7.7707998461493846</v>
      </c>
      <c r="H31" s="7">
        <f>+E31/$B$8</f>
        <v>0.11419881585658803</v>
      </c>
      <c r="I31" s="7">
        <f>+E31/$B$3</f>
        <v>1.767856964998985</v>
      </c>
      <c r="J31" s="7">
        <f>+E31/$B$4</f>
        <v>0.22083719621485712</v>
      </c>
    </row>
    <row r="32" spans="1:10" ht="12" customHeight="1" x14ac:dyDescent="0.25">
      <c r="A32" s="27"/>
      <c r="B32" s="6"/>
      <c r="C32" s="6"/>
      <c r="D32" s="14"/>
      <c r="E32" s="7"/>
      <c r="F32" s="7"/>
      <c r="G32" s="7"/>
      <c r="H32" s="7"/>
      <c r="I32" s="7"/>
      <c r="J32" s="7"/>
    </row>
    <row r="33" spans="1:14" ht="12" customHeight="1" x14ac:dyDescent="0.25">
      <c r="A33" s="27" t="s">
        <v>29</v>
      </c>
      <c r="B33" s="6"/>
      <c r="C33" s="6"/>
      <c r="D33" s="7"/>
      <c r="E33" s="7"/>
      <c r="F33" s="7"/>
      <c r="G33" s="7"/>
      <c r="H33" s="7"/>
      <c r="I33" s="7"/>
      <c r="J33" s="7"/>
    </row>
    <row r="34" spans="1:14" ht="12" customHeight="1" x14ac:dyDescent="0.25">
      <c r="A34" s="27" t="s">
        <v>30</v>
      </c>
      <c r="B34" s="6">
        <f>B24</f>
        <v>350</v>
      </c>
      <c r="C34" s="6" t="s">
        <v>18</v>
      </c>
      <c r="D34" s="7">
        <f>D30</f>
        <v>4.4800912933220625</v>
      </c>
      <c r="E34" s="7">
        <f>D34*B34</f>
        <v>1568.0319526627218</v>
      </c>
      <c r="F34" s="7">
        <f>E34/$B$5</f>
        <v>0.19230769230769229</v>
      </c>
      <c r="G34" s="7">
        <f>E34/$G$10</f>
        <v>0.86155601794655046</v>
      </c>
      <c r="H34" s="7">
        <f>+E34/$B$8</f>
        <v>1.2661332036800213E-2</v>
      </c>
      <c r="I34" s="7">
        <f>+E34/$B$3</f>
        <v>0.19600399408284022</v>
      </c>
      <c r="J34" s="7">
        <f>+E34/$B$4</f>
        <v>2.4484431352280095E-2</v>
      </c>
    </row>
    <row r="35" spans="1:14" ht="12" customHeight="1" thickBot="1" x14ac:dyDescent="0.3">
      <c r="A35" s="27" t="s">
        <v>31</v>
      </c>
      <c r="B35" s="6"/>
      <c r="C35" s="6" t="s">
        <v>18</v>
      </c>
      <c r="D35" s="7">
        <f>D29</f>
        <v>4.4800912933220625</v>
      </c>
      <c r="E35" s="7">
        <f>D35*B35</f>
        <v>0</v>
      </c>
      <c r="F35" s="7">
        <f>+E35/$B$5</f>
        <v>0</v>
      </c>
      <c r="G35" s="7">
        <f>E35/$G$10</f>
        <v>0</v>
      </c>
      <c r="H35" s="7">
        <f>+E35/$B$8</f>
        <v>0</v>
      </c>
      <c r="I35" s="7">
        <f>+E35/$B$3</f>
        <v>0</v>
      </c>
      <c r="J35" s="7">
        <f>+F35/$B$3</f>
        <v>0</v>
      </c>
    </row>
    <row r="36" spans="1:14" ht="13.8" thickBot="1" x14ac:dyDescent="0.3">
      <c r="A36" s="198" t="s">
        <v>52</v>
      </c>
      <c r="B36" s="199"/>
      <c r="C36" s="199"/>
      <c r="D36" s="199"/>
      <c r="E36" s="15">
        <f t="shared" ref="E36:J36" si="1">SUM(E16:E35)</f>
        <v>320436.65551977861</v>
      </c>
      <c r="F36" s="15">
        <f t="shared" si="1"/>
        <v>39.299220688175822</v>
      </c>
      <c r="G36" s="15">
        <f t="shared" si="1"/>
        <v>176.0640964394388</v>
      </c>
      <c r="H36" s="15">
        <f t="shared" si="1"/>
        <v>2.5874185059865087</v>
      </c>
      <c r="I36" s="15">
        <f t="shared" si="1"/>
        <v>40.05458193997233</v>
      </c>
      <c r="J36" s="15">
        <f t="shared" si="1"/>
        <v>5.0035391699162837</v>
      </c>
    </row>
    <row r="37" spans="1:14" x14ac:dyDescent="0.25">
      <c r="A37" s="33" t="s">
        <v>21</v>
      </c>
      <c r="B37" s="6"/>
      <c r="C37" s="6"/>
      <c r="D37" s="7"/>
      <c r="E37" s="7"/>
      <c r="F37" s="7"/>
      <c r="G37" s="7"/>
      <c r="H37" s="7"/>
      <c r="I37" s="7"/>
      <c r="J37" s="7"/>
    </row>
    <row r="38" spans="1:14" x14ac:dyDescent="0.25">
      <c r="A38" s="27" t="s">
        <v>22</v>
      </c>
      <c r="B38" s="6">
        <v>18000</v>
      </c>
      <c r="C38" s="6" t="s">
        <v>23</v>
      </c>
      <c r="D38" s="7">
        <f>C5</f>
        <v>4.4800912933220625</v>
      </c>
      <c r="E38" s="7">
        <f>D38*B38</f>
        <v>80641.643279797121</v>
      </c>
      <c r="F38" s="7">
        <f>E38/$B$5</f>
        <v>9.8901098901098905</v>
      </c>
      <c r="G38" s="7">
        <f>E38/$G$10</f>
        <v>44.308595208679733</v>
      </c>
      <c r="H38" s="7">
        <f>+E38/$B$8</f>
        <v>0.65115421903543957</v>
      </c>
      <c r="I38" s="7">
        <f>+E38/$B$3</f>
        <v>10.08020540997464</v>
      </c>
      <c r="J38" s="7">
        <f>+E38/$B$4</f>
        <v>1.2591993266886905</v>
      </c>
    </row>
    <row r="39" spans="1:14" x14ac:dyDescent="0.25">
      <c r="A39" s="27" t="s">
        <v>24</v>
      </c>
      <c r="B39" s="6">
        <v>1</v>
      </c>
      <c r="C39" s="6" t="s">
        <v>25</v>
      </c>
      <c r="D39" s="7">
        <f>55*B8/100</f>
        <v>68114.284615384604</v>
      </c>
      <c r="E39" s="7">
        <f>D39*B39</f>
        <v>68114.284615384604</v>
      </c>
      <c r="F39" s="7">
        <f>E39/$B$5</f>
        <v>8.3537206402779791</v>
      </c>
      <c r="G39" s="7">
        <f>E39/$G$10</f>
        <v>37.425431107354179</v>
      </c>
      <c r="H39" s="7">
        <f>+E39/$B$8</f>
        <v>0.54999999999999993</v>
      </c>
      <c r="I39" s="7">
        <f>+E39/$B$3</f>
        <v>8.5142855769230756</v>
      </c>
      <c r="J39" s="7">
        <f>+E39/$B$4</f>
        <v>1.0635877176756598</v>
      </c>
    </row>
    <row r="40" spans="1:14" x14ac:dyDescent="0.25">
      <c r="A40" s="27" t="s">
        <v>26</v>
      </c>
      <c r="B40" s="6">
        <f>D39</f>
        <v>68114.284615384604</v>
      </c>
      <c r="C40" s="6" t="s">
        <v>20</v>
      </c>
      <c r="D40" s="14">
        <v>0.1</v>
      </c>
      <c r="E40" s="7">
        <f>D40*B40</f>
        <v>6811.4284615384604</v>
      </c>
      <c r="F40" s="7">
        <f>E40/$B$5</f>
        <v>0.83537206402779796</v>
      </c>
      <c r="G40" s="7">
        <f>E40/$G$10</f>
        <v>3.7425431107354177</v>
      </c>
      <c r="H40" s="7">
        <f>+E40/$B$8</f>
        <v>5.5E-2</v>
      </c>
      <c r="I40" s="7">
        <f>+E40/$B$3</f>
        <v>0.85142855769230752</v>
      </c>
      <c r="J40" s="7">
        <f>+E40/$B$4</f>
        <v>0.10635877176756597</v>
      </c>
    </row>
    <row r="41" spans="1:14" ht="20.399999999999999" x14ac:dyDescent="0.25">
      <c r="A41" s="27" t="s">
        <v>27</v>
      </c>
      <c r="B41" s="6">
        <v>0.4</v>
      </c>
      <c r="C41" s="6" t="s">
        <v>0</v>
      </c>
      <c r="D41" s="37">
        <f>B8</f>
        <v>123844.15384615383</v>
      </c>
      <c r="E41" s="7">
        <f>D41*B41</f>
        <v>49537.661538461536</v>
      </c>
      <c r="F41" s="7">
        <f>E41/$B$5</f>
        <v>6.0754331929294398</v>
      </c>
      <c r="G41" s="7">
        <f>E41/$G$10</f>
        <v>27.218495350803042</v>
      </c>
      <c r="H41" s="7">
        <f>+E41/$B$8</f>
        <v>0.4</v>
      </c>
      <c r="I41" s="7">
        <f>+E41/$B$3</f>
        <v>6.1922076923076919</v>
      </c>
      <c r="J41" s="7">
        <f>+E41/$B$4</f>
        <v>0.77351834012775267</v>
      </c>
    </row>
    <row r="42" spans="1:14" ht="13.8" thickBot="1" x14ac:dyDescent="0.3">
      <c r="A42" s="27" t="s">
        <v>28</v>
      </c>
      <c r="B42" s="6">
        <v>2130</v>
      </c>
      <c r="C42" s="6" t="s">
        <v>23</v>
      </c>
      <c r="D42" s="7">
        <f>D19</f>
        <v>4.4800912933220625</v>
      </c>
      <c r="E42" s="7">
        <f>D42*B42</f>
        <v>9542.5944547759937</v>
      </c>
      <c r="F42" s="7">
        <f>E42/$B$5</f>
        <v>1.1703296703296704</v>
      </c>
      <c r="G42" s="7">
        <f>E42/$G$10</f>
        <v>5.2431837663604357</v>
      </c>
      <c r="H42" s="7">
        <f>+E42/$B$8</f>
        <v>7.7053249252527017E-2</v>
      </c>
      <c r="I42" s="7">
        <f>+E42/$B$3</f>
        <v>1.1928243068469992</v>
      </c>
      <c r="J42" s="7">
        <f>+E42/$B$4</f>
        <v>0.14900525365816172</v>
      </c>
    </row>
    <row r="43" spans="1:14" ht="13.8" thickBot="1" x14ac:dyDescent="0.3">
      <c r="A43" s="198" t="s">
        <v>56</v>
      </c>
      <c r="B43" s="199"/>
      <c r="C43" s="199"/>
      <c r="D43" s="199"/>
      <c r="E43" s="15">
        <f>SUM(E38:E42)</f>
        <v>214647.61234995772</v>
      </c>
      <c r="F43" s="16">
        <f>SUM(F37:F42)</f>
        <v>26.324965457674779</v>
      </c>
      <c r="G43" s="16">
        <f>SUM(G16:G42)</f>
        <v>470.06644142281044</v>
      </c>
      <c r="H43" s="16">
        <f>SUM(H37:H42)</f>
        <v>1.7332074682879666</v>
      </c>
      <c r="I43" s="16">
        <f>SUM(I37:I42)</f>
        <v>26.830951543744717</v>
      </c>
      <c r="J43" s="16">
        <f>SUM(J37:J42)</f>
        <v>3.351669409917831</v>
      </c>
      <c r="L43" s="26"/>
    </row>
    <row r="44" spans="1:14" x14ac:dyDescent="0.25">
      <c r="A44" s="32" t="s">
        <v>32</v>
      </c>
      <c r="B44" s="6"/>
      <c r="C44" s="6"/>
      <c r="D44" s="7"/>
      <c r="E44" s="7"/>
      <c r="F44" s="7"/>
      <c r="G44" s="7"/>
      <c r="H44" s="7"/>
      <c r="I44" s="7"/>
      <c r="J44" s="7"/>
    </row>
    <row r="45" spans="1:14" x14ac:dyDescent="0.25">
      <c r="A45" s="8" t="s">
        <v>33</v>
      </c>
      <c r="B45" s="6">
        <v>50000</v>
      </c>
      <c r="C45" s="6" t="s">
        <v>20</v>
      </c>
      <c r="D45" s="14">
        <v>0.03</v>
      </c>
      <c r="E45" s="7">
        <f>D45*B45</f>
        <v>1500</v>
      </c>
      <c r="F45" s="7">
        <f>E45/$B$5</f>
        <v>0.18396406908143251</v>
      </c>
      <c r="G45" s="7">
        <f>E45/$G$10</f>
        <v>0.82417582417582413</v>
      </c>
      <c r="H45" s="7">
        <f>+E45/$B$8</f>
        <v>1.2111996839700519E-2</v>
      </c>
      <c r="I45" s="7">
        <f t="shared" ref="I45:I51" si="2">+E45/$B$3</f>
        <v>0.1875</v>
      </c>
      <c r="J45" s="7">
        <f>+E45/$B$4</f>
        <v>2.3422129227694325E-2</v>
      </c>
    </row>
    <row r="46" spans="1:14" x14ac:dyDescent="0.25">
      <c r="A46" s="8" t="s">
        <v>34</v>
      </c>
      <c r="B46" s="7">
        <f>E43+E36+E15</f>
        <v>627886.15894569329</v>
      </c>
      <c r="C46" s="6" t="s">
        <v>20</v>
      </c>
      <c r="D46" s="14">
        <v>0.03</v>
      </c>
      <c r="E46" s="7">
        <f>(E43+E36+E15)*D46</f>
        <v>18836.584768370798</v>
      </c>
      <c r="F46" s="7">
        <f>E46/$B$5</f>
        <v>2.3101698543912166</v>
      </c>
      <c r="G46" s="7">
        <f>E46/$G$10</f>
        <v>10.349771850753186</v>
      </c>
      <c r="H46" s="7">
        <f>+E46/$B$8</f>
        <v>0.15209910345683869</v>
      </c>
      <c r="I46" s="7">
        <f t="shared" si="2"/>
        <v>2.3545730960463498</v>
      </c>
      <c r="J46" s="7">
        <f>+E46/$B$4</f>
        <v>0.29412861510213295</v>
      </c>
    </row>
    <row r="47" spans="1:14" ht="13.8" thickBot="1" x14ac:dyDescent="0.3">
      <c r="A47" s="8" t="s">
        <v>35</v>
      </c>
      <c r="B47" s="6">
        <f>E43+E36+E15</f>
        <v>627886.15894569329</v>
      </c>
      <c r="C47" s="6" t="s">
        <v>20</v>
      </c>
      <c r="D47" s="14">
        <v>0.05</v>
      </c>
      <c r="E47" s="7">
        <f>D47*B47</f>
        <v>31394.307947284666</v>
      </c>
      <c r="F47" s="7">
        <f>E47/$B$5</f>
        <v>3.8502830906520278</v>
      </c>
      <c r="G47" s="7"/>
      <c r="H47" s="7">
        <f>+E47/'[1]Temps de transports'!$E$46</f>
        <v>0.7396642151372318</v>
      </c>
      <c r="I47" s="7">
        <f t="shared" si="2"/>
        <v>3.9242884934105833</v>
      </c>
      <c r="J47" s="7">
        <f>+E47/$B$4</f>
        <v>0.49021435850355494</v>
      </c>
      <c r="M47" s="56"/>
      <c r="N47" s="57"/>
    </row>
    <row r="48" spans="1:14" hidden="1" x14ac:dyDescent="0.25">
      <c r="A48" s="27" t="s">
        <v>36</v>
      </c>
      <c r="B48" s="6"/>
      <c r="C48" s="6"/>
      <c r="D48" s="14"/>
      <c r="E48" s="7">
        <f>D48*B48</f>
        <v>0</v>
      </c>
      <c r="F48" s="7">
        <f>+E48/$B$5</f>
        <v>0</v>
      </c>
      <c r="G48" s="7">
        <f>E48/$G$10</f>
        <v>0</v>
      </c>
      <c r="H48" s="7">
        <f>+E48/$B$8</f>
        <v>0</v>
      </c>
      <c r="I48" s="7">
        <f t="shared" si="2"/>
        <v>0</v>
      </c>
      <c r="J48" s="7" t="e">
        <f>+E48/#REF!</f>
        <v>#REF!</v>
      </c>
    </row>
    <row r="49" spans="1:10" hidden="1" x14ac:dyDescent="0.25">
      <c r="A49" s="27" t="s">
        <v>37</v>
      </c>
      <c r="B49" s="6"/>
      <c r="C49" s="6"/>
      <c r="D49" s="14"/>
      <c r="E49" s="7">
        <f>D49*B49</f>
        <v>0</v>
      </c>
      <c r="F49" s="7">
        <f>+E49/$B$5</f>
        <v>0</v>
      </c>
      <c r="G49" s="7">
        <f>E49/$G$10</f>
        <v>0</v>
      </c>
      <c r="H49" s="7">
        <f>+E49/$B$8</f>
        <v>0</v>
      </c>
      <c r="I49" s="7">
        <f t="shared" si="2"/>
        <v>0</v>
      </c>
      <c r="J49" s="7" t="e">
        <f>+E49/#REF!</f>
        <v>#REF!</v>
      </c>
    </row>
    <row r="50" spans="1:10" hidden="1" x14ac:dyDescent="0.25">
      <c r="A50" s="27" t="s">
        <v>38</v>
      </c>
      <c r="B50" s="6"/>
      <c r="C50" s="6"/>
      <c r="D50" s="14"/>
      <c r="E50" s="7">
        <f>D50*B50</f>
        <v>0</v>
      </c>
      <c r="F50" s="7">
        <f>+E50/$B$5</f>
        <v>0</v>
      </c>
      <c r="G50" s="7">
        <f>E50/$G$10</f>
        <v>0</v>
      </c>
      <c r="H50" s="7">
        <f>+E50/$B$8</f>
        <v>0</v>
      </c>
      <c r="I50" s="7">
        <f t="shared" si="2"/>
        <v>0</v>
      </c>
      <c r="J50" s="7" t="e">
        <f>+E50/#REF!</f>
        <v>#REF!</v>
      </c>
    </row>
    <row r="51" spans="1:10" ht="13.8" hidden="1" thickBot="1" x14ac:dyDescent="0.3">
      <c r="A51" s="35" t="s">
        <v>39</v>
      </c>
      <c r="B51" s="17"/>
      <c r="C51" s="17"/>
      <c r="D51" s="18"/>
      <c r="E51" s="7">
        <f>D51*B51</f>
        <v>0</v>
      </c>
      <c r="F51" s="7">
        <f>+E51/$B$5</f>
        <v>0</v>
      </c>
      <c r="G51" s="7">
        <f>E51/$G$10</f>
        <v>0</v>
      </c>
      <c r="H51" s="7">
        <f>+E51/$B$8</f>
        <v>0</v>
      </c>
      <c r="I51" s="7">
        <f t="shared" si="2"/>
        <v>0</v>
      </c>
      <c r="J51" s="7" t="e">
        <f>+E51/#REF!</f>
        <v>#REF!</v>
      </c>
    </row>
    <row r="52" spans="1:10" ht="13.8" thickBot="1" x14ac:dyDescent="0.3">
      <c r="A52" s="201" t="s">
        <v>40</v>
      </c>
      <c r="B52" s="202"/>
      <c r="C52" s="202"/>
      <c r="D52" s="202"/>
      <c r="E52" s="15">
        <f>SUM(E44:E51)</f>
        <v>51730.892715655464</v>
      </c>
      <c r="F52" s="16">
        <f>SUM(F44:F51)</f>
        <v>6.3444170141246765</v>
      </c>
      <c r="G52" s="16">
        <f>SUM(G44:G51)</f>
        <v>11.173947674929011</v>
      </c>
      <c r="H52" s="16">
        <f>SUM(H44:H51)</f>
        <v>0.90387531543377098</v>
      </c>
      <c r="I52" s="16">
        <f>SUM(I44:I51)</f>
        <v>6.4663615894569331</v>
      </c>
      <c r="J52" s="16">
        <f>SUM(J45:J47)</f>
        <v>0.80776510283338221</v>
      </c>
    </row>
    <row r="53" spans="1:10" ht="13.8" thickBot="1" x14ac:dyDescent="0.3">
      <c r="A53" s="203" t="s">
        <v>41</v>
      </c>
      <c r="B53" s="204"/>
      <c r="C53" s="204"/>
      <c r="D53" s="205"/>
      <c r="E53" s="19">
        <f>E52+E43+E15+E36</f>
        <v>679617.05166134879</v>
      </c>
      <c r="F53" s="19">
        <f>F52+F43+F15+F36</f>
        <v>83.35007882716522</v>
      </c>
      <c r="G53" s="19">
        <f>G52+G43+G15</f>
        <v>532.23043913947413</v>
      </c>
      <c r="H53" s="19">
        <f>H52+H43+H15+H36</f>
        <v>5.9738454306617284</v>
      </c>
      <c r="I53" s="19">
        <f>I52+I43+I15+I36</f>
        <v>84.9521314576686</v>
      </c>
      <c r="J53" s="19">
        <f>J52+J43+J15+J36</f>
        <v>10.612052272904481</v>
      </c>
    </row>
    <row r="54" spans="1:10" x14ac:dyDescent="0.25">
      <c r="A54" s="8" t="s">
        <v>42</v>
      </c>
      <c r="B54" s="6">
        <f>E53</f>
        <v>679617.05166134879</v>
      </c>
      <c r="C54" s="6" t="s">
        <v>20</v>
      </c>
      <c r="D54" s="14">
        <v>0.19</v>
      </c>
      <c r="E54" s="7">
        <f>D54*B54</f>
        <v>129127.23981565627</v>
      </c>
      <c r="F54" s="7">
        <f>E54/$B$5</f>
        <v>15.836514977161395</v>
      </c>
      <c r="G54" s="7">
        <f>E54/$G$10</f>
        <v>70.94903286574521</v>
      </c>
      <c r="H54" s="7">
        <f>+E54/'[1]Temps de transports'!$E$46</f>
        <v>3.0422966689203719</v>
      </c>
      <c r="I54" s="7">
        <f>+E54/$B$3</f>
        <v>16.140904976957035</v>
      </c>
      <c r="J54" s="7">
        <f>+E54/$B$4</f>
        <v>2.0162899318518512</v>
      </c>
    </row>
    <row r="55" spans="1:10" ht="13.8" thickBot="1" x14ac:dyDescent="0.3">
      <c r="A55" s="20" t="s">
        <v>43</v>
      </c>
      <c r="B55" s="21">
        <f>B54</f>
        <v>679617.05166134879</v>
      </c>
      <c r="C55" s="21" t="s">
        <v>20</v>
      </c>
      <c r="D55" s="22">
        <v>0.01</v>
      </c>
      <c r="E55" s="23">
        <f>D55*B55</f>
        <v>6796.170516613488</v>
      </c>
      <c r="F55" s="23">
        <f>E55/$B$5</f>
        <v>0.83350078827165242</v>
      </c>
      <c r="G55" s="7">
        <f>E55/$G$10</f>
        <v>3.7341596245129054</v>
      </c>
      <c r="H55" s="23">
        <f>+E55/'[1]Temps de transports'!$E$46</f>
        <v>0.16012087731159852</v>
      </c>
      <c r="I55" s="23">
        <f>+E55/$B$3</f>
        <v>0.849521314576686</v>
      </c>
      <c r="J55" s="23">
        <f>+E55/$B$4</f>
        <v>0.10612052272904482</v>
      </c>
    </row>
    <row r="56" spans="1:10" ht="13.8" thickBot="1" x14ac:dyDescent="0.3">
      <c r="A56" s="195" t="s">
        <v>44</v>
      </c>
      <c r="B56" s="196"/>
      <c r="C56" s="196"/>
      <c r="D56" s="197"/>
      <c r="E56" s="24">
        <f t="shared" ref="E56:J56" si="3">E53+E54+E55</f>
        <v>815540.46199361852</v>
      </c>
      <c r="F56" s="24">
        <f t="shared" si="3"/>
        <v>100.02009459259827</v>
      </c>
      <c r="G56" s="24">
        <f t="shared" si="3"/>
        <v>606.91363162973232</v>
      </c>
      <c r="H56" s="24">
        <f t="shared" si="3"/>
        <v>9.1762629768936996</v>
      </c>
      <c r="I56" s="24">
        <f t="shared" si="3"/>
        <v>101.94255774920232</v>
      </c>
      <c r="J56" s="24">
        <f t="shared" si="3"/>
        <v>12.734462727485377</v>
      </c>
    </row>
  </sheetData>
  <mergeCells count="7">
    <mergeCell ref="A1:J1"/>
    <mergeCell ref="A56:D56"/>
    <mergeCell ref="A36:D36"/>
    <mergeCell ref="A15:D15"/>
    <mergeCell ref="A43:D43"/>
    <mergeCell ref="A52:D52"/>
    <mergeCell ref="A53:D53"/>
  </mergeCells>
  <phoneticPr fontId="2" type="noConversion"/>
  <printOptions horizontalCentered="1"/>
  <pageMargins left="0.23622047244094491" right="0.23622047244094491" top="0.43307086614173229" bottom="0.31496062992125984" header="0.23622047244094491" footer="0.19685039370078741"/>
  <pageSetup paperSize="9" scale="89" orientation="portrait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N56"/>
  <sheetViews>
    <sheetView workbookViewId="0">
      <selection activeCell="M1" sqref="M1"/>
    </sheetView>
  </sheetViews>
  <sheetFormatPr baseColWidth="10" defaultRowHeight="13.2" x14ac:dyDescent="0.25"/>
  <cols>
    <col min="1" max="1" width="32.33203125" customWidth="1"/>
    <col min="2" max="2" width="12.88671875" style="51" bestFit="1" customWidth="1"/>
    <col min="3" max="3" width="10" bestFit="1" customWidth="1"/>
    <col min="4" max="4" width="9.6640625" bestFit="1" customWidth="1"/>
    <col min="5" max="5" width="10.88671875" bestFit="1" customWidth="1"/>
    <col min="6" max="6" width="9.6640625" bestFit="1" customWidth="1"/>
    <col min="7" max="7" width="9.6640625" hidden="1" customWidth="1"/>
    <col min="8" max="10" width="9.88671875" bestFit="1" customWidth="1"/>
    <col min="12" max="12" width="12.88671875" bestFit="1" customWidth="1"/>
  </cols>
  <sheetData>
    <row r="1" spans="1:10" ht="18" thickBot="1" x14ac:dyDescent="0.35">
      <c r="A1" s="192" t="s">
        <v>118</v>
      </c>
      <c r="B1" s="193"/>
      <c r="C1" s="193"/>
      <c r="D1" s="193"/>
      <c r="E1" s="193"/>
      <c r="F1" s="193"/>
      <c r="G1" s="193"/>
      <c r="H1" s="193"/>
      <c r="I1" s="193"/>
      <c r="J1" s="194"/>
    </row>
    <row r="2" spans="1:10" ht="13.8" thickBot="1" x14ac:dyDescent="0.3">
      <c r="A2" s="25"/>
      <c r="B2" s="50"/>
      <c r="C2" s="25"/>
      <c r="D2" s="25"/>
      <c r="E2" s="25"/>
      <c r="F2" s="25"/>
      <c r="G2" s="25"/>
      <c r="H2" s="25"/>
      <c r="I2" s="25"/>
      <c r="J2" s="25"/>
    </row>
    <row r="3" spans="1:10" x14ac:dyDescent="0.25">
      <c r="A3" s="38" t="s">
        <v>46</v>
      </c>
      <c r="B3" s="39">
        <f>+'données de base CCCL'!B6</f>
        <v>3000</v>
      </c>
      <c r="C3" s="40"/>
      <c r="D3" s="41"/>
      <c r="E3" s="25"/>
      <c r="F3" s="25"/>
      <c r="G3" s="25"/>
      <c r="H3" s="25"/>
      <c r="I3" s="25"/>
      <c r="J3" s="25"/>
    </row>
    <row r="4" spans="1:10" x14ac:dyDescent="0.25">
      <c r="A4" s="42" t="s">
        <v>1</v>
      </c>
      <c r="B4" s="55">
        <f>+'données de base CCCL'!C6</f>
        <v>26501</v>
      </c>
      <c r="C4" s="44"/>
      <c r="D4" s="45"/>
    </row>
    <row r="5" spans="1:10" x14ac:dyDescent="0.25">
      <c r="A5" s="42" t="s">
        <v>47</v>
      </c>
      <c r="B5" s="43">
        <f>C5*1820</f>
        <v>1749.9999999999998</v>
      </c>
      <c r="C5" s="44">
        <f>'ratio de collecte Encombrants'!G35</f>
        <v>0.96153846153846145</v>
      </c>
      <c r="D5" s="45" t="s">
        <v>51</v>
      </c>
    </row>
    <row r="6" spans="1:10" x14ac:dyDescent="0.25">
      <c r="A6" s="42" t="s">
        <v>48</v>
      </c>
      <c r="B6" s="43">
        <f>B5</f>
        <v>1749.9999999999998</v>
      </c>
      <c r="C6" s="44">
        <f>+'ratio de collecte Encombrants'!G35</f>
        <v>0.96153846153846145</v>
      </c>
      <c r="D6" s="45" t="s">
        <v>51</v>
      </c>
    </row>
    <row r="7" spans="1:10" x14ac:dyDescent="0.25">
      <c r="A7" s="42" t="s">
        <v>49</v>
      </c>
      <c r="B7" s="43">
        <f>B6</f>
        <v>1749.9999999999998</v>
      </c>
      <c r="C7" s="44">
        <f>+'ratio de collecte Encombrants'!G35</f>
        <v>0.96153846153846145</v>
      </c>
      <c r="D7" s="45" t="s">
        <v>51</v>
      </c>
    </row>
    <row r="8" spans="1:10" ht="13.8" thickBot="1" x14ac:dyDescent="0.3">
      <c r="A8" s="46" t="s">
        <v>50</v>
      </c>
      <c r="B8" s="47">
        <f>+'ratio de collecte Encombrants'!F49</f>
        <v>28749.999999999996</v>
      </c>
      <c r="C8" s="48"/>
      <c r="D8" s="49"/>
    </row>
    <row r="9" spans="1:10" ht="13.8" thickBot="1" x14ac:dyDescent="0.3"/>
    <row r="10" spans="1:10" ht="29.4" thickBot="1" x14ac:dyDescent="0.3">
      <c r="A10" s="3" t="s">
        <v>4</v>
      </c>
      <c r="B10" s="4" t="s">
        <v>5</v>
      </c>
      <c r="C10" s="4" t="s">
        <v>6</v>
      </c>
      <c r="D10" s="5" t="s">
        <v>7</v>
      </c>
      <c r="E10" s="5" t="s">
        <v>8</v>
      </c>
      <c r="F10" s="5" t="s">
        <v>9</v>
      </c>
      <c r="G10" s="5">
        <v>1820</v>
      </c>
      <c r="H10" s="5" t="s">
        <v>10</v>
      </c>
      <c r="I10" s="5" t="s">
        <v>75</v>
      </c>
      <c r="J10" s="5" t="s">
        <v>78</v>
      </c>
    </row>
    <row r="11" spans="1:10" x14ac:dyDescent="0.25">
      <c r="A11" s="32" t="s">
        <v>11</v>
      </c>
      <c r="B11" s="6"/>
      <c r="C11" s="6"/>
      <c r="D11" s="7"/>
      <c r="E11" s="7"/>
      <c r="F11" s="7"/>
      <c r="G11" s="7"/>
      <c r="H11" s="7"/>
      <c r="I11" s="7"/>
      <c r="J11" s="7"/>
    </row>
    <row r="12" spans="1:10" x14ac:dyDescent="0.25">
      <c r="A12" s="8" t="s">
        <v>12</v>
      </c>
      <c r="B12" s="6">
        <f>(130000-(130000*36%))/5</f>
        <v>16640</v>
      </c>
      <c r="C12" s="6" t="s">
        <v>13</v>
      </c>
      <c r="D12" s="7">
        <f>C5</f>
        <v>0.96153846153846145</v>
      </c>
      <c r="E12" s="7">
        <f>D12*B12</f>
        <v>15999.999999999998</v>
      </c>
      <c r="F12" s="7">
        <f>+E12/$B$5</f>
        <v>9.1428571428571423</v>
      </c>
      <c r="G12" s="7">
        <f>E12/$G$10</f>
        <v>8.7912087912087902</v>
      </c>
      <c r="H12" s="7">
        <f>+E12/$B$8</f>
        <v>0.55652173913043479</v>
      </c>
      <c r="I12" s="7">
        <f>+E12/$B$3</f>
        <v>5.333333333333333</v>
      </c>
      <c r="J12" s="7">
        <f>+E12/$B$4</f>
        <v>0.60375080185653363</v>
      </c>
    </row>
    <row r="13" spans="1:10" x14ac:dyDescent="0.25">
      <c r="A13" s="8" t="s">
        <v>14</v>
      </c>
      <c r="B13" s="28">
        <v>0.12</v>
      </c>
      <c r="C13" s="6" t="s">
        <v>20</v>
      </c>
      <c r="D13" s="7">
        <f>D12</f>
        <v>0.96153846153846145</v>
      </c>
      <c r="E13" s="7">
        <f>+E12*B13</f>
        <v>1919.9999999999998</v>
      </c>
      <c r="F13" s="7">
        <f>+E13/$B$5</f>
        <v>1.0971428571428572</v>
      </c>
      <c r="G13" s="7">
        <f>E13/$G$10</f>
        <v>1.0549450549450547</v>
      </c>
      <c r="H13" s="7">
        <f>+E13/$B$8</f>
        <v>6.6782608695652168E-2</v>
      </c>
      <c r="I13" s="7">
        <f>+E13/$B$3</f>
        <v>0.6399999999999999</v>
      </c>
      <c r="J13" s="7">
        <f>+E13/$B$4</f>
        <v>7.2450096222784033E-2</v>
      </c>
    </row>
    <row r="14" spans="1:10" ht="13.8" thickBot="1" x14ac:dyDescent="0.3">
      <c r="A14" s="9" t="s">
        <v>53</v>
      </c>
      <c r="B14" s="10">
        <f>5000/7</f>
        <v>714.28571428571433</v>
      </c>
      <c r="C14" s="10" t="s">
        <v>13</v>
      </c>
      <c r="D14" s="11">
        <f>D13</f>
        <v>0.96153846153846145</v>
      </c>
      <c r="E14" s="11">
        <f>D14*B14</f>
        <v>686.8131868131868</v>
      </c>
      <c r="F14" s="7">
        <f>+E14/$B$5</f>
        <v>0.39246467817896397</v>
      </c>
      <c r="G14" s="7">
        <f>E14/$G$10</f>
        <v>0.37736988286438833</v>
      </c>
      <c r="H14" s="7">
        <f>+E14/$B$8</f>
        <v>2.3889154323936936E-2</v>
      </c>
      <c r="I14" s="7">
        <f>+E14/$B$3</f>
        <v>0.22893772893772893</v>
      </c>
      <c r="J14" s="7">
        <f>+E14/$B$4</f>
        <v>2.5916500766506426E-2</v>
      </c>
    </row>
    <row r="15" spans="1:10" ht="13.8" thickBot="1" x14ac:dyDescent="0.3">
      <c r="A15" s="198" t="s">
        <v>15</v>
      </c>
      <c r="B15" s="199"/>
      <c r="C15" s="199"/>
      <c r="D15" s="200"/>
      <c r="E15" s="12">
        <f t="shared" ref="E15:J15" si="0">SUM(E12:E14)</f>
        <v>18606.813186813182</v>
      </c>
      <c r="F15" s="13">
        <f t="shared" si="0"/>
        <v>10.632464678178964</v>
      </c>
      <c r="G15" s="13">
        <f t="shared" si="0"/>
        <v>10.223523729018233</v>
      </c>
      <c r="H15" s="13">
        <f t="shared" si="0"/>
        <v>0.6471935021500238</v>
      </c>
      <c r="I15" s="13">
        <f t="shared" si="0"/>
        <v>6.2022710622710617</v>
      </c>
      <c r="J15" s="13">
        <f t="shared" si="0"/>
        <v>0.70211739884582414</v>
      </c>
    </row>
    <row r="16" spans="1:10" x14ac:dyDescent="0.25">
      <c r="A16" s="32" t="s">
        <v>55</v>
      </c>
      <c r="B16" s="6"/>
      <c r="C16" s="6"/>
      <c r="D16" s="7"/>
      <c r="E16" s="7"/>
      <c r="F16" s="7"/>
      <c r="G16" s="7"/>
      <c r="H16" s="7"/>
      <c r="I16" s="7"/>
      <c r="J16" s="7"/>
    </row>
    <row r="17" spans="1:10" x14ac:dyDescent="0.25">
      <c r="A17" s="27" t="s">
        <v>16</v>
      </c>
      <c r="B17" s="6"/>
      <c r="C17" s="6"/>
      <c r="D17" s="7"/>
      <c r="E17" s="7"/>
      <c r="F17" s="7"/>
      <c r="G17" s="7"/>
      <c r="H17" s="7"/>
      <c r="I17" s="7"/>
      <c r="J17" s="7"/>
    </row>
    <row r="18" spans="1:10" x14ac:dyDescent="0.25">
      <c r="A18" s="27" t="s">
        <v>17</v>
      </c>
      <c r="B18" s="6">
        <f>+'Enc lot 1'!B18</f>
        <v>22105.512000000002</v>
      </c>
      <c r="C18" s="6" t="s">
        <v>18</v>
      </c>
      <c r="D18" s="7">
        <f>D14</f>
        <v>0.96153846153846145</v>
      </c>
      <c r="E18" s="7">
        <f>D18*B18</f>
        <v>21255.3</v>
      </c>
      <c r="F18" s="7">
        <f>+E18/$B$5</f>
        <v>12.145885714285715</v>
      </c>
      <c r="G18" s="7">
        <f>E18/$G$10</f>
        <v>11.678736263736264</v>
      </c>
      <c r="H18" s="7">
        <f>+E18/$B$8</f>
        <v>0.73931478260869576</v>
      </c>
      <c r="I18" s="7">
        <f>+E18/$B$3</f>
        <v>7.0850999999999997</v>
      </c>
      <c r="J18" s="7">
        <f>+E18/$B$4</f>
        <v>0.80205652616882384</v>
      </c>
    </row>
    <row r="19" spans="1:10" x14ac:dyDescent="0.25">
      <c r="A19" s="27" t="s">
        <v>72</v>
      </c>
      <c r="B19" s="6">
        <f>+'Enc lot 1'!B19</f>
        <v>1706.3990784</v>
      </c>
      <c r="C19" s="6" t="s">
        <v>18</v>
      </c>
      <c r="D19" s="7">
        <f>D14</f>
        <v>0.96153846153846145</v>
      </c>
      <c r="E19" s="7">
        <f>D19*B19</f>
        <v>1640.7683446153844</v>
      </c>
      <c r="F19" s="7">
        <f>+E19/$B$5</f>
        <v>0.9375819112087912</v>
      </c>
      <c r="G19" s="7">
        <f>E19/$G$10</f>
        <v>0.90152106846999147</v>
      </c>
      <c r="H19" s="7">
        <f>+E19/$B$8</f>
        <v>5.7070203290969901E-2</v>
      </c>
      <c r="I19" s="7">
        <f>+E19/$B$3</f>
        <v>0.54692278153846152</v>
      </c>
      <c r="J19" s="7">
        <f>+E19/$B$4</f>
        <v>6.1913450232647237E-2</v>
      </c>
    </row>
    <row r="20" spans="1:10" ht="12" customHeight="1" x14ac:dyDescent="0.25">
      <c r="A20" s="27" t="s">
        <v>19</v>
      </c>
      <c r="B20" s="6">
        <f>+'Enc lot 1'!B20</f>
        <v>8842.2048000000013</v>
      </c>
      <c r="C20" s="6" t="s">
        <v>18</v>
      </c>
      <c r="D20" s="7">
        <f>D14</f>
        <v>0.96153846153846145</v>
      </c>
      <c r="E20" s="7">
        <f>D20*B20</f>
        <v>8502.1200000000008</v>
      </c>
      <c r="F20" s="7">
        <f>+E20/$B$5</f>
        <v>4.8583542857142872</v>
      </c>
      <c r="G20" s="7">
        <f>E20/$G$10</f>
        <v>4.6714945054945058</v>
      </c>
      <c r="H20" s="7">
        <f>+E20/$B$8</f>
        <v>0.29572591304347834</v>
      </c>
      <c r="I20" s="7">
        <f>+E20/$B$3</f>
        <v>2.8340400000000003</v>
      </c>
      <c r="J20" s="7">
        <f>+E20/$B$4</f>
        <v>0.32082261046752958</v>
      </c>
    </row>
    <row r="21" spans="1:10" ht="12" customHeight="1" x14ac:dyDescent="0.25">
      <c r="A21" s="27" t="s">
        <v>54</v>
      </c>
      <c r="B21" s="6">
        <f>+'Enc lot 1'!B21</f>
        <v>32654.115878400007</v>
      </c>
      <c r="C21" s="6" t="s">
        <v>20</v>
      </c>
      <c r="D21" s="14">
        <v>0.1</v>
      </c>
      <c r="E21" s="7">
        <f>D21*B21*D19</f>
        <v>3139.8188344615387</v>
      </c>
      <c r="F21" s="7">
        <f>+E21/$B$5</f>
        <v>1.7941821911208795</v>
      </c>
      <c r="G21" s="7">
        <f>E21/$G$10</f>
        <v>1.7251751837700762</v>
      </c>
      <c r="H21" s="7">
        <f>+E21/$B$8</f>
        <v>0.1092110898943144</v>
      </c>
      <c r="I21" s="7">
        <f>+E21/$B$3</f>
        <v>1.0466062781538463</v>
      </c>
      <c r="J21" s="7">
        <f>+E21/$B$4</f>
        <v>0.11847925868690007</v>
      </c>
    </row>
    <row r="22" spans="1:10" ht="12" customHeight="1" x14ac:dyDescent="0.25">
      <c r="A22" s="27"/>
      <c r="B22" s="6"/>
      <c r="C22" s="6"/>
      <c r="D22" s="14"/>
      <c r="E22" s="7"/>
      <c r="F22" s="7"/>
      <c r="G22" s="7"/>
      <c r="H22" s="7"/>
      <c r="I22" s="7"/>
      <c r="J22" s="7"/>
    </row>
    <row r="23" spans="1:10" ht="12" customHeight="1" x14ac:dyDescent="0.25">
      <c r="A23" s="27" t="s">
        <v>29</v>
      </c>
      <c r="B23" s="6"/>
      <c r="C23" s="6"/>
      <c r="D23" s="7"/>
      <c r="E23" s="7"/>
      <c r="F23" s="7"/>
      <c r="G23" s="7"/>
      <c r="H23" s="7"/>
      <c r="I23" s="7"/>
      <c r="J23" s="7"/>
    </row>
    <row r="24" spans="1:10" ht="12" customHeight="1" x14ac:dyDescent="0.25">
      <c r="A24" s="27" t="s">
        <v>30</v>
      </c>
      <c r="B24" s="6">
        <v>350</v>
      </c>
      <c r="C24" s="6" t="s">
        <v>18</v>
      </c>
      <c r="D24" s="7">
        <f>D20</f>
        <v>0.96153846153846145</v>
      </c>
      <c r="E24" s="7">
        <f>D24*B24</f>
        <v>336.53846153846149</v>
      </c>
      <c r="F24" s="7">
        <f>+E24/$B$5</f>
        <v>0.19230769230769232</v>
      </c>
      <c r="G24" s="7">
        <f>E24/$G$10</f>
        <v>0.18491124260355027</v>
      </c>
      <c r="H24" s="7">
        <f>+E24/$B$8</f>
        <v>1.1705685618729096E-2</v>
      </c>
      <c r="I24" s="7">
        <f>+E24/$B$3</f>
        <v>0.11217948717948717</v>
      </c>
      <c r="J24" s="7">
        <f>+E24/$B$4</f>
        <v>1.2699085375588148E-2</v>
      </c>
    </row>
    <row r="25" spans="1:10" ht="12" customHeight="1" x14ac:dyDescent="0.25">
      <c r="A25" s="27" t="s">
        <v>31</v>
      </c>
      <c r="B25" s="6">
        <f>15*12</f>
        <v>180</v>
      </c>
      <c r="C25" s="6" t="s">
        <v>18</v>
      </c>
      <c r="D25" s="7">
        <f>D19</f>
        <v>0.96153846153846145</v>
      </c>
      <c r="E25" s="7">
        <f>D25*B25</f>
        <v>173.07692307692307</v>
      </c>
      <c r="F25" s="7">
        <f>+E25/$B$5</f>
        <v>9.8901098901098911E-2</v>
      </c>
      <c r="G25" s="7">
        <f>E25/$G$10</f>
        <v>9.5097210481825858E-2</v>
      </c>
      <c r="H25" s="7">
        <f>+E25/$B$8</f>
        <v>6.0200668896321077E-3</v>
      </c>
      <c r="I25" s="7">
        <f>+E25/$B$3</f>
        <v>5.7692307692307689E-2</v>
      </c>
      <c r="J25" s="7">
        <f>+E25/$B$4</f>
        <v>6.5309581931596193E-3</v>
      </c>
    </row>
    <row r="26" spans="1:10" ht="12" customHeight="1" x14ac:dyDescent="0.25">
      <c r="A26" s="27"/>
      <c r="B26" s="6"/>
      <c r="C26" s="6"/>
      <c r="D26" s="7"/>
      <c r="E26" s="7"/>
      <c r="F26" s="7"/>
      <c r="G26" s="7"/>
      <c r="H26" s="7"/>
      <c r="I26" s="7"/>
      <c r="J26" s="7"/>
    </row>
    <row r="27" spans="1:10" ht="12" customHeight="1" x14ac:dyDescent="0.25">
      <c r="A27" s="27" t="s">
        <v>45</v>
      </c>
      <c r="B27" s="6"/>
      <c r="C27" s="6"/>
      <c r="D27" s="7"/>
      <c r="E27" s="7"/>
      <c r="F27" s="7"/>
      <c r="G27" s="7"/>
      <c r="H27" s="7"/>
      <c r="I27" s="7"/>
      <c r="J27" s="7"/>
    </row>
    <row r="28" spans="1:10" ht="12" customHeight="1" x14ac:dyDescent="0.25">
      <c r="A28" s="27" t="s">
        <v>17</v>
      </c>
      <c r="B28" s="6">
        <f>+'Enc lot 1'!B28</f>
        <v>21329.879999999997</v>
      </c>
      <c r="C28" s="6" t="s">
        <v>18</v>
      </c>
      <c r="D28" s="7">
        <f>C7</f>
        <v>0.96153846153846145</v>
      </c>
      <c r="E28" s="7">
        <f>D28*B28</f>
        <v>20509.499999999996</v>
      </c>
      <c r="F28" s="7">
        <f>+E28/$B$5</f>
        <v>11.719714285714286</v>
      </c>
      <c r="G28" s="7">
        <f>E28/$G$10</f>
        <v>11.268956043956042</v>
      </c>
      <c r="H28" s="7">
        <f>+E28/$B$8</f>
        <v>0.71337391304347819</v>
      </c>
      <c r="I28" s="7">
        <f>+E28/$B$3</f>
        <v>6.8364999999999991</v>
      </c>
      <c r="J28" s="7">
        <f>+E28/$B$4</f>
        <v>0.77391419191728605</v>
      </c>
    </row>
    <row r="29" spans="1:10" ht="12" customHeight="1" x14ac:dyDescent="0.25">
      <c r="A29" s="27" t="s">
        <v>72</v>
      </c>
      <c r="B29" s="6">
        <f>+'Enc lot 1'!B29</f>
        <v>1706.3990784</v>
      </c>
      <c r="C29" s="6" t="s">
        <v>18</v>
      </c>
      <c r="D29" s="7">
        <f>D28</f>
        <v>0.96153846153846145</v>
      </c>
      <c r="E29" s="7">
        <f>D29*B29</f>
        <v>1640.7683446153844</v>
      </c>
      <c r="F29" s="7">
        <f>+E29/$B$5</f>
        <v>0.9375819112087912</v>
      </c>
      <c r="G29" s="7">
        <f>E29/$G$10</f>
        <v>0.90152106846999147</v>
      </c>
      <c r="H29" s="7">
        <f>+E29/$B$8</f>
        <v>5.7070203290969901E-2</v>
      </c>
      <c r="I29" s="7">
        <f>+E29/$B$3</f>
        <v>0.54692278153846152</v>
      </c>
      <c r="J29" s="7">
        <f>+E29/$B$4</f>
        <v>6.1913450232647237E-2</v>
      </c>
    </row>
    <row r="30" spans="1:10" ht="12" customHeight="1" x14ac:dyDescent="0.25">
      <c r="A30" s="27" t="s">
        <v>19</v>
      </c>
      <c r="B30" s="6">
        <f>+'Enc lot 1'!B30</f>
        <v>8531.9519999999993</v>
      </c>
      <c r="C30" s="6" t="s">
        <v>18</v>
      </c>
      <c r="D30" s="7">
        <f>D29</f>
        <v>0.96153846153846145</v>
      </c>
      <c r="E30" s="7">
        <f>D30*B30</f>
        <v>8203.7999999999993</v>
      </c>
      <c r="F30" s="7">
        <f>E30/$B$5</f>
        <v>4.6878857142857147</v>
      </c>
      <c r="G30" s="7">
        <f>E30/$G$10</f>
        <v>4.5075824175824168</v>
      </c>
      <c r="H30" s="7">
        <f>+E30/$B$8</f>
        <v>0.2853495652173913</v>
      </c>
      <c r="I30" s="7">
        <f>+E30/$B$3</f>
        <v>2.7345999999999999</v>
      </c>
      <c r="J30" s="7">
        <f>+E30/$B$4</f>
        <v>0.30956567676691443</v>
      </c>
    </row>
    <row r="31" spans="1:10" ht="12" customHeight="1" x14ac:dyDescent="0.25">
      <c r="A31" s="27" t="s">
        <v>54</v>
      </c>
      <c r="B31" s="6">
        <f>+'Enc lot 1'!B31</f>
        <v>31568.2310784</v>
      </c>
      <c r="C31" s="6" t="s">
        <v>20</v>
      </c>
      <c r="D31" s="14">
        <v>0.1</v>
      </c>
      <c r="E31" s="7">
        <f>D31*B31*D29</f>
        <v>3035.4068344615384</v>
      </c>
      <c r="F31" s="7">
        <f>E31/$B$5</f>
        <v>1.7345181911208793</v>
      </c>
      <c r="G31" s="7">
        <f>E31/$G$10</f>
        <v>1.6678059530008453</v>
      </c>
      <c r="H31" s="7">
        <f>+E31/$B$8</f>
        <v>0.10557936815518396</v>
      </c>
      <c r="I31" s="7">
        <f>+E31/$B$3</f>
        <v>1.011802278153846</v>
      </c>
      <c r="J31" s="7">
        <f>+E31/$B$4</f>
        <v>0.11453933189168479</v>
      </c>
    </row>
    <row r="32" spans="1:10" ht="12" customHeight="1" x14ac:dyDescent="0.25">
      <c r="A32" s="27"/>
      <c r="B32" s="6"/>
      <c r="C32" s="6"/>
      <c r="D32" s="14"/>
      <c r="E32" s="7"/>
      <c r="F32" s="7"/>
      <c r="G32" s="7"/>
      <c r="H32" s="7"/>
      <c r="I32" s="7"/>
      <c r="J32" s="7"/>
    </row>
    <row r="33" spans="1:14" ht="12" customHeight="1" x14ac:dyDescent="0.25">
      <c r="A33" s="27" t="s">
        <v>29</v>
      </c>
      <c r="B33" s="6"/>
      <c r="C33" s="6"/>
      <c r="D33" s="7"/>
      <c r="E33" s="7"/>
      <c r="F33" s="7"/>
      <c r="G33" s="7"/>
      <c r="H33" s="7"/>
      <c r="I33" s="7"/>
      <c r="J33" s="7"/>
    </row>
    <row r="34" spans="1:14" ht="12" customHeight="1" x14ac:dyDescent="0.25">
      <c r="A34" s="27" t="s">
        <v>30</v>
      </c>
      <c r="B34" s="6">
        <f>B24</f>
        <v>350</v>
      </c>
      <c r="C34" s="6" t="s">
        <v>18</v>
      </c>
      <c r="D34" s="7">
        <f>D30</f>
        <v>0.96153846153846145</v>
      </c>
      <c r="E34" s="7">
        <f>D34*B34</f>
        <v>336.53846153846149</v>
      </c>
      <c r="F34" s="7">
        <f>E34/$B$5</f>
        <v>0.19230769230769232</v>
      </c>
      <c r="G34" s="7">
        <f>E34/$G$10</f>
        <v>0.18491124260355027</v>
      </c>
      <c r="H34" s="7">
        <f>+E34/$B$8</f>
        <v>1.1705685618729096E-2</v>
      </c>
      <c r="I34" s="7">
        <f>+E34/$B$3</f>
        <v>0.11217948717948717</v>
      </c>
      <c r="J34" s="7">
        <f>+E34/$B$4</f>
        <v>1.2699085375588148E-2</v>
      </c>
    </row>
    <row r="35" spans="1:14" ht="12" customHeight="1" thickBot="1" x14ac:dyDescent="0.3">
      <c r="A35" s="27" t="s">
        <v>31</v>
      </c>
      <c r="B35" s="6"/>
      <c r="C35" s="6" t="s">
        <v>18</v>
      </c>
      <c r="D35" s="7">
        <f>D29</f>
        <v>0.96153846153846145</v>
      </c>
      <c r="E35" s="7">
        <f>D35*B35</f>
        <v>0</v>
      </c>
      <c r="F35" s="7">
        <f>+E35/$B$5</f>
        <v>0</v>
      </c>
      <c r="G35" s="7">
        <f>E35/$G$10</f>
        <v>0</v>
      </c>
      <c r="H35" s="7">
        <f>+E35/$B$8</f>
        <v>0</v>
      </c>
      <c r="I35" s="7">
        <f>+E35/$B$3</f>
        <v>0</v>
      </c>
      <c r="J35" s="7">
        <f>+F35/$B$3</f>
        <v>0</v>
      </c>
    </row>
    <row r="36" spans="1:14" ht="13.8" thickBot="1" x14ac:dyDescent="0.3">
      <c r="A36" s="198" t="s">
        <v>52</v>
      </c>
      <c r="B36" s="199"/>
      <c r="C36" s="199"/>
      <c r="D36" s="199"/>
      <c r="E36" s="15">
        <f t="shared" ref="E36:J36" si="1">SUM(E16:E35)</f>
        <v>68773.636204307695</v>
      </c>
      <c r="F36" s="15">
        <f t="shared" si="1"/>
        <v>39.299220688175822</v>
      </c>
      <c r="G36" s="15">
        <f t="shared" si="1"/>
        <v>37.787712200169054</v>
      </c>
      <c r="H36" s="15">
        <f t="shared" si="1"/>
        <v>2.3921264766715717</v>
      </c>
      <c r="I36" s="15">
        <f t="shared" si="1"/>
        <v>22.924545401435896</v>
      </c>
      <c r="J36" s="15">
        <f t="shared" si="1"/>
        <v>2.5951336253087693</v>
      </c>
    </row>
    <row r="37" spans="1:14" x14ac:dyDescent="0.25">
      <c r="A37" s="33" t="s">
        <v>21</v>
      </c>
      <c r="B37" s="6"/>
      <c r="C37" s="6"/>
      <c r="D37" s="7"/>
      <c r="E37" s="7"/>
      <c r="F37" s="7"/>
      <c r="G37" s="7"/>
      <c r="H37" s="7"/>
      <c r="I37" s="7"/>
      <c r="J37" s="7"/>
    </row>
    <row r="38" spans="1:14" x14ac:dyDescent="0.25">
      <c r="A38" s="27" t="s">
        <v>22</v>
      </c>
      <c r="B38" s="6">
        <v>5000</v>
      </c>
      <c r="C38" s="6" t="s">
        <v>23</v>
      </c>
      <c r="D38" s="7">
        <f>C5</f>
        <v>0.96153846153846145</v>
      </c>
      <c r="E38" s="7">
        <f>D38*B38</f>
        <v>4807.6923076923076</v>
      </c>
      <c r="F38" s="7">
        <f>E38/$B$5</f>
        <v>2.7472527472527477</v>
      </c>
      <c r="G38" s="7">
        <f>E38/$G$10</f>
        <v>2.6415891800507185</v>
      </c>
      <c r="H38" s="7">
        <f>+E38/$B$8</f>
        <v>0.16722408026755856</v>
      </c>
      <c r="I38" s="7">
        <f>+E38/$B$3</f>
        <v>1.6025641025641026</v>
      </c>
      <c r="J38" s="7">
        <f>+E38/$B$4</f>
        <v>0.18141550536554499</v>
      </c>
    </row>
    <row r="39" spans="1:14" x14ac:dyDescent="0.25">
      <c r="A39" s="27" t="s">
        <v>24</v>
      </c>
      <c r="B39" s="6">
        <v>1</v>
      </c>
      <c r="C39" s="6" t="s">
        <v>25</v>
      </c>
      <c r="D39" s="7">
        <f>55*B8/100</f>
        <v>15812.499999999998</v>
      </c>
      <c r="E39" s="7">
        <f>D39*B39</f>
        <v>15812.499999999998</v>
      </c>
      <c r="F39" s="7">
        <f>E39/$B$5</f>
        <v>9.0357142857142865</v>
      </c>
      <c r="G39" s="7">
        <f>E39/$G$10</f>
        <v>8.6881868131868121</v>
      </c>
      <c r="H39" s="7">
        <f>+E39/$B$8</f>
        <v>0.55000000000000004</v>
      </c>
      <c r="I39" s="7">
        <f>+E39/$B$3</f>
        <v>5.270833333333333</v>
      </c>
      <c r="J39" s="7">
        <f>+E39/$B$4</f>
        <v>0.59667559714727736</v>
      </c>
    </row>
    <row r="40" spans="1:14" x14ac:dyDescent="0.25">
      <c r="A40" s="27" t="s">
        <v>26</v>
      </c>
      <c r="B40" s="6">
        <f>D39</f>
        <v>15812.499999999998</v>
      </c>
      <c r="C40" s="6" t="s">
        <v>20</v>
      </c>
      <c r="D40" s="14">
        <v>0.1</v>
      </c>
      <c r="E40" s="7">
        <f>D40*B40</f>
        <v>1581.25</v>
      </c>
      <c r="F40" s="7">
        <f>E40/$B$5</f>
        <v>0.90357142857142869</v>
      </c>
      <c r="G40" s="7">
        <f>E40/$G$10</f>
        <v>0.86881868131868134</v>
      </c>
      <c r="H40" s="7">
        <f>+E40/$B$8</f>
        <v>5.5000000000000007E-2</v>
      </c>
      <c r="I40" s="7">
        <f>+E40/$B$3</f>
        <v>0.52708333333333335</v>
      </c>
      <c r="J40" s="7">
        <f>+E40/$B$4</f>
        <v>5.9667559714727744E-2</v>
      </c>
    </row>
    <row r="41" spans="1:14" ht="20.399999999999999" x14ac:dyDescent="0.25">
      <c r="A41" s="27" t="s">
        <v>27</v>
      </c>
      <c r="B41" s="6">
        <v>0.2</v>
      </c>
      <c r="C41" s="6" t="s">
        <v>0</v>
      </c>
      <c r="D41" s="37">
        <f>B8</f>
        <v>28749.999999999996</v>
      </c>
      <c r="E41" s="7">
        <f>D41*B41</f>
        <v>5750</v>
      </c>
      <c r="F41" s="7">
        <f>E41/$B$5</f>
        <v>3.285714285714286</v>
      </c>
      <c r="G41" s="7">
        <f>E41/$G$10</f>
        <v>3.1593406593406592</v>
      </c>
      <c r="H41" s="7">
        <f>+E41/$B$8</f>
        <v>0.20000000000000004</v>
      </c>
      <c r="I41" s="7">
        <f>+E41/$B$3</f>
        <v>1.9166666666666667</v>
      </c>
      <c r="J41" s="7">
        <f>+E41/$B$4</f>
        <v>0.21697294441719181</v>
      </c>
    </row>
    <row r="42" spans="1:14" ht="13.8" thickBot="1" x14ac:dyDescent="0.3">
      <c r="A42" s="27" t="s">
        <v>28</v>
      </c>
      <c r="B42" s="6">
        <v>900</v>
      </c>
      <c r="C42" s="6" t="s">
        <v>23</v>
      </c>
      <c r="D42" s="7">
        <f>D19</f>
        <v>0.96153846153846145</v>
      </c>
      <c r="E42" s="7">
        <f>D42*B42</f>
        <v>865.38461538461536</v>
      </c>
      <c r="F42" s="7">
        <f>E42/$B$5</f>
        <v>0.49450549450549458</v>
      </c>
      <c r="G42" s="7">
        <f>E42/$G$10</f>
        <v>0.47548605240912933</v>
      </c>
      <c r="H42" s="7">
        <f>+E42/$B$8</f>
        <v>3.0100334448160539E-2</v>
      </c>
      <c r="I42" s="7">
        <f>+E42/$B$3</f>
        <v>0.28846153846153844</v>
      </c>
      <c r="J42" s="7">
        <f>+E42/$B$4</f>
        <v>3.2654790965798097E-2</v>
      </c>
    </row>
    <row r="43" spans="1:14" ht="13.8" thickBot="1" x14ac:dyDescent="0.3">
      <c r="A43" s="198" t="s">
        <v>56</v>
      </c>
      <c r="B43" s="199"/>
      <c r="C43" s="199"/>
      <c r="D43" s="199"/>
      <c r="E43" s="15">
        <f>SUM(E38:E42)</f>
        <v>28816.826923076922</v>
      </c>
      <c r="F43" s="16">
        <f>SUM(F37:F42)</f>
        <v>16.466758241758246</v>
      </c>
      <c r="G43" s="16">
        <f>SUM(G16:G42)</f>
        <v>91.408845786644108</v>
      </c>
      <c r="H43" s="16">
        <f>SUM(H37:H42)</f>
        <v>1.0023244147157193</v>
      </c>
      <c r="I43" s="16">
        <f>SUM(I37:I42)</f>
        <v>9.6056089743589741</v>
      </c>
      <c r="J43" s="16">
        <f>SUM(J37:J42)</f>
        <v>1.08738639761054</v>
      </c>
      <c r="L43" s="26"/>
    </row>
    <row r="44" spans="1:14" x14ac:dyDescent="0.25">
      <c r="A44" s="32" t="s">
        <v>32</v>
      </c>
      <c r="B44" s="6"/>
      <c r="C44" s="6"/>
      <c r="D44" s="7"/>
      <c r="E44" s="7"/>
      <c r="F44" s="7"/>
      <c r="G44" s="7"/>
      <c r="H44" s="7"/>
      <c r="I44" s="7"/>
      <c r="J44" s="7"/>
    </row>
    <row r="45" spans="1:14" x14ac:dyDescent="0.25">
      <c r="A45" s="8" t="s">
        <v>33</v>
      </c>
      <c r="B45" s="6">
        <v>50000</v>
      </c>
      <c r="C45" s="6" t="s">
        <v>20</v>
      </c>
      <c r="D45" s="14">
        <v>0.1</v>
      </c>
      <c r="E45" s="7">
        <f>D45*B45</f>
        <v>5000</v>
      </c>
      <c r="F45" s="7">
        <f>E45/$B$5</f>
        <v>2.8571428571428577</v>
      </c>
      <c r="G45" s="7">
        <f>E45/$G$10</f>
        <v>2.7472527472527473</v>
      </c>
      <c r="H45" s="7">
        <f>+E45/$B$8</f>
        <v>0.17391304347826089</v>
      </c>
      <c r="I45" s="7">
        <f t="shared" ref="I45:I51" si="2">+E45/$B$3</f>
        <v>1.6666666666666667</v>
      </c>
      <c r="J45" s="7">
        <f>+E45/$B$4</f>
        <v>0.1886721255801668</v>
      </c>
    </row>
    <row r="46" spans="1:14" x14ac:dyDescent="0.25">
      <c r="A46" s="8" t="s">
        <v>34</v>
      </c>
      <c r="B46" s="7">
        <f>E43+E36+E15</f>
        <v>116197.27631419781</v>
      </c>
      <c r="C46" s="6" t="s">
        <v>20</v>
      </c>
      <c r="D46" s="14">
        <v>0.1</v>
      </c>
      <c r="E46" s="7">
        <f>(E43+E36+E15)*D46</f>
        <v>11619.727631419781</v>
      </c>
      <c r="F46" s="7">
        <f>E46/$B$5</f>
        <v>6.6398443608113045</v>
      </c>
      <c r="G46" s="7">
        <f>E46/$G$10</f>
        <v>6.3844657315493301</v>
      </c>
      <c r="H46" s="7">
        <f>+E46/$B$8</f>
        <v>0.40416443935373153</v>
      </c>
      <c r="I46" s="7">
        <f t="shared" si="2"/>
        <v>3.8732425438065934</v>
      </c>
      <c r="J46" s="7">
        <f>+E46/$B$4</f>
        <v>0.43846374217651335</v>
      </c>
    </row>
    <row r="47" spans="1:14" ht="13.8" thickBot="1" x14ac:dyDescent="0.3">
      <c r="A47" s="8" t="s">
        <v>35</v>
      </c>
      <c r="B47" s="6">
        <f>E43+E36+E15</f>
        <v>116197.27631419781</v>
      </c>
      <c r="C47" s="6" t="s">
        <v>20</v>
      </c>
      <c r="D47" s="14">
        <v>0.05</v>
      </c>
      <c r="E47" s="7">
        <f>D47*B47</f>
        <v>5809.8638157098903</v>
      </c>
      <c r="F47" s="7">
        <f>E47/$B$5</f>
        <v>3.3199221804056522</v>
      </c>
      <c r="G47" s="7"/>
      <c r="H47" s="7">
        <f>+E47/'[1]Temps de transports'!$E$46</f>
        <v>0.13688304155380951</v>
      </c>
      <c r="I47" s="7">
        <f t="shared" si="2"/>
        <v>1.9366212719032967</v>
      </c>
      <c r="J47" s="7">
        <f>+E47/$B$4</f>
        <v>0.21923187108825667</v>
      </c>
      <c r="M47" s="56"/>
      <c r="N47" s="57"/>
    </row>
    <row r="48" spans="1:14" hidden="1" x14ac:dyDescent="0.25">
      <c r="A48" s="27" t="s">
        <v>36</v>
      </c>
      <c r="B48" s="6"/>
      <c r="C48" s="6"/>
      <c r="D48" s="14"/>
      <c r="E48" s="7">
        <f>D48*B48</f>
        <v>0</v>
      </c>
      <c r="F48" s="7">
        <f>+E48/$B$5</f>
        <v>0</v>
      </c>
      <c r="G48" s="7">
        <f>E48/$G$10</f>
        <v>0</v>
      </c>
      <c r="H48" s="7">
        <f>+E48/$B$8</f>
        <v>0</v>
      </c>
      <c r="I48" s="7">
        <f t="shared" si="2"/>
        <v>0</v>
      </c>
      <c r="J48" s="7" t="e">
        <f>+E48/#REF!</f>
        <v>#REF!</v>
      </c>
    </row>
    <row r="49" spans="1:10" hidden="1" x14ac:dyDescent="0.25">
      <c r="A49" s="27" t="s">
        <v>37</v>
      </c>
      <c r="B49" s="6"/>
      <c r="C49" s="6"/>
      <c r="D49" s="14"/>
      <c r="E49" s="7">
        <f>D49*B49</f>
        <v>0</v>
      </c>
      <c r="F49" s="7">
        <f>+E49/$B$5</f>
        <v>0</v>
      </c>
      <c r="G49" s="7">
        <f>E49/$G$10</f>
        <v>0</v>
      </c>
      <c r="H49" s="7">
        <f>+E49/$B$8</f>
        <v>0</v>
      </c>
      <c r="I49" s="7">
        <f t="shared" si="2"/>
        <v>0</v>
      </c>
      <c r="J49" s="7" t="e">
        <f>+E49/#REF!</f>
        <v>#REF!</v>
      </c>
    </row>
    <row r="50" spans="1:10" hidden="1" x14ac:dyDescent="0.25">
      <c r="A50" s="27" t="s">
        <v>38</v>
      </c>
      <c r="B50" s="6"/>
      <c r="C50" s="6"/>
      <c r="D50" s="14"/>
      <c r="E50" s="7">
        <f>D50*B50</f>
        <v>0</v>
      </c>
      <c r="F50" s="7">
        <f>+E50/$B$5</f>
        <v>0</v>
      </c>
      <c r="G50" s="7">
        <f>E50/$G$10</f>
        <v>0</v>
      </c>
      <c r="H50" s="7">
        <f>+E50/$B$8</f>
        <v>0</v>
      </c>
      <c r="I50" s="7">
        <f t="shared" si="2"/>
        <v>0</v>
      </c>
      <c r="J50" s="7" t="e">
        <f>+E50/#REF!</f>
        <v>#REF!</v>
      </c>
    </row>
    <row r="51" spans="1:10" ht="13.8" hidden="1" thickBot="1" x14ac:dyDescent="0.3">
      <c r="A51" s="35" t="s">
        <v>39</v>
      </c>
      <c r="B51" s="17"/>
      <c r="C51" s="17"/>
      <c r="D51" s="18"/>
      <c r="E51" s="7">
        <f>D51*B51</f>
        <v>0</v>
      </c>
      <c r="F51" s="7">
        <f>+E51/$B$5</f>
        <v>0</v>
      </c>
      <c r="G51" s="7">
        <f>E51/$G$10</f>
        <v>0</v>
      </c>
      <c r="H51" s="7">
        <f>+E51/$B$8</f>
        <v>0</v>
      </c>
      <c r="I51" s="7">
        <f t="shared" si="2"/>
        <v>0</v>
      </c>
      <c r="J51" s="7" t="e">
        <f>+E51/#REF!</f>
        <v>#REF!</v>
      </c>
    </row>
    <row r="52" spans="1:10" ht="13.8" thickBot="1" x14ac:dyDescent="0.3">
      <c r="A52" s="201" t="s">
        <v>40</v>
      </c>
      <c r="B52" s="202"/>
      <c r="C52" s="202"/>
      <c r="D52" s="202"/>
      <c r="E52" s="15">
        <f>SUM(E44:E51)</f>
        <v>22429.591447129671</v>
      </c>
      <c r="F52" s="16">
        <f>SUM(F44:F51)</f>
        <v>12.816909398359815</v>
      </c>
      <c r="G52" s="16">
        <f>SUM(G44:G51)</f>
        <v>9.1317184788020782</v>
      </c>
      <c r="H52" s="16">
        <f>SUM(H44:H51)</f>
        <v>0.71496052438580193</v>
      </c>
      <c r="I52" s="16">
        <f>SUM(I44:I51)</f>
        <v>7.4765304823765568</v>
      </c>
      <c r="J52" s="16">
        <f>SUM(J44:J47)</f>
        <v>0.84636773884493688</v>
      </c>
    </row>
    <row r="53" spans="1:10" ht="13.8" thickBot="1" x14ac:dyDescent="0.3">
      <c r="A53" s="203" t="s">
        <v>41</v>
      </c>
      <c r="B53" s="204"/>
      <c r="C53" s="204"/>
      <c r="D53" s="205"/>
      <c r="E53" s="19">
        <f>E52+E43+E15+E36</f>
        <v>138626.86776132748</v>
      </c>
      <c r="F53" s="19">
        <f>F52+F43+F15+F36</f>
        <v>79.215353006472839</v>
      </c>
      <c r="G53" s="19">
        <f>G52+G43+G15</f>
        <v>110.76408799446443</v>
      </c>
      <c r="H53" s="19">
        <f>H52+H43+H15+H36</f>
        <v>4.7566049179231165</v>
      </c>
      <c r="I53" s="19">
        <f>I52+I43+I15+I36</f>
        <v>46.208955920442492</v>
      </c>
      <c r="J53" s="19">
        <f>J52+J43+J15+J36</f>
        <v>5.2310051606100707</v>
      </c>
    </row>
    <row r="54" spans="1:10" x14ac:dyDescent="0.25">
      <c r="A54" s="8" t="s">
        <v>42</v>
      </c>
      <c r="B54" s="6">
        <f>E53</f>
        <v>138626.86776132748</v>
      </c>
      <c r="C54" s="6" t="s">
        <v>20</v>
      </c>
      <c r="D54" s="14">
        <v>0.19</v>
      </c>
      <c r="E54" s="7">
        <f>D54*B54</f>
        <v>26339.104874652221</v>
      </c>
      <c r="F54" s="7">
        <f>E54/$B$5</f>
        <v>15.050917071229842</v>
      </c>
      <c r="G54" s="7">
        <f>E54/$G$10</f>
        <v>14.472035645413309</v>
      </c>
      <c r="H54" s="7">
        <f>+E54/'[1]Temps de transports'!$E$46</f>
        <v>0.62056132491405669</v>
      </c>
      <c r="I54" s="7">
        <f>+E54/$B$3</f>
        <v>8.7797016248840745</v>
      </c>
      <c r="J54" s="7">
        <f>+E54/$B$4</f>
        <v>0.9938909805159134</v>
      </c>
    </row>
    <row r="55" spans="1:10" ht="13.8" thickBot="1" x14ac:dyDescent="0.3">
      <c r="A55" s="20" t="s">
        <v>43</v>
      </c>
      <c r="B55" s="21">
        <f>B54</f>
        <v>138626.86776132748</v>
      </c>
      <c r="C55" s="21" t="s">
        <v>20</v>
      </c>
      <c r="D55" s="22">
        <v>0.01</v>
      </c>
      <c r="E55" s="23">
        <f>D55*B55</f>
        <v>1386.2686776132748</v>
      </c>
      <c r="F55" s="23">
        <f>E55/$B$5</f>
        <v>0.79215353006472855</v>
      </c>
      <c r="G55" s="7">
        <f>E55/$G$10</f>
        <v>0.76168608660070047</v>
      </c>
      <c r="H55" s="23">
        <f>+E55/'[1]Temps de transports'!$E$46</f>
        <v>3.2661122363897718E-2</v>
      </c>
      <c r="I55" s="23">
        <f>+E55/$B$3</f>
        <v>0.46208955920442496</v>
      </c>
      <c r="J55" s="23">
        <f>+E55/$B$4</f>
        <v>5.2310051606100708E-2</v>
      </c>
    </row>
    <row r="56" spans="1:10" ht="13.8" thickBot="1" x14ac:dyDescent="0.3">
      <c r="A56" s="195" t="s">
        <v>44</v>
      </c>
      <c r="B56" s="196"/>
      <c r="C56" s="196"/>
      <c r="D56" s="197"/>
      <c r="E56" s="24">
        <f t="shared" ref="E56:J56" si="3">E53+E54+E55</f>
        <v>166352.24131359297</v>
      </c>
      <c r="F56" s="24">
        <f t="shared" si="3"/>
        <v>95.058423607767409</v>
      </c>
      <c r="G56" s="24">
        <f t="shared" si="3"/>
        <v>125.99780972647845</v>
      </c>
      <c r="H56" s="24">
        <f>H53+H54+H55</f>
        <v>5.4098273652010711</v>
      </c>
      <c r="I56" s="24">
        <f t="shared" si="3"/>
        <v>55.45074710453099</v>
      </c>
      <c r="J56" s="24">
        <f t="shared" si="3"/>
        <v>6.277206192732085</v>
      </c>
    </row>
  </sheetData>
  <mergeCells count="7">
    <mergeCell ref="A1:J1"/>
    <mergeCell ref="A56:D56"/>
    <mergeCell ref="A36:D36"/>
    <mergeCell ref="A15:D15"/>
    <mergeCell ref="A43:D43"/>
    <mergeCell ref="A52:D52"/>
    <mergeCell ref="A53:D53"/>
  </mergeCells>
  <phoneticPr fontId="2" type="noConversion"/>
  <printOptions horizontalCentered="1"/>
  <pageMargins left="0.23622047244094491" right="0.23622047244094491" top="0.43307086614173229" bottom="0.3" header="0.23622047244094491" footer="0.19"/>
  <pageSetup paperSize="9" scale="88" orientation="portrait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N56"/>
  <sheetViews>
    <sheetView workbookViewId="0">
      <selection activeCell="K2" sqref="K2"/>
    </sheetView>
  </sheetViews>
  <sheetFormatPr baseColWidth="10" defaultRowHeight="13.2" x14ac:dyDescent="0.25"/>
  <cols>
    <col min="1" max="1" width="32.33203125" customWidth="1"/>
    <col min="2" max="2" width="12.88671875" style="51" bestFit="1" customWidth="1"/>
    <col min="3" max="3" width="10" bestFit="1" customWidth="1"/>
    <col min="4" max="4" width="9.6640625" bestFit="1" customWidth="1"/>
    <col min="5" max="5" width="10.88671875" bestFit="1" customWidth="1"/>
    <col min="6" max="6" width="9.6640625" bestFit="1" customWidth="1"/>
    <col min="7" max="7" width="9.6640625" hidden="1" customWidth="1"/>
    <col min="8" max="10" width="9.88671875" bestFit="1" customWidth="1"/>
    <col min="12" max="12" width="12.88671875" bestFit="1" customWidth="1"/>
  </cols>
  <sheetData>
    <row r="1" spans="1:10" ht="18" thickBot="1" x14ac:dyDescent="0.35">
      <c r="A1" s="192" t="s">
        <v>126</v>
      </c>
      <c r="B1" s="193"/>
      <c r="C1" s="193"/>
      <c r="D1" s="193"/>
      <c r="E1" s="193"/>
      <c r="F1" s="193"/>
      <c r="G1" s="193"/>
      <c r="H1" s="193"/>
      <c r="I1" s="193"/>
      <c r="J1" s="194"/>
    </row>
    <row r="2" spans="1:10" ht="13.8" thickBot="1" x14ac:dyDescent="0.3">
      <c r="A2" s="25"/>
      <c r="B2" s="50"/>
      <c r="C2" s="25"/>
      <c r="D2" s="25"/>
      <c r="E2" s="25"/>
      <c r="F2" s="25"/>
      <c r="G2" s="25"/>
      <c r="H2" s="25"/>
      <c r="I2" s="25"/>
      <c r="J2" s="25"/>
    </row>
    <row r="3" spans="1:10" x14ac:dyDescent="0.25">
      <c r="A3" s="38" t="s">
        <v>46</v>
      </c>
      <c r="B3" s="39">
        <f>'données de base CCCL'!B12</f>
        <v>1200</v>
      </c>
      <c r="C3" s="40"/>
      <c r="D3" s="41"/>
      <c r="E3" s="25"/>
      <c r="F3" s="25"/>
      <c r="G3" s="25"/>
      <c r="H3" s="25"/>
      <c r="I3" s="25"/>
      <c r="J3" s="25"/>
    </row>
    <row r="4" spans="1:10" x14ac:dyDescent="0.25">
      <c r="A4" s="42" t="s">
        <v>1</v>
      </c>
      <c r="B4" s="55">
        <f>+'données de base CCCL'!C6</f>
        <v>26501</v>
      </c>
      <c r="C4" s="44"/>
      <c r="D4" s="45"/>
    </row>
    <row r="5" spans="1:10" x14ac:dyDescent="0.25">
      <c r="A5" s="42" t="s">
        <v>47</v>
      </c>
      <c r="B5" s="43">
        <f>C5*1820</f>
        <v>700</v>
      </c>
      <c r="C5" s="44">
        <f>'RATIO COLLECTE DV '!G35</f>
        <v>0.38461538461538464</v>
      </c>
      <c r="D5" s="45" t="s">
        <v>51</v>
      </c>
    </row>
    <row r="6" spans="1:10" x14ac:dyDescent="0.25">
      <c r="A6" s="42" t="s">
        <v>48</v>
      </c>
      <c r="B6" s="43">
        <f>B5</f>
        <v>700</v>
      </c>
      <c r="C6" s="44">
        <f>C5</f>
        <v>0.38461538461538464</v>
      </c>
      <c r="D6" s="45" t="s">
        <v>51</v>
      </c>
    </row>
    <row r="7" spans="1:10" x14ac:dyDescent="0.25">
      <c r="A7" s="42" t="s">
        <v>49</v>
      </c>
      <c r="B7" s="43">
        <f>B6</f>
        <v>700</v>
      </c>
      <c r="C7" s="44">
        <f>C6</f>
        <v>0.38461538461538464</v>
      </c>
      <c r="D7" s="45" t="s">
        <v>51</v>
      </c>
    </row>
    <row r="8" spans="1:10" ht="13.8" thickBot="1" x14ac:dyDescent="0.3">
      <c r="A8" s="46" t="s">
        <v>50</v>
      </c>
      <c r="B8" s="47">
        <f>'RATIO COLLECTE DV '!F49</f>
        <v>11500</v>
      </c>
      <c r="C8" s="48"/>
      <c r="D8" s="49"/>
    </row>
    <row r="9" spans="1:10" ht="13.8" thickBot="1" x14ac:dyDescent="0.3"/>
    <row r="10" spans="1:10" ht="29.4" thickBot="1" x14ac:dyDescent="0.3">
      <c r="A10" s="3" t="s">
        <v>4</v>
      </c>
      <c r="B10" s="4" t="s">
        <v>5</v>
      </c>
      <c r="C10" s="4" t="s">
        <v>6</v>
      </c>
      <c r="D10" s="5" t="s">
        <v>7</v>
      </c>
      <c r="E10" s="5" t="s">
        <v>8</v>
      </c>
      <c r="F10" s="5" t="s">
        <v>9</v>
      </c>
      <c r="G10" s="5">
        <v>1820</v>
      </c>
      <c r="H10" s="5" t="s">
        <v>10</v>
      </c>
      <c r="I10" s="5" t="s">
        <v>75</v>
      </c>
      <c r="J10" s="5" t="s">
        <v>78</v>
      </c>
    </row>
    <row r="11" spans="1:10" x14ac:dyDescent="0.25">
      <c r="A11" s="32" t="s">
        <v>11</v>
      </c>
      <c r="B11" s="6"/>
      <c r="C11" s="6"/>
      <c r="D11" s="7"/>
      <c r="E11" s="7"/>
      <c r="F11" s="7"/>
      <c r="G11" s="7"/>
      <c r="H11" s="7"/>
      <c r="I11" s="7"/>
      <c r="J11" s="7"/>
    </row>
    <row r="12" spans="1:10" x14ac:dyDescent="0.25">
      <c r="A12" s="8" t="s">
        <v>12</v>
      </c>
      <c r="B12" s="6">
        <f>(130000-(130000*36%))/5</f>
        <v>16640</v>
      </c>
      <c r="C12" s="6" t="s">
        <v>13</v>
      </c>
      <c r="D12" s="7">
        <f>C5</f>
        <v>0.38461538461538464</v>
      </c>
      <c r="E12" s="7">
        <f>D12*B12</f>
        <v>6400</v>
      </c>
      <c r="F12" s="7">
        <f>+E12/$B$5</f>
        <v>9.1428571428571423</v>
      </c>
      <c r="G12" s="7">
        <f>E12/$G$10</f>
        <v>3.5164835164835164</v>
      </c>
      <c r="H12" s="7">
        <f>+E12/$B$8</f>
        <v>0.55652173913043479</v>
      </c>
      <c r="I12" s="7">
        <f>+E12/$B$3</f>
        <v>5.333333333333333</v>
      </c>
      <c r="J12" s="7">
        <f>+E12/$B$4</f>
        <v>0.24150032074261349</v>
      </c>
    </row>
    <row r="13" spans="1:10" x14ac:dyDescent="0.25">
      <c r="A13" s="8" t="s">
        <v>14</v>
      </c>
      <c r="B13" s="28">
        <v>0.12</v>
      </c>
      <c r="C13" s="6" t="s">
        <v>20</v>
      </c>
      <c r="D13" s="7">
        <f>D12</f>
        <v>0.38461538461538464</v>
      </c>
      <c r="E13" s="7">
        <f>+E12*B13</f>
        <v>768</v>
      </c>
      <c r="F13" s="7">
        <f>+E13/$B$5</f>
        <v>1.0971428571428572</v>
      </c>
      <c r="G13" s="7">
        <f>E13/$G$10</f>
        <v>0.42197802197802198</v>
      </c>
      <c r="H13" s="7">
        <f>+E13/$B$8</f>
        <v>6.6782608695652168E-2</v>
      </c>
      <c r="I13" s="7">
        <f>+E13/$B$3</f>
        <v>0.64</v>
      </c>
      <c r="J13" s="7">
        <f>+E13/$B$4</f>
        <v>2.8980038489113617E-2</v>
      </c>
    </row>
    <row r="14" spans="1:10" ht="13.8" thickBot="1" x14ac:dyDescent="0.3">
      <c r="A14" s="9" t="s">
        <v>53</v>
      </c>
      <c r="B14" s="10">
        <f>5000/7</f>
        <v>714.28571428571433</v>
      </c>
      <c r="C14" s="10" t="s">
        <v>13</v>
      </c>
      <c r="D14" s="11">
        <f>D13</f>
        <v>0.38461538461538464</v>
      </c>
      <c r="E14" s="11">
        <f>D14*B14</f>
        <v>274.72527472527474</v>
      </c>
      <c r="F14" s="7">
        <f>+E14/$B$5</f>
        <v>0.39246467817896391</v>
      </c>
      <c r="G14" s="7">
        <f>E14/$G$10</f>
        <v>0.15094795314575535</v>
      </c>
      <c r="H14" s="7">
        <f>+E14/$B$8</f>
        <v>2.3889154323936936E-2</v>
      </c>
      <c r="I14" s="7">
        <f>+E14/$B$3</f>
        <v>0.22893772893772896</v>
      </c>
      <c r="J14" s="7">
        <f>+E14/$B$4</f>
        <v>1.0366600306602572E-2</v>
      </c>
    </row>
    <row r="15" spans="1:10" ht="13.8" thickBot="1" x14ac:dyDescent="0.3">
      <c r="A15" s="198" t="s">
        <v>15</v>
      </c>
      <c r="B15" s="199"/>
      <c r="C15" s="199"/>
      <c r="D15" s="200"/>
      <c r="E15" s="12">
        <f t="shared" ref="E15:J15" si="0">SUM(E12:E14)</f>
        <v>7442.7252747252751</v>
      </c>
      <c r="F15" s="13">
        <f t="shared" si="0"/>
        <v>10.632464678178964</v>
      </c>
      <c r="G15" s="13">
        <f t="shared" si="0"/>
        <v>4.0894094916072934</v>
      </c>
      <c r="H15" s="13">
        <f t="shared" si="0"/>
        <v>0.6471935021500238</v>
      </c>
      <c r="I15" s="13">
        <f t="shared" si="0"/>
        <v>6.2022710622710617</v>
      </c>
      <c r="J15" s="13">
        <f t="shared" si="0"/>
        <v>0.28084695953832967</v>
      </c>
    </row>
    <row r="16" spans="1:10" x14ac:dyDescent="0.25">
      <c r="A16" s="32" t="s">
        <v>55</v>
      </c>
      <c r="B16" s="6"/>
      <c r="C16" s="6"/>
      <c r="D16" s="7"/>
      <c r="E16" s="7"/>
      <c r="F16" s="7"/>
      <c r="G16" s="7"/>
      <c r="H16" s="7"/>
      <c r="I16" s="7"/>
      <c r="J16" s="7"/>
    </row>
    <row r="17" spans="1:10" x14ac:dyDescent="0.25">
      <c r="A17" s="27" t="s">
        <v>16</v>
      </c>
      <c r="B17" s="6"/>
      <c r="C17" s="6"/>
      <c r="D17" s="7"/>
      <c r="E17" s="7"/>
      <c r="F17" s="7"/>
      <c r="G17" s="7"/>
      <c r="H17" s="7"/>
      <c r="I17" s="7"/>
      <c r="J17" s="7"/>
    </row>
    <row r="18" spans="1:10" x14ac:dyDescent="0.25">
      <c r="A18" s="27" t="s">
        <v>17</v>
      </c>
      <c r="B18" s="6">
        <f>+'Enc lot 1'!B18</f>
        <v>22105.512000000002</v>
      </c>
      <c r="C18" s="6" t="s">
        <v>18</v>
      </c>
      <c r="D18" s="7">
        <f>D14</f>
        <v>0.38461538461538464</v>
      </c>
      <c r="E18" s="7">
        <f>D18*B18</f>
        <v>8502.1200000000008</v>
      </c>
      <c r="F18" s="7">
        <f>+E18/$B$5</f>
        <v>12.145885714285715</v>
      </c>
      <c r="G18" s="7">
        <f>E18/$G$10</f>
        <v>4.6714945054945058</v>
      </c>
      <c r="H18" s="7">
        <f>+E18/$B$8</f>
        <v>0.73931478260869576</v>
      </c>
      <c r="I18" s="7">
        <f>+E18/$B$3</f>
        <v>7.0851000000000006</v>
      </c>
      <c r="J18" s="7">
        <f>+E18/$B$4</f>
        <v>0.32082261046752958</v>
      </c>
    </row>
    <row r="19" spans="1:10" x14ac:dyDescent="0.25">
      <c r="A19" s="27" t="s">
        <v>72</v>
      </c>
      <c r="B19" s="6">
        <f>+'Enc lot 1'!B19</f>
        <v>1706.3990784</v>
      </c>
      <c r="C19" s="6" t="s">
        <v>18</v>
      </c>
      <c r="D19" s="7">
        <f>D14</f>
        <v>0.38461538461538464</v>
      </c>
      <c r="E19" s="7">
        <f>D19*B19</f>
        <v>656.30733784615393</v>
      </c>
      <c r="F19" s="7">
        <f>+E19/$B$5</f>
        <v>0.93758191120879131</v>
      </c>
      <c r="G19" s="7">
        <f>E19/$G$10</f>
        <v>0.36060842738799664</v>
      </c>
      <c r="H19" s="7">
        <f>+E19/$B$8</f>
        <v>5.7070203290969908E-2</v>
      </c>
      <c r="I19" s="7">
        <f>+E19/$B$3</f>
        <v>0.54692278153846163</v>
      </c>
      <c r="J19" s="7">
        <f>+E19/$B$4</f>
        <v>2.4765380093058901E-2</v>
      </c>
    </row>
    <row r="20" spans="1:10" ht="12" customHeight="1" x14ac:dyDescent="0.25">
      <c r="A20" s="27" t="s">
        <v>19</v>
      </c>
      <c r="B20" s="6">
        <f>+'Enc lot 1'!B20</f>
        <v>8842.2048000000013</v>
      </c>
      <c r="C20" s="6" t="s">
        <v>18</v>
      </c>
      <c r="D20" s="7">
        <f>D14</f>
        <v>0.38461538461538464</v>
      </c>
      <c r="E20" s="7">
        <f>D20*B20</f>
        <v>3400.8480000000009</v>
      </c>
      <c r="F20" s="7">
        <f>+E20/$B$5</f>
        <v>4.8583542857142872</v>
      </c>
      <c r="G20" s="7">
        <f>E20/$G$10</f>
        <v>1.8685978021978027</v>
      </c>
      <c r="H20" s="7">
        <f>+E20/$B$8</f>
        <v>0.29572591304347834</v>
      </c>
      <c r="I20" s="7">
        <f>+E20/$B$3</f>
        <v>2.8340400000000008</v>
      </c>
      <c r="J20" s="7">
        <f>+E20/$B$4</f>
        <v>0.12832904418701185</v>
      </c>
    </row>
    <row r="21" spans="1:10" ht="12" customHeight="1" x14ac:dyDescent="0.25">
      <c r="A21" s="27" t="s">
        <v>54</v>
      </c>
      <c r="B21" s="6">
        <f>+'Enc lot 1'!B21</f>
        <v>32654.115878400007</v>
      </c>
      <c r="C21" s="6" t="s">
        <v>20</v>
      </c>
      <c r="D21" s="14">
        <v>0.1</v>
      </c>
      <c r="E21" s="7">
        <f>D21*B21*D19</f>
        <v>1255.9275337846157</v>
      </c>
      <c r="F21" s="7">
        <f>+E21/$B$5</f>
        <v>1.7941821911208795</v>
      </c>
      <c r="G21" s="7">
        <f>E21/$G$10</f>
        <v>0.69007007350803062</v>
      </c>
      <c r="H21" s="7">
        <f>+E21/$B$8</f>
        <v>0.10921108989431441</v>
      </c>
      <c r="I21" s="7">
        <f>+E21/$B$3</f>
        <v>1.0466062781538463</v>
      </c>
      <c r="J21" s="7">
        <f>+E21/$B$4</f>
        <v>4.7391703474760037E-2</v>
      </c>
    </row>
    <row r="22" spans="1:10" ht="12" customHeight="1" x14ac:dyDescent="0.25">
      <c r="A22" s="27"/>
      <c r="B22" s="6"/>
      <c r="C22" s="6"/>
      <c r="D22" s="14"/>
      <c r="E22" s="7"/>
      <c r="F22" s="7"/>
      <c r="G22" s="7"/>
      <c r="H22" s="7"/>
      <c r="I22" s="7"/>
      <c r="J22" s="7"/>
    </row>
    <row r="23" spans="1:10" ht="12" customHeight="1" x14ac:dyDescent="0.25">
      <c r="A23" s="27" t="s">
        <v>29</v>
      </c>
      <c r="B23" s="6"/>
      <c r="C23" s="6"/>
      <c r="D23" s="7"/>
      <c r="E23" s="7"/>
      <c r="F23" s="7"/>
      <c r="G23" s="7"/>
      <c r="H23" s="7"/>
      <c r="I23" s="7"/>
      <c r="J23" s="7"/>
    </row>
    <row r="24" spans="1:10" ht="12" customHeight="1" x14ac:dyDescent="0.25">
      <c r="A24" s="27" t="s">
        <v>30</v>
      </c>
      <c r="B24" s="6">
        <v>350</v>
      </c>
      <c r="C24" s="6" t="s">
        <v>18</v>
      </c>
      <c r="D24" s="7">
        <f>D20</f>
        <v>0.38461538461538464</v>
      </c>
      <c r="E24" s="7">
        <f>D24*B24</f>
        <v>134.61538461538461</v>
      </c>
      <c r="F24" s="7">
        <f>+E24/$B$5</f>
        <v>0.19230769230769232</v>
      </c>
      <c r="G24" s="7">
        <f>E24/$G$10</f>
        <v>7.3964497041420121E-2</v>
      </c>
      <c r="H24" s="7">
        <f>+E24/$B$8</f>
        <v>1.1705685618729096E-2</v>
      </c>
      <c r="I24" s="7">
        <f>+E24/$B$3</f>
        <v>0.11217948717948718</v>
      </c>
      <c r="J24" s="7">
        <f>+E24/$B$4</f>
        <v>5.0796341502352595E-3</v>
      </c>
    </row>
    <row r="25" spans="1:10" ht="12" customHeight="1" x14ac:dyDescent="0.25">
      <c r="A25" s="27" t="s">
        <v>31</v>
      </c>
      <c r="B25" s="6">
        <f>15*12</f>
        <v>180</v>
      </c>
      <c r="C25" s="6" t="s">
        <v>18</v>
      </c>
      <c r="D25" s="7">
        <f>D19</f>
        <v>0.38461538461538464</v>
      </c>
      <c r="E25" s="7">
        <f>D25*B25</f>
        <v>69.230769230769241</v>
      </c>
      <c r="F25" s="7">
        <f>+E25/$B$5</f>
        <v>9.8901098901098911E-2</v>
      </c>
      <c r="G25" s="7">
        <f>E25/$G$10</f>
        <v>3.8038884192730354E-2</v>
      </c>
      <c r="H25" s="7">
        <f>+E25/$B$8</f>
        <v>6.0200668896321077E-3</v>
      </c>
      <c r="I25" s="7">
        <f>+E25/$B$3</f>
        <v>5.7692307692307702E-2</v>
      </c>
      <c r="J25" s="7">
        <f>+E25/$B$4</f>
        <v>2.612383277263848E-3</v>
      </c>
    </row>
    <row r="26" spans="1:10" ht="12" customHeight="1" x14ac:dyDescent="0.25">
      <c r="A26" s="27"/>
      <c r="B26" s="6"/>
      <c r="C26" s="6"/>
      <c r="D26" s="7"/>
      <c r="E26" s="7"/>
      <c r="F26" s="7"/>
      <c r="G26" s="7"/>
      <c r="H26" s="7"/>
      <c r="I26" s="7"/>
      <c r="J26" s="7"/>
    </row>
    <row r="27" spans="1:10" ht="12" customHeight="1" x14ac:dyDescent="0.25">
      <c r="A27" s="27" t="s">
        <v>45</v>
      </c>
      <c r="B27" s="6"/>
      <c r="C27" s="6"/>
      <c r="D27" s="7"/>
      <c r="E27" s="7"/>
      <c r="F27" s="7"/>
      <c r="G27" s="7"/>
      <c r="H27" s="7"/>
      <c r="I27" s="7"/>
      <c r="J27" s="7"/>
    </row>
    <row r="28" spans="1:10" ht="12" customHeight="1" x14ac:dyDescent="0.25">
      <c r="A28" s="27" t="s">
        <v>17</v>
      </c>
      <c r="B28" s="6">
        <f>+'Enc lot 1'!B28</f>
        <v>21329.879999999997</v>
      </c>
      <c r="C28" s="6" t="s">
        <v>18</v>
      </c>
      <c r="D28" s="7">
        <f>C7</f>
        <v>0.38461538461538464</v>
      </c>
      <c r="E28" s="7">
        <f>D28*B28</f>
        <v>8203.7999999999993</v>
      </c>
      <c r="F28" s="7">
        <f>+E28/$B$5</f>
        <v>11.719714285714284</v>
      </c>
      <c r="G28" s="7">
        <f>E28/$G$10</f>
        <v>4.5075824175824168</v>
      </c>
      <c r="H28" s="7">
        <f>+E28/$B$8</f>
        <v>0.71337391304347819</v>
      </c>
      <c r="I28" s="7">
        <f>+E28/$B$3</f>
        <v>6.8364999999999991</v>
      </c>
      <c r="J28" s="7">
        <f>+E28/$B$4</f>
        <v>0.30956567676691443</v>
      </c>
    </row>
    <row r="29" spans="1:10" ht="12" customHeight="1" x14ac:dyDescent="0.25">
      <c r="A29" s="27" t="s">
        <v>72</v>
      </c>
      <c r="B29" s="6">
        <f>+'Enc lot 1'!B29</f>
        <v>1706.3990784</v>
      </c>
      <c r="C29" s="6" t="s">
        <v>18</v>
      </c>
      <c r="D29" s="7">
        <f>D28</f>
        <v>0.38461538461538464</v>
      </c>
      <c r="E29" s="7">
        <f>D29*B29</f>
        <v>656.30733784615393</v>
      </c>
      <c r="F29" s="7">
        <f>+E29/$B$5</f>
        <v>0.93758191120879131</v>
      </c>
      <c r="G29" s="7">
        <f>E29/$G$10</f>
        <v>0.36060842738799664</v>
      </c>
      <c r="H29" s="7">
        <f>+E29/$B$8</f>
        <v>5.7070203290969908E-2</v>
      </c>
      <c r="I29" s="7">
        <f>+E29/$B$3</f>
        <v>0.54692278153846163</v>
      </c>
      <c r="J29" s="7">
        <f>+E29/$B$4</f>
        <v>2.4765380093058901E-2</v>
      </c>
    </row>
    <row r="30" spans="1:10" ht="12" customHeight="1" x14ac:dyDescent="0.25">
      <c r="A30" s="27" t="s">
        <v>19</v>
      </c>
      <c r="B30" s="6">
        <f>+'Enc lot 1'!B30</f>
        <v>8531.9519999999993</v>
      </c>
      <c r="C30" s="6" t="s">
        <v>18</v>
      </c>
      <c r="D30" s="7">
        <f>D29</f>
        <v>0.38461538461538464</v>
      </c>
      <c r="E30" s="7">
        <f>D30*B30</f>
        <v>3281.52</v>
      </c>
      <c r="F30" s="7">
        <f>E30/$B$5</f>
        <v>4.6878857142857147</v>
      </c>
      <c r="G30" s="7">
        <f>E30/$G$10</f>
        <v>1.803032967032967</v>
      </c>
      <c r="H30" s="7">
        <f>+E30/$B$8</f>
        <v>0.2853495652173913</v>
      </c>
      <c r="I30" s="7">
        <f>+E30/$B$3</f>
        <v>2.7345999999999999</v>
      </c>
      <c r="J30" s="7">
        <f>+E30/$B$4</f>
        <v>0.12382627070676579</v>
      </c>
    </row>
    <row r="31" spans="1:10" ht="12" customHeight="1" x14ac:dyDescent="0.25">
      <c r="A31" s="27" t="s">
        <v>54</v>
      </c>
      <c r="B31" s="6">
        <f>+'Enc lot 1'!B31</f>
        <v>31568.2310784</v>
      </c>
      <c r="C31" s="6" t="s">
        <v>20</v>
      </c>
      <c r="D31" s="14">
        <v>0.1</v>
      </c>
      <c r="E31" s="7">
        <f>D31*B31*D29</f>
        <v>1214.1627337846155</v>
      </c>
      <c r="F31" s="7">
        <f>E31/$B$5</f>
        <v>1.7345181911208793</v>
      </c>
      <c r="G31" s="7">
        <f>E31/$G$10</f>
        <v>0.66712238120033818</v>
      </c>
      <c r="H31" s="7">
        <f>+E31/$B$8</f>
        <v>0.10557936815518396</v>
      </c>
      <c r="I31" s="7">
        <f>+E31/$B$3</f>
        <v>1.0118022781538463</v>
      </c>
      <c r="J31" s="7">
        <f>+E31/$B$4</f>
        <v>4.5815732756673916E-2</v>
      </c>
    </row>
    <row r="32" spans="1:10" ht="12" customHeight="1" x14ac:dyDescent="0.25">
      <c r="A32" s="27"/>
      <c r="B32" s="6"/>
      <c r="C32" s="6"/>
      <c r="D32" s="14"/>
      <c r="E32" s="7"/>
      <c r="F32" s="7"/>
      <c r="G32" s="7"/>
      <c r="H32" s="7"/>
      <c r="I32" s="7"/>
      <c r="J32" s="7"/>
    </row>
    <row r="33" spans="1:14" ht="12" customHeight="1" x14ac:dyDescent="0.25">
      <c r="A33" s="27" t="s">
        <v>29</v>
      </c>
      <c r="B33" s="6"/>
      <c r="C33" s="6"/>
      <c r="D33" s="7"/>
      <c r="E33" s="7"/>
      <c r="F33" s="7"/>
      <c r="G33" s="7"/>
      <c r="H33" s="7"/>
      <c r="I33" s="7"/>
      <c r="J33" s="7"/>
    </row>
    <row r="34" spans="1:14" ht="12" customHeight="1" x14ac:dyDescent="0.25">
      <c r="A34" s="27" t="s">
        <v>30</v>
      </c>
      <c r="B34" s="6">
        <f>B24</f>
        <v>350</v>
      </c>
      <c r="C34" s="6" t="s">
        <v>18</v>
      </c>
      <c r="D34" s="7">
        <f>D30</f>
        <v>0.38461538461538464</v>
      </c>
      <c r="E34" s="7">
        <f>D34*B34</f>
        <v>134.61538461538461</v>
      </c>
      <c r="F34" s="7">
        <f>E34/$B$5</f>
        <v>0.19230769230769232</v>
      </c>
      <c r="G34" s="7">
        <f>E34/$G$10</f>
        <v>7.3964497041420121E-2</v>
      </c>
      <c r="H34" s="7">
        <f>+E34/$B$8</f>
        <v>1.1705685618729096E-2</v>
      </c>
      <c r="I34" s="7">
        <f>+E34/$B$3</f>
        <v>0.11217948717948718</v>
      </c>
      <c r="J34" s="7">
        <f>+E34/$B$4</f>
        <v>5.0796341502352595E-3</v>
      </c>
    </row>
    <row r="35" spans="1:14" ht="12" customHeight="1" thickBot="1" x14ac:dyDescent="0.3">
      <c r="A35" s="27" t="s">
        <v>31</v>
      </c>
      <c r="B35" s="6"/>
      <c r="C35" s="6" t="s">
        <v>18</v>
      </c>
      <c r="D35" s="7">
        <f>D29</f>
        <v>0.38461538461538464</v>
      </c>
      <c r="E35" s="7">
        <f>D35*B35</f>
        <v>0</v>
      </c>
      <c r="F35" s="7">
        <f>+E35/$B$5</f>
        <v>0</v>
      </c>
      <c r="G35" s="7">
        <f>E35/$G$10</f>
        <v>0</v>
      </c>
      <c r="H35" s="7">
        <f>+E35/$B$8</f>
        <v>0</v>
      </c>
      <c r="I35" s="7">
        <f>+E35/$B$3</f>
        <v>0</v>
      </c>
      <c r="J35" s="7">
        <f>+F35/$B$3</f>
        <v>0</v>
      </c>
    </row>
    <row r="36" spans="1:14" ht="13.8" thickBot="1" x14ac:dyDescent="0.3">
      <c r="A36" s="198" t="s">
        <v>52</v>
      </c>
      <c r="B36" s="199"/>
      <c r="C36" s="199"/>
      <c r="D36" s="199"/>
      <c r="E36" s="15">
        <f t="shared" ref="E36:J36" si="1">SUM(E16:E35)</f>
        <v>27509.454481723078</v>
      </c>
      <c r="F36" s="15">
        <f t="shared" si="1"/>
        <v>39.299220688175822</v>
      </c>
      <c r="G36" s="15">
        <f t="shared" si="1"/>
        <v>15.115084880067624</v>
      </c>
      <c r="H36" s="15">
        <f t="shared" si="1"/>
        <v>2.3921264766715722</v>
      </c>
      <c r="I36" s="15">
        <f t="shared" si="1"/>
        <v>22.9245454014359</v>
      </c>
      <c r="J36" s="15">
        <f t="shared" si="1"/>
        <v>1.0380534501235077</v>
      </c>
    </row>
    <row r="37" spans="1:14" x14ac:dyDescent="0.25">
      <c r="A37" s="33" t="s">
        <v>21</v>
      </c>
      <c r="B37" s="6"/>
      <c r="C37" s="6"/>
      <c r="D37" s="7"/>
      <c r="E37" s="7"/>
      <c r="F37" s="7"/>
      <c r="G37" s="7"/>
      <c r="H37" s="7"/>
      <c r="I37" s="7"/>
      <c r="J37" s="7"/>
    </row>
    <row r="38" spans="1:14" x14ac:dyDescent="0.25">
      <c r="A38" s="27" t="s">
        <v>22</v>
      </c>
      <c r="B38" s="6">
        <v>5000</v>
      </c>
      <c r="C38" s="6" t="s">
        <v>23</v>
      </c>
      <c r="D38" s="7">
        <f>C5</f>
        <v>0.38461538461538464</v>
      </c>
      <c r="E38" s="7">
        <f>D38*B38</f>
        <v>1923.0769230769231</v>
      </c>
      <c r="F38" s="7">
        <f>E38/$B$5</f>
        <v>2.7472527472527473</v>
      </c>
      <c r="G38" s="7">
        <f>E38/$G$10</f>
        <v>1.0566356720202874</v>
      </c>
      <c r="H38" s="7">
        <f>+E38/$B$8</f>
        <v>0.16722408026755853</v>
      </c>
      <c r="I38" s="7">
        <f>+E38/$B$3</f>
        <v>1.6025641025641026</v>
      </c>
      <c r="J38" s="7">
        <f>+E38/$B$4</f>
        <v>7.2566202146217992E-2</v>
      </c>
    </row>
    <row r="39" spans="1:14" x14ac:dyDescent="0.25">
      <c r="A39" s="27" t="s">
        <v>24</v>
      </c>
      <c r="B39" s="6">
        <v>1</v>
      </c>
      <c r="C39" s="6" t="s">
        <v>25</v>
      </c>
      <c r="D39" s="7">
        <f>55*B8/100</f>
        <v>6325</v>
      </c>
      <c r="E39" s="7">
        <f>D39*B39</f>
        <v>6325</v>
      </c>
      <c r="F39" s="7">
        <f>E39/$B$5</f>
        <v>9.0357142857142865</v>
      </c>
      <c r="G39" s="7">
        <f>E39/$G$10</f>
        <v>3.4752747252747254</v>
      </c>
      <c r="H39" s="7">
        <f>+E39/$B$8</f>
        <v>0.55000000000000004</v>
      </c>
      <c r="I39" s="7">
        <f>+E39/$B$3</f>
        <v>5.270833333333333</v>
      </c>
      <c r="J39" s="7">
        <f>+E39/$B$4</f>
        <v>0.23867023885891098</v>
      </c>
    </row>
    <row r="40" spans="1:14" x14ac:dyDescent="0.25">
      <c r="A40" s="27" t="s">
        <v>26</v>
      </c>
      <c r="B40" s="6">
        <f>D39</f>
        <v>6325</v>
      </c>
      <c r="C40" s="6" t="s">
        <v>20</v>
      </c>
      <c r="D40" s="14">
        <v>0.1</v>
      </c>
      <c r="E40" s="7">
        <f>D40*B40</f>
        <v>632.5</v>
      </c>
      <c r="F40" s="7">
        <f>E40/$B$5</f>
        <v>0.90357142857142858</v>
      </c>
      <c r="G40" s="7">
        <f>E40/$G$10</f>
        <v>0.34752747252747251</v>
      </c>
      <c r="H40" s="7">
        <f>+E40/$B$8</f>
        <v>5.5E-2</v>
      </c>
      <c r="I40" s="7">
        <f>+E40/$B$3</f>
        <v>0.52708333333333335</v>
      </c>
      <c r="J40" s="7">
        <f>+E40/$B$4</f>
        <v>2.3867023885891098E-2</v>
      </c>
      <c r="L40">
        <f>170+62</f>
        <v>232</v>
      </c>
    </row>
    <row r="41" spans="1:14" ht="20.399999999999999" x14ac:dyDescent="0.25">
      <c r="A41" s="27" t="s">
        <v>27</v>
      </c>
      <c r="B41" s="6">
        <v>0.1</v>
      </c>
      <c r="C41" s="6" t="s">
        <v>0</v>
      </c>
      <c r="D41" s="37">
        <f>B8</f>
        <v>11500</v>
      </c>
      <c r="E41" s="7">
        <f>D41*B41</f>
        <v>1150</v>
      </c>
      <c r="F41" s="7">
        <f>E41/$B$5</f>
        <v>1.6428571428571428</v>
      </c>
      <c r="G41" s="7">
        <f>E41/$G$10</f>
        <v>0.63186813186813184</v>
      </c>
      <c r="H41" s="7">
        <f>+E41/$B$8</f>
        <v>0.1</v>
      </c>
      <c r="I41" s="7">
        <f>+E41/$B$3</f>
        <v>0.95833333333333337</v>
      </c>
      <c r="J41" s="7">
        <f>+E41/$B$4</f>
        <v>4.3394588883438362E-2</v>
      </c>
    </row>
    <row r="42" spans="1:14" ht="13.8" thickBot="1" x14ac:dyDescent="0.3">
      <c r="A42" s="27" t="s">
        <v>28</v>
      </c>
      <c r="B42" s="6">
        <v>900</v>
      </c>
      <c r="C42" s="6" t="s">
        <v>23</v>
      </c>
      <c r="D42" s="7">
        <f>D19</f>
        <v>0.38461538461538464</v>
      </c>
      <c r="E42" s="7">
        <f>D42*B42</f>
        <v>346.15384615384619</v>
      </c>
      <c r="F42" s="7">
        <f>E42/$B$5</f>
        <v>0.49450549450549458</v>
      </c>
      <c r="G42" s="7">
        <f>E42/$G$10</f>
        <v>0.19019442096365174</v>
      </c>
      <c r="H42" s="7">
        <f>+E42/$B$8</f>
        <v>3.0100334448160539E-2</v>
      </c>
      <c r="I42" s="7">
        <f>+E42/$B$3</f>
        <v>0.28846153846153849</v>
      </c>
      <c r="J42" s="7">
        <f>+E42/$B$4</f>
        <v>1.306191638631924E-2</v>
      </c>
    </row>
    <row r="43" spans="1:14" ht="13.8" thickBot="1" x14ac:dyDescent="0.3">
      <c r="A43" s="198" t="s">
        <v>56</v>
      </c>
      <c r="B43" s="199"/>
      <c r="C43" s="199"/>
      <c r="D43" s="199"/>
      <c r="E43" s="15">
        <f>SUM(E38:E42)</f>
        <v>10376.73076923077</v>
      </c>
      <c r="F43" s="16">
        <f>SUM(F37:F42)</f>
        <v>14.823901098901098</v>
      </c>
      <c r="G43" s="16">
        <f>SUM(G16:G42)</f>
        <v>35.931670182789517</v>
      </c>
      <c r="H43" s="16">
        <f>SUM(H37:H42)</f>
        <v>0.90232441471571911</v>
      </c>
      <c r="I43" s="16">
        <f>SUM(I37:I42)</f>
        <v>8.6472756410256419</v>
      </c>
      <c r="J43" s="16">
        <f>SUM(J37:J42)</f>
        <v>0.3915599701607777</v>
      </c>
      <c r="L43" s="26"/>
    </row>
    <row r="44" spans="1:14" x14ac:dyDescent="0.25">
      <c r="A44" s="32" t="s">
        <v>32</v>
      </c>
      <c r="B44" s="6"/>
      <c r="C44" s="6"/>
      <c r="D44" s="7"/>
      <c r="E44" s="7"/>
      <c r="F44" s="7"/>
      <c r="G44" s="7"/>
      <c r="H44" s="7"/>
      <c r="I44" s="7"/>
      <c r="J44" s="7"/>
    </row>
    <row r="45" spans="1:14" x14ac:dyDescent="0.25">
      <c r="A45" s="8" t="s">
        <v>33</v>
      </c>
      <c r="B45" s="6">
        <v>50000</v>
      </c>
      <c r="C45" s="6" t="s">
        <v>20</v>
      </c>
      <c r="D45" s="14">
        <v>0.03</v>
      </c>
      <c r="E45" s="7">
        <f>D45*B45</f>
        <v>1500</v>
      </c>
      <c r="F45" s="7">
        <f>E45/$B$5</f>
        <v>2.1428571428571428</v>
      </c>
      <c r="G45" s="7">
        <f>E45/$G$10</f>
        <v>0.82417582417582413</v>
      </c>
      <c r="H45" s="7">
        <f>+E45/$B$8</f>
        <v>0.13043478260869565</v>
      </c>
      <c r="I45" s="7">
        <f t="shared" ref="I45:I51" si="2">+E45/$B$3</f>
        <v>1.25</v>
      </c>
      <c r="J45" s="7">
        <f>+E45/$B$4</f>
        <v>5.6601637674050034E-2</v>
      </c>
    </row>
    <row r="46" spans="1:14" x14ac:dyDescent="0.25">
      <c r="A46" s="8" t="s">
        <v>34</v>
      </c>
      <c r="B46" s="7">
        <f>E43+E36+E15</f>
        <v>45328.910525679123</v>
      </c>
      <c r="C46" s="6" t="s">
        <v>20</v>
      </c>
      <c r="D46" s="14">
        <v>0.03</v>
      </c>
      <c r="E46" s="7">
        <f>(E43+E36+E15)*D46</f>
        <v>1359.8673157703736</v>
      </c>
      <c r="F46" s="7">
        <f>E46/$B$5</f>
        <v>1.9426675939576765</v>
      </c>
      <c r="G46" s="7">
        <f>E46/$G$10</f>
        <v>0.74717984382987557</v>
      </c>
      <c r="H46" s="7">
        <f>+E46/$B$8</f>
        <v>0.11824933180611945</v>
      </c>
      <c r="I46" s="7">
        <f t="shared" si="2"/>
        <v>1.133222763141978</v>
      </c>
      <c r="J46" s="7">
        <f>+E46/$B$4</f>
        <v>5.131381139467845E-2</v>
      </c>
    </row>
    <row r="47" spans="1:14" ht="13.8" thickBot="1" x14ac:dyDescent="0.3">
      <c r="A47" s="8" t="s">
        <v>35</v>
      </c>
      <c r="B47" s="6">
        <f>E43+E36+E15</f>
        <v>45328.910525679123</v>
      </c>
      <c r="C47" s="6" t="s">
        <v>20</v>
      </c>
      <c r="D47" s="14">
        <v>0.05</v>
      </c>
      <c r="E47" s="7">
        <f>D47*B47</f>
        <v>2266.445526283956</v>
      </c>
      <c r="F47" s="7">
        <f>E47/$B$5</f>
        <v>3.2377793232627945</v>
      </c>
      <c r="G47" s="7"/>
      <c r="H47" s="7">
        <f>+E47/'[1]Temps de transports'!$E$46</f>
        <v>5.3398490394024035E-2</v>
      </c>
      <c r="I47" s="7">
        <f t="shared" si="2"/>
        <v>1.8887046052366301</v>
      </c>
      <c r="J47" s="7">
        <f>+E47/$B$4</f>
        <v>8.5523018991130753E-2</v>
      </c>
      <c r="M47" s="56"/>
      <c r="N47" s="57"/>
    </row>
    <row r="48" spans="1:14" ht="13.8" hidden="1" thickBot="1" x14ac:dyDescent="0.3">
      <c r="A48" s="27" t="s">
        <v>36</v>
      </c>
      <c r="B48" s="6"/>
      <c r="C48" s="6"/>
      <c r="D48" s="14"/>
      <c r="E48" s="7">
        <f>D48*B48</f>
        <v>0</v>
      </c>
      <c r="F48" s="7">
        <f>+E48/$B$5</f>
        <v>0</v>
      </c>
      <c r="G48" s="7">
        <f>E48/$G$10</f>
        <v>0</v>
      </c>
      <c r="H48" s="7">
        <f>+E48/$B$8</f>
        <v>0</v>
      </c>
      <c r="I48" s="7">
        <f t="shared" si="2"/>
        <v>0</v>
      </c>
      <c r="J48" s="7" t="e">
        <f>+E48/#REF!</f>
        <v>#REF!</v>
      </c>
    </row>
    <row r="49" spans="1:10" ht="13.8" hidden="1" thickBot="1" x14ac:dyDescent="0.3">
      <c r="A49" s="27" t="s">
        <v>37</v>
      </c>
      <c r="B49" s="6"/>
      <c r="C49" s="6"/>
      <c r="D49" s="14"/>
      <c r="E49" s="7">
        <f>D49*B49</f>
        <v>0</v>
      </c>
      <c r="F49" s="7">
        <f>+E49/$B$5</f>
        <v>0</v>
      </c>
      <c r="G49" s="7">
        <f>E49/$G$10</f>
        <v>0</v>
      </c>
      <c r="H49" s="7">
        <f>+E49/$B$8</f>
        <v>0</v>
      </c>
      <c r="I49" s="7">
        <f t="shared" si="2"/>
        <v>0</v>
      </c>
      <c r="J49" s="7" t="e">
        <f>+E49/#REF!</f>
        <v>#REF!</v>
      </c>
    </row>
    <row r="50" spans="1:10" ht="13.8" hidden="1" thickBot="1" x14ac:dyDescent="0.3">
      <c r="A50" s="27" t="s">
        <v>38</v>
      </c>
      <c r="B50" s="6"/>
      <c r="C50" s="6"/>
      <c r="D50" s="14"/>
      <c r="E50" s="7">
        <f>D50*B50</f>
        <v>0</v>
      </c>
      <c r="F50" s="7">
        <f>+E50/$B$5</f>
        <v>0</v>
      </c>
      <c r="G50" s="7">
        <f>E50/$G$10</f>
        <v>0</v>
      </c>
      <c r="H50" s="7">
        <f>+E50/$B$8</f>
        <v>0</v>
      </c>
      <c r="I50" s="7">
        <f t="shared" si="2"/>
        <v>0</v>
      </c>
      <c r="J50" s="7" t="e">
        <f>+E50/#REF!</f>
        <v>#REF!</v>
      </c>
    </row>
    <row r="51" spans="1:10" ht="13.8" hidden="1" thickBot="1" x14ac:dyDescent="0.3">
      <c r="A51" s="35" t="s">
        <v>39</v>
      </c>
      <c r="B51" s="17"/>
      <c r="C51" s="17"/>
      <c r="D51" s="18"/>
      <c r="E51" s="7">
        <f>D51*B51</f>
        <v>0</v>
      </c>
      <c r="F51" s="7">
        <f>+E51/$B$5</f>
        <v>0</v>
      </c>
      <c r="G51" s="7">
        <f>E51/$G$10</f>
        <v>0</v>
      </c>
      <c r="H51" s="7">
        <f>+E51/$B$8</f>
        <v>0</v>
      </c>
      <c r="I51" s="7">
        <f t="shared" si="2"/>
        <v>0</v>
      </c>
      <c r="J51" s="7" t="e">
        <f>+E51/#REF!</f>
        <v>#REF!</v>
      </c>
    </row>
    <row r="52" spans="1:10" ht="13.8" thickBot="1" x14ac:dyDescent="0.3">
      <c r="A52" s="201" t="s">
        <v>40</v>
      </c>
      <c r="B52" s="202"/>
      <c r="C52" s="202"/>
      <c r="D52" s="202"/>
      <c r="E52" s="15">
        <f>SUM(E44:E51)</f>
        <v>5126.3128420543289</v>
      </c>
      <c r="F52" s="16">
        <f>SUM(F44:F51)</f>
        <v>7.3233040600776143</v>
      </c>
      <c r="G52" s="16">
        <f>SUM(G44:G51)</f>
        <v>1.5713556680056997</v>
      </c>
      <c r="H52" s="16">
        <f>SUM(H44:H51)</f>
        <v>0.30208260480883914</v>
      </c>
      <c r="I52" s="16">
        <f>SUM(I44:I51)</f>
        <v>4.2719273683786083</v>
      </c>
      <c r="J52" s="16">
        <f>SUM(J44:J47)</f>
        <v>0.19343846805985926</v>
      </c>
    </row>
    <row r="53" spans="1:10" ht="13.8" thickBot="1" x14ac:dyDescent="0.3">
      <c r="A53" s="203" t="s">
        <v>41</v>
      </c>
      <c r="B53" s="204"/>
      <c r="C53" s="204"/>
      <c r="D53" s="205"/>
      <c r="E53" s="19">
        <f>E52+E43+E15+E36</f>
        <v>50455.223367733452</v>
      </c>
      <c r="F53" s="19">
        <f>F52+F43+F15+F36</f>
        <v>72.078890525333492</v>
      </c>
      <c r="G53" s="19">
        <f>G52+G43+G15</f>
        <v>41.59243534240251</v>
      </c>
      <c r="H53" s="19">
        <f>H52+H43+H15+H36</f>
        <v>4.2437269983461547</v>
      </c>
      <c r="I53" s="19">
        <f>I52+I43+I15+I36</f>
        <v>42.046019473111215</v>
      </c>
      <c r="J53" s="19">
        <f>J52+J43+J15+J36</f>
        <v>1.9038988478824743</v>
      </c>
    </row>
    <row r="54" spans="1:10" x14ac:dyDescent="0.25">
      <c r="A54" s="8" t="s">
        <v>42</v>
      </c>
      <c r="B54" s="6">
        <f>E53</f>
        <v>50455.223367733452</v>
      </c>
      <c r="C54" s="6" t="s">
        <v>20</v>
      </c>
      <c r="D54" s="14">
        <v>0.19</v>
      </c>
      <c r="E54" s="7">
        <f>D54*B54</f>
        <v>9586.4924398693565</v>
      </c>
      <c r="F54" s="7">
        <f>E54/$B$5</f>
        <v>13.694989199813367</v>
      </c>
      <c r="G54" s="7">
        <f>E54/$G$10</f>
        <v>5.267303538389756</v>
      </c>
      <c r="H54" s="7">
        <f>+E54/'[1]Temps de transports'!$E$46</f>
        <v>0.22586213457424739</v>
      </c>
      <c r="I54" s="7">
        <f>+E54/$B$3</f>
        <v>7.9887436998911303</v>
      </c>
      <c r="J54" s="7">
        <f>+E54/$B$4</f>
        <v>0.36174078109767016</v>
      </c>
    </row>
    <row r="55" spans="1:10" ht="13.8" thickBot="1" x14ac:dyDescent="0.3">
      <c r="A55" s="20" t="s">
        <v>43</v>
      </c>
      <c r="B55" s="21">
        <f>B54</f>
        <v>50455.223367733452</v>
      </c>
      <c r="C55" s="21" t="s">
        <v>20</v>
      </c>
      <c r="D55" s="22">
        <v>0.01</v>
      </c>
      <c r="E55" s="23">
        <f>D55*B55</f>
        <v>504.55223367733453</v>
      </c>
      <c r="F55" s="23">
        <f>E55/$B$5</f>
        <v>0.72078890525333505</v>
      </c>
      <c r="G55" s="7">
        <f>E55/$G$10</f>
        <v>0.27722650202051347</v>
      </c>
      <c r="H55" s="23">
        <f>+E55/'[1]Temps de transports'!$E$46</f>
        <v>1.1887480767065651E-2</v>
      </c>
      <c r="I55" s="23">
        <f>+E55/$B$3</f>
        <v>0.42046019473111212</v>
      </c>
      <c r="J55" s="23">
        <f>+E55/$B$4</f>
        <v>1.9038988478824743E-2</v>
      </c>
    </row>
    <row r="56" spans="1:10" ht="13.8" thickBot="1" x14ac:dyDescent="0.3">
      <c r="A56" s="195" t="s">
        <v>44</v>
      </c>
      <c r="B56" s="196"/>
      <c r="C56" s="196"/>
      <c r="D56" s="197"/>
      <c r="E56" s="24">
        <f t="shared" ref="E56:J56" si="3">E53+E54+E55</f>
        <v>60546.268041280142</v>
      </c>
      <c r="F56" s="24">
        <f t="shared" si="3"/>
        <v>86.494668630400184</v>
      </c>
      <c r="G56" s="24">
        <f t="shared" si="3"/>
        <v>47.136965382812775</v>
      </c>
      <c r="H56" s="24">
        <f>H53+H54+H55</f>
        <v>4.4814766136874677</v>
      </c>
      <c r="I56" s="24">
        <f t="shared" si="3"/>
        <v>50.45522336773346</v>
      </c>
      <c r="J56" s="24">
        <f t="shared" si="3"/>
        <v>2.2846786174589693</v>
      </c>
    </row>
  </sheetData>
  <mergeCells count="7">
    <mergeCell ref="A56:D56"/>
    <mergeCell ref="A1:J1"/>
    <mergeCell ref="A15:D15"/>
    <mergeCell ref="A36:D36"/>
    <mergeCell ref="A43:D43"/>
    <mergeCell ref="A52:D52"/>
    <mergeCell ref="A53:D53"/>
  </mergeCells>
  <printOptions horizontalCentered="1"/>
  <pageMargins left="0.23622047244094491" right="0.23622047244094491" top="0.43307086614173229" bottom="0.3" header="0.23622047244094491" footer="0.19"/>
  <pageSetup paperSize="9" scale="72" orientation="portrait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N56"/>
  <sheetViews>
    <sheetView workbookViewId="0">
      <selection activeCell="K2" sqref="K2"/>
    </sheetView>
  </sheetViews>
  <sheetFormatPr baseColWidth="10" defaultRowHeight="13.2" x14ac:dyDescent="0.25"/>
  <cols>
    <col min="1" max="1" width="32.33203125" customWidth="1"/>
    <col min="2" max="2" width="12.88671875" style="51" bestFit="1" customWidth="1"/>
    <col min="3" max="3" width="8" bestFit="1" customWidth="1"/>
    <col min="4" max="4" width="9.6640625" bestFit="1" customWidth="1"/>
    <col min="5" max="5" width="10.88671875" bestFit="1" customWidth="1"/>
    <col min="6" max="6" width="9.6640625" bestFit="1" customWidth="1"/>
    <col min="7" max="7" width="9.6640625" hidden="1" customWidth="1"/>
    <col min="8" max="10" width="9.88671875" bestFit="1" customWidth="1"/>
    <col min="12" max="12" width="12.88671875" bestFit="1" customWidth="1"/>
  </cols>
  <sheetData>
    <row r="1" spans="1:10" ht="18" thickBot="1" x14ac:dyDescent="0.35">
      <c r="A1" s="192" t="s">
        <v>121</v>
      </c>
      <c r="B1" s="193"/>
      <c r="C1" s="193"/>
      <c r="D1" s="193"/>
      <c r="E1" s="193"/>
      <c r="F1" s="193"/>
      <c r="G1" s="193"/>
      <c r="H1" s="193"/>
      <c r="I1" s="193"/>
      <c r="J1" s="194"/>
    </row>
    <row r="2" spans="1:10" ht="13.8" thickBot="1" x14ac:dyDescent="0.3">
      <c r="A2" s="25"/>
      <c r="B2" s="50"/>
      <c r="C2" s="25"/>
      <c r="D2" s="25"/>
      <c r="E2" s="25"/>
      <c r="F2" s="25"/>
      <c r="G2" s="25"/>
      <c r="H2" s="25"/>
      <c r="I2" s="25"/>
      <c r="J2" s="25"/>
    </row>
    <row r="3" spans="1:10" x14ac:dyDescent="0.25">
      <c r="A3" s="38" t="s">
        <v>46</v>
      </c>
      <c r="B3" s="39">
        <f>'données de base CCCL'!B7</f>
        <v>5400</v>
      </c>
      <c r="C3" s="40"/>
      <c r="D3" s="41"/>
      <c r="E3" s="25"/>
      <c r="F3" s="25"/>
      <c r="G3" s="25"/>
      <c r="H3" s="25"/>
      <c r="I3" s="25"/>
      <c r="J3" s="25"/>
    </row>
    <row r="4" spans="1:10" x14ac:dyDescent="0.25">
      <c r="A4" s="42" t="s">
        <v>1</v>
      </c>
      <c r="B4" s="55">
        <f>'données de base CCCL'!C7</f>
        <v>38314</v>
      </c>
      <c r="C4" s="44"/>
      <c r="D4" s="45"/>
    </row>
    <row r="5" spans="1:10" x14ac:dyDescent="0.25">
      <c r="A5" s="42" t="s">
        <v>47</v>
      </c>
      <c r="B5" s="43">
        <f>C5*1820</f>
        <v>3150</v>
      </c>
      <c r="C5" s="44">
        <f>'ratio de collecte Encombrants'!G57</f>
        <v>1.7307692307692308</v>
      </c>
      <c r="D5" s="45" t="s">
        <v>51</v>
      </c>
    </row>
    <row r="6" spans="1:10" x14ac:dyDescent="0.25">
      <c r="A6" s="42" t="s">
        <v>48</v>
      </c>
      <c r="B6" s="43">
        <f>B5</f>
        <v>3150</v>
      </c>
      <c r="C6" s="44">
        <f>C5</f>
        <v>1.7307692307692308</v>
      </c>
      <c r="D6" s="45" t="s">
        <v>51</v>
      </c>
    </row>
    <row r="7" spans="1:10" x14ac:dyDescent="0.25">
      <c r="A7" s="42" t="s">
        <v>49</v>
      </c>
      <c r="B7" s="43">
        <f>B6*1</f>
        <v>3150</v>
      </c>
      <c r="C7" s="44">
        <f>C6*1</f>
        <v>1.7307692307692308</v>
      </c>
      <c r="D7" s="45" t="s">
        <v>51</v>
      </c>
    </row>
    <row r="8" spans="1:10" ht="13.8" thickBot="1" x14ac:dyDescent="0.3">
      <c r="A8" s="46" t="s">
        <v>50</v>
      </c>
      <c r="B8" s="47">
        <f>'ratio de collecte Encombrants'!F71</f>
        <v>51750</v>
      </c>
      <c r="C8" s="48"/>
      <c r="D8" s="49"/>
    </row>
    <row r="9" spans="1:10" ht="13.8" thickBot="1" x14ac:dyDescent="0.3"/>
    <row r="10" spans="1:10" ht="29.4" thickBot="1" x14ac:dyDescent="0.3">
      <c r="A10" s="3" t="s">
        <v>4</v>
      </c>
      <c r="B10" s="4" t="s">
        <v>5</v>
      </c>
      <c r="C10" s="4" t="s">
        <v>6</v>
      </c>
      <c r="D10" s="5" t="s">
        <v>7</v>
      </c>
      <c r="E10" s="5" t="s">
        <v>8</v>
      </c>
      <c r="F10" s="5" t="s">
        <v>9</v>
      </c>
      <c r="G10" s="5">
        <v>1820</v>
      </c>
      <c r="H10" s="5" t="s">
        <v>10</v>
      </c>
      <c r="I10" s="5" t="s">
        <v>75</v>
      </c>
      <c r="J10" s="5" t="s">
        <v>78</v>
      </c>
    </row>
    <row r="11" spans="1:10" x14ac:dyDescent="0.25">
      <c r="A11" s="32" t="s">
        <v>11</v>
      </c>
      <c r="B11" s="6"/>
      <c r="C11" s="6"/>
      <c r="D11" s="7"/>
      <c r="E11" s="7"/>
      <c r="F11" s="7"/>
      <c r="G11" s="7"/>
      <c r="H11" s="7"/>
      <c r="I11" s="7"/>
      <c r="J11" s="7"/>
    </row>
    <row r="12" spans="1:10" x14ac:dyDescent="0.25">
      <c r="A12" s="8" t="s">
        <v>12</v>
      </c>
      <c r="B12" s="6">
        <f>(130000-(130000*36%))/5</f>
        <v>16640</v>
      </c>
      <c r="C12" s="6" t="s">
        <v>13</v>
      </c>
      <c r="D12" s="7">
        <f>C5</f>
        <v>1.7307692307692308</v>
      </c>
      <c r="E12" s="7">
        <f>D12*B12</f>
        <v>28800</v>
      </c>
      <c r="F12" s="7">
        <f>+E12/$B$5</f>
        <v>9.1428571428571423</v>
      </c>
      <c r="G12" s="7">
        <f>E12/$G$10</f>
        <v>15.824175824175825</v>
      </c>
      <c r="H12" s="7">
        <f>+E12/$B$8</f>
        <v>0.55652173913043479</v>
      </c>
      <c r="I12" s="7">
        <f>+E12/$B$3</f>
        <v>5.333333333333333</v>
      </c>
      <c r="J12" s="7">
        <f>+E12/$B$4</f>
        <v>0.75168345774390566</v>
      </c>
    </row>
    <row r="13" spans="1:10" x14ac:dyDescent="0.25">
      <c r="A13" s="8" t="s">
        <v>14</v>
      </c>
      <c r="B13" s="28">
        <v>0.12</v>
      </c>
      <c r="C13" s="6" t="s">
        <v>20</v>
      </c>
      <c r="D13" s="7">
        <f>D12</f>
        <v>1.7307692307692308</v>
      </c>
      <c r="E13" s="7">
        <f>+E12*B13</f>
        <v>3456</v>
      </c>
      <c r="F13" s="7">
        <f>+E13/$B$5</f>
        <v>1.0971428571428572</v>
      </c>
      <c r="G13" s="7">
        <f>E13/$G$10</f>
        <v>1.8989010989010988</v>
      </c>
      <c r="H13" s="7">
        <f>+E13/$B$8</f>
        <v>6.6782608695652168E-2</v>
      </c>
      <c r="I13" s="7">
        <f>+E13/$B$3</f>
        <v>0.64</v>
      </c>
      <c r="J13" s="7">
        <f>+E13/$B$4</f>
        <v>9.0202014929268673E-2</v>
      </c>
    </row>
    <row r="14" spans="1:10" ht="13.8" thickBot="1" x14ac:dyDescent="0.3">
      <c r="A14" s="9" t="s">
        <v>53</v>
      </c>
      <c r="B14" s="10">
        <f>5000/7</f>
        <v>714.28571428571433</v>
      </c>
      <c r="C14" s="10" t="s">
        <v>13</v>
      </c>
      <c r="D14" s="11">
        <f>D13</f>
        <v>1.7307692307692308</v>
      </c>
      <c r="E14" s="11">
        <f>D14*B14</f>
        <v>1236.2637362637363</v>
      </c>
      <c r="F14" s="7">
        <f>+E14/$B$5</f>
        <v>0.39246467817896391</v>
      </c>
      <c r="G14" s="7">
        <f>E14/$G$10</f>
        <v>0.67926578915589908</v>
      </c>
      <c r="H14" s="7">
        <f>+E14/$B$8</f>
        <v>2.3889154323936932E-2</v>
      </c>
      <c r="I14" s="7">
        <f>+E14/$B$3</f>
        <v>0.22893772893772893</v>
      </c>
      <c r="J14" s="7">
        <f>+E14/$B$4</f>
        <v>3.2266631942990454E-2</v>
      </c>
    </row>
    <row r="15" spans="1:10" ht="13.8" thickBot="1" x14ac:dyDescent="0.3">
      <c r="A15" s="198" t="s">
        <v>15</v>
      </c>
      <c r="B15" s="199"/>
      <c r="C15" s="199"/>
      <c r="D15" s="200"/>
      <c r="E15" s="12">
        <f t="shared" ref="E15:J15" si="0">SUM(E12:E14)</f>
        <v>33492.26373626374</v>
      </c>
      <c r="F15" s="13">
        <f t="shared" si="0"/>
        <v>10.632464678178964</v>
      </c>
      <c r="G15" s="13">
        <f t="shared" si="0"/>
        <v>18.402342712232823</v>
      </c>
      <c r="H15" s="13">
        <f t="shared" si="0"/>
        <v>0.6471935021500238</v>
      </c>
      <c r="I15" s="13">
        <f t="shared" si="0"/>
        <v>6.2022710622710617</v>
      </c>
      <c r="J15" s="13">
        <f t="shared" si="0"/>
        <v>0.87415210461616488</v>
      </c>
    </row>
    <row r="16" spans="1:10" x14ac:dyDescent="0.25">
      <c r="A16" s="32" t="s">
        <v>55</v>
      </c>
      <c r="B16" s="6"/>
      <c r="C16" s="6"/>
      <c r="D16" s="7"/>
      <c r="E16" s="7"/>
      <c r="F16" s="7"/>
      <c r="G16" s="7"/>
      <c r="H16" s="7"/>
      <c r="I16" s="7"/>
      <c r="J16" s="7"/>
    </row>
    <row r="17" spans="1:14" x14ac:dyDescent="0.25">
      <c r="A17" s="27" t="s">
        <v>16</v>
      </c>
      <c r="B17" s="6"/>
      <c r="C17" s="6"/>
      <c r="D17" s="7"/>
      <c r="E17" s="7"/>
      <c r="F17" s="7"/>
      <c r="G17" s="7"/>
      <c r="H17" s="7"/>
      <c r="I17" s="7"/>
      <c r="J17" s="7"/>
    </row>
    <row r="18" spans="1:14" x14ac:dyDescent="0.25">
      <c r="A18" s="27" t="s">
        <v>17</v>
      </c>
      <c r="B18" s="6">
        <f>+'Enc lot 1'!B18</f>
        <v>22105.512000000002</v>
      </c>
      <c r="C18" s="6" t="s">
        <v>18</v>
      </c>
      <c r="D18" s="7">
        <f>D14</f>
        <v>1.7307692307692308</v>
      </c>
      <c r="E18" s="7">
        <f>D18*B18</f>
        <v>38259.540000000008</v>
      </c>
      <c r="F18" s="7">
        <f>+E18/$B$5</f>
        <v>12.145885714285717</v>
      </c>
      <c r="G18" s="7">
        <f>E18/$G$10</f>
        <v>21.021725274725281</v>
      </c>
      <c r="H18" s="7">
        <f>+E18/$B$8</f>
        <v>0.73931478260869576</v>
      </c>
      <c r="I18" s="7">
        <f>+E18/$B$3</f>
        <v>7.0851000000000015</v>
      </c>
      <c r="J18" s="7">
        <f>+E18/$B$4</f>
        <v>0.99857858746150252</v>
      </c>
    </row>
    <row r="19" spans="1:14" x14ac:dyDescent="0.25">
      <c r="A19" s="27" t="s">
        <v>72</v>
      </c>
      <c r="B19" s="6">
        <f>+'Enc lot 1'!B19</f>
        <v>1706.3990784</v>
      </c>
      <c r="C19" s="6" t="s">
        <v>18</v>
      </c>
      <c r="D19" s="7">
        <f>D14</f>
        <v>1.7307692307692308</v>
      </c>
      <c r="E19" s="7">
        <f>D19*B19</f>
        <v>2953.3830203076923</v>
      </c>
      <c r="F19" s="7">
        <f>+E19/$B$5</f>
        <v>0.9375819112087912</v>
      </c>
      <c r="G19" s="7">
        <f>E19/$G$10</f>
        <v>1.6227379232459849</v>
      </c>
      <c r="H19" s="7">
        <f>+E19/$B$8</f>
        <v>5.7070203290969901E-2</v>
      </c>
      <c r="I19" s="7">
        <f>+E19/$B$3</f>
        <v>0.54692278153846152</v>
      </c>
      <c r="J19" s="7">
        <f>+E19/$B$4</f>
        <v>7.7083651414827273E-2</v>
      </c>
    </row>
    <row r="20" spans="1:14" ht="12" customHeight="1" x14ac:dyDescent="0.25">
      <c r="A20" s="27" t="s">
        <v>19</v>
      </c>
      <c r="B20" s="6">
        <f>+'Enc lot 1'!B20</f>
        <v>8842.2048000000013</v>
      </c>
      <c r="C20" s="6" t="s">
        <v>18</v>
      </c>
      <c r="D20" s="7">
        <f>D14</f>
        <v>1.7307692307692308</v>
      </c>
      <c r="E20" s="7">
        <f>D20*B20</f>
        <v>15303.816000000003</v>
      </c>
      <c r="F20" s="7">
        <f>+E20/$B$5</f>
        <v>4.8583542857142863</v>
      </c>
      <c r="G20" s="7">
        <f>E20/$G$10</f>
        <v>8.4086901098901112</v>
      </c>
      <c r="H20" s="7">
        <f>+E20/$B$8</f>
        <v>0.29572591304347828</v>
      </c>
      <c r="I20" s="7">
        <f>+E20/$B$3</f>
        <v>2.8340400000000003</v>
      </c>
      <c r="J20" s="7">
        <f>+E20/$B$4</f>
        <v>0.39943143498460099</v>
      </c>
    </row>
    <row r="21" spans="1:14" ht="12" customHeight="1" x14ac:dyDescent="0.25">
      <c r="A21" s="27" t="s">
        <v>54</v>
      </c>
      <c r="B21" s="6">
        <f>+'Enc lot 1'!B21</f>
        <v>32654.115878400007</v>
      </c>
      <c r="C21" s="6" t="s">
        <v>20</v>
      </c>
      <c r="D21" s="14">
        <v>0.1</v>
      </c>
      <c r="E21" s="7">
        <f>D21*B21*D19</f>
        <v>5651.6739020307705</v>
      </c>
      <c r="F21" s="7">
        <f>+E21/$B$5</f>
        <v>1.7941821911208795</v>
      </c>
      <c r="G21" s="7">
        <f>E21/$G$10</f>
        <v>3.1053153307861376</v>
      </c>
      <c r="H21" s="7">
        <f>+E21/$B$8</f>
        <v>0.10921108989431441</v>
      </c>
      <c r="I21" s="7">
        <f>+E21/$B$3</f>
        <v>1.0466062781538463</v>
      </c>
      <c r="J21" s="7">
        <f>+E21/$B$4</f>
        <v>0.14750936738609308</v>
      </c>
    </row>
    <row r="22" spans="1:14" ht="12" customHeight="1" x14ac:dyDescent="0.25">
      <c r="A22" s="27"/>
      <c r="B22" s="6"/>
      <c r="C22" s="6"/>
      <c r="D22" s="14"/>
      <c r="E22" s="7"/>
      <c r="F22" s="7"/>
      <c r="G22" s="7"/>
      <c r="H22" s="7"/>
      <c r="I22" s="7"/>
      <c r="J22" s="7"/>
    </row>
    <row r="23" spans="1:14" ht="12" customHeight="1" x14ac:dyDescent="0.25">
      <c r="A23" s="27" t="s">
        <v>29</v>
      </c>
      <c r="B23" s="6"/>
      <c r="C23" s="6"/>
      <c r="D23" s="7"/>
      <c r="E23" s="7"/>
      <c r="F23" s="7"/>
      <c r="G23" s="7"/>
      <c r="H23" s="7"/>
      <c r="I23" s="7"/>
      <c r="J23" s="7"/>
    </row>
    <row r="24" spans="1:14" ht="12" customHeight="1" x14ac:dyDescent="0.25">
      <c r="A24" s="27" t="s">
        <v>30</v>
      </c>
      <c r="B24" s="6">
        <v>350</v>
      </c>
      <c r="C24" s="6" t="s">
        <v>18</v>
      </c>
      <c r="D24" s="7">
        <f>D20</f>
        <v>1.7307692307692308</v>
      </c>
      <c r="E24" s="7">
        <f>D24*B24</f>
        <v>605.76923076923083</v>
      </c>
      <c r="F24" s="7">
        <f>+E24/$B$5</f>
        <v>0.19230769230769232</v>
      </c>
      <c r="G24" s="7">
        <f>E24/$G$10</f>
        <v>0.33284023668639057</v>
      </c>
      <c r="H24" s="7">
        <f>+E24/$B$8</f>
        <v>1.1705685618729098E-2</v>
      </c>
      <c r="I24" s="7">
        <f>+E24/$B$3</f>
        <v>0.1121794871794872</v>
      </c>
      <c r="J24" s="7">
        <f>+E24/$B$4</f>
        <v>1.5810649652065325E-2</v>
      </c>
    </row>
    <row r="25" spans="1:14" ht="12" customHeight="1" x14ac:dyDescent="0.25">
      <c r="A25" s="27" t="s">
        <v>31</v>
      </c>
      <c r="B25" s="6">
        <f>15*12</f>
        <v>180</v>
      </c>
      <c r="C25" s="6" t="s">
        <v>18</v>
      </c>
      <c r="D25" s="7">
        <f>D19</f>
        <v>1.7307692307692308</v>
      </c>
      <c r="E25" s="7">
        <f>D25*B25</f>
        <v>311.53846153846155</v>
      </c>
      <c r="F25" s="7">
        <f>+E25/$B$5</f>
        <v>9.8901098901098911E-2</v>
      </c>
      <c r="G25" s="7">
        <f>E25/$G$10</f>
        <v>0.17117497886728655</v>
      </c>
      <c r="H25" s="7">
        <f>+E25/$B$8</f>
        <v>6.0200668896321068E-3</v>
      </c>
      <c r="I25" s="7">
        <f>+E25/$B$3</f>
        <v>5.7692307692307696E-2</v>
      </c>
      <c r="J25" s="7">
        <f>+E25/$B$4</f>
        <v>8.1311912496335945E-3</v>
      </c>
    </row>
    <row r="26" spans="1:14" ht="12" customHeight="1" x14ac:dyDescent="0.25">
      <c r="A26" s="27"/>
      <c r="B26" s="6"/>
      <c r="C26" s="6"/>
      <c r="D26" s="7"/>
      <c r="E26" s="7"/>
      <c r="F26" s="7"/>
      <c r="G26" s="7"/>
      <c r="H26" s="7"/>
      <c r="I26" s="7"/>
      <c r="J26" s="7"/>
    </row>
    <row r="27" spans="1:14" ht="12" customHeight="1" x14ac:dyDescent="0.25">
      <c r="A27" s="27" t="s">
        <v>45</v>
      </c>
      <c r="B27" s="6"/>
      <c r="C27" s="6"/>
      <c r="D27" s="7"/>
      <c r="E27" s="7"/>
      <c r="F27" s="7"/>
      <c r="G27" s="7"/>
      <c r="H27" s="7"/>
      <c r="I27" s="7"/>
      <c r="J27" s="7"/>
      <c r="N27">
        <f>189+60</f>
        <v>249</v>
      </c>
    </row>
    <row r="28" spans="1:14" ht="12" customHeight="1" x14ac:dyDescent="0.25">
      <c r="A28" s="27" t="s">
        <v>17</v>
      </c>
      <c r="B28" s="6">
        <f>+'Enc lot 1'!B28</f>
        <v>21329.879999999997</v>
      </c>
      <c r="C28" s="6" t="s">
        <v>18</v>
      </c>
      <c r="D28" s="7">
        <f>D18</f>
        <v>1.7307692307692308</v>
      </c>
      <c r="E28" s="7">
        <f>D28*B28</f>
        <v>36917.1</v>
      </c>
      <c r="F28" s="7">
        <f>+E28/$B$5</f>
        <v>11.719714285714286</v>
      </c>
      <c r="G28" s="7">
        <f>E28/$G$10</f>
        <v>20.284120879120877</v>
      </c>
      <c r="H28" s="7">
        <f>+E28/$B$8</f>
        <v>0.71337391304347819</v>
      </c>
      <c r="I28" s="7">
        <f>+E28/$B$3</f>
        <v>6.8365</v>
      </c>
      <c r="J28" s="7">
        <f>+E28/$B$4</f>
        <v>0.96354074228741449</v>
      </c>
    </row>
    <row r="29" spans="1:14" ht="12" customHeight="1" x14ac:dyDescent="0.25">
      <c r="A29" s="27" t="s">
        <v>72</v>
      </c>
      <c r="B29" s="6">
        <f>+'Enc lot 1'!B29</f>
        <v>1706.3990784</v>
      </c>
      <c r="C29" s="6" t="s">
        <v>18</v>
      </c>
      <c r="D29" s="7">
        <f>D28</f>
        <v>1.7307692307692308</v>
      </c>
      <c r="E29" s="7">
        <f>D29*B29</f>
        <v>2953.3830203076923</v>
      </c>
      <c r="F29" s="7">
        <f>+E29/$B$5</f>
        <v>0.9375819112087912</v>
      </c>
      <c r="G29" s="7">
        <f>E29/$G$10</f>
        <v>1.6227379232459849</v>
      </c>
      <c r="H29" s="7">
        <f>+E29/$B$8</f>
        <v>5.7070203290969901E-2</v>
      </c>
      <c r="I29" s="7">
        <f>+E29/$B$3</f>
        <v>0.54692278153846152</v>
      </c>
      <c r="J29" s="7">
        <f>+E29/$B$4</f>
        <v>7.7083651414827273E-2</v>
      </c>
    </row>
    <row r="30" spans="1:14" ht="12" customHeight="1" x14ac:dyDescent="0.25">
      <c r="A30" s="27" t="s">
        <v>19</v>
      </c>
      <c r="B30" s="6">
        <f>+'Enc lot 1'!B30</f>
        <v>8531.9519999999993</v>
      </c>
      <c r="C30" s="6" t="s">
        <v>18</v>
      </c>
      <c r="D30" s="7">
        <f>D29</f>
        <v>1.7307692307692308</v>
      </c>
      <c r="E30" s="7">
        <f>D30*B30</f>
        <v>14766.84</v>
      </c>
      <c r="F30" s="7">
        <f>E30/$B$5</f>
        <v>4.6878857142857147</v>
      </c>
      <c r="G30" s="7">
        <f>E30/$G$10</f>
        <v>8.1136483516483509</v>
      </c>
      <c r="H30" s="7">
        <f>+E30/$B$8</f>
        <v>0.2853495652173913</v>
      </c>
      <c r="I30" s="7">
        <f>+E30/$B$3</f>
        <v>2.7345999999999999</v>
      </c>
      <c r="J30" s="7">
        <f>+E30/$B$4</f>
        <v>0.38541629691496582</v>
      </c>
    </row>
    <row r="31" spans="1:14" ht="12" customHeight="1" x14ac:dyDescent="0.25">
      <c r="A31" s="27" t="s">
        <v>54</v>
      </c>
      <c r="B31" s="6">
        <f>+'Enc lot 1'!B31</f>
        <v>31568.2310784</v>
      </c>
      <c r="C31" s="6" t="s">
        <v>20</v>
      </c>
      <c r="D31" s="14">
        <v>0.1</v>
      </c>
      <c r="E31" s="7">
        <f>D31*B31*D29</f>
        <v>5463.7323020307704</v>
      </c>
      <c r="F31" s="7">
        <f>E31/$B$5</f>
        <v>1.7345181911208796</v>
      </c>
      <c r="G31" s="7">
        <f>E31/$G$10</f>
        <v>3.0020507154015221</v>
      </c>
      <c r="H31" s="7">
        <f>+E31/$B$8</f>
        <v>0.10557936815518397</v>
      </c>
      <c r="I31" s="7">
        <f>+E31/$B$3</f>
        <v>1.0118022781538463</v>
      </c>
      <c r="J31" s="7">
        <f>+E31/$B$4</f>
        <v>0.1426040690617208</v>
      </c>
    </row>
    <row r="32" spans="1:14" ht="12" customHeight="1" x14ac:dyDescent="0.25">
      <c r="A32" s="27"/>
      <c r="B32" s="6"/>
      <c r="C32" s="6"/>
      <c r="D32" s="14"/>
      <c r="E32" s="7"/>
      <c r="F32" s="7"/>
      <c r="G32" s="7"/>
      <c r="H32" s="7"/>
      <c r="I32" s="7"/>
      <c r="J32" s="7"/>
    </row>
    <row r="33" spans="1:14" ht="12" customHeight="1" x14ac:dyDescent="0.25">
      <c r="A33" s="27" t="s">
        <v>29</v>
      </c>
      <c r="B33" s="6"/>
      <c r="C33" s="6"/>
      <c r="D33" s="7"/>
      <c r="E33" s="7"/>
      <c r="F33" s="7"/>
      <c r="G33" s="7"/>
      <c r="H33" s="7"/>
      <c r="I33" s="7"/>
      <c r="J33" s="7"/>
    </row>
    <row r="34" spans="1:14" ht="12" customHeight="1" x14ac:dyDescent="0.25">
      <c r="A34" s="27" t="s">
        <v>30</v>
      </c>
      <c r="B34" s="6">
        <f>B24</f>
        <v>350</v>
      </c>
      <c r="C34" s="6" t="s">
        <v>18</v>
      </c>
      <c r="D34" s="7">
        <f>D30</f>
        <v>1.7307692307692308</v>
      </c>
      <c r="E34" s="7">
        <f>D34*B34</f>
        <v>605.76923076923083</v>
      </c>
      <c r="F34" s="7">
        <f>E34/$B$5</f>
        <v>0.19230769230769232</v>
      </c>
      <c r="G34" s="7">
        <f>E34/$G$10</f>
        <v>0.33284023668639057</v>
      </c>
      <c r="H34" s="7">
        <f>+E34/$B$8</f>
        <v>1.1705685618729098E-2</v>
      </c>
      <c r="I34" s="7">
        <f>+E34/$B$3</f>
        <v>0.1121794871794872</v>
      </c>
      <c r="J34" s="7">
        <f>+E34/$B$4</f>
        <v>1.5810649652065325E-2</v>
      </c>
    </row>
    <row r="35" spans="1:14" ht="12" customHeight="1" thickBot="1" x14ac:dyDescent="0.3">
      <c r="A35" s="27" t="s">
        <v>31</v>
      </c>
      <c r="B35" s="6"/>
      <c r="C35" s="6" t="s">
        <v>18</v>
      </c>
      <c r="D35" s="7">
        <f>D29</f>
        <v>1.7307692307692308</v>
      </c>
      <c r="E35" s="7">
        <f>D35*B35</f>
        <v>0</v>
      </c>
      <c r="F35" s="7">
        <f>+E35/$B$5</f>
        <v>0</v>
      </c>
      <c r="G35" s="7">
        <f>E35/$G$10</f>
        <v>0</v>
      </c>
      <c r="H35" s="7">
        <f>+E35/$B$8</f>
        <v>0</v>
      </c>
      <c r="I35" s="7">
        <f>+E35/$B$3</f>
        <v>0</v>
      </c>
      <c r="J35" s="7">
        <f>+F35/$B$3</f>
        <v>0</v>
      </c>
    </row>
    <row r="36" spans="1:14" ht="13.8" thickBot="1" x14ac:dyDescent="0.3">
      <c r="A36" s="198" t="s">
        <v>52</v>
      </c>
      <c r="B36" s="199"/>
      <c r="C36" s="199"/>
      <c r="D36" s="199"/>
      <c r="E36" s="15">
        <f t="shared" ref="E36:J36" si="1">SUM(E16:E35)</f>
        <v>123792.54516775387</v>
      </c>
      <c r="F36" s="15">
        <f t="shared" si="1"/>
        <v>39.299220688175822</v>
      </c>
      <c r="G36" s="15">
        <f t="shared" si="1"/>
        <v>68.017881960304337</v>
      </c>
      <c r="H36" s="15">
        <f t="shared" si="1"/>
        <v>2.3921264766715717</v>
      </c>
      <c r="I36" s="15">
        <f t="shared" si="1"/>
        <v>22.924545401435903</v>
      </c>
      <c r="J36" s="15">
        <f t="shared" si="1"/>
        <v>3.2310002914797162</v>
      </c>
    </row>
    <row r="37" spans="1:14" x14ac:dyDescent="0.25">
      <c r="A37" s="33" t="s">
        <v>21</v>
      </c>
      <c r="B37" s="6"/>
      <c r="C37" s="6"/>
      <c r="D37" s="7"/>
      <c r="E37" s="7"/>
      <c r="F37" s="7"/>
      <c r="G37" s="7"/>
      <c r="H37" s="7"/>
      <c r="I37" s="7"/>
      <c r="J37" s="7"/>
    </row>
    <row r="38" spans="1:14" x14ac:dyDescent="0.25">
      <c r="A38" s="27" t="s">
        <v>22</v>
      </c>
      <c r="B38" s="6">
        <v>3500</v>
      </c>
      <c r="C38" s="6" t="s">
        <v>23</v>
      </c>
      <c r="D38" s="7">
        <f>C5</f>
        <v>1.7307692307692308</v>
      </c>
      <c r="E38" s="7">
        <f>D38*B38</f>
        <v>6057.6923076923076</v>
      </c>
      <c r="F38" s="7">
        <f>E38/$B$5</f>
        <v>1.9230769230769231</v>
      </c>
      <c r="G38" s="7">
        <f>E38/$G$10</f>
        <v>3.3284023668639051</v>
      </c>
      <c r="H38" s="7">
        <f>+E38/$B$8</f>
        <v>0.11705685618729098</v>
      </c>
      <c r="I38" s="7">
        <f>+E38/$B$3</f>
        <v>1.1217948717948718</v>
      </c>
      <c r="J38" s="7">
        <f>+E38/$B$4</f>
        <v>0.15810649652065323</v>
      </c>
    </row>
    <row r="39" spans="1:14" x14ac:dyDescent="0.25">
      <c r="A39" s="27" t="s">
        <v>24</v>
      </c>
      <c r="B39" s="6">
        <v>1</v>
      </c>
      <c r="C39" s="6" t="s">
        <v>25</v>
      </c>
      <c r="D39" s="7">
        <f>55*B8/100</f>
        <v>28462.5</v>
      </c>
      <c r="E39" s="7">
        <f>D39*B39</f>
        <v>28462.5</v>
      </c>
      <c r="F39" s="7">
        <f>E39/$B$5</f>
        <v>9.0357142857142865</v>
      </c>
      <c r="G39" s="7">
        <f>E39/$G$10</f>
        <v>15.638736263736265</v>
      </c>
      <c r="H39" s="7">
        <f>+E39/$B$8</f>
        <v>0.55000000000000004</v>
      </c>
      <c r="I39" s="7">
        <f>+E39/$B$3</f>
        <v>5.270833333333333</v>
      </c>
      <c r="J39" s="7">
        <f>+E39/$B$4</f>
        <v>0.74287466722346918</v>
      </c>
    </row>
    <row r="40" spans="1:14" x14ac:dyDescent="0.25">
      <c r="A40" s="27" t="s">
        <v>26</v>
      </c>
      <c r="B40" s="6">
        <f>D39</f>
        <v>28462.5</v>
      </c>
      <c r="C40" s="6" t="s">
        <v>20</v>
      </c>
      <c r="D40" s="14">
        <v>0.1</v>
      </c>
      <c r="E40" s="7">
        <f>D40*B40</f>
        <v>2846.25</v>
      </c>
      <c r="F40" s="7">
        <f>E40/$B$5</f>
        <v>0.90357142857142858</v>
      </c>
      <c r="G40" s="7">
        <f>E40/$G$10</f>
        <v>1.5638736263736264</v>
      </c>
      <c r="H40" s="7">
        <f>+E40/$B$8</f>
        <v>5.5E-2</v>
      </c>
      <c r="I40" s="7">
        <f>+E40/$B$3</f>
        <v>0.52708333333333335</v>
      </c>
      <c r="J40" s="7">
        <f>+E40/$B$4</f>
        <v>7.4287466722346929E-2</v>
      </c>
    </row>
    <row r="41" spans="1:14" ht="20.399999999999999" x14ac:dyDescent="0.25">
      <c r="A41" s="27" t="s">
        <v>27</v>
      </c>
      <c r="B41" s="6">
        <v>0.1</v>
      </c>
      <c r="C41" s="6" t="s">
        <v>0</v>
      </c>
      <c r="D41" s="37">
        <f>B8</f>
        <v>51750</v>
      </c>
      <c r="E41" s="7">
        <f>D41*B41</f>
        <v>5175</v>
      </c>
      <c r="F41" s="7">
        <f>E41/$B$5</f>
        <v>1.6428571428571428</v>
      </c>
      <c r="G41" s="7">
        <f>E41/$G$10</f>
        <v>2.8434065934065935</v>
      </c>
      <c r="H41" s="7">
        <f>+E41/$B$8</f>
        <v>0.1</v>
      </c>
      <c r="I41" s="7">
        <f>+E41/$B$3</f>
        <v>0.95833333333333337</v>
      </c>
      <c r="J41" s="7">
        <f>+E41/$B$4</f>
        <v>0.13506812131335805</v>
      </c>
    </row>
    <row r="42" spans="1:14" ht="13.8" thickBot="1" x14ac:dyDescent="0.3">
      <c r="A42" s="27" t="s">
        <v>28</v>
      </c>
      <c r="B42" s="6">
        <v>900</v>
      </c>
      <c r="C42" s="6" t="s">
        <v>23</v>
      </c>
      <c r="D42" s="7">
        <f>D19</f>
        <v>1.7307692307692308</v>
      </c>
      <c r="E42" s="7">
        <f>D42*B42</f>
        <v>1557.6923076923078</v>
      </c>
      <c r="F42" s="7">
        <f>E42/$B$5</f>
        <v>0.49450549450549458</v>
      </c>
      <c r="G42" s="7">
        <f>E42/$G$10</f>
        <v>0.85587489433643293</v>
      </c>
      <c r="H42" s="7">
        <f>+E42/$B$8</f>
        <v>3.0100334448160539E-2</v>
      </c>
      <c r="I42" s="7">
        <f>+E42/$B$3</f>
        <v>0.28846153846153849</v>
      </c>
      <c r="J42" s="7">
        <f>+E42/$B$4</f>
        <v>4.0655956248167979E-2</v>
      </c>
    </row>
    <row r="43" spans="1:14" ht="13.8" thickBot="1" x14ac:dyDescent="0.3">
      <c r="A43" s="198" t="s">
        <v>56</v>
      </c>
      <c r="B43" s="199"/>
      <c r="C43" s="199"/>
      <c r="D43" s="199"/>
      <c r="E43" s="15">
        <f>SUM(E38:E42)</f>
        <v>44099.13461538461</v>
      </c>
      <c r="F43" s="16">
        <f>SUM(F37:F42)</f>
        <v>13.999725274725275</v>
      </c>
      <c r="G43" s="16">
        <f>SUM(G16:G42)</f>
        <v>160.26605766532552</v>
      </c>
      <c r="H43" s="16">
        <f>SUM(H37:H42)</f>
        <v>0.85215719063545159</v>
      </c>
      <c r="I43" s="16">
        <f>SUM(I37:I42)</f>
        <v>8.1665064102564102</v>
      </c>
      <c r="J43" s="16">
        <f>SUM(J37:J42)</f>
        <v>1.1509927080279954</v>
      </c>
      <c r="L43" s="26"/>
    </row>
    <row r="44" spans="1:14" x14ac:dyDescent="0.25">
      <c r="A44" s="32" t="s">
        <v>32</v>
      </c>
      <c r="B44" s="6"/>
      <c r="C44" s="6"/>
      <c r="D44" s="7"/>
      <c r="E44" s="7"/>
      <c r="F44" s="7"/>
      <c r="G44" s="7"/>
      <c r="H44" s="7"/>
      <c r="I44" s="7"/>
      <c r="J44" s="7"/>
    </row>
    <row r="45" spans="1:14" x14ac:dyDescent="0.25">
      <c r="A45" s="8" t="s">
        <v>33</v>
      </c>
      <c r="B45" s="6">
        <v>50000</v>
      </c>
      <c r="C45" s="6" t="s">
        <v>20</v>
      </c>
      <c r="D45" s="14">
        <v>7.0000000000000007E-2</v>
      </c>
      <c r="E45" s="7">
        <f>D45*B45</f>
        <v>3500.0000000000005</v>
      </c>
      <c r="F45" s="7">
        <f>E45/$B$5</f>
        <v>1.1111111111111112</v>
      </c>
      <c r="G45" s="7">
        <f>E45/$G$10</f>
        <v>1.9230769230769234</v>
      </c>
      <c r="H45" s="7">
        <f>+E45/$B$8</f>
        <v>6.7632850241545903E-2</v>
      </c>
      <c r="I45" s="7">
        <f t="shared" ref="I45:I51" si="2">+E45/$B$3</f>
        <v>0.64814814814814825</v>
      </c>
      <c r="J45" s="7">
        <f>+E45/$B$4</f>
        <v>9.1350420211932987E-2</v>
      </c>
    </row>
    <row r="46" spans="1:14" x14ac:dyDescent="0.25">
      <c r="A46" s="8" t="s">
        <v>34</v>
      </c>
      <c r="B46" s="7">
        <f>E43+E36+E15</f>
        <v>201383.94351940221</v>
      </c>
      <c r="C46" s="6" t="s">
        <v>20</v>
      </c>
      <c r="D46" s="14">
        <v>7.0000000000000007E-2</v>
      </c>
      <c r="E46" s="7">
        <f>(E43+E36+E15)*D46</f>
        <v>14096.876046358157</v>
      </c>
      <c r="F46" s="7">
        <f>E46/$B$5</f>
        <v>4.4751987448756054</v>
      </c>
      <c r="G46" s="7">
        <f>E46/$G$10</f>
        <v>7.7455362892077781</v>
      </c>
      <c r="H46" s="7">
        <f>+E46/$B$8</f>
        <v>0.27240340186199336</v>
      </c>
      <c r="I46" s="7">
        <f t="shared" si="2"/>
        <v>2.6105326011774364</v>
      </c>
      <c r="J46" s="7">
        <f>+E46/$B$4</f>
        <v>0.3679301572886714</v>
      </c>
    </row>
    <row r="47" spans="1:14" ht="13.8" thickBot="1" x14ac:dyDescent="0.3">
      <c r="A47" s="8" t="s">
        <v>35</v>
      </c>
      <c r="B47" s="6">
        <f>E43+E36+E15</f>
        <v>201383.94351940221</v>
      </c>
      <c r="C47" s="6" t="s">
        <v>20</v>
      </c>
      <c r="D47" s="14">
        <v>2.5000000000000001E-2</v>
      </c>
      <c r="E47" s="7">
        <f>D47*B47</f>
        <v>5034.5985879850559</v>
      </c>
      <c r="F47" s="7">
        <f>E47/$B$5</f>
        <v>1.5982852660270019</v>
      </c>
      <c r="G47" s="7"/>
      <c r="H47" s="7">
        <f>+E47/'[1]Temps de transports'!$E$46</f>
        <v>0.11861743916655018</v>
      </c>
      <c r="I47" s="7">
        <f t="shared" si="2"/>
        <v>0.93233307184908443</v>
      </c>
      <c r="J47" s="7">
        <f>+E47/$B$4</f>
        <v>0.13140362760309693</v>
      </c>
      <c r="M47" s="56"/>
      <c r="N47" s="57"/>
    </row>
    <row r="48" spans="1:14" hidden="1" x14ac:dyDescent="0.25">
      <c r="A48" s="27" t="s">
        <v>36</v>
      </c>
      <c r="B48" s="6"/>
      <c r="C48" s="6"/>
      <c r="D48" s="14"/>
      <c r="E48" s="7">
        <f>D48*B48</f>
        <v>0</v>
      </c>
      <c r="F48" s="7">
        <f>+E48/$B$5</f>
        <v>0</v>
      </c>
      <c r="G48" s="7">
        <f>E48/$G$10</f>
        <v>0</v>
      </c>
      <c r="H48" s="7">
        <f>+E48/$B$8</f>
        <v>0</v>
      </c>
      <c r="I48" s="7">
        <f t="shared" si="2"/>
        <v>0</v>
      </c>
      <c r="J48" s="7" t="e">
        <f>+E48/#REF!</f>
        <v>#REF!</v>
      </c>
    </row>
    <row r="49" spans="1:10" hidden="1" x14ac:dyDescent="0.25">
      <c r="A49" s="27" t="s">
        <v>37</v>
      </c>
      <c r="B49" s="6"/>
      <c r="C49" s="6"/>
      <c r="D49" s="14"/>
      <c r="E49" s="7">
        <f>D49*B49</f>
        <v>0</v>
      </c>
      <c r="F49" s="7">
        <f>+E49/$B$5</f>
        <v>0</v>
      </c>
      <c r="G49" s="7">
        <f>E49/$G$10</f>
        <v>0</v>
      </c>
      <c r="H49" s="7">
        <f>+E49/$B$8</f>
        <v>0</v>
      </c>
      <c r="I49" s="7">
        <f t="shared" si="2"/>
        <v>0</v>
      </c>
      <c r="J49" s="7" t="e">
        <f>+E49/#REF!</f>
        <v>#REF!</v>
      </c>
    </row>
    <row r="50" spans="1:10" hidden="1" x14ac:dyDescent="0.25">
      <c r="A50" s="27" t="s">
        <v>38</v>
      </c>
      <c r="B50" s="6"/>
      <c r="C50" s="6"/>
      <c r="D50" s="14"/>
      <c r="E50" s="7">
        <f>D50*B50</f>
        <v>0</v>
      </c>
      <c r="F50" s="7">
        <f>+E50/$B$5</f>
        <v>0</v>
      </c>
      <c r="G50" s="7">
        <f>E50/$G$10</f>
        <v>0</v>
      </c>
      <c r="H50" s="7">
        <f>+E50/$B$8</f>
        <v>0</v>
      </c>
      <c r="I50" s="7">
        <f t="shared" si="2"/>
        <v>0</v>
      </c>
      <c r="J50" s="7" t="e">
        <f>+E50/#REF!</f>
        <v>#REF!</v>
      </c>
    </row>
    <row r="51" spans="1:10" ht="13.8" hidden="1" thickBot="1" x14ac:dyDescent="0.3">
      <c r="A51" s="35" t="s">
        <v>39</v>
      </c>
      <c r="B51" s="17"/>
      <c r="C51" s="17"/>
      <c r="D51" s="18"/>
      <c r="E51" s="7">
        <f>D51*B51</f>
        <v>0</v>
      </c>
      <c r="F51" s="7">
        <f>+E51/$B$5</f>
        <v>0</v>
      </c>
      <c r="G51" s="7">
        <f>E51/$G$10</f>
        <v>0</v>
      </c>
      <c r="H51" s="7">
        <f>+E51/$B$8</f>
        <v>0</v>
      </c>
      <c r="I51" s="7">
        <f t="shared" si="2"/>
        <v>0</v>
      </c>
      <c r="J51" s="7" t="e">
        <f>+E51/#REF!</f>
        <v>#REF!</v>
      </c>
    </row>
    <row r="52" spans="1:10" ht="13.8" thickBot="1" x14ac:dyDescent="0.3">
      <c r="A52" s="201" t="s">
        <v>40</v>
      </c>
      <c r="B52" s="202"/>
      <c r="C52" s="202"/>
      <c r="D52" s="202"/>
      <c r="E52" s="15">
        <f>SUM(E44:E51)</f>
        <v>22631.474634343213</v>
      </c>
      <c r="F52" s="16">
        <f>SUM(F44:F51)</f>
        <v>7.1845951220137181</v>
      </c>
      <c r="G52" s="16">
        <f>SUM(G44:G51)</f>
        <v>9.6686132122847006</v>
      </c>
      <c r="H52" s="16">
        <f>SUM(H44:H51)</f>
        <v>0.45865369127008948</v>
      </c>
      <c r="I52" s="16">
        <f>SUM(I44:I51)</f>
        <v>4.1910138211746695</v>
      </c>
      <c r="J52" s="16">
        <f>SUM(J44:J47)</f>
        <v>0.59068420510370134</v>
      </c>
    </row>
    <row r="53" spans="1:10" ht="13.8" thickBot="1" x14ac:dyDescent="0.3">
      <c r="A53" s="203" t="s">
        <v>41</v>
      </c>
      <c r="B53" s="204"/>
      <c r="C53" s="204"/>
      <c r="D53" s="205"/>
      <c r="E53" s="19">
        <f>E52+E43+E15+E36</f>
        <v>224015.41815374541</v>
      </c>
      <c r="F53" s="19">
        <f>F52+F43+F15+F36</f>
        <v>71.116005763093781</v>
      </c>
      <c r="G53" s="19">
        <f>G52+G43+G15</f>
        <v>188.33701358984302</v>
      </c>
      <c r="H53" s="19">
        <f>H52+H43+H15+H36</f>
        <v>4.3501308607271367</v>
      </c>
      <c r="I53" s="19">
        <f>I52+I43+I15+I36</f>
        <v>41.48433669513804</v>
      </c>
      <c r="J53" s="19">
        <f>J52+J43+J15+J36</f>
        <v>5.8468293092275783</v>
      </c>
    </row>
    <row r="54" spans="1:10" x14ac:dyDescent="0.25">
      <c r="A54" s="8" t="s">
        <v>42</v>
      </c>
      <c r="B54" s="6">
        <f>E53</f>
        <v>224015.41815374541</v>
      </c>
      <c r="C54" s="6" t="s">
        <v>20</v>
      </c>
      <c r="D54" s="14">
        <v>0.19</v>
      </c>
      <c r="E54" s="7">
        <f>D54*B54</f>
        <v>42562.929449211631</v>
      </c>
      <c r="F54" s="7">
        <f>E54/$B$5</f>
        <v>13.51204109498782</v>
      </c>
      <c r="G54" s="7">
        <f>E54/$G$10</f>
        <v>23.386224972094304</v>
      </c>
      <c r="H54" s="7">
        <f>+E54/'[1]Temps de transports'!$E$46</f>
        <v>1.0028020320707669</v>
      </c>
      <c r="I54" s="7">
        <f>+E54/$B$3</f>
        <v>7.8820239720762277</v>
      </c>
      <c r="J54" s="7">
        <f>+E54/$B$4</f>
        <v>1.1108975687532399</v>
      </c>
    </row>
    <row r="55" spans="1:10" ht="13.8" thickBot="1" x14ac:dyDescent="0.3">
      <c r="A55" s="20" t="s">
        <v>43</v>
      </c>
      <c r="B55" s="21">
        <f>B54</f>
        <v>224015.41815374541</v>
      </c>
      <c r="C55" s="21" t="s">
        <v>20</v>
      </c>
      <c r="D55" s="22">
        <v>0.01</v>
      </c>
      <c r="E55" s="23">
        <f>D55*B55</f>
        <v>2240.1541815374544</v>
      </c>
      <c r="F55" s="23">
        <f>E55/$B$5</f>
        <v>0.71116005763093793</v>
      </c>
      <c r="G55" s="7">
        <f>E55/$G$10</f>
        <v>1.2308539458997003</v>
      </c>
      <c r="H55" s="23">
        <f>+E55/'[1]Temps de transports'!$E$46</f>
        <v>5.2779054319514053E-2</v>
      </c>
      <c r="I55" s="23">
        <f>+E55/$B$3</f>
        <v>0.41484336695138047</v>
      </c>
      <c r="J55" s="23">
        <f>+E55/$B$4</f>
        <v>5.8468293092275782E-2</v>
      </c>
    </row>
    <row r="56" spans="1:10" ht="13.8" thickBot="1" x14ac:dyDescent="0.3">
      <c r="A56" s="195" t="s">
        <v>44</v>
      </c>
      <c r="B56" s="196"/>
      <c r="C56" s="196"/>
      <c r="D56" s="197"/>
      <c r="E56" s="24">
        <f t="shared" ref="E56:J56" si="3">E53+E54+E55</f>
        <v>268818.5017844945</v>
      </c>
      <c r="F56" s="24">
        <f t="shared" si="3"/>
        <v>85.339206915712538</v>
      </c>
      <c r="G56" s="24">
        <f t="shared" si="3"/>
        <v>212.95409250783703</v>
      </c>
      <c r="H56" s="24">
        <f t="shared" si="3"/>
        <v>5.4057119471174184</v>
      </c>
      <c r="I56" s="24">
        <f t="shared" si="3"/>
        <v>49.781204034165647</v>
      </c>
      <c r="J56" s="24">
        <f t="shared" si="3"/>
        <v>7.0161951710730941</v>
      </c>
    </row>
  </sheetData>
  <mergeCells count="7">
    <mergeCell ref="A1:J1"/>
    <mergeCell ref="A56:D56"/>
    <mergeCell ref="A36:D36"/>
    <mergeCell ref="A15:D15"/>
    <mergeCell ref="A43:D43"/>
    <mergeCell ref="A52:D52"/>
    <mergeCell ref="A53:D53"/>
  </mergeCells>
  <phoneticPr fontId="2" type="noConversion"/>
  <printOptions horizontalCentered="1"/>
  <pageMargins left="0.23622047244094491" right="0.23622047244094491" top="0.43307086614173229" bottom="0.3" header="0.23622047244094491" footer="0.19"/>
  <pageSetup paperSize="9" scale="63" orientation="portrait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N56"/>
  <sheetViews>
    <sheetView workbookViewId="0">
      <selection activeCell="M2" sqref="M2"/>
    </sheetView>
  </sheetViews>
  <sheetFormatPr baseColWidth="10" defaultRowHeight="13.2" x14ac:dyDescent="0.25"/>
  <cols>
    <col min="1" max="1" width="32.33203125" customWidth="1"/>
    <col min="2" max="2" width="12.88671875" style="51" bestFit="1" customWidth="1"/>
    <col min="3" max="3" width="10" bestFit="1" customWidth="1"/>
    <col min="4" max="4" width="9.6640625" bestFit="1" customWidth="1"/>
    <col min="5" max="5" width="10.88671875" bestFit="1" customWidth="1"/>
    <col min="6" max="6" width="9.6640625" bestFit="1" customWidth="1"/>
    <col min="7" max="7" width="9.6640625" hidden="1" customWidth="1"/>
    <col min="8" max="10" width="9.88671875" bestFit="1" customWidth="1"/>
    <col min="12" max="12" width="12.88671875" bestFit="1" customWidth="1"/>
  </cols>
  <sheetData>
    <row r="1" spans="1:10" ht="18" thickBot="1" x14ac:dyDescent="0.35">
      <c r="A1" s="192" t="s">
        <v>127</v>
      </c>
      <c r="B1" s="193"/>
      <c r="C1" s="193"/>
      <c r="D1" s="193"/>
      <c r="E1" s="193"/>
      <c r="F1" s="193"/>
      <c r="G1" s="193"/>
      <c r="H1" s="193"/>
      <c r="I1" s="193"/>
      <c r="J1" s="194"/>
    </row>
    <row r="2" spans="1:10" ht="13.8" thickBot="1" x14ac:dyDescent="0.3">
      <c r="A2" s="25"/>
      <c r="B2" s="50"/>
      <c r="C2" s="25"/>
      <c r="D2" s="25"/>
      <c r="E2" s="25"/>
      <c r="F2" s="25"/>
      <c r="G2" s="25"/>
      <c r="H2" s="25"/>
      <c r="I2" s="25"/>
      <c r="J2" s="25"/>
    </row>
    <row r="3" spans="1:10" x14ac:dyDescent="0.25">
      <c r="A3" s="38" t="s">
        <v>46</v>
      </c>
      <c r="B3" s="39">
        <f>'données de base CCCL'!B13</f>
        <v>2200</v>
      </c>
      <c r="C3" s="40"/>
      <c r="D3" s="41"/>
      <c r="E3" s="25"/>
      <c r="F3" s="25"/>
      <c r="G3" s="25"/>
      <c r="H3" s="25"/>
      <c r="I3" s="25"/>
      <c r="J3" s="25"/>
    </row>
    <row r="4" spans="1:10" x14ac:dyDescent="0.25">
      <c r="A4" s="42" t="s">
        <v>1</v>
      </c>
      <c r="B4" s="55">
        <f>'données de base CCCL'!C13</f>
        <v>38314</v>
      </c>
      <c r="C4" s="44"/>
      <c r="D4" s="45"/>
    </row>
    <row r="5" spans="1:10" x14ac:dyDescent="0.25">
      <c r="A5" s="42" t="s">
        <v>47</v>
      </c>
      <c r="B5" s="43">
        <f>C5*1820</f>
        <v>1283.2933333333333</v>
      </c>
      <c r="C5" s="44">
        <f>'RATIO COLLECTE DV '!G57</f>
        <v>0.70510622710622706</v>
      </c>
      <c r="D5" s="45" t="s">
        <v>51</v>
      </c>
    </row>
    <row r="6" spans="1:10" x14ac:dyDescent="0.25">
      <c r="A6" s="42" t="s">
        <v>48</v>
      </c>
      <c r="B6" s="43">
        <f>B5</f>
        <v>1283.2933333333333</v>
      </c>
      <c r="C6" s="44">
        <f>C5</f>
        <v>0.70510622710622706</v>
      </c>
      <c r="D6" s="45" t="s">
        <v>51</v>
      </c>
    </row>
    <row r="7" spans="1:10" x14ac:dyDescent="0.25">
      <c r="A7" s="42" t="s">
        <v>49</v>
      </c>
      <c r="B7" s="43">
        <f>B6</f>
        <v>1283.2933333333333</v>
      </c>
      <c r="C7" s="44">
        <f>C6</f>
        <v>0.70510622710622706</v>
      </c>
      <c r="D7" s="45" t="s">
        <v>51</v>
      </c>
    </row>
    <row r="8" spans="1:10" ht="13.8" thickBot="1" x14ac:dyDescent="0.3">
      <c r="A8" s="46" t="s">
        <v>50</v>
      </c>
      <c r="B8" s="47">
        <f>'RATIO COLLECTE DV '!F71</f>
        <v>21082.333333333332</v>
      </c>
      <c r="C8" s="48"/>
      <c r="D8" s="49"/>
    </row>
    <row r="9" spans="1:10" ht="13.8" thickBot="1" x14ac:dyDescent="0.3"/>
    <row r="10" spans="1:10" ht="29.4" thickBot="1" x14ac:dyDescent="0.3">
      <c r="A10" s="3" t="s">
        <v>4</v>
      </c>
      <c r="B10" s="4" t="s">
        <v>5</v>
      </c>
      <c r="C10" s="4" t="s">
        <v>6</v>
      </c>
      <c r="D10" s="5" t="s">
        <v>7</v>
      </c>
      <c r="E10" s="5" t="s">
        <v>8</v>
      </c>
      <c r="F10" s="5" t="s">
        <v>9</v>
      </c>
      <c r="G10" s="5">
        <v>1820</v>
      </c>
      <c r="H10" s="5" t="s">
        <v>10</v>
      </c>
      <c r="I10" s="5" t="s">
        <v>75</v>
      </c>
      <c r="J10" s="5" t="s">
        <v>78</v>
      </c>
    </row>
    <row r="11" spans="1:10" x14ac:dyDescent="0.25">
      <c r="A11" s="32" t="s">
        <v>11</v>
      </c>
      <c r="B11" s="6"/>
      <c r="C11" s="6"/>
      <c r="D11" s="7"/>
      <c r="E11" s="7"/>
      <c r="F11" s="7"/>
      <c r="G11" s="7"/>
      <c r="H11" s="7"/>
      <c r="I11" s="7"/>
      <c r="J11" s="7"/>
    </row>
    <row r="12" spans="1:10" x14ac:dyDescent="0.25">
      <c r="A12" s="8" t="s">
        <v>12</v>
      </c>
      <c r="B12" s="6">
        <f>(130000-(130000*36%))/5</f>
        <v>16640</v>
      </c>
      <c r="C12" s="6" t="s">
        <v>13</v>
      </c>
      <c r="D12" s="7">
        <f>C5</f>
        <v>0.70510622710622706</v>
      </c>
      <c r="E12" s="7">
        <f>D12*B12</f>
        <v>11732.967619047618</v>
      </c>
      <c r="F12" s="7">
        <f>+E12/$B$5</f>
        <v>9.1428571428571423</v>
      </c>
      <c r="G12" s="7">
        <f>E12/$G$10</f>
        <v>6.4466855049712191</v>
      </c>
      <c r="H12" s="7">
        <f>+E12/$B$8</f>
        <v>0.55653078971560477</v>
      </c>
      <c r="I12" s="7">
        <f>+E12/$B$3</f>
        <v>5.333167099567099</v>
      </c>
      <c r="J12" s="7">
        <f>+E12/$B$4</f>
        <v>0.30623186352371506</v>
      </c>
    </row>
    <row r="13" spans="1:10" x14ac:dyDescent="0.25">
      <c r="A13" s="8" t="s">
        <v>14</v>
      </c>
      <c r="B13" s="28">
        <v>0.12</v>
      </c>
      <c r="C13" s="6" t="s">
        <v>20</v>
      </c>
      <c r="D13" s="7">
        <f>D12</f>
        <v>0.70510622710622706</v>
      </c>
      <c r="E13" s="7">
        <f>+E12*B13</f>
        <v>1407.9561142857142</v>
      </c>
      <c r="F13" s="7">
        <f>+E13/$B$5</f>
        <v>1.0971428571428572</v>
      </c>
      <c r="G13" s="7">
        <f>E13/$G$10</f>
        <v>0.77360226059654624</v>
      </c>
      <c r="H13" s="7">
        <f>+E13/$B$8</f>
        <v>6.6783694765872578E-2</v>
      </c>
      <c r="I13" s="7">
        <f>+E13/$B$3</f>
        <v>0.63998005194805185</v>
      </c>
      <c r="J13" s="7">
        <f>+E13/$B$4</f>
        <v>3.6747823622845809E-2</v>
      </c>
    </row>
    <row r="14" spans="1:10" ht="13.8" thickBot="1" x14ac:dyDescent="0.3">
      <c r="A14" s="9" t="s">
        <v>53</v>
      </c>
      <c r="B14" s="10">
        <f>5000/7</f>
        <v>714.28571428571433</v>
      </c>
      <c r="C14" s="10" t="s">
        <v>13</v>
      </c>
      <c r="D14" s="11">
        <f>D13</f>
        <v>0.70510622710622706</v>
      </c>
      <c r="E14" s="11">
        <f>D14*B14</f>
        <v>503.64730507587649</v>
      </c>
      <c r="F14" s="7">
        <f>+E14/$B$5</f>
        <v>0.39246467817896391</v>
      </c>
      <c r="G14" s="7">
        <f>E14/$G$10</f>
        <v>0.27672928850322887</v>
      </c>
      <c r="H14" s="7">
        <f>+E14/$B$8</f>
        <v>2.3889542827764631E-2</v>
      </c>
      <c r="I14" s="7">
        <f>+E14/$B$3</f>
        <v>0.22893059321630749</v>
      </c>
      <c r="J14" s="7">
        <f>+E14/$B$4</f>
        <v>1.3145255130653977E-2</v>
      </c>
    </row>
    <row r="15" spans="1:10" ht="13.8" thickBot="1" x14ac:dyDescent="0.3">
      <c r="A15" s="198" t="s">
        <v>15</v>
      </c>
      <c r="B15" s="199"/>
      <c r="C15" s="199"/>
      <c r="D15" s="200"/>
      <c r="E15" s="12">
        <f t="shared" ref="E15:J15" si="0">SUM(E12:E14)</f>
        <v>13644.571038409209</v>
      </c>
      <c r="F15" s="13">
        <f t="shared" si="0"/>
        <v>10.632464678178964</v>
      </c>
      <c r="G15" s="13">
        <f t="shared" si="0"/>
        <v>7.4970170540709944</v>
      </c>
      <c r="H15" s="13">
        <f t="shared" si="0"/>
        <v>0.64720402730924198</v>
      </c>
      <c r="I15" s="13">
        <f t="shared" si="0"/>
        <v>6.2020777447314579</v>
      </c>
      <c r="J15" s="13">
        <f t="shared" si="0"/>
        <v>0.35612494227721481</v>
      </c>
    </row>
    <row r="16" spans="1:10" x14ac:dyDescent="0.25">
      <c r="A16" s="32" t="s">
        <v>55</v>
      </c>
      <c r="B16" s="6"/>
      <c r="C16" s="6"/>
      <c r="D16" s="7"/>
      <c r="E16" s="7"/>
      <c r="F16" s="7"/>
      <c r="G16" s="7"/>
      <c r="H16" s="7"/>
      <c r="I16" s="7"/>
      <c r="J16" s="7"/>
    </row>
    <row r="17" spans="1:10" x14ac:dyDescent="0.25">
      <c r="A17" s="27" t="s">
        <v>16</v>
      </c>
      <c r="B17" s="6"/>
      <c r="C17" s="6"/>
      <c r="D17" s="7"/>
      <c r="E17" s="7"/>
      <c r="F17" s="7"/>
      <c r="G17" s="7"/>
      <c r="H17" s="7"/>
      <c r="I17" s="7"/>
      <c r="J17" s="7"/>
    </row>
    <row r="18" spans="1:10" x14ac:dyDescent="0.25">
      <c r="A18" s="27" t="s">
        <v>17</v>
      </c>
      <c r="B18" s="6">
        <f>+'Enc lot 1'!B18</f>
        <v>22105.512000000002</v>
      </c>
      <c r="C18" s="6" t="s">
        <v>18</v>
      </c>
      <c r="D18" s="7">
        <f>D14</f>
        <v>0.70510622710622706</v>
      </c>
      <c r="E18" s="7">
        <f>D18*B18</f>
        <v>15586.73416457143</v>
      </c>
      <c r="F18" s="7">
        <f>+E18/$B$5</f>
        <v>12.145885714285715</v>
      </c>
      <c r="G18" s="7">
        <f>E18/$G$10</f>
        <v>8.5641396508634227</v>
      </c>
      <c r="H18" s="7">
        <f>+E18/$B$8</f>
        <v>0.739326805915131</v>
      </c>
      <c r="I18" s="7">
        <f>+E18/$B$3</f>
        <v>7.0848791657142858</v>
      </c>
      <c r="J18" s="7">
        <f>+E18/$B$4</f>
        <v>0.40681563304722634</v>
      </c>
    </row>
    <row r="19" spans="1:10" x14ac:dyDescent="0.25">
      <c r="A19" s="27" t="s">
        <v>72</v>
      </c>
      <c r="B19" s="6">
        <f>+'Enc lot 1'!B19</f>
        <v>1706.3990784</v>
      </c>
      <c r="C19" s="6" t="s">
        <v>18</v>
      </c>
      <c r="D19" s="7">
        <f>D14</f>
        <v>0.70510622710622706</v>
      </c>
      <c r="E19" s="7">
        <f>D19*B19</f>
        <v>1203.1926161081669</v>
      </c>
      <c r="F19" s="7">
        <f>+E19/$B$5</f>
        <v>0.9375819112087912</v>
      </c>
      <c r="G19" s="7">
        <f>E19/$G$10</f>
        <v>0.66109484401547636</v>
      </c>
      <c r="H19" s="7">
        <f>+E19/$B$8</f>
        <v>5.7071131410572851E-2</v>
      </c>
      <c r="I19" s="7">
        <f>+E19/$B$3</f>
        <v>0.54690573459462133</v>
      </c>
      <c r="J19" s="7">
        <f>+E19/$B$4</f>
        <v>3.1403471736393143E-2</v>
      </c>
    </row>
    <row r="20" spans="1:10" ht="12" customHeight="1" x14ac:dyDescent="0.25">
      <c r="A20" s="27" t="s">
        <v>19</v>
      </c>
      <c r="B20" s="6">
        <f>+'Enc lot 1'!B20</f>
        <v>8842.2048000000013</v>
      </c>
      <c r="C20" s="6" t="s">
        <v>18</v>
      </c>
      <c r="D20" s="7">
        <f>D14</f>
        <v>0.70510622710622706</v>
      </c>
      <c r="E20" s="7">
        <f>D20*B20</f>
        <v>6234.6936658285722</v>
      </c>
      <c r="F20" s="7">
        <f>+E20/$B$5</f>
        <v>4.8583542857142863</v>
      </c>
      <c r="G20" s="7">
        <f>E20/$G$10</f>
        <v>3.4256558603453695</v>
      </c>
      <c r="H20" s="7">
        <f>+E20/$B$8</f>
        <v>0.29573072236605241</v>
      </c>
      <c r="I20" s="7">
        <f>+E20/$B$3</f>
        <v>2.8339516662857145</v>
      </c>
      <c r="J20" s="7">
        <f>+E20/$B$4</f>
        <v>0.16272625321889053</v>
      </c>
    </row>
    <row r="21" spans="1:10" ht="12" customHeight="1" x14ac:dyDescent="0.25">
      <c r="A21" s="27" t="s">
        <v>54</v>
      </c>
      <c r="B21" s="6">
        <f>+'Enc lot 1'!B21</f>
        <v>32654.115878400007</v>
      </c>
      <c r="C21" s="6" t="s">
        <v>20</v>
      </c>
      <c r="D21" s="14">
        <v>0.1</v>
      </c>
      <c r="E21" s="7">
        <f>D21*B21*D19</f>
        <v>2302.462044650817</v>
      </c>
      <c r="F21" s="7">
        <f>+E21/$B$5</f>
        <v>1.7941821911208795</v>
      </c>
      <c r="G21" s="7">
        <f>E21/$G$10</f>
        <v>1.2650890355224269</v>
      </c>
      <c r="H21" s="7">
        <f>+E21/$B$8</f>
        <v>0.10921286596917563</v>
      </c>
      <c r="I21" s="7">
        <f>+E21/$B$3</f>
        <v>1.0465736566594623</v>
      </c>
      <c r="J21" s="7">
        <f>+E21/$B$4</f>
        <v>6.0094535800251002E-2</v>
      </c>
    </row>
    <row r="22" spans="1:10" ht="12" customHeight="1" x14ac:dyDescent="0.25">
      <c r="A22" s="27"/>
      <c r="B22" s="6"/>
      <c r="C22" s="6"/>
      <c r="D22" s="14"/>
      <c r="E22" s="7"/>
      <c r="F22" s="7"/>
      <c r="G22" s="7"/>
      <c r="H22" s="7"/>
      <c r="I22" s="7"/>
      <c r="J22" s="7"/>
    </row>
    <row r="23" spans="1:10" ht="12" customHeight="1" x14ac:dyDescent="0.25">
      <c r="A23" s="27" t="s">
        <v>29</v>
      </c>
      <c r="B23" s="6"/>
      <c r="C23" s="6"/>
      <c r="D23" s="7"/>
      <c r="E23" s="7"/>
      <c r="F23" s="7"/>
      <c r="G23" s="7"/>
      <c r="H23" s="7"/>
      <c r="I23" s="7"/>
      <c r="J23" s="7"/>
    </row>
    <row r="24" spans="1:10" ht="12" customHeight="1" x14ac:dyDescent="0.25">
      <c r="A24" s="27" t="s">
        <v>30</v>
      </c>
      <c r="B24" s="6">
        <v>350</v>
      </c>
      <c r="C24" s="6" t="s">
        <v>18</v>
      </c>
      <c r="D24" s="7">
        <f>D20</f>
        <v>0.70510622710622706</v>
      </c>
      <c r="E24" s="7">
        <f>D24*B24</f>
        <v>246.78717948717946</v>
      </c>
      <c r="F24" s="7">
        <f>+E24/$B$5</f>
        <v>0.19230769230769229</v>
      </c>
      <c r="G24" s="7">
        <f>E24/$G$10</f>
        <v>0.13559735136658213</v>
      </c>
      <c r="H24" s="7">
        <f>+E24/$B$8</f>
        <v>1.1705875985604668E-2</v>
      </c>
      <c r="I24" s="7">
        <f>+E24/$B$3</f>
        <v>0.11217599067599067</v>
      </c>
      <c r="J24" s="7">
        <f>+E24/$B$4</f>
        <v>6.4411750140204484E-3</v>
      </c>
    </row>
    <row r="25" spans="1:10" ht="12" customHeight="1" x14ac:dyDescent="0.25">
      <c r="A25" s="27" t="s">
        <v>31</v>
      </c>
      <c r="B25" s="6">
        <f>15*12</f>
        <v>180</v>
      </c>
      <c r="C25" s="6" t="s">
        <v>18</v>
      </c>
      <c r="D25" s="7">
        <f>D19</f>
        <v>0.70510622710622706</v>
      </c>
      <c r="E25" s="7">
        <f>D25*B25</f>
        <v>126.91912087912087</v>
      </c>
      <c r="F25" s="7">
        <f>+E25/$B$5</f>
        <v>9.8901098901098897E-2</v>
      </c>
      <c r="G25" s="7">
        <f>E25/$G$10</f>
        <v>6.9735780702813666E-2</v>
      </c>
      <c r="H25" s="7">
        <f>+E25/$B$8</f>
        <v>6.0201647925966868E-3</v>
      </c>
      <c r="I25" s="7">
        <f>+E25/$B$3</f>
        <v>5.7690509490509488E-2</v>
      </c>
      <c r="J25" s="7">
        <f>+E25/$B$4</f>
        <v>3.3126042929248023E-3</v>
      </c>
    </row>
    <row r="26" spans="1:10" ht="12" customHeight="1" x14ac:dyDescent="0.25">
      <c r="A26" s="27"/>
      <c r="B26" s="6"/>
      <c r="C26" s="6"/>
      <c r="D26" s="7"/>
      <c r="E26" s="7"/>
      <c r="F26" s="7"/>
      <c r="G26" s="7"/>
      <c r="H26" s="7"/>
      <c r="I26" s="7"/>
      <c r="J26" s="7"/>
    </row>
    <row r="27" spans="1:10" ht="12" customHeight="1" x14ac:dyDescent="0.25">
      <c r="A27" s="27" t="s">
        <v>45</v>
      </c>
      <c r="B27" s="6"/>
      <c r="C27" s="6"/>
      <c r="D27" s="7"/>
      <c r="E27" s="7"/>
      <c r="F27" s="7"/>
      <c r="G27" s="7"/>
      <c r="H27" s="7"/>
      <c r="I27" s="7"/>
      <c r="J27" s="7"/>
    </row>
    <row r="28" spans="1:10" ht="12" customHeight="1" x14ac:dyDescent="0.25">
      <c r="A28" s="27" t="s">
        <v>17</v>
      </c>
      <c r="B28" s="6">
        <f>+'Enc lot 1'!B28</f>
        <v>21329.879999999997</v>
      </c>
      <c r="C28" s="6" t="s">
        <v>18</v>
      </c>
      <c r="D28" s="7">
        <f>C7</f>
        <v>0.70510622710622706</v>
      </c>
      <c r="E28" s="7">
        <f>D28*B28</f>
        <v>15039.831211428569</v>
      </c>
      <c r="F28" s="7">
        <f>+E28/$B$5</f>
        <v>11.719714285714284</v>
      </c>
      <c r="G28" s="7">
        <f>E28/$G$10</f>
        <v>8.2636435227629494</v>
      </c>
      <c r="H28" s="7">
        <f>+E28/$B$8</f>
        <v>0.71338551447951226</v>
      </c>
      <c r="I28" s="7">
        <f>+E28/$B$3</f>
        <v>6.8362869142857132</v>
      </c>
      <c r="J28" s="7">
        <f>+E28/$B$4</f>
        <v>0.39254140030872708</v>
      </c>
    </row>
    <row r="29" spans="1:10" ht="12" customHeight="1" x14ac:dyDescent="0.25">
      <c r="A29" s="27" t="s">
        <v>72</v>
      </c>
      <c r="B29" s="6">
        <f>+'Enc lot 1'!B29</f>
        <v>1706.3990784</v>
      </c>
      <c r="C29" s="6" t="s">
        <v>18</v>
      </c>
      <c r="D29" s="7">
        <f>D28</f>
        <v>0.70510622710622706</v>
      </c>
      <c r="E29" s="7">
        <f>D29*B29</f>
        <v>1203.1926161081669</v>
      </c>
      <c r="F29" s="7">
        <f>+E29/$B$5</f>
        <v>0.9375819112087912</v>
      </c>
      <c r="G29" s="7">
        <f>E29/$G$10</f>
        <v>0.66109484401547636</v>
      </c>
      <c r="H29" s="7">
        <f>+E29/$B$8</f>
        <v>5.7071131410572851E-2</v>
      </c>
      <c r="I29" s="7">
        <f>+E29/$B$3</f>
        <v>0.54690573459462133</v>
      </c>
      <c r="J29" s="7">
        <f>+E29/$B$4</f>
        <v>3.1403471736393143E-2</v>
      </c>
    </row>
    <row r="30" spans="1:10" ht="12" customHeight="1" x14ac:dyDescent="0.25">
      <c r="A30" s="27" t="s">
        <v>19</v>
      </c>
      <c r="B30" s="6">
        <f>+'Enc lot 1'!B30</f>
        <v>8531.9519999999993</v>
      </c>
      <c r="C30" s="6" t="s">
        <v>18</v>
      </c>
      <c r="D30" s="7">
        <f>D29</f>
        <v>0.70510622710622706</v>
      </c>
      <c r="E30" s="7">
        <f>D30*B30</f>
        <v>6015.9324845714273</v>
      </c>
      <c r="F30" s="7">
        <f>E30/$B$5</f>
        <v>4.6878857142857138</v>
      </c>
      <c r="G30" s="7">
        <f>E30/$G$10</f>
        <v>3.3054574091051796</v>
      </c>
      <c r="H30" s="7">
        <f>+E30/$B$8</f>
        <v>0.28535420579180487</v>
      </c>
      <c r="I30" s="7">
        <f>+E30/$B$3</f>
        <v>2.7345147657142852</v>
      </c>
      <c r="J30" s="7">
        <f>+E30/$B$4</f>
        <v>0.15701656012349083</v>
      </c>
    </row>
    <row r="31" spans="1:10" ht="12" customHeight="1" x14ac:dyDescent="0.25">
      <c r="A31" s="27" t="s">
        <v>54</v>
      </c>
      <c r="B31" s="6">
        <f>+'Enc lot 1'!B31</f>
        <v>31568.2310784</v>
      </c>
      <c r="C31" s="6" t="s">
        <v>20</v>
      </c>
      <c r="D31" s="14">
        <v>0.1</v>
      </c>
      <c r="E31" s="7">
        <f>D31*B31*D29</f>
        <v>2225.8956312108166</v>
      </c>
      <c r="F31" s="7">
        <f>E31/$B$5</f>
        <v>1.7345181911208791</v>
      </c>
      <c r="G31" s="7">
        <f>E31/$G$10</f>
        <v>1.2230195775883608</v>
      </c>
      <c r="H31" s="7">
        <f>+E31/$B$8</f>
        <v>0.10558108516818901</v>
      </c>
      <c r="I31" s="7">
        <f>+E31/$B$3</f>
        <v>1.0117707414594621</v>
      </c>
      <c r="J31" s="7">
        <f>+E31/$B$4</f>
        <v>5.8096143216861115E-2</v>
      </c>
    </row>
    <row r="32" spans="1:10" ht="12" customHeight="1" x14ac:dyDescent="0.25">
      <c r="A32" s="27"/>
      <c r="B32" s="6"/>
      <c r="C32" s="6"/>
      <c r="D32" s="14"/>
      <c r="E32" s="7"/>
      <c r="F32" s="7"/>
      <c r="G32" s="7"/>
      <c r="H32" s="7"/>
      <c r="I32" s="7"/>
      <c r="J32" s="7"/>
    </row>
    <row r="33" spans="1:14" ht="12" customHeight="1" x14ac:dyDescent="0.25">
      <c r="A33" s="27" t="s">
        <v>29</v>
      </c>
      <c r="B33" s="6"/>
      <c r="C33" s="6"/>
      <c r="D33" s="7"/>
      <c r="E33" s="7"/>
      <c r="F33" s="7"/>
      <c r="G33" s="7"/>
      <c r="H33" s="7"/>
      <c r="I33" s="7"/>
      <c r="J33" s="7"/>
    </row>
    <row r="34" spans="1:14" ht="12" customHeight="1" x14ac:dyDescent="0.25">
      <c r="A34" s="27" t="s">
        <v>30</v>
      </c>
      <c r="B34" s="6">
        <f>B24</f>
        <v>350</v>
      </c>
      <c r="C34" s="6" t="s">
        <v>18</v>
      </c>
      <c r="D34" s="7">
        <f>D30</f>
        <v>0.70510622710622706</v>
      </c>
      <c r="E34" s="7">
        <f>D34*B34</f>
        <v>246.78717948717946</v>
      </c>
      <c r="F34" s="7">
        <f>E34/$B$5</f>
        <v>0.19230769230769229</v>
      </c>
      <c r="G34" s="7">
        <f>E34/$G$10</f>
        <v>0.13559735136658213</v>
      </c>
      <c r="H34" s="7">
        <f>+E34/$B$8</f>
        <v>1.1705875985604668E-2</v>
      </c>
      <c r="I34" s="7">
        <f>+E34/$B$3</f>
        <v>0.11217599067599067</v>
      </c>
      <c r="J34" s="7">
        <f>+E34/$B$4</f>
        <v>6.4411750140204484E-3</v>
      </c>
    </row>
    <row r="35" spans="1:14" ht="12" customHeight="1" thickBot="1" x14ac:dyDescent="0.3">
      <c r="A35" s="27" t="s">
        <v>31</v>
      </c>
      <c r="B35" s="6"/>
      <c r="C35" s="6" t="s">
        <v>18</v>
      </c>
      <c r="D35" s="7">
        <f>D29</f>
        <v>0.70510622710622706</v>
      </c>
      <c r="E35" s="7">
        <f>D35*B35</f>
        <v>0</v>
      </c>
      <c r="F35" s="7">
        <f>+E35/$B$5</f>
        <v>0</v>
      </c>
      <c r="G35" s="7">
        <f>E35/$G$10</f>
        <v>0</v>
      </c>
      <c r="H35" s="7">
        <f>+E35/$B$8</f>
        <v>0</v>
      </c>
      <c r="I35" s="7">
        <f>+E35/$B$3</f>
        <v>0</v>
      </c>
      <c r="J35" s="7">
        <f>+F35/$B$3</f>
        <v>0</v>
      </c>
    </row>
    <row r="36" spans="1:14" ht="13.8" thickBot="1" x14ac:dyDescent="0.3">
      <c r="A36" s="198" t="s">
        <v>52</v>
      </c>
      <c r="B36" s="199"/>
      <c r="C36" s="199"/>
      <c r="D36" s="199"/>
      <c r="E36" s="15">
        <f t="shared" ref="E36:J36" si="1">SUM(E16:E35)</f>
        <v>50432.427914331442</v>
      </c>
      <c r="F36" s="15">
        <f t="shared" si="1"/>
        <v>39.299220688175815</v>
      </c>
      <c r="G36" s="15">
        <f t="shared" si="1"/>
        <v>27.71012522765464</v>
      </c>
      <c r="H36" s="15">
        <f t="shared" si="1"/>
        <v>2.3921653792748163</v>
      </c>
      <c r="I36" s="15">
        <f t="shared" si="1"/>
        <v>22.923830870150653</v>
      </c>
      <c r="J36" s="15">
        <f t="shared" si="1"/>
        <v>1.3162924235091991</v>
      </c>
    </row>
    <row r="37" spans="1:14" x14ac:dyDescent="0.25">
      <c r="A37" s="33" t="s">
        <v>21</v>
      </c>
      <c r="B37" s="6"/>
      <c r="C37" s="6"/>
      <c r="D37" s="7"/>
      <c r="E37" s="7"/>
      <c r="F37" s="7"/>
      <c r="G37" s="7"/>
      <c r="H37" s="7"/>
      <c r="I37" s="7"/>
      <c r="J37" s="7"/>
    </row>
    <row r="38" spans="1:14" x14ac:dyDescent="0.25">
      <c r="A38" s="27" t="s">
        <v>22</v>
      </c>
      <c r="B38" s="6">
        <v>5000</v>
      </c>
      <c r="C38" s="6" t="s">
        <v>23</v>
      </c>
      <c r="D38" s="7">
        <f>C5</f>
        <v>0.70510622710622706</v>
      </c>
      <c r="E38" s="7">
        <f>D38*B38</f>
        <v>3525.5311355311351</v>
      </c>
      <c r="F38" s="7">
        <f>E38/$B$5</f>
        <v>2.7472527472527468</v>
      </c>
      <c r="G38" s="7">
        <f>E38/$G$10</f>
        <v>1.9371050195226016</v>
      </c>
      <c r="H38" s="7">
        <f>+E38/$B$8</f>
        <v>0.1672267997943524</v>
      </c>
      <c r="I38" s="7">
        <f>+E38/$B$3</f>
        <v>1.6025141525141524</v>
      </c>
      <c r="J38" s="7">
        <f>+E38/$B$4</f>
        <v>9.2016785914577834E-2</v>
      </c>
    </row>
    <row r="39" spans="1:14" x14ac:dyDescent="0.25">
      <c r="A39" s="27" t="s">
        <v>24</v>
      </c>
      <c r="B39" s="6">
        <v>1</v>
      </c>
      <c r="C39" s="6" t="s">
        <v>25</v>
      </c>
      <c r="D39" s="7">
        <f>55*B8/100</f>
        <v>11595.283333333333</v>
      </c>
      <c r="E39" s="7">
        <f>D39*B39</f>
        <v>11595.283333333333</v>
      </c>
      <c r="F39" s="7">
        <f>E39/$B$5</f>
        <v>9.0355673423587231</v>
      </c>
      <c r="G39" s="7">
        <f>E39/$G$10</f>
        <v>6.3710347985347981</v>
      </c>
      <c r="H39" s="7">
        <f>+E39/$B$8</f>
        <v>0.55000000000000004</v>
      </c>
      <c r="I39" s="7">
        <f>+E39/$B$3</f>
        <v>5.2705833333333327</v>
      </c>
      <c r="J39" s="7">
        <f>+E39/$B$4</f>
        <v>0.30263828713612079</v>
      </c>
    </row>
    <row r="40" spans="1:14" x14ac:dyDescent="0.25">
      <c r="A40" s="27" t="s">
        <v>26</v>
      </c>
      <c r="B40" s="6">
        <f>D39</f>
        <v>11595.283333333333</v>
      </c>
      <c r="C40" s="6" t="s">
        <v>20</v>
      </c>
      <c r="D40" s="14">
        <v>0.1</v>
      </c>
      <c r="E40" s="7">
        <f>D40*B40</f>
        <v>1159.5283333333334</v>
      </c>
      <c r="F40" s="7">
        <f>E40/$B$5</f>
        <v>0.90355673423587235</v>
      </c>
      <c r="G40" s="7">
        <f>E40/$G$10</f>
        <v>0.63710347985347993</v>
      </c>
      <c r="H40" s="7">
        <f>+E40/$B$8</f>
        <v>5.5000000000000007E-2</v>
      </c>
      <c r="I40" s="7">
        <f>+E40/$B$3</f>
        <v>0.52705833333333341</v>
      </c>
      <c r="J40" s="7">
        <f>+E40/$B$4</f>
        <v>3.0263828713612086E-2</v>
      </c>
    </row>
    <row r="41" spans="1:14" ht="20.399999999999999" x14ac:dyDescent="0.25">
      <c r="A41" s="27" t="s">
        <v>27</v>
      </c>
      <c r="B41" s="6">
        <v>0.1</v>
      </c>
      <c r="C41" s="6" t="s">
        <v>0</v>
      </c>
      <c r="D41" s="37">
        <f>B8</f>
        <v>21082.333333333332</v>
      </c>
      <c r="E41" s="7">
        <f>D41*B41</f>
        <v>2108.2333333333331</v>
      </c>
      <c r="F41" s="7">
        <f>E41/$B$5</f>
        <v>1.6428304258834041</v>
      </c>
      <c r="G41" s="7">
        <f>E41/$G$10</f>
        <v>1.1583699633699633</v>
      </c>
      <c r="H41" s="7">
        <f>+E41/$B$8</f>
        <v>9.9999999999999992E-2</v>
      </c>
      <c r="I41" s="7">
        <f>+E41/$B$3</f>
        <v>0.95828787878787869</v>
      </c>
      <c r="J41" s="7">
        <f>+E41/$B$4</f>
        <v>5.5025143115658329E-2</v>
      </c>
    </row>
    <row r="42" spans="1:14" ht="13.8" thickBot="1" x14ac:dyDescent="0.3">
      <c r="A42" s="27" t="s">
        <v>28</v>
      </c>
      <c r="B42" s="6">
        <v>900</v>
      </c>
      <c r="C42" s="6" t="s">
        <v>23</v>
      </c>
      <c r="D42" s="7">
        <f>D19</f>
        <v>0.70510622710622706</v>
      </c>
      <c r="E42" s="7">
        <f>D42*B42</f>
        <v>634.59560439560437</v>
      </c>
      <c r="F42" s="7">
        <f>E42/$B$5</f>
        <v>0.49450549450549453</v>
      </c>
      <c r="G42" s="7">
        <f>E42/$G$10</f>
        <v>0.34867890351406833</v>
      </c>
      <c r="H42" s="7">
        <f>+E42/$B$8</f>
        <v>3.0100823962983435E-2</v>
      </c>
      <c r="I42" s="7">
        <f>+E42/$B$3</f>
        <v>0.28845254745254745</v>
      </c>
      <c r="J42" s="7">
        <f>+E42/$B$4</f>
        <v>1.656302146462401E-2</v>
      </c>
    </row>
    <row r="43" spans="1:14" ht="13.8" thickBot="1" x14ac:dyDescent="0.3">
      <c r="A43" s="198" t="s">
        <v>56</v>
      </c>
      <c r="B43" s="199"/>
      <c r="C43" s="199"/>
      <c r="D43" s="199"/>
      <c r="E43" s="15">
        <f>SUM(E38:E42)</f>
        <v>19023.171739926736</v>
      </c>
      <c r="F43" s="16">
        <f>SUM(F37:F42)</f>
        <v>14.823712744236241</v>
      </c>
      <c r="G43" s="16">
        <f>SUM(G16:G42)</f>
        <v>65.872542620104198</v>
      </c>
      <c r="H43" s="16">
        <f>SUM(H37:H42)</f>
        <v>0.90232762375733588</v>
      </c>
      <c r="I43" s="16">
        <f>SUM(I37:I42)</f>
        <v>8.6468962454212441</v>
      </c>
      <c r="J43" s="16">
        <f>SUM(J37:J42)</f>
        <v>0.49650706634459307</v>
      </c>
      <c r="L43" s="26"/>
    </row>
    <row r="44" spans="1:14" x14ac:dyDescent="0.25">
      <c r="A44" s="32" t="s">
        <v>32</v>
      </c>
      <c r="B44" s="6"/>
      <c r="C44" s="6"/>
      <c r="D44" s="7"/>
      <c r="E44" s="7"/>
      <c r="F44" s="7"/>
      <c r="G44" s="7"/>
      <c r="H44" s="7"/>
      <c r="I44" s="7"/>
      <c r="J44" s="7"/>
    </row>
    <row r="45" spans="1:14" x14ac:dyDescent="0.25">
      <c r="A45" s="8" t="s">
        <v>33</v>
      </c>
      <c r="B45" s="6">
        <v>50000</v>
      </c>
      <c r="C45" s="6" t="s">
        <v>20</v>
      </c>
      <c r="D45" s="14">
        <v>0.03</v>
      </c>
      <c r="E45" s="7">
        <f>D45*B45</f>
        <v>1500</v>
      </c>
      <c r="F45" s="7">
        <f>E45/$B$5</f>
        <v>1.1688676010680852</v>
      </c>
      <c r="G45" s="7">
        <f>E45/$G$10</f>
        <v>0.82417582417582413</v>
      </c>
      <c r="H45" s="7">
        <f>+E45/$B$8</f>
        <v>7.114961974481003E-2</v>
      </c>
      <c r="I45" s="7">
        <f t="shared" ref="I45:I51" si="2">+E45/$B$3</f>
        <v>0.68181818181818177</v>
      </c>
      <c r="J45" s="7">
        <f>+E45/$B$4</f>
        <v>3.9150180090828421E-2</v>
      </c>
    </row>
    <row r="46" spans="1:14" x14ac:dyDescent="0.25">
      <c r="A46" s="8" t="s">
        <v>34</v>
      </c>
      <c r="B46" s="7">
        <f>E43+E36+E15</f>
        <v>83100.17069266738</v>
      </c>
      <c r="C46" s="6" t="s">
        <v>20</v>
      </c>
      <c r="D46" s="14">
        <v>0.03</v>
      </c>
      <c r="E46" s="7">
        <f>(E43+E36+E15)*D46</f>
        <v>2493.0051207800211</v>
      </c>
      <c r="F46" s="7">
        <f>E46/$B$5</f>
        <v>1.9426619433177303</v>
      </c>
      <c r="G46" s="7">
        <f>E46/$G$10</f>
        <v>1.369783033395616</v>
      </c>
      <c r="H46" s="7">
        <f>+E46/$B$8</f>
        <v>0.11825091091024181</v>
      </c>
      <c r="I46" s="7">
        <f t="shared" si="2"/>
        <v>1.1331841458091005</v>
      </c>
      <c r="J46" s="7">
        <f>+E46/$B$4</f>
        <v>6.5067732963930189E-2</v>
      </c>
    </row>
    <row r="47" spans="1:14" ht="13.8" thickBot="1" x14ac:dyDescent="0.3">
      <c r="A47" s="8" t="s">
        <v>35</v>
      </c>
      <c r="B47" s="6">
        <f>E43+E36+E15</f>
        <v>83100.17069266738</v>
      </c>
      <c r="C47" s="6" t="s">
        <v>20</v>
      </c>
      <c r="D47" s="14">
        <v>0.05</v>
      </c>
      <c r="E47" s="7">
        <f>D47*B47</f>
        <v>4155.008534633369</v>
      </c>
      <c r="F47" s="7">
        <f>E47/$B$5</f>
        <v>3.237769905529551</v>
      </c>
      <c r="G47" s="7"/>
      <c r="H47" s="7">
        <f>+E47/'[1]Temps de transports'!$E$46</f>
        <v>9.789389630179457E-2</v>
      </c>
      <c r="I47" s="7">
        <f t="shared" si="2"/>
        <v>1.8886402430151676</v>
      </c>
      <c r="J47" s="7">
        <f>+E47/$B$4</f>
        <v>0.10844622160655032</v>
      </c>
      <c r="M47" s="56"/>
      <c r="N47" s="57"/>
    </row>
    <row r="48" spans="1:14" ht="13.8" hidden="1" thickBot="1" x14ac:dyDescent="0.3">
      <c r="A48" s="27" t="s">
        <v>36</v>
      </c>
      <c r="B48" s="6"/>
      <c r="C48" s="6"/>
      <c r="D48" s="14"/>
      <c r="E48" s="7">
        <f>D48*B48</f>
        <v>0</v>
      </c>
      <c r="F48" s="7">
        <f>+E48/$B$5</f>
        <v>0</v>
      </c>
      <c r="G48" s="7">
        <f>E48/$G$10</f>
        <v>0</v>
      </c>
      <c r="H48" s="7">
        <f>+E48/$B$8</f>
        <v>0</v>
      </c>
      <c r="I48" s="7">
        <f t="shared" si="2"/>
        <v>0</v>
      </c>
      <c r="J48" s="7" t="e">
        <f>+E48/#REF!</f>
        <v>#REF!</v>
      </c>
    </row>
    <row r="49" spans="1:10" ht="13.8" hidden="1" thickBot="1" x14ac:dyDescent="0.3">
      <c r="A49" s="27" t="s">
        <v>37</v>
      </c>
      <c r="B49" s="6"/>
      <c r="C49" s="6"/>
      <c r="D49" s="14"/>
      <c r="E49" s="7">
        <f>D49*B49</f>
        <v>0</v>
      </c>
      <c r="F49" s="7">
        <f>+E49/$B$5</f>
        <v>0</v>
      </c>
      <c r="G49" s="7">
        <f>E49/$G$10</f>
        <v>0</v>
      </c>
      <c r="H49" s="7">
        <f>+E49/$B$8</f>
        <v>0</v>
      </c>
      <c r="I49" s="7">
        <f t="shared" si="2"/>
        <v>0</v>
      </c>
      <c r="J49" s="7" t="e">
        <f>+E49/#REF!</f>
        <v>#REF!</v>
      </c>
    </row>
    <row r="50" spans="1:10" ht="13.8" hidden="1" thickBot="1" x14ac:dyDescent="0.3">
      <c r="A50" s="27" t="s">
        <v>38</v>
      </c>
      <c r="B50" s="6"/>
      <c r="C50" s="6"/>
      <c r="D50" s="14"/>
      <c r="E50" s="7">
        <f>D50*B50</f>
        <v>0</v>
      </c>
      <c r="F50" s="7">
        <f>+E50/$B$5</f>
        <v>0</v>
      </c>
      <c r="G50" s="7">
        <f>E50/$G$10</f>
        <v>0</v>
      </c>
      <c r="H50" s="7">
        <f>+E50/$B$8</f>
        <v>0</v>
      </c>
      <c r="I50" s="7">
        <f t="shared" si="2"/>
        <v>0</v>
      </c>
      <c r="J50" s="7" t="e">
        <f>+E50/#REF!</f>
        <v>#REF!</v>
      </c>
    </row>
    <row r="51" spans="1:10" ht="13.8" hidden="1" thickBot="1" x14ac:dyDescent="0.3">
      <c r="A51" s="35" t="s">
        <v>39</v>
      </c>
      <c r="B51" s="17"/>
      <c r="C51" s="17"/>
      <c r="D51" s="18"/>
      <c r="E51" s="7">
        <f>D51*B51</f>
        <v>0</v>
      </c>
      <c r="F51" s="7">
        <f>+E51/$B$5</f>
        <v>0</v>
      </c>
      <c r="G51" s="7">
        <f>E51/$G$10</f>
        <v>0</v>
      </c>
      <c r="H51" s="7">
        <f>+E51/$B$8</f>
        <v>0</v>
      </c>
      <c r="I51" s="7">
        <f t="shared" si="2"/>
        <v>0</v>
      </c>
      <c r="J51" s="7" t="e">
        <f>+E51/#REF!</f>
        <v>#REF!</v>
      </c>
    </row>
    <row r="52" spans="1:10" ht="13.8" thickBot="1" x14ac:dyDescent="0.3">
      <c r="A52" s="201" t="s">
        <v>40</v>
      </c>
      <c r="B52" s="202"/>
      <c r="C52" s="202"/>
      <c r="D52" s="202"/>
      <c r="E52" s="15">
        <f>SUM(E44:E51)</f>
        <v>8148.0136554133896</v>
      </c>
      <c r="F52" s="16">
        <f>SUM(F44:F51)</f>
        <v>6.3492994499153665</v>
      </c>
      <c r="G52" s="16">
        <f>SUM(G44:G51)</f>
        <v>2.1939588575714399</v>
      </c>
      <c r="H52" s="16">
        <f>SUM(H44:H51)</f>
        <v>0.28729442695684643</v>
      </c>
      <c r="I52" s="16">
        <f>SUM(I44:I51)</f>
        <v>3.7036425706424501</v>
      </c>
      <c r="J52" s="16">
        <f>SUM(J44:J47)</f>
        <v>0.21266413466130893</v>
      </c>
    </row>
    <row r="53" spans="1:10" ht="13.8" thickBot="1" x14ac:dyDescent="0.3">
      <c r="A53" s="203" t="s">
        <v>41</v>
      </c>
      <c r="B53" s="204"/>
      <c r="C53" s="204"/>
      <c r="D53" s="205"/>
      <c r="E53" s="19">
        <f>E52+E43+E15+E36</f>
        <v>91248.184348080773</v>
      </c>
      <c r="F53" s="19">
        <f>F52+F43+F15+F36</f>
        <v>71.104697560506395</v>
      </c>
      <c r="G53" s="19">
        <f>G52+G43+G15</f>
        <v>75.563518531746638</v>
      </c>
      <c r="H53" s="19">
        <f>H52+H43+H15+H36</f>
        <v>4.2289914572982408</v>
      </c>
      <c r="I53" s="19">
        <f>I52+I43+I15+I36</f>
        <v>41.476447430945804</v>
      </c>
      <c r="J53" s="19">
        <f>J52+J43+J15+J36</f>
        <v>2.381588566792316</v>
      </c>
    </row>
    <row r="54" spans="1:10" x14ac:dyDescent="0.25">
      <c r="A54" s="8" t="s">
        <v>42</v>
      </c>
      <c r="B54" s="6">
        <f>E53</f>
        <v>91248.184348080773</v>
      </c>
      <c r="C54" s="6" t="s">
        <v>20</v>
      </c>
      <c r="D54" s="14">
        <v>0.19</v>
      </c>
      <c r="E54" s="7">
        <f>D54*B54</f>
        <v>17337.155026135348</v>
      </c>
      <c r="F54" s="7">
        <f>E54/$B$5</f>
        <v>13.509892536496213</v>
      </c>
      <c r="G54" s="7">
        <f>E54/$G$10</f>
        <v>9.5259093550194223</v>
      </c>
      <c r="H54" s="7">
        <f>+E54/'[1]Temps de transports'!$E$46</f>
        <v>0.40847128041973774</v>
      </c>
      <c r="I54" s="7">
        <f>+E54/$B$3</f>
        <v>7.8805250118797039</v>
      </c>
      <c r="J54" s="7">
        <f>+E54/$B$4</f>
        <v>0.45250182769053993</v>
      </c>
    </row>
    <row r="55" spans="1:10" ht="13.8" thickBot="1" x14ac:dyDescent="0.3">
      <c r="A55" s="20" t="s">
        <v>43</v>
      </c>
      <c r="B55" s="21">
        <f>B54</f>
        <v>91248.184348080773</v>
      </c>
      <c r="C55" s="21" t="s">
        <v>20</v>
      </c>
      <c r="D55" s="22">
        <v>0.01</v>
      </c>
      <c r="E55" s="23">
        <f>D55*B55</f>
        <v>912.4818434808077</v>
      </c>
      <c r="F55" s="23">
        <f>E55/$B$5</f>
        <v>0.7110469756050638</v>
      </c>
      <c r="G55" s="7">
        <f>E55/$G$10</f>
        <v>0.50136365026418006</v>
      </c>
      <c r="H55" s="23">
        <f>+E55/'[1]Temps de transports'!$E$46</f>
        <v>2.1498488443144087E-2</v>
      </c>
      <c r="I55" s="23">
        <f>+E55/$B$3</f>
        <v>0.41476447430945806</v>
      </c>
      <c r="J55" s="23">
        <f>+E55/$B$4</f>
        <v>2.3815885667923153E-2</v>
      </c>
    </row>
    <row r="56" spans="1:10" ht="13.8" thickBot="1" x14ac:dyDescent="0.3">
      <c r="A56" s="195" t="s">
        <v>44</v>
      </c>
      <c r="B56" s="196"/>
      <c r="C56" s="196"/>
      <c r="D56" s="197"/>
      <c r="E56" s="24">
        <f t="shared" ref="E56:J56" si="3">E53+E54+E55</f>
        <v>109497.82121769694</v>
      </c>
      <c r="F56" s="24">
        <f t="shared" si="3"/>
        <v>85.325637072607663</v>
      </c>
      <c r="G56" s="24">
        <f t="shared" si="3"/>
        <v>85.590791537030242</v>
      </c>
      <c r="H56" s="24">
        <f>H53+H54+H55</f>
        <v>4.6589612261611224</v>
      </c>
      <c r="I56" s="24">
        <f t="shared" si="3"/>
        <v>49.771736917134966</v>
      </c>
      <c r="J56" s="24">
        <f t="shared" si="3"/>
        <v>2.8579062801507793</v>
      </c>
    </row>
  </sheetData>
  <mergeCells count="7">
    <mergeCell ref="A56:D56"/>
    <mergeCell ref="A1:J1"/>
    <mergeCell ref="A15:D15"/>
    <mergeCell ref="A36:D36"/>
    <mergeCell ref="A43:D43"/>
    <mergeCell ref="A52:D52"/>
    <mergeCell ref="A53:D53"/>
  </mergeCells>
  <printOptions horizontalCentered="1"/>
  <pageMargins left="0.23622047244094491" right="0.23622047244094491" top="0.43307086614173229" bottom="0.3" header="0.23622047244094491" footer="0.19"/>
  <pageSetup paperSize="9" scale="88" orientation="portrait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24"/>
  <sheetViews>
    <sheetView topLeftCell="A7" workbookViewId="0">
      <selection activeCell="G9" sqref="G9"/>
    </sheetView>
  </sheetViews>
  <sheetFormatPr baseColWidth="10" defaultColWidth="11.44140625" defaultRowHeight="17.399999999999999" x14ac:dyDescent="0.3"/>
  <cols>
    <col min="1" max="1" width="28.5546875" style="69" bestFit="1" customWidth="1"/>
    <col min="2" max="2" width="21.88671875" style="69" bestFit="1" customWidth="1"/>
    <col min="3" max="3" width="15.6640625" style="69" bestFit="1" customWidth="1"/>
    <col min="4" max="4" width="15.5546875" style="69" bestFit="1" customWidth="1"/>
    <col min="5" max="5" width="17.109375" style="69" bestFit="1" customWidth="1"/>
    <col min="6" max="16384" width="11.44140625" style="69"/>
  </cols>
  <sheetData>
    <row r="1" spans="1:5" ht="18" thickBot="1" x14ac:dyDescent="0.35">
      <c r="A1" s="206" t="s">
        <v>115</v>
      </c>
      <c r="B1" s="207"/>
      <c r="C1" s="207"/>
      <c r="D1" s="207"/>
      <c r="E1" s="208"/>
    </row>
    <row r="4" spans="1:5" ht="18" thickBot="1" x14ac:dyDescent="0.35"/>
    <row r="5" spans="1:5" x14ac:dyDescent="0.3">
      <c r="A5" s="76" t="s">
        <v>95</v>
      </c>
      <c r="B5" s="77" t="s">
        <v>79</v>
      </c>
      <c r="C5" s="77" t="s">
        <v>81</v>
      </c>
      <c r="D5" s="77" t="s">
        <v>80</v>
      </c>
      <c r="E5" s="78" t="s">
        <v>3</v>
      </c>
    </row>
    <row r="6" spans="1:5" x14ac:dyDescent="0.3">
      <c r="A6" s="79" t="s">
        <v>106</v>
      </c>
      <c r="B6" s="75">
        <f>'Enc lot 2'!E56</f>
        <v>166352.24131359297</v>
      </c>
      <c r="C6" s="75">
        <f>'Enc lot 2'!F56</f>
        <v>95.058423607767409</v>
      </c>
      <c r="D6" s="75">
        <f>'Enc lot 2'!I56</f>
        <v>55.45074710453099</v>
      </c>
      <c r="E6" s="80">
        <f>'Enc lot 2'!J56</f>
        <v>6.277206192732085</v>
      </c>
    </row>
    <row r="7" spans="1:5" ht="18" thickBot="1" x14ac:dyDescent="0.35"/>
    <row r="8" spans="1:5" x14ac:dyDescent="0.3">
      <c r="A8" s="76" t="s">
        <v>96</v>
      </c>
      <c r="B8" s="77" t="s">
        <v>79</v>
      </c>
      <c r="C8" s="77" t="s">
        <v>81</v>
      </c>
      <c r="D8" s="77" t="s">
        <v>80</v>
      </c>
      <c r="E8" s="78" t="s">
        <v>3</v>
      </c>
    </row>
    <row r="9" spans="1:5" x14ac:dyDescent="0.3">
      <c r="A9" s="79" t="s">
        <v>106</v>
      </c>
      <c r="B9" s="75">
        <f>'Enc lot 3'!E56</f>
        <v>268818.5017844945</v>
      </c>
      <c r="C9" s="75">
        <f>'Enc lot 3'!F56</f>
        <v>85.339206915712538</v>
      </c>
      <c r="D9" s="75">
        <f>'Enc lot 3'!I56</f>
        <v>49.781204034165647</v>
      </c>
      <c r="E9" s="80">
        <f>'Enc lot 3'!J56</f>
        <v>7.0161951710730941</v>
      </c>
    </row>
    <row r="12" spans="1:5" ht="18" thickBot="1" x14ac:dyDescent="0.35"/>
    <row r="13" spans="1:5" x14ac:dyDescent="0.3">
      <c r="A13" s="76" t="s">
        <v>95</v>
      </c>
      <c r="B13" s="77" t="s">
        <v>79</v>
      </c>
      <c r="C13" s="77" t="s">
        <v>81</v>
      </c>
      <c r="D13" s="77" t="s">
        <v>80</v>
      </c>
      <c r="E13" s="78" t="s">
        <v>3</v>
      </c>
    </row>
    <row r="14" spans="1:5" x14ac:dyDescent="0.3">
      <c r="A14" s="79" t="s">
        <v>128</v>
      </c>
      <c r="B14" s="75">
        <f>+'DV lot 2 '!E56</f>
        <v>60546.268041280142</v>
      </c>
      <c r="C14" s="75">
        <f>+'DV lot 2 '!F56</f>
        <v>86.494668630400184</v>
      </c>
      <c r="D14" s="75">
        <f>+'DV lot 2 '!G56</f>
        <v>47.136965382812775</v>
      </c>
      <c r="E14" s="75">
        <f>+'DV lot 2 '!H56</f>
        <v>4.4814766136874677</v>
      </c>
    </row>
    <row r="15" spans="1:5" ht="18" thickBot="1" x14ac:dyDescent="0.35"/>
    <row r="16" spans="1:5" x14ac:dyDescent="0.3">
      <c r="A16" s="76" t="s">
        <v>96</v>
      </c>
      <c r="B16" s="77" t="s">
        <v>79</v>
      </c>
      <c r="C16" s="77" t="s">
        <v>81</v>
      </c>
      <c r="D16" s="77" t="s">
        <v>80</v>
      </c>
      <c r="E16" s="78" t="s">
        <v>3</v>
      </c>
    </row>
    <row r="17" spans="1:5" x14ac:dyDescent="0.3">
      <c r="A17" s="79" t="s">
        <v>128</v>
      </c>
      <c r="B17" s="75">
        <f>+'DV lot 3'!E56</f>
        <v>109497.82121769694</v>
      </c>
      <c r="C17" s="75">
        <f>+'DV lot 3'!F56</f>
        <v>85.325637072607663</v>
      </c>
      <c r="D17" s="75">
        <f>+'DV lot 3'!G56</f>
        <v>85.590791537030242</v>
      </c>
      <c r="E17" s="75">
        <f>+'DV lot 3'!H56</f>
        <v>4.6589612261611224</v>
      </c>
    </row>
    <row r="19" spans="1:5" ht="18" thickBot="1" x14ac:dyDescent="0.35"/>
    <row r="20" spans="1:5" x14ac:dyDescent="0.3">
      <c r="A20" s="76" t="s">
        <v>95</v>
      </c>
      <c r="B20" s="77" t="s">
        <v>79</v>
      </c>
    </row>
    <row r="21" spans="1:5" x14ac:dyDescent="0.3">
      <c r="A21" s="79" t="s">
        <v>129</v>
      </c>
      <c r="B21" s="75">
        <f>+B14+B6</f>
        <v>226898.50935487309</v>
      </c>
    </row>
    <row r="22" spans="1:5" ht="18" thickBot="1" x14ac:dyDescent="0.35"/>
    <row r="23" spans="1:5" x14ac:dyDescent="0.3">
      <c r="A23" s="76" t="s">
        <v>96</v>
      </c>
      <c r="B23" s="77" t="s">
        <v>79</v>
      </c>
    </row>
    <row r="24" spans="1:5" x14ac:dyDescent="0.3">
      <c r="A24" s="79" t="s">
        <v>129</v>
      </c>
      <c r="B24" s="75">
        <f>+B17+B9</f>
        <v>378316.32300219144</v>
      </c>
    </row>
  </sheetData>
  <mergeCells count="1">
    <mergeCell ref="A1:E1"/>
  </mergeCells>
  <phoneticPr fontId="2" type="noConversion"/>
  <printOptions horizontalCentered="1"/>
  <pageMargins left="0.23622047244094491" right="0.23622047244094491" top="0.51181102362204722" bottom="0.3" header="0.23622047244094491" footer="0.19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OM lot 1pàp C3</vt:lpstr>
      <vt:lpstr>données de base CCCL</vt:lpstr>
      <vt:lpstr>ratio de collecte Encombrants</vt:lpstr>
      <vt:lpstr>RATIO COLLECTE DV </vt:lpstr>
      <vt:lpstr>personnel</vt:lpstr>
      <vt:lpstr>Enc lot 1</vt:lpstr>
      <vt:lpstr>Enc lot 2</vt:lpstr>
      <vt:lpstr>DV lot 2 </vt:lpstr>
      <vt:lpstr>Enc lot 3</vt:lpstr>
      <vt:lpstr>DV lot 3</vt:lpstr>
      <vt:lpstr>Synthése prix</vt:lpstr>
    </vt:vector>
  </TitlesOfParts>
  <Company>SITA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Pierrot</cp:lastModifiedBy>
  <cp:lastPrinted>2009-10-09T13:40:55Z</cp:lastPrinted>
  <dcterms:created xsi:type="dcterms:W3CDTF">2009-06-19T19:53:26Z</dcterms:created>
  <dcterms:modified xsi:type="dcterms:W3CDTF">2013-03-27T18:01:24Z</dcterms:modified>
</cp:coreProperties>
</file>