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15" yWindow="6015" windowWidth="19230" windowHeight="6075" activeTab="1"/>
  </bookViews>
  <sheets>
    <sheet name="DONNEES TOLTECH" sheetId="1" r:id="rId1"/>
    <sheet name="Bilan" sheetId="2" r:id="rId2"/>
    <sheet name="Fériés" sheetId="3" r:id="rId3"/>
  </sheets>
  <definedNames>
    <definedName name="_xlnm._FilterDatabase" localSheetId="1" hidden="1">Bilan!$H$6:$M$8</definedName>
    <definedName name="_xlnm._FilterDatabase" localSheetId="0" hidden="1">'DONNEES TOLTECH'!$A$1:$BI$105</definedName>
    <definedName name="_xlnm.Criteria" localSheetId="1">Bilan!$D$3:$F$4</definedName>
    <definedName name="_xlnm.Criteria" localSheetId="0">'DONNEES TOLTECH'!$D$3:$F$4</definedName>
    <definedName name="_xlnm.Extract" localSheetId="1">Bilan!$B$6:$D$6</definedName>
    <definedName name="Fériés">Fériés!$B$1:$B$11</definedName>
  </definedNames>
  <calcPr calcId="125725"/>
</workbook>
</file>

<file path=xl/calcChain.xml><?xml version="1.0" encoding="utf-8"?>
<calcChain xmlns="http://schemas.openxmlformats.org/spreadsheetml/2006/main">
  <c r="I27" i="2"/>
  <c r="I28"/>
  <c r="Q106" i="1" l="1"/>
  <c r="N106"/>
  <c r="J106"/>
  <c r="E106"/>
  <c r="D106"/>
  <c r="B106"/>
  <c r="A106"/>
  <c r="Q105"/>
  <c r="N105"/>
  <c r="J105"/>
  <c r="E105"/>
  <c r="D105"/>
  <c r="B105"/>
  <c r="A105"/>
  <c r="Q104"/>
  <c r="N104"/>
  <c r="J104"/>
  <c r="E104"/>
  <c r="D104"/>
  <c r="B104"/>
  <c r="A104"/>
  <c r="Q103"/>
  <c r="N103"/>
  <c r="J103"/>
  <c r="E103"/>
  <c r="D103"/>
  <c r="B103"/>
  <c r="A103"/>
  <c r="Q102"/>
  <c r="N102"/>
  <c r="J102"/>
  <c r="E102"/>
  <c r="D102"/>
  <c r="B102"/>
  <c r="A102"/>
  <c r="Q101"/>
  <c r="N101"/>
  <c r="J101"/>
  <c r="E101"/>
  <c r="D101"/>
  <c r="B101"/>
  <c r="A101"/>
  <c r="Q100"/>
  <c r="N100"/>
  <c r="J100"/>
  <c r="E100"/>
  <c r="D100"/>
  <c r="B100"/>
  <c r="A100"/>
  <c r="Q99"/>
  <c r="N99"/>
  <c r="J99"/>
  <c r="E99"/>
  <c r="D99"/>
  <c r="B99"/>
  <c r="A99"/>
  <c r="Q98"/>
  <c r="N98"/>
  <c r="J98"/>
  <c r="E98"/>
  <c r="D98"/>
  <c r="B98"/>
  <c r="A98"/>
  <c r="Q97"/>
  <c r="N97"/>
  <c r="J97"/>
  <c r="E97"/>
  <c r="D97"/>
  <c r="B97"/>
  <c r="A97"/>
  <c r="Q96"/>
  <c r="N96"/>
  <c r="J96"/>
  <c r="E96"/>
  <c r="D96"/>
  <c r="B96"/>
  <c r="A96"/>
  <c r="Q95"/>
  <c r="N95"/>
  <c r="J95"/>
  <c r="E95"/>
  <c r="D95"/>
  <c r="B95"/>
  <c r="A95"/>
  <c r="Q94"/>
  <c r="N94"/>
  <c r="J94"/>
  <c r="E94"/>
  <c r="D94"/>
  <c r="B94"/>
  <c r="A94"/>
  <c r="Q93"/>
  <c r="N93"/>
  <c r="J93"/>
  <c r="E93"/>
  <c r="D93"/>
  <c r="B93"/>
  <c r="A93"/>
  <c r="Q92"/>
  <c r="N92"/>
  <c r="J92"/>
  <c r="E92"/>
  <c r="D92"/>
  <c r="B92"/>
  <c r="A92"/>
  <c r="Q91"/>
  <c r="N91"/>
  <c r="J91"/>
  <c r="E91"/>
  <c r="D91"/>
  <c r="B91"/>
  <c r="A91"/>
  <c r="Q90"/>
  <c r="N90"/>
  <c r="J90"/>
  <c r="E90"/>
  <c r="D90"/>
  <c r="B90"/>
  <c r="A90"/>
  <c r="Q89"/>
  <c r="N89"/>
  <c r="J89"/>
  <c r="E89"/>
  <c r="D89"/>
  <c r="B89"/>
  <c r="A89"/>
  <c r="Q88"/>
  <c r="N88"/>
  <c r="J88"/>
  <c r="E88"/>
  <c r="D88"/>
  <c r="B88"/>
  <c r="A88"/>
  <c r="Q87"/>
  <c r="N87"/>
  <c r="J87"/>
  <c r="E87"/>
  <c r="D87"/>
  <c r="B87"/>
  <c r="A87"/>
  <c r="Q86"/>
  <c r="N86"/>
  <c r="J86"/>
  <c r="E86"/>
  <c r="D86"/>
  <c r="B86"/>
  <c r="A86"/>
  <c r="Q85"/>
  <c r="N85"/>
  <c r="J85"/>
  <c r="E85"/>
  <c r="D85"/>
  <c r="B85"/>
  <c r="A85"/>
  <c r="Q84"/>
  <c r="N84"/>
  <c r="J84"/>
  <c r="E84"/>
  <c r="D84"/>
  <c r="B84"/>
  <c r="A84"/>
  <c r="Q83"/>
  <c r="N83"/>
  <c r="J83"/>
  <c r="E83"/>
  <c r="D83"/>
  <c r="B83"/>
  <c r="A83"/>
  <c r="Q82"/>
  <c r="N82"/>
  <c r="J82"/>
  <c r="E82"/>
  <c r="D82"/>
  <c r="B82"/>
  <c r="A82"/>
  <c r="Q81"/>
  <c r="N81"/>
  <c r="J81"/>
  <c r="E81"/>
  <c r="D81"/>
  <c r="B81"/>
  <c r="A81"/>
  <c r="Q80"/>
  <c r="N80"/>
  <c r="J80"/>
  <c r="E80"/>
  <c r="D80"/>
  <c r="B80"/>
  <c r="A80"/>
  <c r="Q79"/>
  <c r="N79"/>
  <c r="J79"/>
  <c r="E79"/>
  <c r="D79"/>
  <c r="B79"/>
  <c r="A79"/>
  <c r="Q78"/>
  <c r="N78"/>
  <c r="J78"/>
  <c r="E78"/>
  <c r="D78"/>
  <c r="B78"/>
  <c r="A78"/>
  <c r="Q77"/>
  <c r="N77"/>
  <c r="J77"/>
  <c r="E77"/>
  <c r="D77"/>
  <c r="B77"/>
  <c r="A77"/>
  <c r="Q76"/>
  <c r="N76"/>
  <c r="J76"/>
  <c r="E76"/>
  <c r="D76"/>
  <c r="B76"/>
  <c r="A76"/>
  <c r="Q75"/>
  <c r="N75"/>
  <c r="J75"/>
  <c r="E75"/>
  <c r="D75"/>
  <c r="B75"/>
  <c r="A75"/>
  <c r="Q74"/>
  <c r="N74"/>
  <c r="J74"/>
  <c r="E74"/>
  <c r="D74"/>
  <c r="B74"/>
  <c r="A74"/>
  <c r="Q73"/>
  <c r="N73"/>
  <c r="J73"/>
  <c r="E73"/>
  <c r="D73"/>
  <c r="B73"/>
  <c r="A73"/>
  <c r="Q72"/>
  <c r="N72"/>
  <c r="J72"/>
  <c r="E72"/>
  <c r="D72"/>
  <c r="B72"/>
  <c r="A72"/>
  <c r="Q71"/>
  <c r="N71"/>
  <c r="J71"/>
  <c r="E71"/>
  <c r="D71"/>
  <c r="B71"/>
  <c r="A71"/>
  <c r="Q70"/>
  <c r="N70"/>
  <c r="J70"/>
  <c r="E70"/>
  <c r="D70"/>
  <c r="B70"/>
  <c r="A70"/>
  <c r="Q69"/>
  <c r="N69"/>
  <c r="J69"/>
  <c r="E69"/>
  <c r="D69"/>
  <c r="B69"/>
  <c r="A69"/>
  <c r="Q68"/>
  <c r="N68"/>
  <c r="J68"/>
  <c r="E68"/>
  <c r="D68"/>
  <c r="B68"/>
  <c r="A68"/>
  <c r="Q67"/>
  <c r="N67"/>
  <c r="J67"/>
  <c r="E67"/>
  <c r="D67"/>
  <c r="B67"/>
  <c r="A67"/>
  <c r="Q66"/>
  <c r="N66"/>
  <c r="J66"/>
  <c r="E66"/>
  <c r="D66"/>
  <c r="B66"/>
  <c r="A66"/>
  <c r="Q65"/>
  <c r="N65"/>
  <c r="J65"/>
  <c r="E65"/>
  <c r="D65"/>
  <c r="B65"/>
  <c r="A65"/>
  <c r="Q64"/>
  <c r="N64"/>
  <c r="J64"/>
  <c r="E64"/>
  <c r="D64"/>
  <c r="B64"/>
  <c r="A64"/>
  <c r="Q63"/>
  <c r="N63"/>
  <c r="J63"/>
  <c r="E63"/>
  <c r="D63"/>
  <c r="B63"/>
  <c r="A63"/>
  <c r="Q62"/>
  <c r="N62"/>
  <c r="J62"/>
  <c r="E62"/>
  <c r="D62"/>
  <c r="B62"/>
  <c r="A62"/>
  <c r="Q61"/>
  <c r="N61"/>
  <c r="J61"/>
  <c r="E61"/>
  <c r="D61"/>
  <c r="B61"/>
  <c r="A61"/>
  <c r="Q60"/>
  <c r="N60"/>
  <c r="J60"/>
  <c r="E60"/>
  <c r="D60"/>
  <c r="B60"/>
  <c r="A60"/>
  <c r="Q59"/>
  <c r="N59"/>
  <c r="J59"/>
  <c r="E59"/>
  <c r="D59"/>
  <c r="B59"/>
  <c r="A59"/>
  <c r="Q58"/>
  <c r="N58"/>
  <c r="J58"/>
  <c r="E58"/>
  <c r="D58"/>
  <c r="B58"/>
  <c r="A58"/>
  <c r="Q57"/>
  <c r="N57"/>
  <c r="J57"/>
  <c r="E57"/>
  <c r="D57"/>
  <c r="B57"/>
  <c r="A57"/>
  <c r="Q56"/>
  <c r="N56"/>
  <c r="J56"/>
  <c r="E56"/>
  <c r="D56"/>
  <c r="B56"/>
  <c r="A56"/>
  <c r="Q55"/>
  <c r="N55"/>
  <c r="J55"/>
  <c r="E55"/>
  <c r="D55"/>
  <c r="B55"/>
  <c r="A55"/>
  <c r="Q54"/>
  <c r="N54"/>
  <c r="J54"/>
  <c r="E54"/>
  <c r="D54"/>
  <c r="B54"/>
  <c r="A54"/>
  <c r="Q53"/>
  <c r="N53"/>
  <c r="J53"/>
  <c r="E53"/>
  <c r="D53"/>
  <c r="B53"/>
  <c r="A53"/>
  <c r="Q52"/>
  <c r="N52"/>
  <c r="J52"/>
  <c r="E52"/>
  <c r="D52"/>
  <c r="B52"/>
  <c r="A52"/>
  <c r="Q51"/>
  <c r="N51"/>
  <c r="J51"/>
  <c r="E51"/>
  <c r="D51"/>
  <c r="B51"/>
  <c r="A51"/>
  <c r="Q50"/>
  <c r="N50"/>
  <c r="J50"/>
  <c r="E50"/>
  <c r="D50"/>
  <c r="B50"/>
  <c r="A50"/>
  <c r="Q49"/>
  <c r="N49"/>
  <c r="J49"/>
  <c r="E49"/>
  <c r="D49"/>
  <c r="B49"/>
  <c r="A49"/>
  <c r="Q48"/>
  <c r="N48"/>
  <c r="J48"/>
  <c r="E48"/>
  <c r="D48"/>
  <c r="B48"/>
  <c r="A48"/>
  <c r="Q47"/>
  <c r="N47"/>
  <c r="J47"/>
  <c r="E47"/>
  <c r="D47"/>
  <c r="B47"/>
  <c r="A47"/>
  <c r="Q46"/>
  <c r="N46"/>
  <c r="J46"/>
  <c r="E46"/>
  <c r="D46"/>
  <c r="B46"/>
  <c r="A46"/>
  <c r="Q45"/>
  <c r="N45"/>
  <c r="J45"/>
  <c r="E45"/>
  <c r="D45"/>
  <c r="B45"/>
  <c r="A45"/>
  <c r="Q44"/>
  <c r="N44"/>
  <c r="J44"/>
  <c r="E44"/>
  <c r="D44"/>
  <c r="B44"/>
  <c r="A44"/>
  <c r="Q43"/>
  <c r="N43"/>
  <c r="J43"/>
  <c r="E43"/>
  <c r="D43"/>
  <c r="B43"/>
  <c r="A43"/>
  <c r="Q42"/>
  <c r="N42"/>
  <c r="J42"/>
  <c r="E42"/>
  <c r="D42"/>
  <c r="B42"/>
  <c r="A42"/>
  <c r="Q41"/>
  <c r="N41"/>
  <c r="J41"/>
  <c r="E41"/>
  <c r="D41"/>
  <c r="B41"/>
  <c r="A41"/>
  <c r="Q40"/>
  <c r="N40"/>
  <c r="J40"/>
  <c r="E40"/>
  <c r="D40"/>
  <c r="B40"/>
  <c r="A40"/>
  <c r="Q39"/>
  <c r="N39"/>
  <c r="J39"/>
  <c r="E39"/>
  <c r="D39"/>
  <c r="B39"/>
  <c r="A39"/>
  <c r="Q38"/>
  <c r="N38"/>
  <c r="J38"/>
  <c r="E38"/>
  <c r="D38"/>
  <c r="B38"/>
  <c r="A38"/>
  <c r="Q37"/>
  <c r="N37"/>
  <c r="J37"/>
  <c r="E37"/>
  <c r="D37"/>
  <c r="B37"/>
  <c r="A37"/>
  <c r="Q36"/>
  <c r="N36"/>
  <c r="J36"/>
  <c r="E36"/>
  <c r="D36"/>
  <c r="B36"/>
  <c r="A36"/>
  <c r="Q35"/>
  <c r="N35"/>
  <c r="J35"/>
  <c r="E35"/>
  <c r="D35"/>
  <c r="B35"/>
  <c r="A35"/>
  <c r="Q34"/>
  <c r="N34"/>
  <c r="J34"/>
  <c r="E34"/>
  <c r="D34"/>
  <c r="B34"/>
  <c r="A34"/>
  <c r="Q33"/>
  <c r="N33"/>
  <c r="J33"/>
  <c r="E33"/>
  <c r="D33"/>
  <c r="B33"/>
  <c r="A33"/>
  <c r="Q32"/>
  <c r="N32"/>
  <c r="J32"/>
  <c r="E32"/>
  <c r="D32"/>
  <c r="B32"/>
  <c r="A32"/>
  <c r="Q31"/>
  <c r="N31"/>
  <c r="J31"/>
  <c r="E31"/>
  <c r="D31"/>
  <c r="B31"/>
  <c r="A31"/>
  <c r="Q30"/>
  <c r="N30"/>
  <c r="J30"/>
  <c r="E30"/>
  <c r="D30"/>
  <c r="B30"/>
  <c r="A30"/>
  <c r="Q29"/>
  <c r="N29"/>
  <c r="J29"/>
  <c r="E29"/>
  <c r="D29"/>
  <c r="B29"/>
  <c r="A29"/>
  <c r="Q28"/>
  <c r="N28"/>
  <c r="J28"/>
  <c r="E28"/>
  <c r="D28"/>
  <c r="B28"/>
  <c r="A28"/>
  <c r="Q27"/>
  <c r="N27"/>
  <c r="J27"/>
  <c r="E27"/>
  <c r="D27"/>
  <c r="B27"/>
  <c r="A27"/>
  <c r="Q26"/>
  <c r="N26"/>
  <c r="J26"/>
  <c r="E26"/>
  <c r="D26"/>
  <c r="B26"/>
  <c r="A26"/>
  <c r="Q25"/>
  <c r="N25"/>
  <c r="J25"/>
  <c r="E25"/>
  <c r="D25"/>
  <c r="B25"/>
  <c r="A25"/>
  <c r="Q24"/>
  <c r="N24"/>
  <c r="J24"/>
  <c r="E24"/>
  <c r="D24"/>
  <c r="B24"/>
  <c r="A24"/>
  <c r="Q23"/>
  <c r="N23"/>
  <c r="J23"/>
  <c r="E23"/>
  <c r="D23"/>
  <c r="B23"/>
  <c r="A23"/>
  <c r="Q22"/>
  <c r="N22"/>
  <c r="J22"/>
  <c r="E22"/>
  <c r="D22"/>
  <c r="B22"/>
  <c r="A22"/>
  <c r="Q21"/>
  <c r="N21"/>
  <c r="J21"/>
  <c r="E21"/>
  <c r="D21"/>
  <c r="B21"/>
  <c r="A21"/>
  <c r="Q20"/>
  <c r="N20"/>
  <c r="J20"/>
  <c r="E20"/>
  <c r="D20"/>
  <c r="B20"/>
  <c r="A20"/>
  <c r="Q19"/>
  <c r="N19"/>
  <c r="J19"/>
  <c r="E19"/>
  <c r="D19"/>
  <c r="B19"/>
  <c r="A19"/>
  <c r="Q18"/>
  <c r="N18"/>
  <c r="J18"/>
  <c r="E18"/>
  <c r="D18"/>
  <c r="B18"/>
  <c r="A18"/>
  <c r="Q17"/>
  <c r="N17"/>
  <c r="J17"/>
  <c r="E17"/>
  <c r="D17"/>
  <c r="B17"/>
  <c r="A17"/>
  <c r="Q16"/>
  <c r="N16"/>
  <c r="J16"/>
  <c r="E16"/>
  <c r="D16"/>
  <c r="B16"/>
  <c r="A16"/>
  <c r="Q15"/>
  <c r="N15"/>
  <c r="J15"/>
  <c r="E15"/>
  <c r="D15"/>
  <c r="B15"/>
  <c r="A15"/>
  <c r="Q14"/>
  <c r="N14"/>
  <c r="J14"/>
  <c r="E14"/>
  <c r="D14"/>
  <c r="B14"/>
  <c r="A14"/>
  <c r="Q13"/>
  <c r="N13"/>
  <c r="J13"/>
  <c r="E13"/>
  <c r="D13"/>
  <c r="B13"/>
  <c r="A13"/>
  <c r="Q12"/>
  <c r="N12"/>
  <c r="J12"/>
  <c r="E12"/>
  <c r="D12"/>
  <c r="B12"/>
  <c r="A12"/>
  <c r="Q11"/>
  <c r="N11"/>
  <c r="J11"/>
  <c r="E11"/>
  <c r="D11"/>
  <c r="B11"/>
  <c r="A11"/>
  <c r="Q10"/>
  <c r="N10"/>
  <c r="J10"/>
  <c r="E10"/>
  <c r="D10"/>
  <c r="B10"/>
  <c r="A10"/>
  <c r="Q9"/>
  <c r="N9"/>
  <c r="J9"/>
  <c r="E9"/>
  <c r="D9"/>
  <c r="B9"/>
  <c r="A9"/>
  <c r="Q8"/>
  <c r="N8"/>
  <c r="J8"/>
  <c r="E8"/>
  <c r="D8"/>
  <c r="B8"/>
  <c r="A8"/>
  <c r="Q7"/>
  <c r="N7"/>
  <c r="J7"/>
  <c r="E7"/>
  <c r="D7"/>
  <c r="B7"/>
  <c r="A7"/>
  <c r="Q6"/>
  <c r="N6"/>
  <c r="J6"/>
  <c r="E6"/>
  <c r="D6"/>
  <c r="B6"/>
  <c r="A6"/>
  <c r="Q5"/>
  <c r="N5"/>
  <c r="J5"/>
  <c r="E5"/>
  <c r="D5"/>
  <c r="B5"/>
  <c r="A5"/>
  <c r="Q4"/>
  <c r="N4"/>
  <c r="J4"/>
  <c r="E4"/>
  <c r="D4"/>
  <c r="B4"/>
  <c r="A4"/>
  <c r="Q3"/>
  <c r="N3"/>
  <c r="J3"/>
  <c r="E3"/>
  <c r="D3"/>
  <c r="B3"/>
  <c r="A3"/>
  <c r="Q2"/>
  <c r="N2"/>
  <c r="J2"/>
  <c r="E2"/>
  <c r="D2"/>
  <c r="B2"/>
  <c r="A2"/>
  <c r="E4" i="2" l="1"/>
  <c r="K7" s="1"/>
  <c r="D4"/>
  <c r="I7" l="1"/>
  <c r="J7"/>
  <c r="L7"/>
  <c r="I8" l="1"/>
  <c r="K8"/>
  <c r="M7"/>
  <c r="L8"/>
  <c r="J8"/>
</calcChain>
</file>

<file path=xl/sharedStrings.xml><?xml version="1.0" encoding="utf-8"?>
<sst xmlns="http://schemas.openxmlformats.org/spreadsheetml/2006/main" count="86" uniqueCount="74">
  <si>
    <t>N° Commande</t>
  </si>
  <si>
    <t>Référence Client</t>
  </si>
  <si>
    <t>Sit. Cde</t>
  </si>
  <si>
    <t>Création</t>
  </si>
  <si>
    <t>Net</t>
  </si>
  <si>
    <t>Durée en jours</t>
  </si>
  <si>
    <t>Devis</t>
  </si>
  <si>
    <t>Confirmée</t>
  </si>
  <si>
    <t>Critères</t>
  </si>
  <si>
    <t>&lt;&gt;</t>
  </si>
  <si>
    <t>Recherche</t>
  </si>
  <si>
    <t>du</t>
  </si>
  <si>
    <t>au</t>
  </si>
  <si>
    <t>Nom client</t>
  </si>
  <si>
    <t>Ligne cde</t>
  </si>
  <si>
    <t>Article</t>
  </si>
  <si>
    <t>Livraison</t>
  </si>
  <si>
    <t>Commandée</t>
  </si>
  <si>
    <t>Livrée</t>
  </si>
  <si>
    <t>Désignation</t>
  </si>
  <si>
    <t>Prix</t>
  </si>
  <si>
    <t>Prix net</t>
  </si>
  <si>
    <t>Ecart</t>
  </si>
  <si>
    <t>J -</t>
  </si>
  <si>
    <t>J</t>
  </si>
  <si>
    <t>J +3</t>
  </si>
  <si>
    <r>
      <t xml:space="preserve">J </t>
    </r>
    <r>
      <rPr>
        <b/>
        <i/>
        <sz val="11"/>
        <color theme="1"/>
        <rFont val="Calibri"/>
        <family val="2"/>
      </rPr>
      <t>≥ 7</t>
    </r>
  </si>
  <si>
    <t>N° Affaires</t>
  </si>
  <si>
    <t>Total Affaires</t>
  </si>
  <si>
    <t>16186</t>
  </si>
  <si>
    <t>16184</t>
  </si>
  <si>
    <t>16178</t>
  </si>
  <si>
    <t>16177</t>
  </si>
  <si>
    <t>16164</t>
  </si>
  <si>
    <t>16161</t>
  </si>
  <si>
    <t>16157</t>
  </si>
  <si>
    <t>16154</t>
  </si>
  <si>
    <t>16153</t>
  </si>
  <si>
    <t>16152</t>
  </si>
  <si>
    <t>16144</t>
  </si>
  <si>
    <t>16143</t>
  </si>
  <si>
    <t>16141</t>
  </si>
  <si>
    <t>16140</t>
  </si>
  <si>
    <t>16137</t>
  </si>
  <si>
    <t>16207</t>
  </si>
  <si>
    <t>16206</t>
  </si>
  <si>
    <t>16203</t>
  </si>
  <si>
    <t>16201</t>
  </si>
  <si>
    <t>16196</t>
  </si>
  <si>
    <t>16192</t>
  </si>
  <si>
    <t>16191</t>
  </si>
  <si>
    <t>16189</t>
  </si>
  <si>
    <t>16180</t>
  </si>
  <si>
    <t>16179</t>
  </si>
  <si>
    <t>16171</t>
  </si>
  <si>
    <t>16170</t>
  </si>
  <si>
    <t>16168</t>
  </si>
  <si>
    <t>16163</t>
  </si>
  <si>
    <t>16147</t>
  </si>
  <si>
    <t>16146</t>
  </si>
  <si>
    <t>16145</t>
  </si>
  <si>
    <t>16142</t>
  </si>
  <si>
    <t>16139</t>
  </si>
  <si>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</si>
  <si>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</si>
  <si>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</si>
  <si>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</si>
  <si>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</si>
  <si>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</si>
  <si>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</si>
  <si>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</si>
  <si>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</si>
  <si>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</si>
  <si>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08/05/1945</t>
  </si>
</sst>
</file>

<file path=xl/styles.xml><?xml version="1.0" encoding="utf-8"?>
<styleSheet xmlns="http://schemas.openxmlformats.org/spreadsheetml/2006/main">
  <numFmts count="1">
    <numFmt numFmtId="164" formatCode="dd/mm/yy;@"/>
  </numFmts>
  <fonts count="2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</font>
    <font>
      <sz val="1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rgb="FF000000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B9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164" fontId="18" fillId="0" borderId="0" xfId="0" applyNumberFormat="1" applyFont="1" applyAlignment="1">
      <alignment horizontal="center" vertical="center"/>
    </xf>
    <xf numFmtId="164" fontId="18" fillId="0" borderId="0" xfId="0" applyNumberFormat="1" applyFont="1" applyAlignment="1">
      <alignment horizontal="right"/>
    </xf>
    <xf numFmtId="0" fontId="18" fillId="0" borderId="10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0" fillId="33" borderId="10" xfId="0" applyNumberFormat="1" applyFill="1" applyBorder="1" applyAlignment="1">
      <alignment horizontal="center" vertical="center"/>
    </xf>
    <xf numFmtId="14" fontId="0" fillId="0" borderId="0" xfId="0" applyNumberFormat="1"/>
    <xf numFmtId="0" fontId="18" fillId="0" borderId="14" xfId="0" applyFont="1" applyBorder="1" applyAlignment="1">
      <alignment horizontal="center" vertical="center"/>
    </xf>
    <xf numFmtId="0" fontId="0" fillId="34" borderId="10" xfId="0" applyFill="1" applyBorder="1" applyAlignment="1">
      <alignment horizontal="center" vertical="center"/>
    </xf>
    <xf numFmtId="0" fontId="0" fillId="36" borderId="10" xfId="0" applyFill="1" applyBorder="1" applyAlignment="1">
      <alignment horizontal="center" vertical="center"/>
    </xf>
    <xf numFmtId="0" fontId="0" fillId="35" borderId="10" xfId="0" applyFill="1" applyBorder="1" applyAlignment="1">
      <alignment horizontal="center" vertical="center"/>
    </xf>
    <xf numFmtId="0" fontId="0" fillId="37" borderId="10" xfId="0" applyFill="1" applyBorder="1" applyAlignment="1">
      <alignment horizontal="center" vertical="center"/>
    </xf>
    <xf numFmtId="9" fontId="0" fillId="38" borderId="10" xfId="42" applyFont="1" applyFill="1" applyBorder="1" applyAlignment="1">
      <alignment horizontal="center" vertical="center"/>
    </xf>
    <xf numFmtId="9" fontId="0" fillId="41" borderId="10" xfId="42" applyFont="1" applyFill="1" applyBorder="1" applyAlignment="1">
      <alignment horizontal="center" vertical="center"/>
    </xf>
    <xf numFmtId="9" fontId="0" fillId="39" borderId="10" xfId="42" applyFont="1" applyFill="1" applyBorder="1" applyAlignment="1">
      <alignment horizontal="center" vertical="center"/>
    </xf>
    <xf numFmtId="9" fontId="0" fillId="40" borderId="10" xfId="42" applyFont="1" applyFill="1" applyBorder="1" applyAlignment="1">
      <alignment horizontal="center" vertical="center"/>
    </xf>
    <xf numFmtId="0" fontId="14" fillId="0" borderId="0" xfId="0" applyFont="1"/>
    <xf numFmtId="14" fontId="14" fillId="0" borderId="0" xfId="0" applyNumberFormat="1" applyFont="1"/>
    <xf numFmtId="0" fontId="0" fillId="0" borderId="0" xfId="0" applyNumberFormat="1" applyAlignment="1">
      <alignment horizontal="center" vertical="center"/>
    </xf>
    <xf numFmtId="0" fontId="20" fillId="0" borderId="0" xfId="0" applyFont="1"/>
    <xf numFmtId="22" fontId="20" fillId="0" borderId="0" xfId="0" applyNumberFormat="1" applyFont="1"/>
    <xf numFmtId="14" fontId="20" fillId="0" borderId="0" xfId="0" applyNumberFormat="1" applyFont="1"/>
    <xf numFmtId="0" fontId="21" fillId="0" borderId="16" xfId="0" applyFont="1" applyBorder="1" applyAlignment="1">
      <alignment horizontal="center" vertical="center"/>
    </xf>
    <xf numFmtId="0" fontId="20" fillId="0" borderId="15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8" fillId="34" borderId="11" xfId="0" applyFont="1" applyFill="1" applyBorder="1" applyAlignment="1">
      <alignment horizontal="center" vertical="center"/>
    </xf>
    <xf numFmtId="0" fontId="18" fillId="34" borderId="12" xfId="0" applyFont="1" applyFill="1" applyBorder="1" applyAlignment="1">
      <alignment horizontal="center" vertical="center"/>
    </xf>
    <xf numFmtId="0" fontId="18" fillId="34" borderId="13" xfId="0" applyFont="1" applyFill="1" applyBorder="1" applyAlignment="1">
      <alignment horizontal="center" vertical="center"/>
    </xf>
    <xf numFmtId="0" fontId="18" fillId="33" borderId="16" xfId="0" applyFont="1" applyFill="1" applyBorder="1" applyAlignment="1">
      <alignment horizontal="center" vertical="center"/>
    </xf>
    <xf numFmtId="0" fontId="18" fillId="33" borderId="17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16" fontId="0" fillId="0" borderId="0" xfId="0" applyNumberFormat="1" applyAlignment="1">
      <alignment horizontal="center" wrapText="1"/>
    </xf>
    <xf numFmtId="15" fontId="0" fillId="0" borderId="0" xfId="0" quotePrefix="1" applyNumberFormat="1" applyAlignment="1">
      <alignment wrapText="1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FFB9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34"/>
  <c:chart>
    <c:autoTitleDeleted val="1"/>
    <c:plotArea>
      <c:layout/>
      <c:doughnutChart>
        <c:varyColors val="1"/>
        <c:ser>
          <c:idx val="0"/>
          <c:order val="0"/>
          <c:explosion val="2"/>
          <c:dPt>
            <c:idx val="0"/>
            <c:explosion val="3"/>
            <c:spPr>
              <a:solidFill>
                <a:srgbClr val="92D050"/>
              </a:solidFill>
            </c:spPr>
          </c:dPt>
          <c:dPt>
            <c:idx val="1"/>
            <c:spPr>
              <a:solidFill>
                <a:srgbClr val="FFFF00"/>
              </a:solidFill>
            </c:spPr>
          </c:dPt>
          <c:dPt>
            <c:idx val="2"/>
            <c:spPr>
              <a:solidFill>
                <a:srgbClr val="FFC000"/>
              </a:solidFill>
            </c:spPr>
          </c:dPt>
          <c:dPt>
            <c:idx val="3"/>
            <c:spPr>
              <a:solidFill>
                <a:srgbClr val="FF0000"/>
              </a:solidFill>
            </c:spPr>
          </c:dPt>
          <c:dLbls>
            <c:txPr>
              <a:bodyPr/>
              <a:lstStyle/>
              <a:p>
                <a:pPr>
                  <a:defRPr b="1" i="1"/>
                </a:pPr>
                <a:endParaRPr lang="fr-FR"/>
              </a:p>
            </c:txPr>
            <c:showCatName val="1"/>
            <c:showPercent val="1"/>
            <c:showLeaderLines val="1"/>
          </c:dLbls>
          <c:cat>
            <c:strRef>
              <c:f>Bilan!$I$6:$L$6</c:f>
              <c:strCache>
                <c:ptCount val="4"/>
                <c:pt idx="0">
                  <c:v>J -</c:v>
                </c:pt>
                <c:pt idx="1">
                  <c:v>J</c:v>
                </c:pt>
                <c:pt idx="2">
                  <c:v>J +3</c:v>
                </c:pt>
                <c:pt idx="3">
                  <c:v>J ≥ 7</c:v>
                </c:pt>
              </c:strCache>
            </c:strRef>
          </c:cat>
          <c:val>
            <c:numRef>
              <c:f>Bilan!$I$7:$L$7</c:f>
              <c:numCache>
                <c:formatCode>General</c:formatCode>
                <c:ptCount val="4"/>
                <c:pt idx="0">
                  <c:v>21</c:v>
                </c:pt>
                <c:pt idx="1">
                  <c:v>8</c:v>
                </c:pt>
                <c:pt idx="2">
                  <c:v>4</c:v>
                </c:pt>
                <c:pt idx="3">
                  <c:v>4</c:v>
                </c:pt>
              </c:numCache>
            </c:numRef>
          </c:val>
        </c:ser>
        <c:dLbls>
          <c:showCatName val="1"/>
          <c:showPercent val="1"/>
        </c:dLbls>
        <c:firstSliceAng val="0"/>
        <c:holeSize val="50"/>
      </c:doughnutChart>
    </c:plotArea>
    <c:plotVisOnly val="1"/>
    <c:dispBlanksAs val="zero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</xdr:colOff>
      <xdr:row>9</xdr:row>
      <xdr:rowOff>0</xdr:rowOff>
    </xdr:from>
    <xdr:to>
      <xdr:col>13</xdr:col>
      <xdr:colOff>0</xdr:colOff>
      <xdr:row>24</xdr:row>
      <xdr:rowOff>184547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06"/>
  <sheetViews>
    <sheetView zoomScaleNormal="100" workbookViewId="0"/>
  </sheetViews>
  <sheetFormatPr baseColWidth="10" defaultRowHeight="15"/>
  <cols>
    <col min="1" max="1" width="11.42578125" style="17"/>
    <col min="3" max="3" width="11.5703125" bestFit="1" customWidth="1"/>
    <col min="6" max="6" width="15.7109375" bestFit="1" customWidth="1"/>
    <col min="7" max="9" width="11.5703125" bestFit="1" customWidth="1"/>
    <col min="11" max="13" width="11.5703125" bestFit="1" customWidth="1"/>
    <col min="15" max="16" width="11.5703125" bestFit="1" customWidth="1"/>
  </cols>
  <sheetData>
    <row r="1" spans="1:17">
      <c r="A1" s="20" t="s">
        <v>0</v>
      </c>
      <c r="B1" s="20" t="s">
        <v>1</v>
      </c>
      <c r="C1" s="20" t="s">
        <v>14</v>
      </c>
      <c r="D1" s="20" t="s">
        <v>2</v>
      </c>
      <c r="E1" s="20" t="s">
        <v>15</v>
      </c>
      <c r="F1" s="20" t="s">
        <v>3</v>
      </c>
      <c r="G1" s="20" t="s">
        <v>16</v>
      </c>
      <c r="H1" s="20" t="s">
        <v>17</v>
      </c>
      <c r="I1" s="20" t="s">
        <v>18</v>
      </c>
      <c r="J1" s="20" t="s">
        <v>19</v>
      </c>
      <c r="K1" s="20" t="s">
        <v>20</v>
      </c>
      <c r="L1" s="20" t="s">
        <v>4</v>
      </c>
      <c r="M1" s="20" t="s">
        <v>7</v>
      </c>
      <c r="N1" s="20" t="s">
        <v>13</v>
      </c>
      <c r="O1" s="20" t="s">
        <v>21</v>
      </c>
      <c r="P1" s="20" t="s">
        <v>5</v>
      </c>
      <c r="Q1" s="20" t="s">
        <v>6</v>
      </c>
    </row>
    <row r="2" spans="1:17">
      <c r="A2" s="20" t="str">
        <f>"16220"</f>
        <v>16220</v>
      </c>
      <c r="B2" s="20" t="str">
        <f>" "</f>
        <v xml:space="preserve"> </v>
      </c>
      <c r="C2" s="20">
        <v>1</v>
      </c>
      <c r="D2" s="20" t="str">
        <f t="shared" ref="D2:D65" si="0">" "</f>
        <v xml:space="preserve"> </v>
      </c>
      <c r="E2" s="20" t="str">
        <f>"TUBE DT-073-01112I"</f>
        <v>TUBE DT-073-01112I</v>
      </c>
      <c r="F2" s="21">
        <v>42124.619537037041</v>
      </c>
      <c r="G2" s="20"/>
      <c r="H2" s="20">
        <v>4</v>
      </c>
      <c r="I2" s="20">
        <v>0</v>
      </c>
      <c r="J2" s="20" t="str">
        <f>" USINAGE ( MLV A50 )"</f>
        <v xml:space="preserve"> USINAGE ( MLV A50 )</v>
      </c>
      <c r="K2" s="20">
        <v>1188</v>
      </c>
      <c r="L2" s="20">
        <v>4752</v>
      </c>
      <c r="M2" s="22">
        <v>42146</v>
      </c>
      <c r="N2" s="20" t="str">
        <f>"STELIA"</f>
        <v>STELIA</v>
      </c>
      <c r="O2" s="20">
        <v>1188</v>
      </c>
      <c r="P2" s="20">
        <v>0</v>
      </c>
      <c r="Q2" s="20" t="str">
        <f>" "</f>
        <v xml:space="preserve"> </v>
      </c>
    </row>
    <row r="3" spans="1:17">
      <c r="A3" s="20" t="str">
        <f>"16220"</f>
        <v>16220</v>
      </c>
      <c r="B3" s="20" t="str">
        <f>" "</f>
        <v xml:space="preserve"> </v>
      </c>
      <c r="C3" s="20">
        <v>2</v>
      </c>
      <c r="D3" s="20" t="str">
        <f t="shared" si="0"/>
        <v xml:space="preserve"> </v>
      </c>
      <c r="E3" s="20" t="str">
        <f>"TRANSPORT"</f>
        <v>TRANSPORT</v>
      </c>
      <c r="F3" s="21">
        <v>42124.619537037041</v>
      </c>
      <c r="G3" s="20"/>
      <c r="H3" s="20">
        <v>1</v>
      </c>
      <c r="I3" s="20">
        <v>0</v>
      </c>
      <c r="J3" s="20" t="str">
        <f>"ALLER - RETOUR"</f>
        <v>ALLER - RETOUR</v>
      </c>
      <c r="K3" s="20">
        <v>240</v>
      </c>
      <c r="L3" s="20">
        <v>240</v>
      </c>
      <c r="M3" s="22">
        <v>42146</v>
      </c>
      <c r="N3" s="20" t="str">
        <f>"STELIA"</f>
        <v>STELIA</v>
      </c>
      <c r="O3" s="20">
        <v>240</v>
      </c>
      <c r="P3" s="20">
        <v>0</v>
      </c>
      <c r="Q3" s="20" t="str">
        <f>" "</f>
        <v xml:space="preserve"> </v>
      </c>
    </row>
    <row r="4" spans="1:17">
      <c r="A4" s="20" t="str">
        <f>"16219"</f>
        <v>16219</v>
      </c>
      <c r="B4" s="20" t="str">
        <f>"4577006768"</f>
        <v>4577006768</v>
      </c>
      <c r="C4" s="20">
        <v>1</v>
      </c>
      <c r="D4" s="20" t="str">
        <f t="shared" si="0"/>
        <v xml:space="preserve"> </v>
      </c>
      <c r="E4" s="20" t="str">
        <f>"E. CONTENEURS ABAS"</f>
        <v>E. CONTENEURS ABAS</v>
      </c>
      <c r="F4" s="21">
        <v>42124.55400462963</v>
      </c>
      <c r="G4" s="20"/>
      <c r="H4" s="20">
        <v>1</v>
      </c>
      <c r="I4" s="20">
        <v>0</v>
      </c>
      <c r="J4" s="20" t="str">
        <f>"ETUDE CAISSES DE STOCKAGE DPEIT (CTO U0298/15indA)"</f>
        <v>ETUDE CAISSES DE STOCKAGE DPEIT (CTO U0298/15indA)</v>
      </c>
      <c r="K4" s="20">
        <v>2192</v>
      </c>
      <c r="L4" s="20">
        <v>2192</v>
      </c>
      <c r="M4" s="22">
        <v>42156</v>
      </c>
      <c r="N4" s="20" t="str">
        <f>"AIRBUS"</f>
        <v>AIRBUS</v>
      </c>
      <c r="O4" s="20">
        <v>2192</v>
      </c>
      <c r="P4" s="20">
        <v>0</v>
      </c>
      <c r="Q4" s="20" t="str">
        <f>"15-0261C"</f>
        <v>15-0261C</v>
      </c>
    </row>
    <row r="5" spans="1:17">
      <c r="A5" s="20" t="str">
        <f>"16218"</f>
        <v>16218</v>
      </c>
      <c r="B5" s="20" t="str">
        <f>"121 500089721"</f>
        <v>121 500089721</v>
      </c>
      <c r="C5" s="20">
        <v>1</v>
      </c>
      <c r="D5" s="20" t="str">
        <f t="shared" si="0"/>
        <v xml:space="preserve"> </v>
      </c>
      <c r="E5" s="20" t="str">
        <f>"PRES PP12424W000"</f>
        <v>PRES PP12424W000</v>
      </c>
      <c r="F5" s="21">
        <v>42124.458310185182</v>
      </c>
      <c r="G5" s="20"/>
      <c r="H5" s="20">
        <v>1</v>
      </c>
      <c r="I5" s="20">
        <v>0</v>
      </c>
      <c r="J5" s="20" t="str">
        <f>"USINAGE"</f>
        <v>USINAGE</v>
      </c>
      <c r="K5" s="20">
        <v>5932</v>
      </c>
      <c r="L5" s="20">
        <v>5932</v>
      </c>
      <c r="M5" s="22">
        <v>42165</v>
      </c>
      <c r="N5" s="20" t="str">
        <f>"HERAKLES"</f>
        <v>HERAKLES</v>
      </c>
      <c r="O5" s="20">
        <v>5932</v>
      </c>
      <c r="P5" s="20">
        <v>0</v>
      </c>
      <c r="Q5" s="20" t="str">
        <f>"15-0142"</f>
        <v>15-0142</v>
      </c>
    </row>
    <row r="6" spans="1:17">
      <c r="A6" s="20" t="str">
        <f>"16217"</f>
        <v>16217</v>
      </c>
      <c r="B6" s="20" t="str">
        <f>"35011852 POSTE 50"</f>
        <v>35011852 POSTE 50</v>
      </c>
      <c r="C6" s="20">
        <v>1</v>
      </c>
      <c r="D6" s="20" t="str">
        <f t="shared" si="0"/>
        <v xml:space="preserve"> </v>
      </c>
      <c r="E6" s="20" t="str">
        <f>"T.GRAISSAGE 1632-B"</f>
        <v>T.GRAISSAGE 1632-B</v>
      </c>
      <c r="F6" s="21">
        <v>42124.374351851853</v>
      </c>
      <c r="G6" s="20"/>
      <c r="H6" s="20">
        <v>5</v>
      </c>
      <c r="I6" s="20">
        <v>0</v>
      </c>
      <c r="J6" s="20" t="str">
        <f>"FOURNITURE + USINAGE"</f>
        <v>FOURNITURE + USINAGE</v>
      </c>
      <c r="K6" s="20">
        <v>270</v>
      </c>
      <c r="L6" s="20">
        <v>1350</v>
      </c>
      <c r="M6" s="22">
        <v>42160</v>
      </c>
      <c r="N6" s="20" t="str">
        <f>"VALLOUREC DRILLING"</f>
        <v>VALLOUREC DRILLING</v>
      </c>
      <c r="O6" s="20">
        <v>270</v>
      </c>
      <c r="P6" s="20">
        <v>0</v>
      </c>
      <c r="Q6" s="20" t="str">
        <f>"15-0280"</f>
        <v>15-0280</v>
      </c>
    </row>
    <row r="7" spans="1:17">
      <c r="A7" s="20" t="str">
        <f>"16216"</f>
        <v>16216</v>
      </c>
      <c r="B7" s="20" t="str">
        <f>"35011852 POSTE 40"</f>
        <v>35011852 POSTE 40</v>
      </c>
      <c r="C7" s="20">
        <v>1</v>
      </c>
      <c r="D7" s="20" t="str">
        <f t="shared" si="0"/>
        <v xml:space="preserve"> </v>
      </c>
      <c r="E7" s="20" t="str">
        <f>"RALLONGE 3203-A"</f>
        <v>RALLONGE 3203-A</v>
      </c>
      <c r="F7" s="21">
        <v>42124.361932870372</v>
      </c>
      <c r="G7" s="20"/>
      <c r="H7" s="20">
        <v>1</v>
      </c>
      <c r="I7" s="20">
        <v>0</v>
      </c>
      <c r="J7" s="20" t="str">
        <f>"FOURNITURE + USINAGE"</f>
        <v>FOURNITURE + USINAGE</v>
      </c>
      <c r="K7" s="20">
        <v>650</v>
      </c>
      <c r="L7" s="20">
        <v>650</v>
      </c>
      <c r="M7" s="22">
        <v>42167</v>
      </c>
      <c r="N7" s="20" t="str">
        <f>"VALLOUREC DRILLING"</f>
        <v>VALLOUREC DRILLING</v>
      </c>
      <c r="O7" s="20">
        <v>650</v>
      </c>
      <c r="P7" s="20">
        <v>0</v>
      </c>
      <c r="Q7" s="20" t="str">
        <f t="shared" ref="Q7:Q17" si="1">" "</f>
        <v xml:space="preserve"> </v>
      </c>
    </row>
    <row r="8" spans="1:17">
      <c r="A8" s="20" t="str">
        <f>"16215"</f>
        <v>16215</v>
      </c>
      <c r="B8" s="20" t="str">
        <f>"35011852 POSTE 30"</f>
        <v>35011852 POSTE 30</v>
      </c>
      <c r="C8" s="20">
        <v>1</v>
      </c>
      <c r="D8" s="20" t="str">
        <f t="shared" si="0"/>
        <v xml:space="preserve"> </v>
      </c>
      <c r="E8" s="20" t="str">
        <f>"RALLONGE 3204-A"</f>
        <v>RALLONGE 3204-A</v>
      </c>
      <c r="F8" s="21">
        <v>42124.346261574072</v>
      </c>
      <c r="G8" s="20"/>
      <c r="H8" s="20">
        <v>1</v>
      </c>
      <c r="I8" s="20">
        <v>0</v>
      </c>
      <c r="J8" s="20" t="str">
        <f>"FOURNITURE + USINAGE"</f>
        <v>FOURNITURE + USINAGE</v>
      </c>
      <c r="K8" s="20">
        <v>620</v>
      </c>
      <c r="L8" s="20">
        <v>620</v>
      </c>
      <c r="M8" s="22">
        <v>42160</v>
      </c>
      <c r="N8" s="20" t="str">
        <f>"VALLOUREC DRILLING"</f>
        <v>VALLOUREC DRILLING</v>
      </c>
      <c r="O8" s="20">
        <v>620</v>
      </c>
      <c r="P8" s="20">
        <v>0</v>
      </c>
      <c r="Q8" s="20" t="str">
        <f t="shared" si="1"/>
        <v xml:space="preserve"> </v>
      </c>
    </row>
    <row r="9" spans="1:17">
      <c r="A9" s="20" t="str">
        <f>"16214"</f>
        <v>16214</v>
      </c>
      <c r="B9" s="20" t="str">
        <f>"35011852 POSTE 20"</f>
        <v>35011852 POSTE 20</v>
      </c>
      <c r="C9" s="20">
        <v>1</v>
      </c>
      <c r="D9" s="20" t="str">
        <f t="shared" si="0"/>
        <v xml:space="preserve"> </v>
      </c>
      <c r="E9" s="20" t="str">
        <f>"RACCORD 92571796/C"</f>
        <v>RACCORD 92571796/C</v>
      </c>
      <c r="F9" s="21">
        <v>42124.327962962961</v>
      </c>
      <c r="G9" s="20"/>
      <c r="H9" s="20">
        <v>30</v>
      </c>
      <c r="I9" s="20">
        <v>0</v>
      </c>
      <c r="J9" s="20" t="str">
        <f>"FOURNITURE"</f>
        <v>FOURNITURE</v>
      </c>
      <c r="K9" s="20">
        <v>45</v>
      </c>
      <c r="L9" s="20">
        <v>1350</v>
      </c>
      <c r="M9" s="22">
        <v>42153</v>
      </c>
      <c r="N9" s="20" t="str">
        <f>"VALLOUREC DRILLING"</f>
        <v>VALLOUREC DRILLING</v>
      </c>
      <c r="O9" s="20">
        <v>45</v>
      </c>
      <c r="P9" s="20">
        <v>0</v>
      </c>
      <c r="Q9" s="20" t="str">
        <f t="shared" si="1"/>
        <v xml:space="preserve"> </v>
      </c>
    </row>
    <row r="10" spans="1:17">
      <c r="A10" s="20" t="str">
        <f>"16213"</f>
        <v>16213</v>
      </c>
      <c r="B10" s="20" t="str">
        <f>"4572049952"</f>
        <v>4572049952</v>
      </c>
      <c r="C10" s="20">
        <v>1</v>
      </c>
      <c r="D10" s="20" t="str">
        <f t="shared" si="0"/>
        <v xml:space="preserve"> </v>
      </c>
      <c r="E10" s="20" t="str">
        <f>"RAMB. ST.STACK CCU"</f>
        <v>RAMB. ST.STACK CCU</v>
      </c>
      <c r="F10" s="21">
        <v>42123.49459490741</v>
      </c>
      <c r="G10" s="20"/>
      <c r="H10" s="20">
        <v>1</v>
      </c>
      <c r="I10" s="20">
        <v>0</v>
      </c>
      <c r="J10" s="20" t="str">
        <f>"REPARATION OUTILLAGES DISPENSER GALILEO"</f>
        <v>REPARATION OUTILLAGES DISPENSER GALILEO</v>
      </c>
      <c r="K10" s="20">
        <v>1950</v>
      </c>
      <c r="L10" s="20">
        <v>1950</v>
      </c>
      <c r="M10" s="22">
        <v>42151</v>
      </c>
      <c r="N10" s="20" t="str">
        <f>"AIRBUS"</f>
        <v>AIRBUS</v>
      </c>
      <c r="O10" s="20">
        <v>1950</v>
      </c>
      <c r="P10" s="20">
        <v>0</v>
      </c>
      <c r="Q10" s="20" t="str">
        <f t="shared" si="1"/>
        <v xml:space="preserve"> </v>
      </c>
    </row>
    <row r="11" spans="1:17">
      <c r="A11" s="20" t="str">
        <f>"16212"</f>
        <v>16212</v>
      </c>
      <c r="B11" s="20" t="str">
        <f>"4572049952"</f>
        <v>4572049952</v>
      </c>
      <c r="C11" s="20">
        <v>1</v>
      </c>
      <c r="D11" s="20" t="str">
        <f t="shared" si="0"/>
        <v xml:space="preserve"> </v>
      </c>
      <c r="E11" s="20" t="str">
        <f>"STAND STACK CCU"</f>
        <v>STAND STACK CCU</v>
      </c>
      <c r="F11" s="21">
        <v>42123.478425925925</v>
      </c>
      <c r="G11" s="20"/>
      <c r="H11" s="20">
        <v>1</v>
      </c>
      <c r="I11" s="20">
        <v>0</v>
      </c>
      <c r="J11" s="20" t="str">
        <f>"REPARATION OUTILLAGES DISPENSER GALILEO"</f>
        <v>REPARATION OUTILLAGES DISPENSER GALILEO</v>
      </c>
      <c r="K11" s="20">
        <v>1950</v>
      </c>
      <c r="L11" s="20">
        <v>1950</v>
      </c>
      <c r="M11" s="22">
        <v>42151</v>
      </c>
      <c r="N11" s="20" t="str">
        <f>"AIRBUS"</f>
        <v>AIRBUS</v>
      </c>
      <c r="O11" s="20">
        <v>1950</v>
      </c>
      <c r="P11" s="20">
        <v>0</v>
      </c>
      <c r="Q11" s="20" t="str">
        <f t="shared" si="1"/>
        <v xml:space="preserve"> </v>
      </c>
    </row>
    <row r="12" spans="1:17">
      <c r="A12" s="20" t="str">
        <f>"16211"</f>
        <v>16211</v>
      </c>
      <c r="B12" s="20" t="str">
        <f>"4572049952"</f>
        <v>4572049952</v>
      </c>
      <c r="C12" s="20">
        <v>1</v>
      </c>
      <c r="D12" s="20" t="str">
        <f t="shared" si="0"/>
        <v xml:space="preserve"> </v>
      </c>
      <c r="E12" s="20" t="str">
        <f>"TETE PALONNIER"</f>
        <v>TETE PALONNIER</v>
      </c>
      <c r="F12" s="21">
        <v>42123.459629629629</v>
      </c>
      <c r="G12" s="20"/>
      <c r="H12" s="20">
        <v>1</v>
      </c>
      <c r="I12" s="20">
        <v>0</v>
      </c>
      <c r="J12" s="20" t="str">
        <f>"REPARATION OUTILLAGES DISPENSER GALILEO"</f>
        <v>REPARATION OUTILLAGES DISPENSER GALILEO</v>
      </c>
      <c r="K12" s="20">
        <v>1950</v>
      </c>
      <c r="L12" s="20">
        <v>1950</v>
      </c>
      <c r="M12" s="22">
        <v>42151</v>
      </c>
      <c r="N12" s="20" t="str">
        <f>"AIRBUS"</f>
        <v>AIRBUS</v>
      </c>
      <c r="O12" s="20">
        <v>1950</v>
      </c>
      <c r="P12" s="20">
        <v>0</v>
      </c>
      <c r="Q12" s="20" t="str">
        <f t="shared" si="1"/>
        <v xml:space="preserve"> </v>
      </c>
    </row>
    <row r="13" spans="1:17">
      <c r="A13" s="20" t="str">
        <f>"16210"</f>
        <v>16210</v>
      </c>
      <c r="B13" s="20" t="str">
        <f>"4572049952"</f>
        <v>4572049952</v>
      </c>
      <c r="C13" s="20">
        <v>1</v>
      </c>
      <c r="D13" s="20" t="str">
        <f t="shared" si="0"/>
        <v xml:space="preserve"> </v>
      </c>
      <c r="E13" s="20" t="str">
        <f>"TAB CROI PALONNIER"</f>
        <v>TAB CROI PALONNIER</v>
      </c>
      <c r="F13" s="21">
        <v>42123.450659722221</v>
      </c>
      <c r="G13" s="20"/>
      <c r="H13" s="20">
        <v>1</v>
      </c>
      <c r="I13" s="20">
        <v>0</v>
      </c>
      <c r="J13" s="20" t="str">
        <f>"REPARATION OUTILLAGES DISPENSER GALILEO"</f>
        <v>REPARATION OUTILLAGES DISPENSER GALILEO</v>
      </c>
      <c r="K13" s="20">
        <v>1950</v>
      </c>
      <c r="L13" s="20">
        <v>1950</v>
      </c>
      <c r="M13" s="22">
        <v>42151</v>
      </c>
      <c r="N13" s="20" t="str">
        <f>"AIRBUS"</f>
        <v>AIRBUS</v>
      </c>
      <c r="O13" s="20">
        <v>1950</v>
      </c>
      <c r="P13" s="20">
        <v>0</v>
      </c>
      <c r="Q13" s="20" t="str">
        <f t="shared" si="1"/>
        <v xml:space="preserve"> </v>
      </c>
    </row>
    <row r="14" spans="1:17">
      <c r="A14" s="20" t="str">
        <f>"16209"</f>
        <v>16209</v>
      </c>
      <c r="B14" s="20" t="str">
        <f>"35011786 POSTE 10"</f>
        <v>35011786 POSTE 10</v>
      </c>
      <c r="C14" s="20">
        <v>1</v>
      </c>
      <c r="D14" s="20" t="str">
        <f t="shared" si="0"/>
        <v xml:space="preserve"> </v>
      </c>
      <c r="E14" s="20" t="str">
        <f>"POINCON 81802710/B"</f>
        <v>POINCON 81802710/B</v>
      </c>
      <c r="F14" s="21">
        <v>42122.603506944448</v>
      </c>
      <c r="G14" s="20"/>
      <c r="H14" s="20">
        <v>1</v>
      </c>
      <c r="I14" s="20">
        <v>0</v>
      </c>
      <c r="J14" s="20" t="str">
        <f>"FOURNITURE"</f>
        <v>FOURNITURE</v>
      </c>
      <c r="K14" s="20">
        <v>680</v>
      </c>
      <c r="L14" s="20">
        <v>680</v>
      </c>
      <c r="M14" s="22">
        <v>42160</v>
      </c>
      <c r="N14" s="20" t="str">
        <f>"VALLOUREC DRILLING"</f>
        <v>VALLOUREC DRILLING</v>
      </c>
      <c r="O14" s="20">
        <v>680</v>
      </c>
      <c r="P14" s="20">
        <v>0</v>
      </c>
      <c r="Q14" s="20" t="str">
        <f t="shared" si="1"/>
        <v xml:space="preserve"> </v>
      </c>
    </row>
    <row r="15" spans="1:17">
      <c r="A15" s="20" t="str">
        <f>"16208"</f>
        <v>16208</v>
      </c>
      <c r="B15" s="20" t="str">
        <f>"35011786 poste 20"</f>
        <v>35011786 poste 20</v>
      </c>
      <c r="C15" s="20">
        <v>1</v>
      </c>
      <c r="D15" s="20" t="str">
        <f t="shared" si="0"/>
        <v xml:space="preserve"> </v>
      </c>
      <c r="E15" s="20" t="str">
        <f>"POINCON 2352-E"</f>
        <v>POINCON 2352-E</v>
      </c>
      <c r="F15" s="21">
        <v>42122.577048611114</v>
      </c>
      <c r="G15" s="20"/>
      <c r="H15" s="20">
        <v>2</v>
      </c>
      <c r="I15" s="20">
        <v>0</v>
      </c>
      <c r="J15" s="20" t="str">
        <f>" USINAGE"</f>
        <v xml:space="preserve"> USINAGE</v>
      </c>
      <c r="K15" s="20">
        <v>1220</v>
      </c>
      <c r="L15" s="20">
        <v>2440</v>
      </c>
      <c r="M15" s="22">
        <v>42153</v>
      </c>
      <c r="N15" s="20" t="str">
        <f>"VALLOUREC DRILLING"</f>
        <v>VALLOUREC DRILLING</v>
      </c>
      <c r="O15" s="20">
        <v>1220</v>
      </c>
      <c r="P15" s="20">
        <v>0</v>
      </c>
      <c r="Q15" s="20" t="str">
        <f t="shared" si="1"/>
        <v xml:space="preserve"> </v>
      </c>
    </row>
    <row r="16" spans="1:17">
      <c r="A16" s="20" t="str">
        <f>"16207"</f>
        <v>16207</v>
      </c>
      <c r="B16" s="20" t="str">
        <f>" "</f>
        <v xml:space="preserve"> </v>
      </c>
      <c r="C16" s="20">
        <v>1</v>
      </c>
      <c r="D16" s="20" t="str">
        <f t="shared" si="0"/>
        <v xml:space="preserve"> </v>
      </c>
      <c r="E16" s="20" t="str">
        <f>"FLASQUE SYM REP2.3"</f>
        <v>FLASQUE SYM REP2.3</v>
      </c>
      <c r="F16" s="21">
        <v>42122.355879629627</v>
      </c>
      <c r="G16" s="22">
        <v>42124</v>
      </c>
      <c r="H16" s="20">
        <v>1</v>
      </c>
      <c r="I16" s="20">
        <v>1</v>
      </c>
      <c r="J16" s="20" t="str">
        <f>"REPRISE DE FLASQUE SYMETRIQUE (USINAGE LOT DE 2)"</f>
        <v>REPRISE DE FLASQUE SYMETRIQUE (USINAGE LOT DE 2)</v>
      </c>
      <c r="K16" s="20">
        <v>0</v>
      </c>
      <c r="L16" s="20">
        <v>0</v>
      </c>
      <c r="M16" s="22">
        <v>42124</v>
      </c>
      <c r="N16" s="20" t="str">
        <f>"METAREG"</f>
        <v>METAREG</v>
      </c>
      <c r="O16" s="20">
        <v>0</v>
      </c>
      <c r="P16" s="20">
        <v>0</v>
      </c>
      <c r="Q16" s="20" t="str">
        <f t="shared" si="1"/>
        <v xml:space="preserve"> </v>
      </c>
    </row>
    <row r="17" spans="1:17">
      <c r="A17" s="20" t="str">
        <f>"16207"</f>
        <v>16207</v>
      </c>
      <c r="B17" s="20" t="str">
        <f>" "</f>
        <v xml:space="preserve"> </v>
      </c>
      <c r="C17" s="20">
        <v>2</v>
      </c>
      <c r="D17" s="20" t="str">
        <f t="shared" si="0"/>
        <v xml:space="preserve"> </v>
      </c>
      <c r="E17" s="20" t="str">
        <f>"RENFORT 15G0001_A"</f>
        <v>RENFORT 15G0001_A</v>
      </c>
      <c r="F17" s="21">
        <v>42122.355879629627</v>
      </c>
      <c r="G17" s="22">
        <v>42125</v>
      </c>
      <c r="H17" s="20">
        <v>1</v>
      </c>
      <c r="I17" s="20">
        <v>1</v>
      </c>
      <c r="J17" s="20" t="str">
        <f>"REPRISE (USINAGE)"</f>
        <v>REPRISE (USINAGE)</v>
      </c>
      <c r="K17" s="20">
        <v>0</v>
      </c>
      <c r="L17" s="20">
        <v>0</v>
      </c>
      <c r="M17" s="22">
        <v>42124</v>
      </c>
      <c r="N17" s="20" t="str">
        <f>"METAREG"</f>
        <v>METAREG</v>
      </c>
      <c r="O17" s="20">
        <v>0</v>
      </c>
      <c r="P17" s="20">
        <v>0</v>
      </c>
      <c r="Q17" s="20" t="str">
        <f t="shared" si="1"/>
        <v xml:space="preserve"> </v>
      </c>
    </row>
    <row r="18" spans="1:17">
      <c r="A18" s="20" t="str">
        <f>"16206"</f>
        <v>16206</v>
      </c>
      <c r="B18" s="20" t="str">
        <f>"A014620"</f>
        <v>A014620</v>
      </c>
      <c r="C18" s="20">
        <v>1</v>
      </c>
      <c r="D18" s="20" t="str">
        <f t="shared" si="0"/>
        <v xml:space="preserve"> </v>
      </c>
      <c r="E18" s="20" t="str">
        <f>"RECTIF. CORPS POMP"</f>
        <v>RECTIF. CORPS POMP</v>
      </c>
      <c r="F18" s="21">
        <v>42122.494768518518</v>
      </c>
      <c r="G18" s="22">
        <v>42124</v>
      </c>
      <c r="H18" s="20">
        <v>1</v>
      </c>
      <c r="I18" s="20">
        <v>1</v>
      </c>
      <c r="J18" s="20" t="str">
        <f>"RECTIFICATION (USINAGE)"</f>
        <v>RECTIFICATION (USINAGE)</v>
      </c>
      <c r="K18" s="20">
        <v>500</v>
      </c>
      <c r="L18" s="20">
        <v>500</v>
      </c>
      <c r="M18" s="22">
        <v>42123</v>
      </c>
      <c r="N18" s="20" t="str">
        <f>"ASE"</f>
        <v>ASE</v>
      </c>
      <c r="O18" s="20">
        <v>500</v>
      </c>
      <c r="P18" s="20">
        <v>0</v>
      </c>
      <c r="Q18" s="20" t="str">
        <f>"15-0282"</f>
        <v>15-0282</v>
      </c>
    </row>
    <row r="19" spans="1:17">
      <c r="A19" s="20" t="str">
        <f>"16205"</f>
        <v>16205</v>
      </c>
      <c r="B19" s="20" t="str">
        <f>"466 BS"</f>
        <v>466 BS</v>
      </c>
      <c r="C19" s="20">
        <v>1</v>
      </c>
      <c r="D19" s="20" t="str">
        <f t="shared" si="0"/>
        <v xml:space="preserve"> </v>
      </c>
      <c r="E19" s="20" t="str">
        <f>"PERCUTEUR HR"</f>
        <v>PERCUTEUR HR</v>
      </c>
      <c r="F19" s="21">
        <v>42121.568657407406</v>
      </c>
      <c r="G19" s="20"/>
      <c r="H19" s="20">
        <v>1</v>
      </c>
      <c r="I19" s="20">
        <v>0</v>
      </c>
      <c r="J19" s="20" t="str">
        <f>"USINAGE FINAL"</f>
        <v>USINAGE FINAL</v>
      </c>
      <c r="K19" s="20">
        <v>4175</v>
      </c>
      <c r="L19" s="20">
        <v>4175</v>
      </c>
      <c r="M19" s="22">
        <v>42142</v>
      </c>
      <c r="N19" s="20" t="str">
        <f>"DIMETAL"</f>
        <v>DIMETAL</v>
      </c>
      <c r="O19" s="20">
        <v>4175</v>
      </c>
      <c r="P19" s="20">
        <v>0</v>
      </c>
      <c r="Q19" s="20" t="str">
        <f>"15-0291"</f>
        <v>15-0291</v>
      </c>
    </row>
    <row r="20" spans="1:17">
      <c r="A20" s="20" t="str">
        <f>"16204"</f>
        <v>16204</v>
      </c>
      <c r="B20" s="20" t="str">
        <f>"1508466801 15057"</f>
        <v>1508466801 15057</v>
      </c>
      <c r="C20" s="20">
        <v>1</v>
      </c>
      <c r="D20" s="20" t="str">
        <f t="shared" si="0"/>
        <v xml:space="preserve"> </v>
      </c>
      <c r="E20" s="20" t="str">
        <f>"LOT MODIF PIECE F."</f>
        <v>LOT MODIF PIECE F.</v>
      </c>
      <c r="F20" s="21">
        <v>42121.350462962961</v>
      </c>
      <c r="G20" s="20"/>
      <c r="H20" s="20">
        <v>1</v>
      </c>
      <c r="I20" s="20">
        <v>0</v>
      </c>
      <c r="J20" s="20" t="str">
        <f>"ENSEMBLE"</f>
        <v>ENSEMBLE</v>
      </c>
      <c r="K20" s="20">
        <v>150</v>
      </c>
      <c r="L20" s="20">
        <v>150</v>
      </c>
      <c r="M20" s="22">
        <v>42128</v>
      </c>
      <c r="N20" s="20" t="str">
        <f>"VERITAS"</f>
        <v>VERITAS</v>
      </c>
      <c r="O20" s="20">
        <v>150</v>
      </c>
      <c r="P20" s="20">
        <v>0</v>
      </c>
      <c r="Q20" s="20" t="str">
        <f>"15-0269"</f>
        <v>15-0269</v>
      </c>
    </row>
    <row r="21" spans="1:17">
      <c r="A21" s="20" t="str">
        <f>"16204"</f>
        <v>16204</v>
      </c>
      <c r="B21" s="20" t="str">
        <f>"1508466801 15057"</f>
        <v>1508466801 15057</v>
      </c>
      <c r="C21" s="20">
        <v>2</v>
      </c>
      <c r="D21" s="20" t="str">
        <f t="shared" si="0"/>
        <v xml:space="preserve"> </v>
      </c>
      <c r="E21" s="20" t="str">
        <f>"LOT PIECE NEUVES"</f>
        <v>LOT PIECE NEUVES</v>
      </c>
      <c r="F21" s="21">
        <v>42121.350462962961</v>
      </c>
      <c r="G21" s="20"/>
      <c r="H21" s="20">
        <v>1</v>
      </c>
      <c r="I21" s="20">
        <v>0</v>
      </c>
      <c r="J21" s="20" t="str">
        <f>"ENSEMBLE"</f>
        <v>ENSEMBLE</v>
      </c>
      <c r="K21" s="20">
        <v>1690</v>
      </c>
      <c r="L21" s="20">
        <v>1690</v>
      </c>
      <c r="M21" s="22">
        <v>42128</v>
      </c>
      <c r="N21" s="20" t="str">
        <f>"VERITAS"</f>
        <v>VERITAS</v>
      </c>
      <c r="O21" s="20">
        <v>1690</v>
      </c>
      <c r="P21" s="20">
        <v>0</v>
      </c>
      <c r="Q21" s="20" t="str">
        <f>"15-0269"</f>
        <v>15-0269</v>
      </c>
    </row>
    <row r="22" spans="1:17">
      <c r="A22" s="20" t="str">
        <f>"16203"</f>
        <v>16203</v>
      </c>
      <c r="B22" s="20" t="str">
        <f>"23222"</f>
        <v>23222</v>
      </c>
      <c r="C22" s="20">
        <v>1</v>
      </c>
      <c r="D22" s="20" t="str">
        <f t="shared" si="0"/>
        <v xml:space="preserve"> </v>
      </c>
      <c r="E22" s="20" t="str">
        <f>"DECOUPE JUPETTE"</f>
        <v>DECOUPE JUPETTE</v>
      </c>
      <c r="F22" s="21">
        <v>42118.446076388886</v>
      </c>
      <c r="G22" s="22">
        <v>42122</v>
      </c>
      <c r="H22" s="20">
        <v>1</v>
      </c>
      <c r="I22" s="20">
        <v>1</v>
      </c>
      <c r="J22" s="20" t="str">
        <f>"USINAGE"</f>
        <v>USINAGE</v>
      </c>
      <c r="K22" s="20">
        <v>900</v>
      </c>
      <c r="L22" s="20">
        <v>900</v>
      </c>
      <c r="M22" s="22">
        <v>42122</v>
      </c>
      <c r="N22" s="20" t="str">
        <f>"MPRD"</f>
        <v>MPRD</v>
      </c>
      <c r="O22" s="20">
        <v>900</v>
      </c>
      <c r="P22" s="20">
        <v>0</v>
      </c>
      <c r="Q22" s="20" t="str">
        <f>"15-0267"</f>
        <v>15-0267</v>
      </c>
    </row>
    <row r="23" spans="1:17">
      <c r="A23" s="20" t="str">
        <f>"16202"</f>
        <v>16202</v>
      </c>
      <c r="B23" s="20" t="str">
        <f>" "</f>
        <v xml:space="preserve"> </v>
      </c>
      <c r="C23" s="20">
        <v>1</v>
      </c>
      <c r="D23" s="20" t="str">
        <f t="shared" si="0"/>
        <v xml:space="preserve"> </v>
      </c>
      <c r="E23" s="20" t="str">
        <f>"152250/A01"</f>
        <v>152250/A01</v>
      </c>
      <c r="F23" s="21">
        <v>42118.402685185189</v>
      </c>
      <c r="G23" s="20"/>
      <c r="H23" s="20">
        <v>4</v>
      </c>
      <c r="I23" s="20">
        <v>0</v>
      </c>
      <c r="J23" s="20" t="str">
        <f>"EMBOUT ADAPTATEUR SONDE CUVE (FOURNITURE +USINAGE)"</f>
        <v>EMBOUT ADAPTATEUR SONDE CUVE (FOURNITURE +USINAGE)</v>
      </c>
      <c r="K23" s="20">
        <v>55</v>
      </c>
      <c r="L23" s="20">
        <v>220</v>
      </c>
      <c r="M23" s="22">
        <v>42118</v>
      </c>
      <c r="N23" s="20" t="str">
        <f>"HERAKLES ( SME )"</f>
        <v>HERAKLES ( SME )</v>
      </c>
      <c r="O23" s="20">
        <v>55</v>
      </c>
      <c r="P23" s="20">
        <v>0</v>
      </c>
      <c r="Q23" s="20" t="str">
        <f>"15-0259"</f>
        <v>15-0259</v>
      </c>
    </row>
    <row r="24" spans="1:17">
      <c r="A24" s="20" t="str">
        <f>"16202"</f>
        <v>16202</v>
      </c>
      <c r="B24" s="20" t="str">
        <f>" "</f>
        <v xml:space="preserve"> </v>
      </c>
      <c r="C24" s="20">
        <v>2</v>
      </c>
      <c r="D24" s="20" t="str">
        <f t="shared" si="0"/>
        <v xml:space="preserve"> </v>
      </c>
      <c r="E24" s="20" t="str">
        <f>"150301/A00"</f>
        <v>150301/A00</v>
      </c>
      <c r="F24" s="21">
        <v>42118.402685185189</v>
      </c>
      <c r="G24" s="20"/>
      <c r="H24" s="20">
        <v>3</v>
      </c>
      <c r="I24" s="20">
        <v>0</v>
      </c>
      <c r="J24" s="20" t="str">
        <f>"MODIF CUVE LQG (USINAGE)"</f>
        <v>MODIF CUVE LQG (USINAGE)</v>
      </c>
      <c r="K24" s="20">
        <v>95</v>
      </c>
      <c r="L24" s="20">
        <v>285</v>
      </c>
      <c r="M24" s="22">
        <v>42118</v>
      </c>
      <c r="N24" s="20" t="str">
        <f>"HERAKLES ( SME )"</f>
        <v>HERAKLES ( SME )</v>
      </c>
      <c r="O24" s="20">
        <v>95</v>
      </c>
      <c r="P24" s="20">
        <v>0</v>
      </c>
      <c r="Q24" s="20" t="str">
        <f>"15-0259"</f>
        <v>15-0259</v>
      </c>
    </row>
    <row r="25" spans="1:17">
      <c r="A25" s="20" t="str">
        <f>"16202"</f>
        <v>16202</v>
      </c>
      <c r="B25" s="20" t="str">
        <f>" "</f>
        <v xml:space="preserve"> </v>
      </c>
      <c r="C25" s="20">
        <v>3</v>
      </c>
      <c r="D25" s="20" t="str">
        <f t="shared" si="0"/>
        <v xml:space="preserve"> </v>
      </c>
      <c r="E25" s="20" t="str">
        <f>"TRANSPORT"</f>
        <v>TRANSPORT</v>
      </c>
      <c r="F25" s="21">
        <v>42118.402685185189</v>
      </c>
      <c r="G25" s="20"/>
      <c r="H25" s="20">
        <v>1</v>
      </c>
      <c r="I25" s="20">
        <v>0</v>
      </c>
      <c r="J25" s="20" t="str">
        <f>"A/R HERAKLES &lt;-&gt; SERRES"</f>
        <v>A/R HERAKLES &lt;-&gt; SERRES</v>
      </c>
      <c r="K25" s="20">
        <v>45</v>
      </c>
      <c r="L25" s="20">
        <v>45</v>
      </c>
      <c r="M25" s="22">
        <v>42118</v>
      </c>
      <c r="N25" s="20" t="str">
        <f>"HERAKLES ( SME )"</f>
        <v>HERAKLES ( SME )</v>
      </c>
      <c r="O25" s="20">
        <v>45</v>
      </c>
      <c r="P25" s="20">
        <v>0</v>
      </c>
      <c r="Q25" s="20" t="str">
        <f>"15-0259"</f>
        <v>15-0259</v>
      </c>
    </row>
    <row r="26" spans="1:17">
      <c r="A26" s="20" t="str">
        <f>"16201"</f>
        <v>16201</v>
      </c>
      <c r="B26" s="20" t="str">
        <f>"6675-GOUR"</f>
        <v>6675-GOUR</v>
      </c>
      <c r="C26" s="20">
        <v>1</v>
      </c>
      <c r="D26" s="20" t="str">
        <f t="shared" si="0"/>
        <v xml:space="preserve"> </v>
      </c>
      <c r="E26" s="20" t="str">
        <f>"PLAQUE 800X800X30"</f>
        <v>PLAQUE 800X800X30</v>
      </c>
      <c r="F26" s="21">
        <v>42118.367349537039</v>
      </c>
      <c r="G26" s="22">
        <v>42124</v>
      </c>
      <c r="H26" s="20">
        <v>1</v>
      </c>
      <c r="I26" s="20">
        <v>1</v>
      </c>
      <c r="J26" s="20" t="str">
        <f>"fourniture + usinage"</f>
        <v>fourniture + usinage</v>
      </c>
      <c r="K26" s="20">
        <v>900</v>
      </c>
      <c r="L26" s="20">
        <v>900</v>
      </c>
      <c r="M26" s="22">
        <v>42130</v>
      </c>
      <c r="N26" s="20" t="str">
        <f>"SERCOVAM"</f>
        <v>SERCOVAM</v>
      </c>
      <c r="O26" s="20">
        <v>900</v>
      </c>
      <c r="P26" s="20">
        <v>0</v>
      </c>
      <c r="Q26" s="20" t="str">
        <f>"15-0285"</f>
        <v>15-0285</v>
      </c>
    </row>
    <row r="27" spans="1:17">
      <c r="A27" s="20" t="str">
        <f>"16200"</f>
        <v>16200</v>
      </c>
      <c r="B27" s="20" t="str">
        <f t="shared" ref="B27:B32" si="2">" "</f>
        <v xml:space="preserve"> </v>
      </c>
      <c r="C27" s="20">
        <v>1</v>
      </c>
      <c r="D27" s="20" t="str">
        <f t="shared" si="0"/>
        <v xml:space="preserve"> </v>
      </c>
      <c r="E27" s="20" t="str">
        <f>"BERCEAU + EMBASE"</f>
        <v>BERCEAU + EMBASE</v>
      </c>
      <c r="F27" s="21">
        <v>42118.331030092595</v>
      </c>
      <c r="G27" s="20"/>
      <c r="H27" s="20">
        <v>1</v>
      </c>
      <c r="I27" s="20">
        <v>0</v>
      </c>
      <c r="J27" s="20" t="str">
        <f>"FOURNITURE (ensemble AED18428AAB)"</f>
        <v>FOURNITURE (ensemble AED18428AAB)</v>
      </c>
      <c r="K27" s="20">
        <v>0</v>
      </c>
      <c r="L27" s="20">
        <v>0</v>
      </c>
      <c r="M27" s="20"/>
      <c r="N27" s="20" t="str">
        <f>"HERAKLES"</f>
        <v>HERAKLES</v>
      </c>
      <c r="O27" s="20">
        <v>0</v>
      </c>
      <c r="P27" s="20">
        <v>0</v>
      </c>
      <c r="Q27" s="20" t="str">
        <f>" "</f>
        <v xml:space="preserve"> </v>
      </c>
    </row>
    <row r="28" spans="1:17">
      <c r="A28" s="20" t="str">
        <f>"16200"</f>
        <v>16200</v>
      </c>
      <c r="B28" s="20" t="str">
        <f t="shared" si="2"/>
        <v xml:space="preserve"> </v>
      </c>
      <c r="C28" s="20">
        <v>2</v>
      </c>
      <c r="D28" s="20" t="str">
        <f t="shared" si="0"/>
        <v xml:space="preserve"> </v>
      </c>
      <c r="E28" s="20" t="str">
        <f>"AED18430AAB"</f>
        <v>AED18430AAB</v>
      </c>
      <c r="F28" s="21">
        <v>42118.331030092595</v>
      </c>
      <c r="G28" s="20"/>
      <c r="H28" s="20">
        <v>1</v>
      </c>
      <c r="I28" s="20">
        <v>0</v>
      </c>
      <c r="J28" s="20" t="str">
        <f>"EMBASE"</f>
        <v>EMBASE</v>
      </c>
      <c r="K28" s="20">
        <v>0</v>
      </c>
      <c r="L28" s="20">
        <v>0</v>
      </c>
      <c r="M28" s="20"/>
      <c r="N28" s="20" t="str">
        <f>"HERAKLES"</f>
        <v>HERAKLES</v>
      </c>
      <c r="O28" s="20">
        <v>0</v>
      </c>
      <c r="P28" s="20">
        <v>0</v>
      </c>
      <c r="Q28" s="20" t="str">
        <f>" "</f>
        <v xml:space="preserve"> </v>
      </c>
    </row>
    <row r="29" spans="1:17">
      <c r="A29" s="20" t="str">
        <f>"16200"</f>
        <v>16200</v>
      </c>
      <c r="B29" s="20" t="str">
        <f t="shared" si="2"/>
        <v xml:space="preserve"> </v>
      </c>
      <c r="C29" s="20">
        <v>3</v>
      </c>
      <c r="D29" s="20" t="str">
        <f t="shared" si="0"/>
        <v xml:space="preserve"> </v>
      </c>
      <c r="E29" s="20" t="str">
        <f>"AED18429AAB"</f>
        <v>AED18429AAB</v>
      </c>
      <c r="F29" s="21">
        <v>42118.331030092595</v>
      </c>
      <c r="G29" s="20"/>
      <c r="H29" s="20">
        <v>1</v>
      </c>
      <c r="I29" s="20">
        <v>0</v>
      </c>
      <c r="J29" s="20" t="str">
        <f>"BERCEAU"</f>
        <v>BERCEAU</v>
      </c>
      <c r="K29" s="20">
        <v>0</v>
      </c>
      <c r="L29" s="20">
        <v>0</v>
      </c>
      <c r="M29" s="20"/>
      <c r="N29" s="20" t="str">
        <f>"HERAKLES"</f>
        <v>HERAKLES</v>
      </c>
      <c r="O29" s="20">
        <v>0</v>
      </c>
      <c r="P29" s="20">
        <v>0</v>
      </c>
      <c r="Q29" s="20" t="str">
        <f>" "</f>
        <v xml:space="preserve"> </v>
      </c>
    </row>
    <row r="30" spans="1:17">
      <c r="A30" s="20" t="str">
        <f>"16198"</f>
        <v>16198</v>
      </c>
      <c r="B30" s="20" t="str">
        <f t="shared" si="2"/>
        <v xml:space="preserve"> </v>
      </c>
      <c r="C30" s="20">
        <v>1</v>
      </c>
      <c r="D30" s="20" t="str">
        <f t="shared" si="0"/>
        <v xml:space="preserve"> </v>
      </c>
      <c r="E30" s="20" t="str">
        <f>"SUPPORT OBJECT LOT"</f>
        <v>SUPPORT OBJECT LOT</v>
      </c>
      <c r="F30" s="21">
        <v>42116.613761574074</v>
      </c>
      <c r="G30" s="20"/>
      <c r="H30" s="20">
        <v>1</v>
      </c>
      <c r="I30" s="20">
        <v>0</v>
      </c>
      <c r="J30" s="20" t="str">
        <f>" FOURNITURE+USINAGE ( ensemble )"</f>
        <v xml:space="preserve"> FOURNITURE+USINAGE ( ensemble )</v>
      </c>
      <c r="K30" s="20">
        <v>450</v>
      </c>
      <c r="L30" s="20">
        <v>450</v>
      </c>
      <c r="M30" s="22">
        <v>42135</v>
      </c>
      <c r="N30" s="20" t="str">
        <f>"METAREG"</f>
        <v>METAREG</v>
      </c>
      <c r="O30" s="20">
        <v>450</v>
      </c>
      <c r="P30" s="20">
        <v>0</v>
      </c>
      <c r="Q30" s="20" t="str">
        <f>"15-0163B"</f>
        <v>15-0163B</v>
      </c>
    </row>
    <row r="31" spans="1:17">
      <c r="A31" s="20" t="str">
        <f>"16198"</f>
        <v>16198</v>
      </c>
      <c r="B31" s="20" t="str">
        <f t="shared" si="2"/>
        <v xml:space="preserve"> </v>
      </c>
      <c r="C31" s="20">
        <v>2</v>
      </c>
      <c r="D31" s="20" t="str">
        <f t="shared" si="0"/>
        <v xml:space="preserve"> </v>
      </c>
      <c r="E31" s="20" t="str">
        <f>"SUPPORT OBJECT HOR"</f>
        <v>SUPPORT OBJECT HOR</v>
      </c>
      <c r="F31" s="21">
        <v>42116.613761574074</v>
      </c>
      <c r="G31" s="20"/>
      <c r="H31" s="20">
        <v>1</v>
      </c>
      <c r="I31" s="20">
        <v>0</v>
      </c>
      <c r="J31" s="20" t="str">
        <f>" FOURNITURE+USINAGE ( horizontal )"</f>
        <v xml:space="preserve"> FOURNITURE+USINAGE ( horizontal )</v>
      </c>
      <c r="K31" s="20">
        <v>710</v>
      </c>
      <c r="L31" s="20">
        <v>710</v>
      </c>
      <c r="M31" s="22">
        <v>42135</v>
      </c>
      <c r="N31" s="20" t="str">
        <f>"METAREG"</f>
        <v>METAREG</v>
      </c>
      <c r="O31" s="20">
        <v>710</v>
      </c>
      <c r="P31" s="20">
        <v>0</v>
      </c>
      <c r="Q31" s="20" t="str">
        <f>"15-0163B"</f>
        <v>15-0163B</v>
      </c>
    </row>
    <row r="32" spans="1:17">
      <c r="A32" s="20" t="str">
        <f>"16198"</f>
        <v>16198</v>
      </c>
      <c r="B32" s="20" t="str">
        <f t="shared" si="2"/>
        <v xml:space="preserve"> </v>
      </c>
      <c r="C32" s="20">
        <v>3</v>
      </c>
      <c r="D32" s="20" t="str">
        <f t="shared" si="0"/>
        <v xml:space="preserve"> </v>
      </c>
      <c r="E32" s="20" t="str">
        <f>"SUPPORT OBJECT INC"</f>
        <v>SUPPORT OBJECT INC</v>
      </c>
      <c r="F32" s="21">
        <v>42116.613761574074</v>
      </c>
      <c r="G32" s="22">
        <v>42131</v>
      </c>
      <c r="H32" s="20">
        <v>1</v>
      </c>
      <c r="I32" s="20">
        <v>1</v>
      </c>
      <c r="J32" s="20" t="str">
        <f>" FOURNITURE+USINAGE ( incliné )"</f>
        <v xml:space="preserve"> FOURNITURE+USINAGE ( incliné )</v>
      </c>
      <c r="K32" s="20">
        <v>870</v>
      </c>
      <c r="L32" s="20">
        <v>870</v>
      </c>
      <c r="M32" s="22">
        <v>42135</v>
      </c>
      <c r="N32" s="20" t="str">
        <f>"METAREG"</f>
        <v>METAREG</v>
      </c>
      <c r="O32" s="20">
        <v>870</v>
      </c>
      <c r="P32" s="20">
        <v>0</v>
      </c>
      <c r="Q32" s="20" t="str">
        <f>"15-0163B"</f>
        <v>15-0163B</v>
      </c>
    </row>
    <row r="33" spans="1:17">
      <c r="A33" s="20" t="str">
        <f>"16197"</f>
        <v>16197</v>
      </c>
      <c r="B33" s="20" t="str">
        <f>"5863-01"</f>
        <v>5863-01</v>
      </c>
      <c r="C33" s="20">
        <v>1</v>
      </c>
      <c r="D33" s="20" t="str">
        <f t="shared" si="0"/>
        <v xml:space="preserve"> </v>
      </c>
      <c r="E33" s="20" t="str">
        <f>"800C2968/AA"</f>
        <v>800C2968/AA</v>
      </c>
      <c r="F33" s="21">
        <v>42115.383587962962</v>
      </c>
      <c r="G33" s="20"/>
      <c r="H33" s="20">
        <v>2</v>
      </c>
      <c r="I33" s="20">
        <v>0</v>
      </c>
      <c r="J33" s="20" t="str">
        <f>"PROTECTEUR ARRIERE (FOURNITURE+USINAGE)"</f>
        <v>PROTECTEUR ARRIERE (FOURNITURE+USINAGE)</v>
      </c>
      <c r="K33" s="20">
        <v>3310</v>
      </c>
      <c r="L33" s="20">
        <v>6620</v>
      </c>
      <c r="M33" s="22">
        <v>42152</v>
      </c>
      <c r="N33" s="20" t="str">
        <f>"LAMARCHE"</f>
        <v>LAMARCHE</v>
      </c>
      <c r="O33" s="20">
        <v>3310</v>
      </c>
      <c r="P33" s="20">
        <v>0</v>
      </c>
      <c r="Q33" s="20" t="str">
        <f>"15-0137"</f>
        <v>15-0137</v>
      </c>
    </row>
    <row r="34" spans="1:17">
      <c r="A34" s="20" t="str">
        <f>"16196"</f>
        <v>16196</v>
      </c>
      <c r="B34" s="20" t="str">
        <f>"01240"</f>
        <v>01240</v>
      </c>
      <c r="C34" s="20">
        <v>1</v>
      </c>
      <c r="D34" s="20" t="str">
        <f t="shared" si="0"/>
        <v xml:space="preserve"> </v>
      </c>
      <c r="E34" s="20" t="str">
        <f>"RETOUCHE COURONNE"</f>
        <v>RETOUCHE COURONNE</v>
      </c>
      <c r="F34" s="21">
        <v>42114.601076388892</v>
      </c>
      <c r="G34" s="22">
        <v>42115</v>
      </c>
      <c r="H34" s="20">
        <v>1</v>
      </c>
      <c r="I34" s="20">
        <v>1</v>
      </c>
      <c r="J34" s="20" t="str">
        <f>" DRESSAGE FACE"</f>
        <v xml:space="preserve"> DRESSAGE FACE</v>
      </c>
      <c r="K34" s="20">
        <v>145</v>
      </c>
      <c r="L34" s="20">
        <v>145</v>
      </c>
      <c r="M34" s="22">
        <v>42116</v>
      </c>
      <c r="N34" s="20" t="str">
        <f>"ABAQUE"</f>
        <v>ABAQUE</v>
      </c>
      <c r="O34" s="20">
        <v>145</v>
      </c>
      <c r="P34" s="20">
        <v>0</v>
      </c>
      <c r="Q34" s="20" t="str">
        <f>" "</f>
        <v xml:space="preserve"> </v>
      </c>
    </row>
    <row r="35" spans="1:17">
      <c r="A35" s="20" t="str">
        <f>"16195"</f>
        <v>16195</v>
      </c>
      <c r="B35" s="20" t="str">
        <f>"35011772 POSTE 10"</f>
        <v>35011772 POSTE 10</v>
      </c>
      <c r="C35" s="20">
        <v>1</v>
      </c>
      <c r="D35" s="20" t="str">
        <f t="shared" si="0"/>
        <v xml:space="preserve"> </v>
      </c>
      <c r="E35" s="20" t="str">
        <f>"MATRICE 93000043/B"</f>
        <v>MATRICE 93000043/B</v>
      </c>
      <c r="F35" s="21">
        <v>42114.586076388892</v>
      </c>
      <c r="G35" s="20"/>
      <c r="H35" s="20">
        <v>2</v>
      </c>
      <c r="I35" s="20">
        <v>0</v>
      </c>
      <c r="J35" s="20" t="str">
        <f>"USINAGE"</f>
        <v>USINAGE</v>
      </c>
      <c r="K35" s="20">
        <v>1910</v>
      </c>
      <c r="L35" s="20">
        <v>3820</v>
      </c>
      <c r="M35" s="22">
        <v>42146</v>
      </c>
      <c r="N35" s="20" t="str">
        <f>"VALLOUREC DRILLING"</f>
        <v>VALLOUREC DRILLING</v>
      </c>
      <c r="O35" s="20">
        <v>1910</v>
      </c>
      <c r="P35" s="20">
        <v>0</v>
      </c>
      <c r="Q35" s="20" t="str">
        <f>" "</f>
        <v xml:space="preserve"> </v>
      </c>
    </row>
    <row r="36" spans="1:17">
      <c r="A36" s="20" t="str">
        <f>"16194"</f>
        <v>16194</v>
      </c>
      <c r="B36" s="20" t="str">
        <f>"35011772 poste 20"</f>
        <v>35011772 poste 20</v>
      </c>
      <c r="C36" s="20">
        <v>1</v>
      </c>
      <c r="D36" s="20" t="str">
        <f t="shared" si="0"/>
        <v xml:space="preserve"> </v>
      </c>
      <c r="E36" s="20" t="str">
        <f>"MATRICE 92553838/C"</f>
        <v>MATRICE 92553838/C</v>
      </c>
      <c r="F36" s="21">
        <v>42114.561574074076</v>
      </c>
      <c r="G36" s="20"/>
      <c r="H36" s="20">
        <v>4</v>
      </c>
      <c r="I36" s="20">
        <v>0</v>
      </c>
      <c r="J36" s="20" t="str">
        <f>"USINAGE"</f>
        <v>USINAGE</v>
      </c>
      <c r="K36" s="20">
        <v>2110</v>
      </c>
      <c r="L36" s="20">
        <v>8440</v>
      </c>
      <c r="M36" s="22">
        <v>42146</v>
      </c>
      <c r="N36" s="20" t="str">
        <f>"VALLOUREC DRILLING"</f>
        <v>VALLOUREC DRILLING</v>
      </c>
      <c r="O36" s="20">
        <v>2110</v>
      </c>
      <c r="P36" s="20">
        <v>0</v>
      </c>
      <c r="Q36" s="20" t="str">
        <f>" "</f>
        <v xml:space="preserve"> </v>
      </c>
    </row>
    <row r="37" spans="1:17">
      <c r="A37" s="20" t="str">
        <f>"16193"</f>
        <v>16193</v>
      </c>
      <c r="B37" s="20" t="str">
        <f>"CF1501396/C316"</f>
        <v>CF1501396/C316</v>
      </c>
      <c r="C37" s="20">
        <v>1</v>
      </c>
      <c r="D37" s="20" t="str">
        <f t="shared" si="0"/>
        <v xml:space="preserve"> </v>
      </c>
      <c r="E37" s="20" t="str">
        <f>"488-006-245-0"</f>
        <v>488-006-245-0</v>
      </c>
      <c r="F37" s="21">
        <v>42114.398912037039</v>
      </c>
      <c r="G37" s="20"/>
      <c r="H37" s="20">
        <v>2</v>
      </c>
      <c r="I37" s="20">
        <v>0</v>
      </c>
      <c r="J37" s="20" t="str">
        <f>"SUPPORT ROTULES HAUBANAGE"</f>
        <v>SUPPORT ROTULES HAUBANAGE</v>
      </c>
      <c r="K37" s="20">
        <v>720</v>
      </c>
      <c r="L37" s="20">
        <v>1440</v>
      </c>
      <c r="M37" s="22">
        <v>42150</v>
      </c>
      <c r="N37" s="20" t="str">
        <f>"AE"</f>
        <v>AE</v>
      </c>
      <c r="O37" s="20">
        <v>720</v>
      </c>
      <c r="P37" s="20">
        <v>0</v>
      </c>
      <c r="Q37" s="20" t="str">
        <f>"15-0272"</f>
        <v>15-0272</v>
      </c>
    </row>
    <row r="38" spans="1:17">
      <c r="A38" s="20" t="str">
        <f>"16192"</f>
        <v>16192</v>
      </c>
      <c r="B38" s="20" t="str">
        <f>" "</f>
        <v xml:space="preserve"> </v>
      </c>
      <c r="C38" s="20">
        <v>1</v>
      </c>
      <c r="D38" s="20" t="str">
        <f t="shared" si="0"/>
        <v xml:space="preserve"> </v>
      </c>
      <c r="E38" s="20" t="str">
        <f>"D-500913130411"</f>
        <v>D-500913130411</v>
      </c>
      <c r="F38" s="21">
        <v>42114.372395833336</v>
      </c>
      <c r="G38" s="22">
        <v>42115</v>
      </c>
      <c r="H38" s="20">
        <v>2</v>
      </c>
      <c r="I38" s="20">
        <v>2</v>
      </c>
      <c r="J38" s="20" t="str">
        <f>"FOURNITURE + USINAGE"</f>
        <v>FOURNITURE + USINAGE</v>
      </c>
      <c r="K38" s="20">
        <v>55</v>
      </c>
      <c r="L38" s="20">
        <v>110</v>
      </c>
      <c r="M38" s="22">
        <v>42116</v>
      </c>
      <c r="N38" s="20" t="str">
        <f>"METAREG"</f>
        <v>METAREG</v>
      </c>
      <c r="O38" s="20">
        <v>55</v>
      </c>
      <c r="P38" s="20">
        <v>0</v>
      </c>
      <c r="Q38" s="20" t="str">
        <f>" "</f>
        <v xml:space="preserve"> </v>
      </c>
    </row>
    <row r="39" spans="1:17">
      <c r="A39" s="20" t="str">
        <f>"16191"</f>
        <v>16191</v>
      </c>
      <c r="B39" s="20" t="str">
        <f>"ANS 0738907 1"</f>
        <v>ANS 0738907 1</v>
      </c>
      <c r="C39" s="20">
        <v>1</v>
      </c>
      <c r="D39" s="20" t="str">
        <f t="shared" si="0"/>
        <v xml:space="preserve"> </v>
      </c>
      <c r="E39" s="20" t="str">
        <f>"PLAQUETTES ETATS"</f>
        <v>PLAQUETTES ETATS</v>
      </c>
      <c r="F39" s="21">
        <v>42111.521678240744</v>
      </c>
      <c r="G39" s="22">
        <v>42121</v>
      </c>
      <c r="H39" s="20">
        <v>2</v>
      </c>
      <c r="I39" s="20">
        <v>2</v>
      </c>
      <c r="J39" s="20" t="str">
        <f>"LO15/130"</f>
        <v>LO15/130</v>
      </c>
      <c r="K39" s="20">
        <v>60</v>
      </c>
      <c r="L39" s="20">
        <v>120</v>
      </c>
      <c r="M39" s="22">
        <v>42118</v>
      </c>
      <c r="N39" s="20" t="str">
        <f>"HERAKLES ( SME )"</f>
        <v>HERAKLES ( SME )</v>
      </c>
      <c r="O39" s="20">
        <v>60</v>
      </c>
      <c r="P39" s="20">
        <v>0</v>
      </c>
      <c r="Q39" s="20" t="str">
        <f>"15-0273"</f>
        <v>15-0273</v>
      </c>
    </row>
    <row r="40" spans="1:17">
      <c r="A40" s="20" t="str">
        <f>"16190"</f>
        <v>16190</v>
      </c>
      <c r="B40" s="20" t="str">
        <f>"ANS 0738854 1"</f>
        <v>ANS 0738854 1</v>
      </c>
      <c r="C40" s="20">
        <v>1</v>
      </c>
      <c r="D40" s="20" t="str">
        <f t="shared" si="0"/>
        <v xml:space="preserve"> </v>
      </c>
      <c r="E40" s="20" t="str">
        <f>"PALETTE DEMOULAGE"</f>
        <v>PALETTE DEMOULAGE</v>
      </c>
      <c r="F40" s="21">
        <v>42111.502418981479</v>
      </c>
      <c r="G40" s="20"/>
      <c r="H40" s="20">
        <v>1</v>
      </c>
      <c r="I40" s="20">
        <v>0</v>
      </c>
      <c r="J40" s="20" t="str">
        <f>"LO 15/066 réalisation palette démoulage "</f>
        <v xml:space="preserve">LO 15/066 réalisation palette démoulage </v>
      </c>
      <c r="K40" s="20">
        <v>9605</v>
      </c>
      <c r="L40" s="20">
        <v>9605</v>
      </c>
      <c r="M40" s="22">
        <v>42167</v>
      </c>
      <c r="N40" s="20" t="str">
        <f>"HERAKLES ( SME )"</f>
        <v>HERAKLES ( SME )</v>
      </c>
      <c r="O40" s="20">
        <v>9605</v>
      </c>
      <c r="P40" s="20">
        <v>0</v>
      </c>
      <c r="Q40" s="20" t="str">
        <f>"15-0252"</f>
        <v>15-0252</v>
      </c>
    </row>
    <row r="41" spans="1:17">
      <c r="A41" s="20" t="str">
        <f>"16189"</f>
        <v>16189</v>
      </c>
      <c r="B41" s="20" t="str">
        <f>"C150009962/2"</f>
        <v>C150009962/2</v>
      </c>
      <c r="C41" s="20">
        <v>1</v>
      </c>
      <c r="D41" s="20" t="str">
        <f t="shared" si="0"/>
        <v xml:space="preserve"> </v>
      </c>
      <c r="E41" s="20" t="str">
        <f>"PLAQUE ALU METAREG"</f>
        <v>PLAQUE ALU METAREG</v>
      </c>
      <c r="F41" s="21">
        <v>42110.675335648149</v>
      </c>
      <c r="G41" s="22">
        <v>42115</v>
      </c>
      <c r="H41" s="20">
        <v>2</v>
      </c>
      <c r="I41" s="20">
        <v>2</v>
      </c>
      <c r="J41" s="20" t="str">
        <f>"retouche (usinage)"</f>
        <v>retouche (usinage)</v>
      </c>
      <c r="K41" s="20">
        <v>240</v>
      </c>
      <c r="L41" s="20">
        <v>480</v>
      </c>
      <c r="M41" s="22">
        <v>42115</v>
      </c>
      <c r="N41" s="20" t="str">
        <f>"METAREG"</f>
        <v>METAREG</v>
      </c>
      <c r="O41" s="20">
        <v>240</v>
      </c>
      <c r="P41" s="20">
        <v>0</v>
      </c>
      <c r="Q41" s="20" t="str">
        <f>" "</f>
        <v xml:space="preserve"> </v>
      </c>
    </row>
    <row r="42" spans="1:17">
      <c r="A42" s="20" t="str">
        <f>"16188"</f>
        <v>16188</v>
      </c>
      <c r="B42" s="20" t="str">
        <f>"ANS 0738851 1"</f>
        <v>ANS 0738851 1</v>
      </c>
      <c r="C42" s="20">
        <v>1</v>
      </c>
      <c r="D42" s="20" t="str">
        <f t="shared" si="0"/>
        <v xml:space="preserve"> </v>
      </c>
      <c r="E42" s="20" t="str">
        <f>"APPROVISIO.MATIERE"</f>
        <v>APPROVISIO.MATIERE</v>
      </c>
      <c r="F42" s="21">
        <v>42110.460428240738</v>
      </c>
      <c r="G42" s="20"/>
      <c r="H42" s="20">
        <v>7</v>
      </c>
      <c r="I42" s="20">
        <v>0</v>
      </c>
      <c r="J42" s="20" t="str">
        <f>"Matère 5083 Coulé avec certificat 2.2"</f>
        <v>Matère 5083 Coulé avec certificat 2.2</v>
      </c>
      <c r="K42" s="20">
        <v>1450</v>
      </c>
      <c r="L42" s="20">
        <v>10150</v>
      </c>
      <c r="M42" s="22">
        <v>42167</v>
      </c>
      <c r="N42" s="20" t="str">
        <f>"HERAKLES ( SME )"</f>
        <v>HERAKLES ( SME )</v>
      </c>
      <c r="O42" s="20">
        <v>1450</v>
      </c>
      <c r="P42" s="20">
        <v>0</v>
      </c>
      <c r="Q42" s="20" t="str">
        <f>"15-0132B"</f>
        <v>15-0132B</v>
      </c>
    </row>
    <row r="43" spans="1:17">
      <c r="A43" s="20" t="str">
        <f>"16188"</f>
        <v>16188</v>
      </c>
      <c r="B43" s="20" t="str">
        <f>"ANS 0738851 1"</f>
        <v>ANS 0738851 1</v>
      </c>
      <c r="C43" s="20">
        <v>2</v>
      </c>
      <c r="D43" s="20" t="str">
        <f t="shared" si="0"/>
        <v xml:space="preserve"> </v>
      </c>
      <c r="E43" s="20" t="str">
        <f>"POINCON 127467-A01"</f>
        <v>POINCON 127467-A01</v>
      </c>
      <c r="F43" s="21">
        <v>42110.460428240738</v>
      </c>
      <c r="G43" s="20"/>
      <c r="H43" s="20">
        <v>7</v>
      </c>
      <c r="I43" s="20">
        <v>0</v>
      </c>
      <c r="J43" s="20" t="str">
        <f>" LO15/062 ( Fourniture + ébauche )"</f>
        <v xml:space="preserve"> LO15/062 ( Fourniture + ébauche )</v>
      </c>
      <c r="K43" s="20">
        <v>1200</v>
      </c>
      <c r="L43" s="20">
        <v>8400</v>
      </c>
      <c r="M43" s="22">
        <v>42167</v>
      </c>
      <c r="N43" s="20" t="str">
        <f>"HERAKLES ( SME )"</f>
        <v>HERAKLES ( SME )</v>
      </c>
      <c r="O43" s="20">
        <v>1200</v>
      </c>
      <c r="P43" s="20">
        <v>0</v>
      </c>
      <c r="Q43" s="20" t="str">
        <f>"15-0132B"</f>
        <v>15-0132B</v>
      </c>
    </row>
    <row r="44" spans="1:17">
      <c r="A44" s="20" t="str">
        <f>"16188"</f>
        <v>16188</v>
      </c>
      <c r="B44" s="20" t="str">
        <f>"ANS 0738851 1"</f>
        <v>ANS 0738851 1</v>
      </c>
      <c r="C44" s="20">
        <v>3</v>
      </c>
      <c r="D44" s="20" t="str">
        <f t="shared" si="0"/>
        <v xml:space="preserve"> </v>
      </c>
      <c r="E44" s="20" t="str">
        <f>"POINCON 128037-D06"</f>
        <v>POINCON 128037-D06</v>
      </c>
      <c r="F44" s="21">
        <v>42110.460428240738</v>
      </c>
      <c r="G44" s="20"/>
      <c r="H44" s="20">
        <v>7</v>
      </c>
      <c r="I44" s="20">
        <v>0</v>
      </c>
      <c r="J44" s="20" t="str">
        <f>" LO15/062 ( Fourniture + finition )"</f>
        <v xml:space="preserve"> LO15/062 ( Fourniture + finition )</v>
      </c>
      <c r="K44" s="20">
        <v>6150</v>
      </c>
      <c r="L44" s="20">
        <v>43050</v>
      </c>
      <c r="M44" s="22">
        <v>42167</v>
      </c>
      <c r="N44" s="20" t="str">
        <f>"HERAKLES ( SME )"</f>
        <v>HERAKLES ( SME )</v>
      </c>
      <c r="O44" s="20">
        <v>6150</v>
      </c>
      <c r="P44" s="20">
        <v>0</v>
      </c>
      <c r="Q44" s="20" t="str">
        <f>"15-0132B"</f>
        <v>15-0132B</v>
      </c>
    </row>
    <row r="45" spans="1:17">
      <c r="A45" s="20" t="str">
        <f>"16188"</f>
        <v>16188</v>
      </c>
      <c r="B45" s="20" t="str">
        <f>"ANS 0738851 1"</f>
        <v>ANS 0738851 1</v>
      </c>
      <c r="C45" s="20">
        <v>4</v>
      </c>
      <c r="D45" s="20" t="str">
        <f t="shared" si="0"/>
        <v xml:space="preserve"> </v>
      </c>
      <c r="E45" s="20" t="str">
        <f>"EPROUVETTE POINCON"</f>
        <v>EPROUVETTE POINCON</v>
      </c>
      <c r="F45" s="21">
        <v>42110.460428240738</v>
      </c>
      <c r="G45" s="20"/>
      <c r="H45" s="20">
        <v>14</v>
      </c>
      <c r="I45" s="20">
        <v>0</v>
      </c>
      <c r="J45" s="20" t="str">
        <f>"eprouvette poincon/ LO15/062 (découpe + usinage)"</f>
        <v>eprouvette poincon/ LO15/062 (découpe + usinage)</v>
      </c>
      <c r="K45" s="20">
        <v>4.5</v>
      </c>
      <c r="L45" s="20">
        <v>63</v>
      </c>
      <c r="M45" s="22">
        <v>42167</v>
      </c>
      <c r="N45" s="20" t="str">
        <f>"HERAKLES ( SME )"</f>
        <v>HERAKLES ( SME )</v>
      </c>
      <c r="O45" s="20">
        <v>4.5</v>
      </c>
      <c r="P45" s="20">
        <v>0</v>
      </c>
      <c r="Q45" s="20" t="str">
        <f>"15-0132B"</f>
        <v>15-0132B</v>
      </c>
    </row>
    <row r="46" spans="1:17">
      <c r="A46" s="20" t="str">
        <f>"16188"</f>
        <v>16188</v>
      </c>
      <c r="B46" s="20" t="str">
        <f>"ANS 0738851 1"</f>
        <v>ANS 0738851 1</v>
      </c>
      <c r="C46" s="20">
        <v>5</v>
      </c>
      <c r="D46" s="20" t="str">
        <f t="shared" si="0"/>
        <v xml:space="preserve"> </v>
      </c>
      <c r="E46" s="20" t="str">
        <f>"CONTROLE TRIDIM."</f>
        <v>CONTROLE TRIDIM.</v>
      </c>
      <c r="F46" s="21">
        <v>42110.460428240738</v>
      </c>
      <c r="G46" s="20"/>
      <c r="H46" s="20">
        <v>7</v>
      </c>
      <c r="I46" s="20">
        <v>0</v>
      </c>
      <c r="J46" s="20" t="str">
        <f>"suivant instructions Herakles Saint Médard"</f>
        <v>suivant instructions Herakles Saint Médard</v>
      </c>
      <c r="K46" s="20">
        <v>600</v>
      </c>
      <c r="L46" s="20">
        <v>4200</v>
      </c>
      <c r="M46" s="22">
        <v>42167</v>
      </c>
      <c r="N46" s="20" t="str">
        <f>"HERAKLES ( SME )"</f>
        <v>HERAKLES ( SME )</v>
      </c>
      <c r="O46" s="20">
        <v>600</v>
      </c>
      <c r="P46" s="20">
        <v>0</v>
      </c>
      <c r="Q46" s="20" t="str">
        <f>"15-0132B"</f>
        <v>15-0132B</v>
      </c>
    </row>
    <row r="47" spans="1:17">
      <c r="A47" s="20" t="str">
        <f>"16187"</f>
        <v>16187</v>
      </c>
      <c r="B47" s="20" t="str">
        <f>"35011732 poste 10"</f>
        <v>35011732 poste 10</v>
      </c>
      <c r="C47" s="20">
        <v>1</v>
      </c>
      <c r="D47" s="20" t="str">
        <f t="shared" si="0"/>
        <v xml:space="preserve"> </v>
      </c>
      <c r="E47" s="20" t="str">
        <f>"P.POINCON 2324-C"</f>
        <v>P.POINCON 2324-C</v>
      </c>
      <c r="F47" s="21">
        <v>42109.625011574077</v>
      </c>
      <c r="G47" s="20"/>
      <c r="H47" s="20">
        <v>2</v>
      </c>
      <c r="I47" s="20">
        <v>0</v>
      </c>
      <c r="J47" s="20" t="str">
        <f>" FOURNITURE + USINAGE "</f>
        <v xml:space="preserve"> FOURNITURE + USINAGE </v>
      </c>
      <c r="K47" s="20">
        <v>1000</v>
      </c>
      <c r="L47" s="20">
        <v>2000</v>
      </c>
      <c r="M47" s="22">
        <v>42160</v>
      </c>
      <c r="N47" s="20" t="str">
        <f>"VALLOUREC DRILLING"</f>
        <v>VALLOUREC DRILLING</v>
      </c>
      <c r="O47" s="20">
        <v>1000</v>
      </c>
      <c r="P47" s="20">
        <v>0</v>
      </c>
      <c r="Q47" s="20" t="str">
        <f>" "</f>
        <v xml:space="preserve"> </v>
      </c>
    </row>
    <row r="48" spans="1:17">
      <c r="A48" s="20" t="str">
        <f>"16186"</f>
        <v>16186</v>
      </c>
      <c r="B48" s="20" t="str">
        <f>"C150009927/1"</f>
        <v>C150009927/1</v>
      </c>
      <c r="C48" s="20">
        <v>1</v>
      </c>
      <c r="D48" s="20" t="str">
        <f t="shared" si="0"/>
        <v xml:space="preserve"> </v>
      </c>
      <c r="E48" s="20" t="str">
        <f>"BOITIER TALON ALU"</f>
        <v>BOITIER TALON ALU</v>
      </c>
      <c r="F48" s="21">
        <v>42109.482812499999</v>
      </c>
      <c r="G48" s="22">
        <v>42114</v>
      </c>
      <c r="H48" s="20">
        <v>50</v>
      </c>
      <c r="I48" s="20">
        <v>50</v>
      </c>
      <c r="J48" s="20" t="str">
        <f>" FOURNITURE+USINAGE ( 100*50*16 - 4R10 )"</f>
        <v xml:space="preserve"> FOURNITURE+USINAGE ( 100*50*16 - 4R10 )</v>
      </c>
      <c r="K48" s="20">
        <v>38</v>
      </c>
      <c r="L48" s="20">
        <v>1900</v>
      </c>
      <c r="M48" s="22">
        <v>42116</v>
      </c>
      <c r="N48" s="20" t="str">
        <f>"METAREG"</f>
        <v>METAREG</v>
      </c>
      <c r="O48" s="20">
        <v>38</v>
      </c>
      <c r="P48" s="20">
        <v>0</v>
      </c>
      <c r="Q48" s="20" t="str">
        <f>" "</f>
        <v xml:space="preserve"> </v>
      </c>
    </row>
    <row r="49" spans="1:17">
      <c r="A49" s="20" t="str">
        <f>"16185"</f>
        <v>16185</v>
      </c>
      <c r="B49" s="20" t="str">
        <f>"TCC150520-1"</f>
        <v>TCC150520-1</v>
      </c>
      <c r="C49" s="20">
        <v>1</v>
      </c>
      <c r="D49" s="20" t="str">
        <f t="shared" si="0"/>
        <v xml:space="preserve"> </v>
      </c>
      <c r="E49" s="20" t="str">
        <f>"ME65B57391_A"</f>
        <v>ME65B57391_A</v>
      </c>
      <c r="F49" s="21">
        <v>42109.43546296296</v>
      </c>
      <c r="G49" s="20"/>
      <c r="H49" s="20">
        <v>1</v>
      </c>
      <c r="I49" s="20">
        <v>0</v>
      </c>
      <c r="J49" s="20" t="str">
        <f>"DOLLY-ESCAPE (FOURNITURE+USINAGE)"</f>
        <v>DOLLY-ESCAPE (FOURNITURE+USINAGE)</v>
      </c>
      <c r="K49" s="20">
        <v>1500</v>
      </c>
      <c r="L49" s="20">
        <v>1500</v>
      </c>
      <c r="M49" s="22">
        <v>42144</v>
      </c>
      <c r="N49" s="20" t="str">
        <f>"DEDIENNE AEROSPACE"</f>
        <v>DEDIENNE AEROSPACE</v>
      </c>
      <c r="O49" s="20">
        <v>1500</v>
      </c>
      <c r="P49" s="20">
        <v>0</v>
      </c>
      <c r="Q49" s="20" t="str">
        <f>"15-0239B"</f>
        <v>15-0239B</v>
      </c>
    </row>
    <row r="50" spans="1:17">
      <c r="A50" s="20" t="str">
        <f>"16184"</f>
        <v>16184</v>
      </c>
      <c r="B50" s="20" t="str">
        <f>"YF23155"</f>
        <v>YF23155</v>
      </c>
      <c r="C50" s="20">
        <v>1</v>
      </c>
      <c r="D50" s="20" t="str">
        <f t="shared" si="0"/>
        <v xml:space="preserve"> </v>
      </c>
      <c r="E50" s="20" t="str">
        <f>"PIN D32153030"</f>
        <v>PIN D32153030</v>
      </c>
      <c r="F50" s="21">
        <v>42108.594317129631</v>
      </c>
      <c r="G50" s="22">
        <v>42109</v>
      </c>
      <c r="H50" s="20">
        <v>1</v>
      </c>
      <c r="I50" s="20">
        <v>1</v>
      </c>
      <c r="J50" s="20" t="str">
        <f>"USINAGE"</f>
        <v>USINAGE</v>
      </c>
      <c r="K50" s="20">
        <v>150</v>
      </c>
      <c r="L50" s="20">
        <v>150</v>
      </c>
      <c r="M50" s="22">
        <v>42116</v>
      </c>
      <c r="N50" s="20" t="str">
        <f>"REDA"</f>
        <v>REDA</v>
      </c>
      <c r="O50" s="20">
        <v>150</v>
      </c>
      <c r="P50" s="20">
        <v>0</v>
      </c>
      <c r="Q50" s="20" t="str">
        <f>" "</f>
        <v xml:space="preserve"> </v>
      </c>
    </row>
    <row r="51" spans="1:17">
      <c r="A51" s="20" t="str">
        <f>"16183"</f>
        <v>16183</v>
      </c>
      <c r="B51" s="20" t="str">
        <f>"ANS 0738823 1"</f>
        <v>ANS 0738823 1</v>
      </c>
      <c r="C51" s="20">
        <v>1</v>
      </c>
      <c r="D51" s="20" t="str">
        <f t="shared" si="0"/>
        <v xml:space="preserve"> </v>
      </c>
      <c r="E51" s="20" t="str">
        <f>"PROTECT CAPOTAGES"</f>
        <v>PROTECT CAPOTAGES</v>
      </c>
      <c r="F51" s="21">
        <v>42108.552523148152</v>
      </c>
      <c r="G51" s="20"/>
      <c r="H51" s="20">
        <v>1</v>
      </c>
      <c r="I51" s="20">
        <v>0</v>
      </c>
      <c r="J51" s="20" t="str">
        <f>"LO 14/393 - moyen de protect capotages "</f>
        <v xml:space="preserve">LO 14/393 - moyen de protect capotages </v>
      </c>
      <c r="K51" s="20">
        <v>3245</v>
      </c>
      <c r="L51" s="20">
        <v>3245</v>
      </c>
      <c r="M51" s="22">
        <v>42142</v>
      </c>
      <c r="N51" s="20" t="str">
        <f>"HERAKLES ( SME )"</f>
        <v>HERAKLES ( SME )</v>
      </c>
      <c r="O51" s="20">
        <v>3245</v>
      </c>
      <c r="P51" s="20">
        <v>0</v>
      </c>
      <c r="Q51" s="20" t="str">
        <f>"15-0185"</f>
        <v>15-0185</v>
      </c>
    </row>
    <row r="52" spans="1:17">
      <c r="A52" s="20" t="str">
        <f>"16181"</f>
        <v>16181</v>
      </c>
      <c r="B52" s="20" t="str">
        <f>" "</f>
        <v xml:space="preserve"> </v>
      </c>
      <c r="C52" s="20">
        <v>1</v>
      </c>
      <c r="D52" s="20" t="str">
        <f t="shared" si="0"/>
        <v xml:space="preserve"> </v>
      </c>
      <c r="E52" s="20" t="str">
        <f>"PERCEUSE EUROMECA"</f>
        <v>PERCEUSE EUROMECA</v>
      </c>
      <c r="F52" s="21">
        <v>42108.458634259259</v>
      </c>
      <c r="G52" s="20"/>
      <c r="H52" s="20">
        <v>1</v>
      </c>
      <c r="I52" s="20">
        <v>0</v>
      </c>
      <c r="J52" s="20" t="str">
        <f>"REPARATION"</f>
        <v>REPARATION</v>
      </c>
      <c r="K52" s="20">
        <v>0</v>
      </c>
      <c r="L52" s="20">
        <v>0</v>
      </c>
      <c r="M52" s="22">
        <v>42369</v>
      </c>
      <c r="N52" s="20" t="str">
        <f>"SERRES"</f>
        <v>SERRES</v>
      </c>
      <c r="O52" s="20">
        <v>0</v>
      </c>
      <c r="P52" s="20">
        <v>0</v>
      </c>
      <c r="Q52" s="20" t="str">
        <f>" "</f>
        <v xml:space="preserve"> </v>
      </c>
    </row>
    <row r="53" spans="1:17">
      <c r="A53" s="20" t="str">
        <f>"16180"</f>
        <v>16180</v>
      </c>
      <c r="B53" s="20" t="str">
        <f>"27883+8278"</f>
        <v>27883+8278</v>
      </c>
      <c r="C53" s="20">
        <v>1</v>
      </c>
      <c r="D53" s="20" t="str">
        <f t="shared" si="0"/>
        <v xml:space="preserve"> </v>
      </c>
      <c r="E53" s="20" t="str">
        <f>"TUBE DT-073-01112I"</f>
        <v>TUBE DT-073-01112I</v>
      </c>
      <c r="F53" s="21">
        <v>42108.360324074078</v>
      </c>
      <c r="G53" s="22">
        <v>42123</v>
      </c>
      <c r="H53" s="20">
        <v>4</v>
      </c>
      <c r="I53" s="20">
        <v>4</v>
      </c>
      <c r="J53" s="20" t="str">
        <f>" USINAGE ( MLV A50 ) "</f>
        <v xml:space="preserve"> USINAGE ( MLV A50 ) </v>
      </c>
      <c r="K53" s="20">
        <v>1188</v>
      </c>
      <c r="L53" s="20">
        <v>4752</v>
      </c>
      <c r="M53" s="22">
        <v>42131</v>
      </c>
      <c r="N53" s="20" t="str">
        <f>"STELIA"</f>
        <v>STELIA</v>
      </c>
      <c r="O53" s="20">
        <v>1188</v>
      </c>
      <c r="P53" s="20">
        <v>0</v>
      </c>
      <c r="Q53" s="20" t="str">
        <f>" "</f>
        <v xml:space="preserve"> </v>
      </c>
    </row>
    <row r="54" spans="1:17">
      <c r="A54" s="20" t="str">
        <f>"16180"</f>
        <v>16180</v>
      </c>
      <c r="B54" s="20" t="str">
        <f>"27883+8278"</f>
        <v>27883+8278</v>
      </c>
      <c r="C54" s="20">
        <v>2</v>
      </c>
      <c r="D54" s="20" t="str">
        <f t="shared" si="0"/>
        <v xml:space="preserve"> </v>
      </c>
      <c r="E54" s="20" t="str">
        <f>"TRANSPORT"</f>
        <v>TRANSPORT</v>
      </c>
      <c r="F54" s="21">
        <v>42108.360324074078</v>
      </c>
      <c r="G54" s="22">
        <v>42123</v>
      </c>
      <c r="H54" s="20">
        <v>1</v>
      </c>
      <c r="I54" s="20">
        <v>1</v>
      </c>
      <c r="J54" s="20" t="str">
        <f>"ALLER / RETOUR"</f>
        <v>ALLER / RETOUR</v>
      </c>
      <c r="K54" s="20">
        <v>240</v>
      </c>
      <c r="L54" s="20">
        <v>240</v>
      </c>
      <c r="M54" s="22">
        <v>42131</v>
      </c>
      <c r="N54" s="20" t="str">
        <f>"STELIA"</f>
        <v>STELIA</v>
      </c>
      <c r="O54" s="20">
        <v>240</v>
      </c>
      <c r="P54" s="20">
        <v>0</v>
      </c>
      <c r="Q54" s="20" t="str">
        <f>" "</f>
        <v xml:space="preserve"> </v>
      </c>
    </row>
    <row r="55" spans="1:17">
      <c r="A55" s="20" t="str">
        <f>"16179"</f>
        <v>16179</v>
      </c>
      <c r="B55" s="20" t="str">
        <f>" "</f>
        <v xml:space="preserve"> </v>
      </c>
      <c r="C55" s="20">
        <v>1</v>
      </c>
      <c r="D55" s="20" t="str">
        <f t="shared" si="0"/>
        <v xml:space="preserve"> </v>
      </c>
      <c r="E55" s="20" t="str">
        <f>"TAQUET 40*16*5"</f>
        <v>TAQUET 40*16*5</v>
      </c>
      <c r="F55" s="21">
        <v>42108.305347222224</v>
      </c>
      <c r="G55" s="22">
        <v>42115</v>
      </c>
      <c r="H55" s="20">
        <v>100</v>
      </c>
      <c r="I55" s="20">
        <v>100</v>
      </c>
      <c r="J55" s="20" t="str">
        <f>" FOURNITURE+USINAGE"</f>
        <v xml:space="preserve"> FOURNITURE+USINAGE</v>
      </c>
      <c r="K55" s="20">
        <v>13</v>
      </c>
      <c r="L55" s="20">
        <v>1300</v>
      </c>
      <c r="M55" s="22">
        <v>42121</v>
      </c>
      <c r="N55" s="20" t="str">
        <f>"SOE"</f>
        <v>SOE</v>
      </c>
      <c r="O55" s="20">
        <v>13</v>
      </c>
      <c r="P55" s="20">
        <v>0</v>
      </c>
      <c r="Q55" s="20" t="str">
        <f>"15-0260"</f>
        <v>15-0260</v>
      </c>
    </row>
    <row r="56" spans="1:17">
      <c r="A56" s="20" t="str">
        <f>"16178"</f>
        <v>16178</v>
      </c>
      <c r="B56" s="20" t="str">
        <f>"C150009927/2"</f>
        <v>C150009927/2</v>
      </c>
      <c r="C56" s="20">
        <v>1</v>
      </c>
      <c r="D56" s="20" t="str">
        <f t="shared" si="0"/>
        <v xml:space="preserve"> </v>
      </c>
      <c r="E56" s="20" t="str">
        <f>"OUTILLAGE P523"</f>
        <v>OUTILLAGE P523</v>
      </c>
      <c r="F56" s="21">
        <v>42107.658379629633</v>
      </c>
      <c r="G56" s="22">
        <v>42114</v>
      </c>
      <c r="H56" s="20">
        <v>1</v>
      </c>
      <c r="I56" s="20">
        <v>1</v>
      </c>
      <c r="J56" s="20" t="str">
        <f>"FOURNITURE + USINAGE"</f>
        <v>FOURNITURE + USINAGE</v>
      </c>
      <c r="K56" s="20">
        <v>430</v>
      </c>
      <c r="L56" s="20">
        <v>430</v>
      </c>
      <c r="M56" s="22">
        <v>42111</v>
      </c>
      <c r="N56" s="20" t="str">
        <f>"METAREG"</f>
        <v>METAREG</v>
      </c>
      <c r="O56" s="20">
        <v>430</v>
      </c>
      <c r="P56" s="20">
        <v>0</v>
      </c>
      <c r="Q56" s="20" t="str">
        <f>" "</f>
        <v xml:space="preserve"> </v>
      </c>
    </row>
    <row r="57" spans="1:17">
      <c r="A57" s="20" t="str">
        <f>"16177"</f>
        <v>16177</v>
      </c>
      <c r="B57" s="20" t="str">
        <f>"C150009885"</f>
        <v>C150009885</v>
      </c>
      <c r="C57" s="20">
        <v>1</v>
      </c>
      <c r="D57" s="20" t="str">
        <f t="shared" si="0"/>
        <v xml:space="preserve"> </v>
      </c>
      <c r="E57" s="20" t="str">
        <f>"SUPPORT BUS"</f>
        <v>SUPPORT BUS</v>
      </c>
      <c r="F57" s="21">
        <v>42107.625601851854</v>
      </c>
      <c r="G57" s="22">
        <v>42108</v>
      </c>
      <c r="H57" s="20">
        <v>1</v>
      </c>
      <c r="I57" s="20">
        <v>1</v>
      </c>
      <c r="J57" s="20" t="str">
        <f>"USINAGE"</f>
        <v>USINAGE</v>
      </c>
      <c r="K57" s="20">
        <v>100</v>
      </c>
      <c r="L57" s="20">
        <v>100</v>
      </c>
      <c r="M57" s="22">
        <v>42109</v>
      </c>
      <c r="N57" s="20" t="str">
        <f>"METAREG"</f>
        <v>METAREG</v>
      </c>
      <c r="O57" s="20">
        <v>100</v>
      </c>
      <c r="P57" s="20">
        <v>0</v>
      </c>
      <c r="Q57" s="20" t="str">
        <f>" "</f>
        <v xml:space="preserve"> </v>
      </c>
    </row>
    <row r="58" spans="1:17">
      <c r="A58" s="20" t="str">
        <f>"16172"</f>
        <v>16172</v>
      </c>
      <c r="B58" s="20" t="str">
        <f>"35011721 poste 10"</f>
        <v>35011721 poste 10</v>
      </c>
      <c r="C58" s="20">
        <v>1</v>
      </c>
      <c r="D58" s="20" t="str">
        <f t="shared" si="0"/>
        <v xml:space="preserve"> </v>
      </c>
      <c r="E58" s="20" t="str">
        <f>"CANON 93002089-B"</f>
        <v>CANON 93002089-B</v>
      </c>
      <c r="F58" s="21">
        <v>42122.438969907409</v>
      </c>
      <c r="G58" s="20"/>
      <c r="H58" s="20">
        <v>4</v>
      </c>
      <c r="I58" s="20">
        <v>0</v>
      </c>
      <c r="J58" s="20" t="str">
        <f>" FOURNITURE + USINAGE"</f>
        <v xml:space="preserve"> FOURNITURE + USINAGE</v>
      </c>
      <c r="K58" s="20">
        <v>200</v>
      </c>
      <c r="L58" s="20">
        <v>800</v>
      </c>
      <c r="M58" s="22">
        <v>42131</v>
      </c>
      <c r="N58" s="20" t="str">
        <f>"VALLOUREC DRILLING"</f>
        <v>VALLOUREC DRILLING</v>
      </c>
      <c r="O58" s="20">
        <v>200</v>
      </c>
      <c r="P58" s="20">
        <v>0</v>
      </c>
      <c r="Q58" s="20" t="str">
        <f>" "</f>
        <v xml:space="preserve"> </v>
      </c>
    </row>
    <row r="59" spans="1:17">
      <c r="A59" s="20" t="str">
        <f>"16171"</f>
        <v>16171</v>
      </c>
      <c r="B59" s="20" t="str">
        <f>"ANS 0738813 1"</f>
        <v>ANS 0738813 1</v>
      </c>
      <c r="C59" s="20">
        <v>1</v>
      </c>
      <c r="D59" s="20" t="str">
        <f t="shared" si="0"/>
        <v xml:space="preserve"> </v>
      </c>
      <c r="E59" s="20" t="str">
        <f>"REPA PISTON+CORPS"</f>
        <v>REPA PISTON+CORPS</v>
      </c>
      <c r="F59" s="21">
        <v>42107.472245370373</v>
      </c>
      <c r="G59" s="22">
        <v>42122</v>
      </c>
      <c r="H59" s="20">
        <v>2</v>
      </c>
      <c r="I59" s="20">
        <v>2</v>
      </c>
      <c r="J59" s="20" t="str">
        <f>"USINAGE"</f>
        <v>USINAGE</v>
      </c>
      <c r="K59" s="20">
        <v>410</v>
      </c>
      <c r="L59" s="20">
        <v>820</v>
      </c>
      <c r="M59" s="22">
        <v>42121</v>
      </c>
      <c r="N59" s="20" t="str">
        <f>"HERAKLES ( SME )"</f>
        <v>HERAKLES ( SME )</v>
      </c>
      <c r="O59" s="20">
        <v>410</v>
      </c>
      <c r="P59" s="20">
        <v>0</v>
      </c>
      <c r="Q59" s="20" t="str">
        <f>"15-0203"</f>
        <v>15-0203</v>
      </c>
    </row>
    <row r="60" spans="1:17">
      <c r="A60" s="20" t="str">
        <f>"16170"</f>
        <v>16170</v>
      </c>
      <c r="B60" s="20" t="str">
        <f>"4577006750"</f>
        <v>4577006750</v>
      </c>
      <c r="C60" s="20">
        <v>1</v>
      </c>
      <c r="D60" s="20" t="str">
        <f t="shared" si="0"/>
        <v xml:space="preserve"> </v>
      </c>
      <c r="E60" s="20" t="str">
        <f>"E.MANCHON CPP523"</f>
        <v>E.MANCHON CPP523</v>
      </c>
      <c r="F60" s="21">
        <v>42107.441180555557</v>
      </c>
      <c r="G60" s="22">
        <v>42121</v>
      </c>
      <c r="H60" s="20">
        <v>1</v>
      </c>
      <c r="I60" s="20">
        <v>1</v>
      </c>
      <c r="J60" s="20" t="str">
        <f>"etude et mise en plan"</f>
        <v>etude et mise en plan</v>
      </c>
      <c r="K60" s="20">
        <v>1000</v>
      </c>
      <c r="L60" s="20">
        <v>1000</v>
      </c>
      <c r="M60" s="22">
        <v>42128</v>
      </c>
      <c r="N60" s="20" t="str">
        <f>"AIRBUS"</f>
        <v>AIRBUS</v>
      </c>
      <c r="O60" s="20">
        <v>1000</v>
      </c>
      <c r="P60" s="20">
        <v>0</v>
      </c>
      <c r="Q60" s="20" t="str">
        <f>"15-0241"</f>
        <v>15-0241</v>
      </c>
    </row>
    <row r="61" spans="1:17">
      <c r="A61" s="20" t="str">
        <f>"16170"</f>
        <v>16170</v>
      </c>
      <c r="B61" s="20" t="str">
        <f>"4577006750"</f>
        <v>4577006750</v>
      </c>
      <c r="C61" s="20">
        <v>2</v>
      </c>
      <c r="D61" s="20" t="str">
        <f t="shared" si="0"/>
        <v xml:space="preserve"> </v>
      </c>
      <c r="E61" s="20" t="str">
        <f>"R.MANCHON CPP523"</f>
        <v>R.MANCHON CPP523</v>
      </c>
      <c r="F61" s="21">
        <v>42107.441180555557</v>
      </c>
      <c r="G61" s="20"/>
      <c r="H61" s="20">
        <v>1</v>
      </c>
      <c r="I61" s="20">
        <v>0</v>
      </c>
      <c r="J61" s="20" t="str">
        <f>"FOURNITURE + USINAGE"</f>
        <v>FOURNITURE + USINAGE</v>
      </c>
      <c r="K61" s="20">
        <v>3360</v>
      </c>
      <c r="L61" s="20">
        <v>3360</v>
      </c>
      <c r="M61" s="22">
        <v>42163</v>
      </c>
      <c r="N61" s="20" t="str">
        <f>"AIRBUS"</f>
        <v>AIRBUS</v>
      </c>
      <c r="O61" s="20">
        <v>3360</v>
      </c>
      <c r="P61" s="20">
        <v>0</v>
      </c>
      <c r="Q61" s="20" t="str">
        <f>"15-0241"</f>
        <v>15-0241</v>
      </c>
    </row>
    <row r="62" spans="1:17">
      <c r="A62" s="20" t="str">
        <f>"16169"</f>
        <v>16169</v>
      </c>
      <c r="B62" s="20" t="str">
        <f>"458 BS"</f>
        <v>458 BS</v>
      </c>
      <c r="C62" s="20">
        <v>1</v>
      </c>
      <c r="D62" s="20" t="str">
        <f t="shared" si="0"/>
        <v xml:space="preserve"> </v>
      </c>
      <c r="E62" s="20" t="str">
        <f>"ROULEAU 1261-07-C"</f>
        <v>ROULEAU 1261-07-C</v>
      </c>
      <c r="F62" s="21">
        <v>42107.371030092596</v>
      </c>
      <c r="G62" s="20"/>
      <c r="H62" s="20">
        <v>2</v>
      </c>
      <c r="I62" s="20">
        <v>0</v>
      </c>
      <c r="J62" s="20" t="str">
        <f>" FOURNITURE ( BAS DU PLAN )"</f>
        <v xml:space="preserve"> FOURNITURE ( BAS DU PLAN )</v>
      </c>
      <c r="K62" s="20">
        <v>13200</v>
      </c>
      <c r="L62" s="20">
        <v>26400</v>
      </c>
      <c r="M62" s="22">
        <v>42166</v>
      </c>
      <c r="N62" s="20" t="str">
        <f>"DIMETAL"</f>
        <v>DIMETAL</v>
      </c>
      <c r="O62" s="20">
        <v>13200</v>
      </c>
      <c r="P62" s="20">
        <v>0</v>
      </c>
      <c r="Q62" s="20" t="str">
        <f>"14-0749"</f>
        <v>14-0749</v>
      </c>
    </row>
    <row r="63" spans="1:17">
      <c r="A63" s="20" t="str">
        <f>"16168"</f>
        <v>16168</v>
      </c>
      <c r="B63" s="20" t="str">
        <f>"6590-GOUR"</f>
        <v>6590-GOUR</v>
      </c>
      <c r="C63" s="20">
        <v>1</v>
      </c>
      <c r="D63" s="20" t="str">
        <f t="shared" si="0"/>
        <v xml:space="preserve"> </v>
      </c>
      <c r="E63" s="20" t="str">
        <f>"PE139886*PAIL/GOUR"</f>
        <v>PE139886*PAIL/GOUR</v>
      </c>
      <c r="F63" s="21">
        <v>42107.32167824074</v>
      </c>
      <c r="G63" s="22">
        <v>42117</v>
      </c>
      <c r="H63" s="20">
        <v>1</v>
      </c>
      <c r="I63" s="20">
        <v>1</v>
      </c>
      <c r="J63" s="20" t="str">
        <f>" SUIVANT DEVIS 15-0244"</f>
        <v xml:space="preserve"> SUIVANT DEVIS 15-0244</v>
      </c>
      <c r="K63" s="20">
        <v>1350</v>
      </c>
      <c r="L63" s="20">
        <v>1350</v>
      </c>
      <c r="M63" s="22">
        <v>42124</v>
      </c>
      <c r="N63" s="20" t="str">
        <f>"SERCOVAM"</f>
        <v>SERCOVAM</v>
      </c>
      <c r="O63" s="20">
        <v>1350</v>
      </c>
      <c r="P63" s="20">
        <v>0</v>
      </c>
      <c r="Q63" s="20" t="str">
        <f>"15-0244"</f>
        <v>15-0244</v>
      </c>
    </row>
    <row r="64" spans="1:17">
      <c r="A64" s="20" t="str">
        <f>"16167"</f>
        <v>16167</v>
      </c>
      <c r="B64" s="20" t="str">
        <f>"35011677 POSTE 40"</f>
        <v>35011677 POSTE 40</v>
      </c>
      <c r="C64" s="20">
        <v>1</v>
      </c>
      <c r="D64" s="20" t="str">
        <f t="shared" si="0"/>
        <v xml:space="preserve"> </v>
      </c>
      <c r="E64" s="20" t="str">
        <f>"BROCHE 93002090-A"</f>
        <v>BROCHE 93002090-A</v>
      </c>
      <c r="F64" s="21">
        <v>42104.465671296297</v>
      </c>
      <c r="G64" s="20"/>
      <c r="H64" s="20">
        <v>4</v>
      </c>
      <c r="I64" s="20">
        <v>0</v>
      </c>
      <c r="J64" s="20" t="str">
        <f>" FOURNITURE + USINAGE"</f>
        <v xml:space="preserve"> FOURNITURE + USINAGE</v>
      </c>
      <c r="K64" s="20">
        <v>300</v>
      </c>
      <c r="L64" s="20">
        <v>1200</v>
      </c>
      <c r="M64" s="22">
        <v>42146</v>
      </c>
      <c r="N64" s="20" t="str">
        <f>"VALLOUREC DRILLING"</f>
        <v>VALLOUREC DRILLING</v>
      </c>
      <c r="O64" s="20">
        <v>300</v>
      </c>
      <c r="P64" s="20">
        <v>0</v>
      </c>
      <c r="Q64" s="20" t="str">
        <f>" "</f>
        <v xml:space="preserve"> </v>
      </c>
    </row>
    <row r="65" spans="1:17">
      <c r="A65" s="20" t="str">
        <f>"16166"</f>
        <v>16166</v>
      </c>
      <c r="B65" s="20" t="str">
        <f>"35011677 POSTE 30"</f>
        <v>35011677 POSTE 30</v>
      </c>
      <c r="C65" s="20">
        <v>1</v>
      </c>
      <c r="D65" s="20" t="str">
        <f t="shared" si="0"/>
        <v xml:space="preserve"> </v>
      </c>
      <c r="E65" s="20" t="str">
        <f>"P.POINCON 1542/A"</f>
        <v>P.POINCON 1542/A</v>
      </c>
      <c r="F65" s="21">
        <v>42104.455555555556</v>
      </c>
      <c r="G65" s="20"/>
      <c r="H65" s="20">
        <v>2</v>
      </c>
      <c r="I65" s="20">
        <v>0</v>
      </c>
      <c r="J65" s="20" t="str">
        <f>" FOURNITURE + USINAGE"</f>
        <v xml:space="preserve"> FOURNITURE + USINAGE</v>
      </c>
      <c r="K65" s="20">
        <v>1300</v>
      </c>
      <c r="L65" s="20">
        <v>2600</v>
      </c>
      <c r="M65" s="22">
        <v>42153</v>
      </c>
      <c r="N65" s="20" t="str">
        <f>"VALLOUREC DRILLING"</f>
        <v>VALLOUREC DRILLING</v>
      </c>
      <c r="O65" s="20">
        <v>1300</v>
      </c>
      <c r="P65" s="20">
        <v>0</v>
      </c>
      <c r="Q65" s="20" t="str">
        <f>" "</f>
        <v xml:space="preserve"> </v>
      </c>
    </row>
    <row r="66" spans="1:17">
      <c r="A66" s="20" t="str">
        <f>"16165"</f>
        <v>16165</v>
      </c>
      <c r="B66" s="20" t="str">
        <f>"35011677 POSTE 20"</f>
        <v>35011677 POSTE 20</v>
      </c>
      <c r="C66" s="20">
        <v>1</v>
      </c>
      <c r="D66" s="20" t="str">
        <f t="shared" ref="D66:D105" si="3">" "</f>
        <v xml:space="preserve"> </v>
      </c>
      <c r="E66" s="20" t="str">
        <f>"P.POINCON 1542/A"</f>
        <v>P.POINCON 1542/A</v>
      </c>
      <c r="F66" s="21">
        <v>42104.444884259261</v>
      </c>
      <c r="G66" s="20"/>
      <c r="H66" s="20">
        <v>3</v>
      </c>
      <c r="I66" s="20">
        <v>0</v>
      </c>
      <c r="J66" s="20" t="str">
        <f>" FOURNITURE + USINAGE"</f>
        <v xml:space="preserve"> FOURNITURE + USINAGE</v>
      </c>
      <c r="K66" s="20">
        <v>1300</v>
      </c>
      <c r="L66" s="20">
        <v>3900</v>
      </c>
      <c r="M66" s="22">
        <v>42146</v>
      </c>
      <c r="N66" s="20" t="str">
        <f>"VALLOUREC DRILLING"</f>
        <v>VALLOUREC DRILLING</v>
      </c>
      <c r="O66" s="20">
        <v>1300</v>
      </c>
      <c r="P66" s="20">
        <v>0</v>
      </c>
      <c r="Q66" s="20" t="str">
        <f>" "</f>
        <v xml:space="preserve"> </v>
      </c>
    </row>
    <row r="67" spans="1:17">
      <c r="A67" s="20" t="str">
        <f>"16164"</f>
        <v>16164</v>
      </c>
      <c r="B67" s="20" t="str">
        <f>"35011677 POSTE 10"</f>
        <v>35011677 POSTE 10</v>
      </c>
      <c r="C67" s="20">
        <v>1</v>
      </c>
      <c r="D67" s="20" t="str">
        <f t="shared" si="3"/>
        <v xml:space="preserve"> </v>
      </c>
      <c r="E67" s="20" t="str">
        <f>"NIVEAU 93000779/B"</f>
        <v>NIVEAU 93000779/B</v>
      </c>
      <c r="F67" s="21">
        <v>42104.42255787037</v>
      </c>
      <c r="G67" s="22">
        <v>42111</v>
      </c>
      <c r="H67" s="20">
        <v>1</v>
      </c>
      <c r="I67" s="20">
        <v>1</v>
      </c>
      <c r="J67" s="20" t="str">
        <f>"FOURNITURE"</f>
        <v>FOURNITURE</v>
      </c>
      <c r="K67" s="20">
        <v>280</v>
      </c>
      <c r="L67" s="20">
        <v>280</v>
      </c>
      <c r="M67" s="22">
        <v>42146</v>
      </c>
      <c r="N67" s="20" t="str">
        <f>"VALLOUREC DRILLING"</f>
        <v>VALLOUREC DRILLING</v>
      </c>
      <c r="O67" s="20">
        <v>280</v>
      </c>
      <c r="P67" s="20">
        <v>0</v>
      </c>
      <c r="Q67" s="20" t="str">
        <f>" "</f>
        <v xml:space="preserve"> </v>
      </c>
    </row>
    <row r="68" spans="1:17">
      <c r="A68" s="20" t="str">
        <f>"16163"</f>
        <v>16163</v>
      </c>
      <c r="B68" s="20" t="str">
        <f>"AST 0120066 1"</f>
        <v>AST 0120066 1</v>
      </c>
      <c r="C68" s="20">
        <v>1</v>
      </c>
      <c r="D68" s="20" t="str">
        <f t="shared" si="3"/>
        <v xml:space="preserve"> </v>
      </c>
      <c r="E68" s="20" t="str">
        <f>"GUIDE 108808-A03"</f>
        <v>GUIDE 108808-A03</v>
      </c>
      <c r="F68" s="21">
        <v>42103.648842592593</v>
      </c>
      <c r="G68" s="22">
        <v>42117</v>
      </c>
      <c r="H68" s="20">
        <v>2</v>
      </c>
      <c r="I68" s="20">
        <v>2</v>
      </c>
      <c r="J68" s="20" t="str">
        <f>" FOURNITURE+USINAGE"</f>
        <v xml:space="preserve"> FOURNITURE+USINAGE</v>
      </c>
      <c r="K68" s="20">
        <v>1200</v>
      </c>
      <c r="L68" s="20">
        <v>2400</v>
      </c>
      <c r="M68" s="22">
        <v>42121</v>
      </c>
      <c r="N68" s="20" t="str">
        <f>"HERAKLES ( SME )"</f>
        <v>HERAKLES ( SME )</v>
      </c>
      <c r="O68" s="20">
        <v>1200</v>
      </c>
      <c r="P68" s="20">
        <v>0</v>
      </c>
      <c r="Q68" s="20" t="str">
        <f>" "</f>
        <v xml:space="preserve"> </v>
      </c>
    </row>
    <row r="69" spans="1:17">
      <c r="A69" s="20" t="str">
        <f>"16162"</f>
        <v>16162</v>
      </c>
      <c r="B69" s="20" t="str">
        <f>"5862-01"</f>
        <v>5862-01</v>
      </c>
      <c r="C69" s="20">
        <v>1</v>
      </c>
      <c r="D69" s="20" t="str">
        <f t="shared" si="3"/>
        <v xml:space="preserve"> </v>
      </c>
      <c r="E69" s="20" t="str">
        <f>"SOCLE AR REP04"</f>
        <v>SOCLE AR REP04</v>
      </c>
      <c r="F69" s="21">
        <v>42103.564930555556</v>
      </c>
      <c r="G69" s="20"/>
      <c r="H69" s="20">
        <v>1</v>
      </c>
      <c r="I69" s="20">
        <v>0</v>
      </c>
      <c r="J69" s="20" t="str">
        <f>"FOURNITURE + USINAGE"</f>
        <v>FOURNITURE + USINAGE</v>
      </c>
      <c r="K69" s="20">
        <v>1350</v>
      </c>
      <c r="L69" s="20">
        <v>1350</v>
      </c>
      <c r="M69" s="22">
        <v>42121</v>
      </c>
      <c r="N69" s="20" t="str">
        <f>"LAMARCHE"</f>
        <v>LAMARCHE</v>
      </c>
      <c r="O69" s="20">
        <v>1350</v>
      </c>
      <c r="P69" s="20">
        <v>0</v>
      </c>
      <c r="Q69" s="20" t="str">
        <f>"15-0135"</f>
        <v>15-0135</v>
      </c>
    </row>
    <row r="70" spans="1:17">
      <c r="A70" s="20" t="str">
        <f>"16162"</f>
        <v>16162</v>
      </c>
      <c r="B70" s="20" t="str">
        <f>"5862-01"</f>
        <v>5862-01</v>
      </c>
      <c r="C70" s="20">
        <v>2</v>
      </c>
      <c r="D70" s="20" t="str">
        <f t="shared" si="3"/>
        <v xml:space="preserve"> </v>
      </c>
      <c r="E70" s="20" t="str">
        <f>"SOCLE AV REP01"</f>
        <v>SOCLE AV REP01</v>
      </c>
      <c r="F70" s="21">
        <v>42103.564930555556</v>
      </c>
      <c r="G70" s="20"/>
      <c r="H70" s="20">
        <v>1</v>
      </c>
      <c r="I70" s="20">
        <v>0</v>
      </c>
      <c r="J70" s="20" t="str">
        <f>"FOURNITURE + USINAGE"</f>
        <v>FOURNITURE + USINAGE</v>
      </c>
      <c r="K70" s="20">
        <v>1280</v>
      </c>
      <c r="L70" s="20">
        <v>1280</v>
      </c>
      <c r="M70" s="22">
        <v>42121</v>
      </c>
      <c r="N70" s="20" t="str">
        <f>"LAMARCHE"</f>
        <v>LAMARCHE</v>
      </c>
      <c r="O70" s="20">
        <v>1280</v>
      </c>
      <c r="P70" s="20">
        <v>0</v>
      </c>
      <c r="Q70" s="20" t="str">
        <f>"15-0135"</f>
        <v>15-0135</v>
      </c>
    </row>
    <row r="71" spans="1:17">
      <c r="A71" s="20" t="str">
        <f>"16162"</f>
        <v>16162</v>
      </c>
      <c r="B71" s="20" t="str">
        <f>"5862-01"</f>
        <v>5862-01</v>
      </c>
      <c r="C71" s="20">
        <v>3</v>
      </c>
      <c r="D71" s="20" t="str">
        <f t="shared" si="3"/>
        <v xml:space="preserve"> </v>
      </c>
      <c r="E71" s="20" t="str">
        <f>"INTERFACE KATIA 02"</f>
        <v>INTERFACE KATIA 02</v>
      </c>
      <c r="F71" s="21">
        <v>42103.564930555556</v>
      </c>
      <c r="G71" s="20"/>
      <c r="H71" s="20">
        <v>1</v>
      </c>
      <c r="I71" s="20">
        <v>0</v>
      </c>
      <c r="J71" s="20" t="str">
        <f>"FOURNITURE + USINAGE"</f>
        <v>FOURNITURE + USINAGE</v>
      </c>
      <c r="K71" s="20">
        <v>650</v>
      </c>
      <c r="L71" s="20">
        <v>650</v>
      </c>
      <c r="M71" s="22">
        <v>42121</v>
      </c>
      <c r="N71" s="20" t="str">
        <f>"LAMARCHE"</f>
        <v>LAMARCHE</v>
      </c>
      <c r="O71" s="20">
        <v>650</v>
      </c>
      <c r="P71" s="20">
        <v>0</v>
      </c>
      <c r="Q71" s="20" t="str">
        <f>"15-0135"</f>
        <v>15-0135</v>
      </c>
    </row>
    <row r="72" spans="1:17">
      <c r="A72" s="20" t="str">
        <f>"16161"</f>
        <v>16161</v>
      </c>
      <c r="B72" s="20" t="str">
        <f>"4501671991"</f>
        <v>4501671991</v>
      </c>
      <c r="C72" s="20">
        <v>1</v>
      </c>
      <c r="D72" s="20" t="str">
        <f t="shared" si="3"/>
        <v xml:space="preserve"> </v>
      </c>
      <c r="E72" s="20" t="str">
        <f>"DEMI LUNES EP7"</f>
        <v>DEMI LUNES EP7</v>
      </c>
      <c r="F72" s="21">
        <v>42103.483101851853</v>
      </c>
      <c r="G72" s="22">
        <v>42103</v>
      </c>
      <c r="H72" s="20">
        <v>2</v>
      </c>
      <c r="I72" s="20">
        <v>2</v>
      </c>
      <c r="J72" s="20" t="str">
        <f>"FOURNITURE + USINAGE"</f>
        <v>FOURNITURE + USINAGE</v>
      </c>
      <c r="K72" s="20">
        <v>250</v>
      </c>
      <c r="L72" s="20">
        <v>500</v>
      </c>
      <c r="M72" s="22">
        <v>42104</v>
      </c>
      <c r="N72" s="20" t="str">
        <f>"YARA FRANCE"</f>
        <v>YARA FRANCE</v>
      </c>
      <c r="O72" s="20">
        <v>250</v>
      </c>
      <c r="P72" s="20">
        <v>0</v>
      </c>
      <c r="Q72" s="20" t="str">
        <f>" "</f>
        <v xml:space="preserve"> </v>
      </c>
    </row>
    <row r="73" spans="1:17">
      <c r="A73" s="20" t="str">
        <f>"16160"</f>
        <v>16160</v>
      </c>
      <c r="B73" s="20" t="str">
        <f>"5856-01"</f>
        <v>5856-01</v>
      </c>
      <c r="C73" s="20">
        <v>1</v>
      </c>
      <c r="D73" s="20" t="str">
        <f t="shared" si="3"/>
        <v xml:space="preserve"> </v>
      </c>
      <c r="E73" s="20" t="str">
        <f>"MANNEQUIN ALU"</f>
        <v>MANNEQUIN ALU</v>
      </c>
      <c r="F73" s="21">
        <v>42103.442673611113</v>
      </c>
      <c r="G73" s="20"/>
      <c r="H73" s="20">
        <v>1</v>
      </c>
      <c r="I73" s="20">
        <v>0</v>
      </c>
      <c r="J73" s="20" t="str">
        <f>"ASSEMBLAGE"</f>
        <v>ASSEMBLAGE</v>
      </c>
      <c r="K73" s="20">
        <v>9750</v>
      </c>
      <c r="L73" s="20">
        <v>9750</v>
      </c>
      <c r="M73" s="22">
        <v>42166</v>
      </c>
      <c r="N73" s="20" t="str">
        <f>"LAMARCHE"</f>
        <v>LAMARCHE</v>
      </c>
      <c r="O73" s="20">
        <v>9750</v>
      </c>
      <c r="P73" s="20">
        <v>0</v>
      </c>
      <c r="Q73" s="20" t="str">
        <f>"15-0136C"</f>
        <v>15-0136C</v>
      </c>
    </row>
    <row r="74" spans="1:17">
      <c r="A74" s="20" t="str">
        <f>"16159"</f>
        <v>16159</v>
      </c>
      <c r="B74" s="20" t="str">
        <f>"2015/998"</f>
        <v>2015/998</v>
      </c>
      <c r="C74" s="20">
        <v>1</v>
      </c>
      <c r="D74" s="20" t="str">
        <f t="shared" si="3"/>
        <v xml:space="preserve"> </v>
      </c>
      <c r="E74" s="20" t="str">
        <f>"SECTEUR 47117 R008"</f>
        <v>SECTEUR 47117 R008</v>
      </c>
      <c r="F74" s="21">
        <v>42103.390625</v>
      </c>
      <c r="G74" s="20"/>
      <c r="H74" s="20">
        <v>1</v>
      </c>
      <c r="I74" s="20">
        <v>0</v>
      </c>
      <c r="J74" s="20" t="str">
        <f>"USINAGE"</f>
        <v>USINAGE</v>
      </c>
      <c r="K74" s="20">
        <v>5080</v>
      </c>
      <c r="L74" s="20">
        <v>5080</v>
      </c>
      <c r="M74" s="20"/>
      <c r="N74" s="20" t="str">
        <f>"SERTA"</f>
        <v>SERTA</v>
      </c>
      <c r="O74" s="20">
        <v>5080</v>
      </c>
      <c r="P74" s="20">
        <v>0</v>
      </c>
      <c r="Q74" s="20" t="str">
        <f>"14-0397B"</f>
        <v>14-0397B</v>
      </c>
    </row>
    <row r="75" spans="1:17">
      <c r="A75" s="20" t="str">
        <f>"16158"</f>
        <v>16158</v>
      </c>
      <c r="B75" s="20" t="str">
        <f>" "</f>
        <v xml:space="preserve"> </v>
      </c>
      <c r="C75" s="20">
        <v>1</v>
      </c>
      <c r="D75" s="20" t="str">
        <f t="shared" si="3"/>
        <v xml:space="preserve"> </v>
      </c>
      <c r="E75" s="20" t="str">
        <f>"RAMO DEPLACEMENT"</f>
        <v>RAMO DEPLACEMENT</v>
      </c>
      <c r="F75" s="21">
        <v>42103.366018518522</v>
      </c>
      <c r="G75" s="20"/>
      <c r="H75" s="20">
        <v>1</v>
      </c>
      <c r="I75" s="20">
        <v>0</v>
      </c>
      <c r="J75" s="20" t="str">
        <f>"MAIN D'OEUVRE"</f>
        <v>MAIN D'OEUVRE</v>
      </c>
      <c r="K75" s="20">
        <v>0</v>
      </c>
      <c r="L75" s="20">
        <v>0</v>
      </c>
      <c r="M75" s="22">
        <v>42124</v>
      </c>
      <c r="N75" s="20" t="str">
        <f>"DIMETAL"</f>
        <v>DIMETAL</v>
      </c>
      <c r="O75" s="20">
        <v>0</v>
      </c>
      <c r="P75" s="20">
        <v>0</v>
      </c>
      <c r="Q75" s="20" t="str">
        <f>" "</f>
        <v xml:space="preserve"> </v>
      </c>
    </row>
    <row r="76" spans="1:17">
      <c r="A76" s="20" t="str">
        <f>"16157"</f>
        <v>16157</v>
      </c>
      <c r="B76" s="20" t="str">
        <f>"ANS 0738807 1"</f>
        <v>ANS 0738807 1</v>
      </c>
      <c r="C76" s="20">
        <v>1</v>
      </c>
      <c r="D76" s="20" t="str">
        <f t="shared" si="3"/>
        <v xml:space="preserve"> </v>
      </c>
      <c r="E76" s="20" t="str">
        <f>"VIS IMPERDABLE M12"</f>
        <v>VIS IMPERDABLE M12</v>
      </c>
      <c r="F76" s="21">
        <v>42103.343761574077</v>
      </c>
      <c r="G76" s="22">
        <v>42107</v>
      </c>
      <c r="H76" s="20">
        <v>6</v>
      </c>
      <c r="I76" s="20">
        <v>6</v>
      </c>
      <c r="J76" s="20" t="str">
        <f>"LO15/117"</f>
        <v>LO15/117</v>
      </c>
      <c r="K76" s="20">
        <v>75</v>
      </c>
      <c r="L76" s="20">
        <v>450</v>
      </c>
      <c r="M76" s="22">
        <v>42108</v>
      </c>
      <c r="N76" s="20" t="str">
        <f>"HERAKLES ( SME )"</f>
        <v>HERAKLES ( SME )</v>
      </c>
      <c r="O76" s="20">
        <v>75</v>
      </c>
      <c r="P76" s="20">
        <v>0</v>
      </c>
      <c r="Q76" s="20" t="str">
        <f>"15-0251"</f>
        <v>15-0251</v>
      </c>
    </row>
    <row r="77" spans="1:17">
      <c r="A77" s="20" t="str">
        <f>"16156"</f>
        <v>16156</v>
      </c>
      <c r="B77" s="20" t="str">
        <f>" "</f>
        <v xml:space="preserve"> </v>
      </c>
      <c r="C77" s="20">
        <v>1</v>
      </c>
      <c r="D77" s="20" t="str">
        <f t="shared" si="3"/>
        <v xml:space="preserve"> </v>
      </c>
      <c r="E77" s="20" t="str">
        <f>"E. VIROLE 0215B"</f>
        <v>E. VIROLE 0215B</v>
      </c>
      <c r="F77" s="21">
        <v>42102.671296296299</v>
      </c>
      <c r="G77" s="20"/>
      <c r="H77" s="20">
        <v>1</v>
      </c>
      <c r="I77" s="20">
        <v>0</v>
      </c>
      <c r="J77" s="20" t="str">
        <f>"ETUDE / CALCUL"</f>
        <v>ETUDE / CALCUL</v>
      </c>
      <c r="K77" s="20">
        <v>12516</v>
      </c>
      <c r="L77" s="20">
        <v>12516</v>
      </c>
      <c r="M77" s="22">
        <v>42137</v>
      </c>
      <c r="N77" s="20" t="str">
        <f>"BET"</f>
        <v>BET</v>
      </c>
      <c r="O77" s="20">
        <v>12516</v>
      </c>
      <c r="P77" s="20">
        <v>0</v>
      </c>
      <c r="Q77" s="20" t="str">
        <f>"15-0215B"</f>
        <v>15-0215B</v>
      </c>
    </row>
    <row r="78" spans="1:17">
      <c r="A78" s="20" t="str">
        <f>"16156"</f>
        <v>16156</v>
      </c>
      <c r="B78" s="20" t="str">
        <f>" "</f>
        <v xml:space="preserve"> </v>
      </c>
      <c r="C78" s="20">
        <v>2</v>
      </c>
      <c r="D78" s="20" t="str">
        <f t="shared" si="3"/>
        <v xml:space="preserve"> </v>
      </c>
      <c r="E78" s="20" t="str">
        <f>"R. VIROLE 0215B"</f>
        <v>R. VIROLE 0215B</v>
      </c>
      <c r="F78" s="21">
        <v>42102.671296296299</v>
      </c>
      <c r="G78" s="20"/>
      <c r="H78" s="20">
        <v>2</v>
      </c>
      <c r="I78" s="20">
        <v>0</v>
      </c>
      <c r="J78" s="20" t="str">
        <f>"FOURNITURE + USINAGE"</f>
        <v>FOURNITURE + USINAGE</v>
      </c>
      <c r="K78" s="20">
        <v>31300</v>
      </c>
      <c r="L78" s="20">
        <v>62600</v>
      </c>
      <c r="M78" s="22">
        <v>42144</v>
      </c>
      <c r="N78" s="20" t="str">
        <f>"BET"</f>
        <v>BET</v>
      </c>
      <c r="O78" s="20">
        <v>31300</v>
      </c>
      <c r="P78" s="20">
        <v>0</v>
      </c>
      <c r="Q78" s="20" t="str">
        <f>"15-0215B"</f>
        <v>15-0215B</v>
      </c>
    </row>
    <row r="79" spans="1:17">
      <c r="A79" s="20" t="str">
        <f>"16156"</f>
        <v>16156</v>
      </c>
      <c r="B79" s="20" t="str">
        <f>" "</f>
        <v xml:space="preserve"> </v>
      </c>
      <c r="C79" s="20">
        <v>3</v>
      </c>
      <c r="D79" s="20" t="str">
        <f t="shared" si="3"/>
        <v xml:space="preserve"> </v>
      </c>
      <c r="E79" s="20" t="str">
        <f>"TRANSPORT"</f>
        <v>TRANSPORT</v>
      </c>
      <c r="F79" s="21">
        <v>42102.671296296299</v>
      </c>
      <c r="G79" s="20"/>
      <c r="H79" s="20">
        <v>2</v>
      </c>
      <c r="I79" s="20">
        <v>0</v>
      </c>
      <c r="J79" s="20" t="str">
        <f>"TRANSPORT DE NOS LOCAUX VERS LE HAVRE QUAI ROULIER"</f>
        <v>TRANSPORT DE NOS LOCAUX VERS LE HAVRE QUAI ROULIER</v>
      </c>
      <c r="K79" s="20">
        <v>1500</v>
      </c>
      <c r="L79" s="20">
        <v>3000</v>
      </c>
      <c r="M79" s="22">
        <v>42151</v>
      </c>
      <c r="N79" s="20" t="str">
        <f>"BET"</f>
        <v>BET</v>
      </c>
      <c r="O79" s="20">
        <v>1500</v>
      </c>
      <c r="P79" s="20">
        <v>0</v>
      </c>
      <c r="Q79" s="20" t="str">
        <f>"15-0215B"</f>
        <v>15-0215B</v>
      </c>
    </row>
    <row r="80" spans="1:17">
      <c r="A80" s="20" t="str">
        <f>"16155"</f>
        <v>16155</v>
      </c>
      <c r="B80" s="20" t="str">
        <f>" "</f>
        <v xml:space="preserve"> </v>
      </c>
      <c r="C80" s="20">
        <v>1</v>
      </c>
      <c r="D80" s="20" t="str">
        <f t="shared" si="3"/>
        <v xml:space="preserve"> </v>
      </c>
      <c r="E80" s="20" t="str">
        <f>"E. VIROLE REHAUSSE"</f>
        <v>E. VIROLE REHAUSSE</v>
      </c>
      <c r="F80" s="21">
        <v>42102.643865740742</v>
      </c>
      <c r="G80" s="20"/>
      <c r="H80" s="20">
        <v>1</v>
      </c>
      <c r="I80" s="20">
        <v>0</v>
      </c>
      <c r="J80" s="20" t="str">
        <f>"ETUDE / CALCUL"</f>
        <v>ETUDE / CALCUL</v>
      </c>
      <c r="K80" s="20">
        <v>2400</v>
      </c>
      <c r="L80" s="20">
        <v>2400</v>
      </c>
      <c r="M80" s="22">
        <v>42123</v>
      </c>
      <c r="N80" s="20" t="str">
        <f>"BET"</f>
        <v>BET</v>
      </c>
      <c r="O80" s="20">
        <v>2400</v>
      </c>
      <c r="P80" s="20">
        <v>0</v>
      </c>
      <c r="Q80" s="20" t="str">
        <f>"15-0220B"</f>
        <v>15-0220B</v>
      </c>
    </row>
    <row r="81" spans="1:17">
      <c r="A81" s="20" t="str">
        <f>"16155"</f>
        <v>16155</v>
      </c>
      <c r="B81" s="20" t="str">
        <f>" "</f>
        <v xml:space="preserve"> </v>
      </c>
      <c r="C81" s="20">
        <v>2</v>
      </c>
      <c r="D81" s="20" t="str">
        <f t="shared" si="3"/>
        <v xml:space="preserve"> </v>
      </c>
      <c r="E81" s="20" t="str">
        <f>"R. VIROLE REHAUSSE"</f>
        <v>R. VIROLE REHAUSSE</v>
      </c>
      <c r="F81" s="21">
        <v>42102.643865740742</v>
      </c>
      <c r="G81" s="20"/>
      <c r="H81" s="20">
        <v>2</v>
      </c>
      <c r="I81" s="20">
        <v>0</v>
      </c>
      <c r="J81" s="20" t="str">
        <f>"FOURNITURE + USINAGE"</f>
        <v>FOURNITURE + USINAGE</v>
      </c>
      <c r="K81" s="20">
        <v>11000</v>
      </c>
      <c r="L81" s="20">
        <v>22000</v>
      </c>
      <c r="M81" s="22">
        <v>42130</v>
      </c>
      <c r="N81" s="20" t="str">
        <f>"BET"</f>
        <v>BET</v>
      </c>
      <c r="O81" s="20">
        <v>11000</v>
      </c>
      <c r="P81" s="20">
        <v>0</v>
      </c>
      <c r="Q81" s="20" t="str">
        <f>"15-0220B"</f>
        <v>15-0220B</v>
      </c>
    </row>
    <row r="82" spans="1:17">
      <c r="A82" s="20" t="str">
        <f>"16154"</f>
        <v>16154</v>
      </c>
      <c r="B82" s="20" t="str">
        <f>"C150009962/1"</f>
        <v>C150009962/1</v>
      </c>
      <c r="C82" s="20">
        <v>1</v>
      </c>
      <c r="D82" s="20" t="str">
        <f t="shared" si="3"/>
        <v xml:space="preserve"> </v>
      </c>
      <c r="E82" s="20" t="str">
        <f>"P. CUIVRE METAREG"</f>
        <v>P. CUIVRE METAREG</v>
      </c>
      <c r="F82" s="21">
        <v>42102.557557870372</v>
      </c>
      <c r="G82" s="22">
        <v>42109</v>
      </c>
      <c r="H82" s="20">
        <v>1</v>
      </c>
      <c r="I82" s="20">
        <v>1</v>
      </c>
      <c r="J82" s="20" t="str">
        <f>"FOURNITURE + USINAGE"</f>
        <v>FOURNITURE + USINAGE</v>
      </c>
      <c r="K82" s="20">
        <v>300</v>
      </c>
      <c r="L82" s="20">
        <v>300</v>
      </c>
      <c r="M82" s="22">
        <v>42108</v>
      </c>
      <c r="N82" s="20" t="str">
        <f>"METAREG"</f>
        <v>METAREG</v>
      </c>
      <c r="O82" s="20">
        <v>300</v>
      </c>
      <c r="P82" s="20">
        <v>0</v>
      </c>
      <c r="Q82" s="20" t="str">
        <f>" "</f>
        <v xml:space="preserve"> </v>
      </c>
    </row>
    <row r="83" spans="1:17">
      <c r="A83" s="20" t="str">
        <f>"16153"</f>
        <v>16153</v>
      </c>
      <c r="B83" s="20" t="str">
        <f>"C150009962/1"</f>
        <v>C150009962/1</v>
      </c>
      <c r="C83" s="20">
        <v>1</v>
      </c>
      <c r="D83" s="20" t="str">
        <f t="shared" si="3"/>
        <v xml:space="preserve"> </v>
      </c>
      <c r="E83" s="20" t="str">
        <f>"GRAPHITE Ø80X28"</f>
        <v>GRAPHITE Ø80X28</v>
      </c>
      <c r="F83" s="21">
        <v>42102.553113425929</v>
      </c>
      <c r="G83" s="22">
        <v>42109</v>
      </c>
      <c r="H83" s="20">
        <v>1</v>
      </c>
      <c r="I83" s="20">
        <v>1</v>
      </c>
      <c r="J83" s="20" t="str">
        <f>"USINAGE"</f>
        <v>USINAGE</v>
      </c>
      <c r="K83" s="20">
        <v>300</v>
      </c>
      <c r="L83" s="20">
        <v>300</v>
      </c>
      <c r="M83" s="22">
        <v>42108</v>
      </c>
      <c r="N83" s="20" t="str">
        <f>"METAREG"</f>
        <v>METAREG</v>
      </c>
      <c r="O83" s="20">
        <v>300</v>
      </c>
      <c r="P83" s="20">
        <v>0</v>
      </c>
      <c r="Q83" s="20" t="str">
        <f>" "</f>
        <v xml:space="preserve"> </v>
      </c>
    </row>
    <row r="84" spans="1:17">
      <c r="A84" s="20" t="str">
        <f>"16152"</f>
        <v>16152</v>
      </c>
      <c r="B84" s="20" t="str">
        <f>"C150009962/1"</f>
        <v>C150009962/1</v>
      </c>
      <c r="C84" s="20">
        <v>1</v>
      </c>
      <c r="D84" s="20" t="str">
        <f t="shared" si="3"/>
        <v xml:space="preserve"> </v>
      </c>
      <c r="E84" s="20" t="str">
        <f>"GRAPHITE Ø150X100"</f>
        <v>GRAPHITE Ø150X100</v>
      </c>
      <c r="F84" s="21">
        <v>42102.549328703702</v>
      </c>
      <c r="G84" s="22">
        <v>42108</v>
      </c>
      <c r="H84" s="20">
        <v>1</v>
      </c>
      <c r="I84" s="20">
        <v>1</v>
      </c>
      <c r="J84" s="20" t="str">
        <f>"USINAGE"</f>
        <v>USINAGE</v>
      </c>
      <c r="K84" s="20">
        <v>275</v>
      </c>
      <c r="L84" s="20">
        <v>275</v>
      </c>
      <c r="M84" s="22">
        <v>42108</v>
      </c>
      <c r="N84" s="20" t="str">
        <f>"METAREG"</f>
        <v>METAREG</v>
      </c>
      <c r="O84" s="20">
        <v>275</v>
      </c>
      <c r="P84" s="20">
        <v>0</v>
      </c>
      <c r="Q84" s="20" t="str">
        <f>" "</f>
        <v xml:space="preserve"> </v>
      </c>
    </row>
    <row r="85" spans="1:17">
      <c r="A85" s="20" t="str">
        <f>"16151"</f>
        <v>16151</v>
      </c>
      <c r="B85" s="20" t="str">
        <f>"35011619 POSTE 40"</f>
        <v>35011619 POSTE 40</v>
      </c>
      <c r="C85" s="20">
        <v>1</v>
      </c>
      <c r="D85" s="20" t="str">
        <f t="shared" si="3"/>
        <v xml:space="preserve"> </v>
      </c>
      <c r="E85" s="20" t="str">
        <f>"PORTE POINCON 3361"</f>
        <v>PORTE POINCON 3361</v>
      </c>
      <c r="F85" s="21">
        <v>42102.502418981479</v>
      </c>
      <c r="G85" s="20"/>
      <c r="H85" s="20">
        <v>5</v>
      </c>
      <c r="I85" s="20">
        <v>0</v>
      </c>
      <c r="J85" s="20" t="str">
        <f>"FOURNITURE + USINAGE"</f>
        <v>FOURNITURE + USINAGE</v>
      </c>
      <c r="K85" s="20">
        <v>1230</v>
      </c>
      <c r="L85" s="20">
        <v>6150</v>
      </c>
      <c r="M85" s="22">
        <v>42146</v>
      </c>
      <c r="N85" s="20" t="str">
        <f>"VALLOUREC DRILLING"</f>
        <v>VALLOUREC DRILLING</v>
      </c>
      <c r="O85" s="20">
        <v>1230</v>
      </c>
      <c r="P85" s="20">
        <v>0</v>
      </c>
      <c r="Q85" s="20" t="str">
        <f>"15-0218"</f>
        <v>15-0218</v>
      </c>
    </row>
    <row r="86" spans="1:17">
      <c r="A86" s="20" t="str">
        <f>"16150"</f>
        <v>16150</v>
      </c>
      <c r="B86" s="20" t="str">
        <f>"35011619 POSTE 30"</f>
        <v>35011619 POSTE 30</v>
      </c>
      <c r="C86" s="20">
        <v>1</v>
      </c>
      <c r="D86" s="20" t="str">
        <f t="shared" si="3"/>
        <v xml:space="preserve"> </v>
      </c>
      <c r="E86" s="20" t="str">
        <f>"POINCON 3364-A"</f>
        <v>POINCON 3364-A</v>
      </c>
      <c r="F86" s="21">
        <v>42102.49732638889</v>
      </c>
      <c r="G86" s="20"/>
      <c r="H86" s="20">
        <v>10</v>
      </c>
      <c r="I86" s="20">
        <v>0</v>
      </c>
      <c r="J86" s="20" t="str">
        <f>"USINAGE"</f>
        <v>USINAGE</v>
      </c>
      <c r="K86" s="20">
        <v>200</v>
      </c>
      <c r="L86" s="20">
        <v>2000</v>
      </c>
      <c r="M86" s="22">
        <v>42146</v>
      </c>
      <c r="N86" s="20" t="str">
        <f>"VALLOUREC DRILLING"</f>
        <v>VALLOUREC DRILLING</v>
      </c>
      <c r="O86" s="20">
        <v>200</v>
      </c>
      <c r="P86" s="20">
        <v>0</v>
      </c>
      <c r="Q86" s="20" t="str">
        <f>"15-0218"</f>
        <v>15-0218</v>
      </c>
    </row>
    <row r="87" spans="1:17">
      <c r="A87" s="20" t="str">
        <f>"16149"</f>
        <v>16149</v>
      </c>
      <c r="B87" s="20" t="str">
        <f>"35011619 POSTE 20"</f>
        <v>35011619 POSTE 20</v>
      </c>
      <c r="C87" s="20">
        <v>1</v>
      </c>
      <c r="D87" s="20" t="str">
        <f t="shared" si="3"/>
        <v xml:space="preserve"> </v>
      </c>
      <c r="E87" s="20" t="str">
        <f>"POINCON 3363-A"</f>
        <v>POINCON 3363-A</v>
      </c>
      <c r="F87" s="21">
        <v>42102.492488425924</v>
      </c>
      <c r="G87" s="20"/>
      <c r="H87" s="20">
        <v>10</v>
      </c>
      <c r="I87" s="20">
        <v>0</v>
      </c>
      <c r="J87" s="20" t="str">
        <f>"USINAGE"</f>
        <v>USINAGE</v>
      </c>
      <c r="K87" s="20">
        <v>198</v>
      </c>
      <c r="L87" s="20">
        <v>1980</v>
      </c>
      <c r="M87" s="22">
        <v>42146</v>
      </c>
      <c r="N87" s="20" t="str">
        <f>"VALLOUREC DRILLING"</f>
        <v>VALLOUREC DRILLING</v>
      </c>
      <c r="O87" s="20">
        <v>198</v>
      </c>
      <c r="P87" s="20">
        <v>0</v>
      </c>
      <c r="Q87" s="20" t="str">
        <f>"15-0218"</f>
        <v>15-0218</v>
      </c>
    </row>
    <row r="88" spans="1:17">
      <c r="A88" s="20" t="str">
        <f>"16148"</f>
        <v>16148</v>
      </c>
      <c r="B88" s="20" t="str">
        <f>"35011619 POSTE 10"</f>
        <v>35011619 POSTE 10</v>
      </c>
      <c r="C88" s="20">
        <v>1</v>
      </c>
      <c r="D88" s="20" t="str">
        <f t="shared" si="3"/>
        <v xml:space="preserve"> </v>
      </c>
      <c r="E88" s="20" t="str">
        <f>"POINCON 3362-A"</f>
        <v>POINCON 3362-A</v>
      </c>
      <c r="F88" s="21">
        <v>42102.483958333331</v>
      </c>
      <c r="G88" s="20"/>
      <c r="H88" s="20">
        <v>8</v>
      </c>
      <c r="I88" s="20">
        <v>0</v>
      </c>
      <c r="J88" s="20" t="str">
        <f>"USINAGE"</f>
        <v>USINAGE</v>
      </c>
      <c r="K88" s="20">
        <v>204</v>
      </c>
      <c r="L88" s="20">
        <v>1632</v>
      </c>
      <c r="M88" s="22">
        <v>42146</v>
      </c>
      <c r="N88" s="20" t="str">
        <f>"VALLOUREC DRILLING"</f>
        <v>VALLOUREC DRILLING</v>
      </c>
      <c r="O88" s="20">
        <v>204</v>
      </c>
      <c r="P88" s="20">
        <v>0</v>
      </c>
      <c r="Q88" s="20" t="str">
        <f>"15-0218"</f>
        <v>15-0218</v>
      </c>
    </row>
    <row r="89" spans="1:17">
      <c r="A89" s="20" t="str">
        <f>"16147"</f>
        <v>16147</v>
      </c>
      <c r="B89" s="20" t="str">
        <f>" "</f>
        <v xml:space="preserve"> </v>
      </c>
      <c r="C89" s="20">
        <v>1</v>
      </c>
      <c r="D89" s="20" t="str">
        <f t="shared" si="3"/>
        <v xml:space="preserve"> </v>
      </c>
      <c r="E89" s="20" t="str">
        <f>"FLASQUE (SME)"</f>
        <v>FLASQUE (SME)</v>
      </c>
      <c r="F89" s="21">
        <v>42101.387187499997</v>
      </c>
      <c r="G89" s="22">
        <v>42115</v>
      </c>
      <c r="H89" s="20">
        <v>4</v>
      </c>
      <c r="I89" s="20">
        <v>4</v>
      </c>
      <c r="J89" s="20" t="str">
        <f>"FOURNITURE + USINAGE"</f>
        <v>FOURNITURE + USINAGE</v>
      </c>
      <c r="K89" s="20">
        <v>120</v>
      </c>
      <c r="L89" s="20">
        <v>480</v>
      </c>
      <c r="M89" s="22">
        <v>42115</v>
      </c>
      <c r="N89" s="20" t="str">
        <f>"HERAKLES ( SME )"</f>
        <v>HERAKLES ( SME )</v>
      </c>
      <c r="O89" s="20">
        <v>120</v>
      </c>
      <c r="P89" s="20">
        <v>0</v>
      </c>
      <c r="Q89" s="20" t="str">
        <f>"15-0243"</f>
        <v>15-0243</v>
      </c>
    </row>
    <row r="90" spans="1:17">
      <c r="A90" s="20" t="str">
        <f>"16146"</f>
        <v>16146</v>
      </c>
      <c r="B90" s="20" t="str">
        <f>"121 500089504"</f>
        <v>121 500089504</v>
      </c>
      <c r="C90" s="20">
        <v>1</v>
      </c>
      <c r="D90" s="20" t="str">
        <f t="shared" si="3"/>
        <v xml:space="preserve"> </v>
      </c>
      <c r="E90" s="20" t="str">
        <f>"PLATEAU D2300 EP35"</f>
        <v>PLATEAU D2300 EP35</v>
      </c>
      <c r="F90" s="21">
        <v>42097.533935185187</v>
      </c>
      <c r="G90" s="22">
        <v>42124</v>
      </c>
      <c r="H90" s="20">
        <v>2</v>
      </c>
      <c r="I90" s="20">
        <v>2</v>
      </c>
      <c r="J90" s="20" t="str">
        <f>"FOURNITURE + USINAGE"</f>
        <v>FOURNITURE + USINAGE</v>
      </c>
      <c r="K90" s="20">
        <v>2850</v>
      </c>
      <c r="L90" s="20">
        <v>5700</v>
      </c>
      <c r="M90" s="22">
        <v>42139</v>
      </c>
      <c r="N90" s="20" t="str">
        <f>"HERAKLES"</f>
        <v>HERAKLES</v>
      </c>
      <c r="O90" s="20">
        <v>2850</v>
      </c>
      <c r="P90" s="20">
        <v>0</v>
      </c>
      <c r="Q90" s="20" t="str">
        <f>"15-0050"</f>
        <v>15-0050</v>
      </c>
    </row>
    <row r="91" spans="1:17">
      <c r="A91" s="20" t="str">
        <f>"16145"</f>
        <v>16145</v>
      </c>
      <c r="B91" s="20" t="str">
        <f>"121 500089507"</f>
        <v>121 500089507</v>
      </c>
      <c r="C91" s="20">
        <v>1</v>
      </c>
      <c r="D91" s="20" t="str">
        <f t="shared" si="3"/>
        <v xml:space="preserve"> </v>
      </c>
      <c r="E91" s="20" t="str">
        <f>"PLATEAU D2300 EP35"</f>
        <v>PLATEAU D2300 EP35</v>
      </c>
      <c r="F91" s="21">
        <v>42097.523738425924</v>
      </c>
      <c r="G91" s="22">
        <v>42124</v>
      </c>
      <c r="H91" s="20">
        <v>3</v>
      </c>
      <c r="I91" s="20">
        <v>3</v>
      </c>
      <c r="J91" s="20" t="str">
        <f>"FOURNITURE + USINAGE"</f>
        <v>FOURNITURE + USINAGE</v>
      </c>
      <c r="K91" s="20">
        <v>1900</v>
      </c>
      <c r="L91" s="20">
        <v>5700</v>
      </c>
      <c r="M91" s="22">
        <v>42139</v>
      </c>
      <c r="N91" s="20" t="str">
        <f>"HERAKLES"</f>
        <v>HERAKLES</v>
      </c>
      <c r="O91" s="20">
        <v>1900</v>
      </c>
      <c r="P91" s="20">
        <v>0</v>
      </c>
      <c r="Q91" s="20" t="str">
        <f>"15-0050"</f>
        <v>15-0050</v>
      </c>
    </row>
    <row r="92" spans="1:17">
      <c r="A92" s="20" t="str">
        <f>"16144"</f>
        <v>16144</v>
      </c>
      <c r="B92" s="20" t="str">
        <f>" "</f>
        <v xml:space="preserve"> </v>
      </c>
      <c r="C92" s="20">
        <v>1</v>
      </c>
      <c r="D92" s="20" t="str">
        <f t="shared" si="3"/>
        <v xml:space="preserve"> </v>
      </c>
      <c r="E92" s="20" t="str">
        <f>"PIN PINTLE"</f>
        <v>PIN PINTLE</v>
      </c>
      <c r="F92" s="21">
        <v>42097.478703703702</v>
      </c>
      <c r="G92" s="22">
        <v>42103</v>
      </c>
      <c r="H92" s="20">
        <v>1</v>
      </c>
      <c r="I92" s="20">
        <v>1</v>
      </c>
      <c r="J92" s="20" t="str">
        <f>"USINAGE"</f>
        <v>USINAGE</v>
      </c>
      <c r="K92" s="20">
        <v>750</v>
      </c>
      <c r="L92" s="20">
        <v>750</v>
      </c>
      <c r="M92" s="22">
        <v>42104</v>
      </c>
      <c r="N92" s="20" t="str">
        <f>"REDA"</f>
        <v>REDA</v>
      </c>
      <c r="O92" s="20">
        <v>750</v>
      </c>
      <c r="P92" s="20">
        <v>0</v>
      </c>
      <c r="Q92" s="20" t="str">
        <f>"15-0222"</f>
        <v>15-0222</v>
      </c>
    </row>
    <row r="93" spans="1:17">
      <c r="A93" s="20" t="str">
        <f>"16143"</f>
        <v>16143</v>
      </c>
      <c r="B93" s="20" t="str">
        <f>"582"</f>
        <v>582</v>
      </c>
      <c r="C93" s="20">
        <v>1</v>
      </c>
      <c r="D93" s="20" t="str">
        <f t="shared" si="3"/>
        <v xml:space="preserve"> </v>
      </c>
      <c r="E93" s="20" t="str">
        <f>"AI-OUT-002"</f>
        <v>AI-OUT-002</v>
      </c>
      <c r="F93" s="21">
        <v>42097.430578703701</v>
      </c>
      <c r="G93" s="22">
        <v>42102</v>
      </c>
      <c r="H93" s="20">
        <v>1</v>
      </c>
      <c r="I93" s="20">
        <v>1</v>
      </c>
      <c r="J93" s="20" t="str">
        <f>"FOURNITURE + USINAGE"</f>
        <v>FOURNITURE + USINAGE</v>
      </c>
      <c r="K93" s="20">
        <v>145</v>
      </c>
      <c r="L93" s="20">
        <v>145</v>
      </c>
      <c r="M93" s="22">
        <v>42102</v>
      </c>
      <c r="N93" s="20" t="str">
        <f>"AIR INDUSTRIE"</f>
        <v>AIR INDUSTRIE</v>
      </c>
      <c r="O93" s="20">
        <v>145</v>
      </c>
      <c r="P93" s="20">
        <v>0</v>
      </c>
      <c r="Q93" s="20" t="str">
        <f>" "</f>
        <v xml:space="preserve"> </v>
      </c>
    </row>
    <row r="94" spans="1:17">
      <c r="A94" s="20" t="str">
        <f>"16143"</f>
        <v>16143</v>
      </c>
      <c r="B94" s="20" t="str">
        <f>"582"</f>
        <v>582</v>
      </c>
      <c r="C94" s="20">
        <v>2</v>
      </c>
      <c r="D94" s="20" t="str">
        <f t="shared" si="3"/>
        <v xml:space="preserve"> </v>
      </c>
      <c r="E94" s="20" t="str">
        <f>"AI-OUT-003"</f>
        <v>AI-OUT-003</v>
      </c>
      <c r="F94" s="21">
        <v>42097.430578703701</v>
      </c>
      <c r="G94" s="22">
        <v>42102</v>
      </c>
      <c r="H94" s="20">
        <v>1</v>
      </c>
      <c r="I94" s="20">
        <v>1</v>
      </c>
      <c r="J94" s="20" t="str">
        <f>"FOURNITURE + USINAGE"</f>
        <v>FOURNITURE + USINAGE</v>
      </c>
      <c r="K94" s="20">
        <v>140</v>
      </c>
      <c r="L94" s="20">
        <v>140</v>
      </c>
      <c r="M94" s="22">
        <v>42102</v>
      </c>
      <c r="N94" s="20" t="str">
        <f>"AIR INDUSTRIE"</f>
        <v>AIR INDUSTRIE</v>
      </c>
      <c r="O94" s="20">
        <v>140</v>
      </c>
      <c r="P94" s="20">
        <v>0</v>
      </c>
      <c r="Q94" s="20" t="str">
        <f>" "</f>
        <v xml:space="preserve"> </v>
      </c>
    </row>
    <row r="95" spans="1:17">
      <c r="A95" s="20" t="str">
        <f>"16143"</f>
        <v>16143</v>
      </c>
      <c r="B95" s="20" t="str">
        <f>"582"</f>
        <v>582</v>
      </c>
      <c r="C95" s="20">
        <v>3</v>
      </c>
      <c r="D95" s="20" t="str">
        <f t="shared" si="3"/>
        <v xml:space="preserve"> </v>
      </c>
      <c r="E95" s="20" t="str">
        <f>"AI-OUT-001"</f>
        <v>AI-OUT-001</v>
      </c>
      <c r="F95" s="21">
        <v>42097.430578703701</v>
      </c>
      <c r="G95" s="22">
        <v>42102</v>
      </c>
      <c r="H95" s="20">
        <v>1</v>
      </c>
      <c r="I95" s="20">
        <v>1</v>
      </c>
      <c r="J95" s="20" t="str">
        <f>"FOURNITURE + USINAGE"</f>
        <v>FOURNITURE + USINAGE</v>
      </c>
      <c r="K95" s="20">
        <v>120</v>
      </c>
      <c r="L95" s="20">
        <v>120</v>
      </c>
      <c r="M95" s="22">
        <v>42102</v>
      </c>
      <c r="N95" s="20" t="str">
        <f>"AIR INDUSTRIE"</f>
        <v>AIR INDUSTRIE</v>
      </c>
      <c r="O95" s="20">
        <v>120</v>
      </c>
      <c r="P95" s="20">
        <v>0</v>
      </c>
      <c r="Q95" s="20" t="str">
        <f>" "</f>
        <v xml:space="preserve"> </v>
      </c>
    </row>
    <row r="96" spans="1:17">
      <c r="A96" s="20" t="str">
        <f>"16142"</f>
        <v>16142</v>
      </c>
      <c r="B96" s="20" t="str">
        <f>"C150009962"</f>
        <v>C150009962</v>
      </c>
      <c r="C96" s="20">
        <v>1</v>
      </c>
      <c r="D96" s="20" t="str">
        <f t="shared" si="3"/>
        <v xml:space="preserve"> </v>
      </c>
      <c r="E96" s="20" t="str">
        <f>"ADAPTATEUR 35NCD16"</f>
        <v>ADAPTATEUR 35NCD16</v>
      </c>
      <c r="F96" s="21">
        <v>42097.366851851853</v>
      </c>
      <c r="G96" s="22">
        <v>42118</v>
      </c>
      <c r="H96" s="20">
        <v>2</v>
      </c>
      <c r="I96" s="20">
        <v>2</v>
      </c>
      <c r="J96" s="20" t="str">
        <f>"FOURNITURE + USINAGE"</f>
        <v>FOURNITURE + USINAGE</v>
      </c>
      <c r="K96" s="20">
        <v>140</v>
      </c>
      <c r="L96" s="20">
        <v>280</v>
      </c>
      <c r="M96" s="22">
        <v>42103</v>
      </c>
      <c r="N96" s="20" t="str">
        <f t="shared" ref="N96:N101" si="4">"METAREG"</f>
        <v>METAREG</v>
      </c>
      <c r="O96" s="20">
        <v>140</v>
      </c>
      <c r="P96" s="20">
        <v>0</v>
      </c>
      <c r="Q96" s="20" t="str">
        <f>"15-0219"</f>
        <v>15-0219</v>
      </c>
    </row>
    <row r="97" spans="1:17">
      <c r="A97" s="20" t="str">
        <f>"16142"</f>
        <v>16142</v>
      </c>
      <c r="B97" s="20" t="str">
        <f>"C150009962"</f>
        <v>C150009962</v>
      </c>
      <c r="C97" s="20">
        <v>2</v>
      </c>
      <c r="D97" s="20" t="str">
        <f t="shared" si="3"/>
        <v xml:space="preserve"> </v>
      </c>
      <c r="E97" s="20" t="str">
        <f>"EPROUVETTE ALU"</f>
        <v>EPROUVETTE ALU</v>
      </c>
      <c r="F97" s="21">
        <v>42097.366851851853</v>
      </c>
      <c r="G97" s="22">
        <v>42118</v>
      </c>
      <c r="H97" s="20">
        <v>1</v>
      </c>
      <c r="I97" s="20">
        <v>1</v>
      </c>
      <c r="J97" s="20" t="str">
        <f>"FOURNITURE + USINAGE"</f>
        <v>FOURNITURE + USINAGE</v>
      </c>
      <c r="K97" s="20">
        <v>450</v>
      </c>
      <c r="L97" s="20">
        <v>450</v>
      </c>
      <c r="M97" s="22">
        <v>42110</v>
      </c>
      <c r="N97" s="20" t="str">
        <f t="shared" si="4"/>
        <v>METAREG</v>
      </c>
      <c r="O97" s="20">
        <v>450</v>
      </c>
      <c r="P97" s="20">
        <v>0</v>
      </c>
      <c r="Q97" s="20" t="str">
        <f>"15-0219"</f>
        <v>15-0219</v>
      </c>
    </row>
    <row r="98" spans="1:17">
      <c r="A98" s="20" t="str">
        <f>"16142"</f>
        <v>16142</v>
      </c>
      <c r="B98" s="20" t="str">
        <f>"C150009962"</f>
        <v>C150009962</v>
      </c>
      <c r="C98" s="20">
        <v>3</v>
      </c>
      <c r="D98" s="20" t="str">
        <f t="shared" si="3"/>
        <v xml:space="preserve"> </v>
      </c>
      <c r="E98" s="20" t="str">
        <f>"BAGUE M56X3"</f>
        <v>BAGUE M56X3</v>
      </c>
      <c r="F98" s="21">
        <v>42101.72587962963</v>
      </c>
      <c r="G98" s="22">
        <v>42118</v>
      </c>
      <c r="H98" s="20">
        <v>2</v>
      </c>
      <c r="I98" s="20">
        <v>2</v>
      </c>
      <c r="J98" s="20" t="str">
        <f>" FOURNITURE + USINAGE"</f>
        <v xml:space="preserve"> FOURNITURE + USINAGE</v>
      </c>
      <c r="K98" s="20">
        <v>50</v>
      </c>
      <c r="L98" s="20">
        <v>100</v>
      </c>
      <c r="M98" s="22">
        <v>42103</v>
      </c>
      <c r="N98" s="20" t="str">
        <f t="shared" si="4"/>
        <v>METAREG</v>
      </c>
      <c r="O98" s="20">
        <v>50</v>
      </c>
      <c r="P98" s="20">
        <v>0</v>
      </c>
      <c r="Q98" s="20" t="str">
        <f>" "</f>
        <v xml:space="preserve"> </v>
      </c>
    </row>
    <row r="99" spans="1:17">
      <c r="A99" s="20" t="str">
        <f>"16142"</f>
        <v>16142</v>
      </c>
      <c r="B99" s="20" t="str">
        <f>"C150009962"</f>
        <v>C150009962</v>
      </c>
      <c r="C99" s="20">
        <v>4</v>
      </c>
      <c r="D99" s="20" t="str">
        <f t="shared" si="3"/>
        <v xml:space="preserve"> </v>
      </c>
      <c r="E99" s="20" t="str">
        <f>"BAGUE M36X2"</f>
        <v>BAGUE M36X2</v>
      </c>
      <c r="F99" s="21">
        <v>42101.72587962963</v>
      </c>
      <c r="G99" s="22">
        <v>42118</v>
      </c>
      <c r="H99" s="20">
        <v>2</v>
      </c>
      <c r="I99" s="20">
        <v>2</v>
      </c>
      <c r="J99" s="20" t="str">
        <f>" FOURNITURE + USINAGE"</f>
        <v xml:space="preserve"> FOURNITURE + USINAGE</v>
      </c>
      <c r="K99" s="20">
        <v>50</v>
      </c>
      <c r="L99" s="20">
        <v>100</v>
      </c>
      <c r="M99" s="22">
        <v>42103</v>
      </c>
      <c r="N99" s="20" t="str">
        <f t="shared" si="4"/>
        <v>METAREG</v>
      </c>
      <c r="O99" s="20">
        <v>50</v>
      </c>
      <c r="P99" s="20">
        <v>0</v>
      </c>
      <c r="Q99" s="20" t="str">
        <f>" "</f>
        <v xml:space="preserve"> </v>
      </c>
    </row>
    <row r="100" spans="1:17">
      <c r="A100" s="20" t="str">
        <f>"16141"</f>
        <v>16141</v>
      </c>
      <c r="B100" s="20" t="str">
        <f>"C150009824"</f>
        <v>C150009824</v>
      </c>
      <c r="C100" s="20">
        <v>1</v>
      </c>
      <c r="D100" s="20" t="str">
        <f t="shared" si="3"/>
        <v xml:space="preserve"> </v>
      </c>
      <c r="E100" s="20" t="str">
        <f>"SUPPORT BUS"</f>
        <v>SUPPORT BUS</v>
      </c>
      <c r="F100" s="21">
        <v>42097.346631944441</v>
      </c>
      <c r="G100" s="22">
        <v>42097</v>
      </c>
      <c r="H100" s="20">
        <v>1</v>
      </c>
      <c r="I100" s="20">
        <v>1</v>
      </c>
      <c r="J100" s="20" t="str">
        <f>"USINAGE"</f>
        <v>USINAGE</v>
      </c>
      <c r="K100" s="20">
        <v>100</v>
      </c>
      <c r="L100" s="20">
        <v>100</v>
      </c>
      <c r="M100" s="22">
        <v>42101</v>
      </c>
      <c r="N100" s="20" t="str">
        <f t="shared" si="4"/>
        <v>METAREG</v>
      </c>
      <c r="O100" s="20">
        <v>100</v>
      </c>
      <c r="P100" s="20">
        <v>0</v>
      </c>
      <c r="Q100" s="20" t="str">
        <f>" "</f>
        <v xml:space="preserve"> </v>
      </c>
    </row>
    <row r="101" spans="1:17">
      <c r="A101" s="20" t="str">
        <f>"16140"</f>
        <v>16140</v>
      </c>
      <c r="B101" s="20" t="str">
        <f>"C150009886"</f>
        <v>C150009886</v>
      </c>
      <c r="C101" s="20">
        <v>1</v>
      </c>
      <c r="D101" s="20" t="str">
        <f t="shared" si="3"/>
        <v xml:space="preserve"> </v>
      </c>
      <c r="E101" s="20" t="str">
        <f>"PLAQUE ALU 36 TROU"</f>
        <v>PLAQUE ALU 36 TROU</v>
      </c>
      <c r="F101" s="21">
        <v>42097.316574074073</v>
      </c>
      <c r="G101" s="22">
        <v>42108</v>
      </c>
      <c r="H101" s="20">
        <v>2</v>
      </c>
      <c r="I101" s="20">
        <v>2</v>
      </c>
      <c r="J101" s="20" t="str">
        <f>"FOURNITURE + USINAGE"</f>
        <v>FOURNITURE + USINAGE</v>
      </c>
      <c r="K101" s="20">
        <v>800</v>
      </c>
      <c r="L101" s="20">
        <v>1600</v>
      </c>
      <c r="M101" s="22">
        <v>42116</v>
      </c>
      <c r="N101" s="20" t="str">
        <f t="shared" si="4"/>
        <v>METAREG</v>
      </c>
      <c r="O101" s="20">
        <v>800</v>
      </c>
      <c r="P101" s="20">
        <v>0</v>
      </c>
      <c r="Q101" s="20" t="str">
        <f>"15-0237"</f>
        <v>15-0237</v>
      </c>
    </row>
    <row r="102" spans="1:17">
      <c r="A102" s="20" t="str">
        <f>"16139"</f>
        <v>16139</v>
      </c>
      <c r="B102" s="20" t="str">
        <f>"BCJRE15041304"</f>
        <v>BCJRE15041304</v>
      </c>
      <c r="C102" s="20">
        <v>1</v>
      </c>
      <c r="D102" s="20" t="str">
        <f t="shared" si="3"/>
        <v xml:space="preserve"> </v>
      </c>
      <c r="E102" s="20" t="str">
        <f>"TOP 80 SUS"</f>
        <v>TOP 80 SUS</v>
      </c>
      <c r="F102" s="21">
        <v>42096.536770833336</v>
      </c>
      <c r="G102" s="20"/>
      <c r="H102" s="20">
        <v>4</v>
      </c>
      <c r="I102" s="20">
        <v>0</v>
      </c>
      <c r="J102" s="20" t="str">
        <f>"USINAGE"</f>
        <v>USINAGE</v>
      </c>
      <c r="K102" s="20">
        <v>4095</v>
      </c>
      <c r="L102" s="20">
        <v>16380</v>
      </c>
      <c r="M102" s="22">
        <v>42138</v>
      </c>
      <c r="N102" s="20" t="str">
        <f>"S.U.S."</f>
        <v>S.U.S.</v>
      </c>
      <c r="O102" s="20">
        <v>4095</v>
      </c>
      <c r="P102" s="20">
        <v>0</v>
      </c>
      <c r="Q102" s="20" t="str">
        <f>"15-0223"</f>
        <v>15-0223</v>
      </c>
    </row>
    <row r="103" spans="1:17">
      <c r="A103" s="20" t="str">
        <f>"16139"</f>
        <v>16139</v>
      </c>
      <c r="B103" s="20" t="str">
        <f>"BCJRE15041304"</f>
        <v>BCJRE15041304</v>
      </c>
      <c r="C103" s="20">
        <v>2</v>
      </c>
      <c r="D103" s="20" t="str">
        <f t="shared" si="3"/>
        <v xml:space="preserve"> </v>
      </c>
      <c r="E103" s="20" t="str">
        <f>"ACOMPTE"</f>
        <v>ACOMPTE</v>
      </c>
      <c r="F103" s="21">
        <v>42116.454282407409</v>
      </c>
      <c r="G103" s="22">
        <v>42116</v>
      </c>
      <c r="H103" s="20">
        <v>4</v>
      </c>
      <c r="I103" s="20">
        <v>4</v>
      </c>
      <c r="J103" s="20" t="str">
        <f>"acompte a 30% à la commande"</f>
        <v>acompte a 30% à la commande</v>
      </c>
      <c r="K103" s="20">
        <v>1755</v>
      </c>
      <c r="L103" s="20">
        <v>7020</v>
      </c>
      <c r="M103" s="22">
        <v>42138</v>
      </c>
      <c r="N103" s="20" t="str">
        <f>"S.U.S."</f>
        <v>S.U.S.</v>
      </c>
      <c r="O103" s="20">
        <v>1755</v>
      </c>
      <c r="P103" s="20">
        <v>0</v>
      </c>
      <c r="Q103" s="20" t="str">
        <f>" "</f>
        <v xml:space="preserve"> </v>
      </c>
    </row>
    <row r="104" spans="1:17">
      <c r="A104" s="20" t="str">
        <f>"16138"</f>
        <v>16138</v>
      </c>
      <c r="B104" s="20" t="str">
        <f>"4577006723"</f>
        <v>4577006723</v>
      </c>
      <c r="C104" s="20">
        <v>1</v>
      </c>
      <c r="D104" s="20" t="str">
        <f t="shared" si="3"/>
        <v xml:space="preserve"> </v>
      </c>
      <c r="E104" s="20" t="str">
        <f>"BATI ASSEMB G0011"</f>
        <v>BATI ASSEMB G0011</v>
      </c>
      <c r="F104" s="21">
        <v>42096.413784722223</v>
      </c>
      <c r="G104" s="20"/>
      <c r="H104" s="20">
        <v>1</v>
      </c>
      <c r="I104" s="20">
        <v>0</v>
      </c>
      <c r="J104" s="20" t="str">
        <f>"FOURNITURE + USINAGE"</f>
        <v>FOURNITURE + USINAGE</v>
      </c>
      <c r="K104" s="20">
        <v>38250</v>
      </c>
      <c r="L104" s="20">
        <v>38250</v>
      </c>
      <c r="M104" s="22">
        <v>42160</v>
      </c>
      <c r="N104" s="20" t="str">
        <f>"AIRBUS"</f>
        <v>AIRBUS</v>
      </c>
      <c r="O104" s="20">
        <v>38250</v>
      </c>
      <c r="P104" s="20">
        <v>0</v>
      </c>
      <c r="Q104" s="20" t="str">
        <f>"14-0735B"</f>
        <v>14-0735B</v>
      </c>
    </row>
    <row r="105" spans="1:17">
      <c r="A105" s="20" t="str">
        <f>"16137"</f>
        <v>16137</v>
      </c>
      <c r="B105" s="20" t="str">
        <f>"C150009824"</f>
        <v>C150009824</v>
      </c>
      <c r="C105" s="20">
        <v>1</v>
      </c>
      <c r="D105" s="20" t="str">
        <f t="shared" si="3"/>
        <v xml:space="preserve"> </v>
      </c>
      <c r="E105" s="20" t="str">
        <f>"OUTILLA.FERRURE 17"</f>
        <v>OUTILLA.FERRURE 17</v>
      </c>
      <c r="F105" s="21">
        <v>42095.30091435185</v>
      </c>
      <c r="G105" s="22">
        <v>42101</v>
      </c>
      <c r="H105" s="20">
        <v>1</v>
      </c>
      <c r="I105" s="20">
        <v>1</v>
      </c>
      <c r="J105" s="20" t="str">
        <f>" FOURNITURE ( 1 pièces )"</f>
        <v xml:space="preserve"> FOURNITURE ( 1 pièces )</v>
      </c>
      <c r="K105" s="20">
        <v>500</v>
      </c>
      <c r="L105" s="20">
        <v>500</v>
      </c>
      <c r="M105" s="22">
        <v>42095</v>
      </c>
      <c r="N105" s="20" t="str">
        <f>"METAREG"</f>
        <v>METAREG</v>
      </c>
      <c r="O105" s="20">
        <v>500</v>
      </c>
      <c r="P105" s="20">
        <v>0</v>
      </c>
      <c r="Q105" s="20" t="str">
        <f>" "</f>
        <v xml:space="preserve"> </v>
      </c>
    </row>
    <row r="106" spans="1:17">
      <c r="A106" s="20" t="str">
        <f>""</f>
        <v/>
      </c>
      <c r="B106" s="20" t="str">
        <f>""</f>
        <v/>
      </c>
      <c r="C106" s="20"/>
      <c r="D106" s="20" t="str">
        <f>""</f>
        <v/>
      </c>
      <c r="E106" s="20" t="str">
        <f>""</f>
        <v/>
      </c>
      <c r="F106" s="20"/>
      <c r="G106" s="20"/>
      <c r="H106" s="20">
        <v>410</v>
      </c>
      <c r="I106" s="20">
        <v>217</v>
      </c>
      <c r="J106" s="20" t="str">
        <f>""</f>
        <v/>
      </c>
      <c r="K106" s="20"/>
      <c r="L106" s="20">
        <v>407299</v>
      </c>
      <c r="M106" s="20"/>
      <c r="N106" s="20" t="str">
        <f>""</f>
        <v/>
      </c>
      <c r="O106" s="20"/>
      <c r="P106" s="20"/>
      <c r="Q106" s="20" t="str">
        <f>""</f>
        <v/>
      </c>
    </row>
  </sheetData>
  <pageMargins left="0.78740157499999996" right="0.78740157499999996" top="0.984251969" bottom="0.984251969" header="0.4921259845" footer="0.4921259845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61"/>
  <sheetViews>
    <sheetView tabSelected="1" zoomScaleNormal="100" workbookViewId="0">
      <selection activeCell="D2" sqref="D2:F2"/>
    </sheetView>
  </sheetViews>
  <sheetFormatPr baseColWidth="10" defaultColWidth="11.42578125" defaultRowHeight="15"/>
  <cols>
    <col min="1" max="2" width="13.28515625" style="1" customWidth="1"/>
    <col min="3" max="3" width="11.42578125" style="1" customWidth="1"/>
    <col min="4" max="4" width="11.42578125" style="1"/>
    <col min="6" max="6" width="11.42578125" style="25"/>
    <col min="7" max="12" width="11.42578125" style="1"/>
    <col min="13" max="13" width="12.7109375" style="1" customWidth="1"/>
    <col min="14" max="16384" width="11.42578125" style="1"/>
  </cols>
  <sheetData>
    <row r="1" spans="1:13" ht="15.75" thickBot="1">
      <c r="E1" s="1"/>
    </row>
    <row r="2" spans="1:13" ht="15.75" thickBot="1">
      <c r="B2" s="2" t="s">
        <v>10</v>
      </c>
      <c r="D2" s="26" t="s">
        <v>8</v>
      </c>
      <c r="E2" s="27"/>
      <c r="F2" s="28"/>
    </row>
    <row r="3" spans="1:13" ht="15.75" thickBot="1">
      <c r="A3" s="3" t="s">
        <v>11</v>
      </c>
      <c r="B3" s="6">
        <v>42095</v>
      </c>
      <c r="D3" s="8" t="s">
        <v>16</v>
      </c>
      <c r="E3" s="8" t="s">
        <v>16</v>
      </c>
      <c r="F3" s="23" t="s">
        <v>7</v>
      </c>
    </row>
    <row r="4" spans="1:13" ht="15.75" thickBot="1">
      <c r="A4" s="3" t="s">
        <v>12</v>
      </c>
      <c r="B4" s="6">
        <v>42124</v>
      </c>
      <c r="D4" s="5" t="str">
        <f>"&gt;="&amp;B3</f>
        <v>&gt;=42095</v>
      </c>
      <c r="E4" s="5" t="str">
        <f>"&lt;="&amp;B4</f>
        <v>&lt;=42124</v>
      </c>
      <c r="F4" s="24" t="s">
        <v>9</v>
      </c>
    </row>
    <row r="5" spans="1:13" ht="15.75" thickBot="1">
      <c r="E5" s="1"/>
    </row>
    <row r="6" spans="1:13" ht="15.75" thickBot="1">
      <c r="B6" s="4" t="s">
        <v>0</v>
      </c>
      <c r="C6" s="4" t="s">
        <v>7</v>
      </c>
      <c r="D6" s="4" t="s">
        <v>16</v>
      </c>
      <c r="E6" s="4" t="s">
        <v>22</v>
      </c>
      <c r="I6" s="4" t="s">
        <v>23</v>
      </c>
      <c r="J6" s="4" t="s">
        <v>24</v>
      </c>
      <c r="K6" s="4" t="s">
        <v>25</v>
      </c>
      <c r="L6" s="4" t="s">
        <v>26</v>
      </c>
      <c r="M6" s="4" t="s">
        <v>28</v>
      </c>
    </row>
    <row r="7" spans="1:13" ht="15.75" thickBot="1">
      <c r="B7" s="20" t="s">
        <v>44</v>
      </c>
      <c r="C7" s="22">
        <v>42124</v>
      </c>
      <c r="D7" s="22">
        <v>42124</v>
      </c>
      <c r="E7">
        <v>0</v>
      </c>
      <c r="H7" s="4" t="s">
        <v>27</v>
      </c>
      <c r="I7" s="10">
        <f>COUNTIF(E:E,"&lt;0")</f>
        <v>21</v>
      </c>
      <c r="J7" s="9">
        <f>COUNTIF(E:E,"=0")</f>
        <v>8</v>
      </c>
      <c r="K7" s="11">
        <f>COUNTIF(E:E,"&gt;0"&amp;3)</f>
        <v>4</v>
      </c>
      <c r="L7" s="12">
        <f>COUNTIF(E:E,"&gt;3")</f>
        <v>4</v>
      </c>
      <c r="M7" s="29">
        <f>SUM(I7:L7)</f>
        <v>37</v>
      </c>
    </row>
    <row r="8" spans="1:13" ht="15.75" thickBot="1">
      <c r="B8" s="20" t="s">
        <v>45</v>
      </c>
      <c r="C8" s="22">
        <v>42123</v>
      </c>
      <c r="D8" s="22">
        <v>42124</v>
      </c>
      <c r="E8">
        <v>1</v>
      </c>
      <c r="I8" s="13">
        <f>(I7)/SUM(I7:L7)</f>
        <v>0.56756756756756754</v>
      </c>
      <c r="J8" s="14">
        <f>(J7)/SUM(I7:L7)</f>
        <v>0.21621621621621623</v>
      </c>
      <c r="K8" s="15">
        <f>(K7)/SUM(I7:L7)</f>
        <v>0.10810810810810811</v>
      </c>
      <c r="L8" s="16">
        <f>(L7)/SUM(I7:L7)</f>
        <v>0.10810810810810811</v>
      </c>
      <c r="M8" s="30"/>
    </row>
    <row r="9" spans="1:13">
      <c r="B9" s="20" t="s">
        <v>46</v>
      </c>
      <c r="C9" s="22">
        <v>42122</v>
      </c>
      <c r="D9" s="22">
        <v>42122</v>
      </c>
      <c r="E9">
        <v>0</v>
      </c>
    </row>
    <row r="10" spans="1:13">
      <c r="B10" s="20" t="s">
        <v>47</v>
      </c>
      <c r="C10" s="22">
        <v>42130</v>
      </c>
      <c r="D10" s="22">
        <v>42124</v>
      </c>
      <c r="E10">
        <v>-3</v>
      </c>
    </row>
    <row r="11" spans="1:13">
      <c r="B11" s="20" t="s">
        <v>48</v>
      </c>
      <c r="C11" s="22">
        <v>42116</v>
      </c>
      <c r="D11" s="22">
        <v>42115</v>
      </c>
      <c r="E11">
        <v>-1</v>
      </c>
    </row>
    <row r="12" spans="1:13">
      <c r="B12" s="20" t="s">
        <v>49</v>
      </c>
      <c r="C12" s="22">
        <v>42116</v>
      </c>
      <c r="D12" s="22">
        <v>42115</v>
      </c>
      <c r="E12">
        <v>-1</v>
      </c>
    </row>
    <row r="13" spans="1:13">
      <c r="B13" s="20" t="s">
        <v>50</v>
      </c>
      <c r="C13" s="22">
        <v>42118</v>
      </c>
      <c r="D13" s="22">
        <v>42121</v>
      </c>
      <c r="E13">
        <v>1</v>
      </c>
    </row>
    <row r="14" spans="1:13">
      <c r="B14" s="20" t="s">
        <v>51</v>
      </c>
      <c r="C14" s="22">
        <v>42115</v>
      </c>
      <c r="D14" s="22">
        <v>42115</v>
      </c>
      <c r="E14">
        <v>0</v>
      </c>
    </row>
    <row r="15" spans="1:13">
      <c r="B15" s="20" t="s">
        <v>29</v>
      </c>
      <c r="C15" s="22">
        <v>42116</v>
      </c>
      <c r="D15" s="22">
        <v>42114</v>
      </c>
      <c r="E15">
        <v>-2</v>
      </c>
    </row>
    <row r="16" spans="1:13">
      <c r="B16" s="20" t="s">
        <v>30</v>
      </c>
      <c r="C16" s="22">
        <v>42116</v>
      </c>
      <c r="D16" s="22">
        <v>42109</v>
      </c>
      <c r="E16">
        <v>-5</v>
      </c>
    </row>
    <row r="17" spans="2:9">
      <c r="B17" s="20" t="s">
        <v>52</v>
      </c>
      <c r="C17" s="22">
        <v>42131</v>
      </c>
      <c r="D17" s="22">
        <v>42123</v>
      </c>
      <c r="E17">
        <v>-5</v>
      </c>
    </row>
    <row r="18" spans="2:9">
      <c r="B18" s="20" t="s">
        <v>52</v>
      </c>
      <c r="C18" s="22">
        <v>42131</v>
      </c>
      <c r="D18" s="22">
        <v>42123</v>
      </c>
      <c r="E18">
        <v>-5</v>
      </c>
    </row>
    <row r="19" spans="2:9">
      <c r="B19" s="20" t="s">
        <v>53</v>
      </c>
      <c r="C19" s="22">
        <v>42121</v>
      </c>
      <c r="D19" s="22">
        <v>42115</v>
      </c>
      <c r="E19">
        <v>-4</v>
      </c>
    </row>
    <row r="20" spans="2:9">
      <c r="B20" s="20" t="s">
        <v>31</v>
      </c>
      <c r="C20" s="22">
        <v>42111</v>
      </c>
      <c r="D20" s="22">
        <v>42114</v>
      </c>
      <c r="E20">
        <v>1</v>
      </c>
    </row>
    <row r="21" spans="2:9">
      <c r="B21" s="20" t="s">
        <v>32</v>
      </c>
      <c r="C21" s="22">
        <v>42109</v>
      </c>
      <c r="D21" s="22">
        <v>42108</v>
      </c>
      <c r="E21">
        <v>-1</v>
      </c>
    </row>
    <row r="22" spans="2:9">
      <c r="B22" s="20" t="s">
        <v>54</v>
      </c>
      <c r="C22" s="22">
        <v>42121</v>
      </c>
      <c r="D22" s="22">
        <v>42122</v>
      </c>
      <c r="E22">
        <v>1</v>
      </c>
    </row>
    <row r="23" spans="2:9">
      <c r="B23" s="20" t="s">
        <v>55</v>
      </c>
      <c r="C23" s="22">
        <v>42128</v>
      </c>
      <c r="D23" s="22">
        <v>42121</v>
      </c>
      <c r="E23">
        <v>-4</v>
      </c>
    </row>
    <row r="24" spans="2:9">
      <c r="B24" s="20" t="s">
        <v>56</v>
      </c>
      <c r="C24" s="22">
        <v>42124</v>
      </c>
      <c r="D24" s="22">
        <v>42117</v>
      </c>
      <c r="E24">
        <v>-5</v>
      </c>
    </row>
    <row r="25" spans="2:9">
      <c r="B25" s="20" t="s">
        <v>33</v>
      </c>
      <c r="C25" s="22">
        <v>42146</v>
      </c>
      <c r="D25" s="22">
        <v>42111</v>
      </c>
      <c r="E25">
        <v>-22</v>
      </c>
    </row>
    <row r="26" spans="2:9">
      <c r="B26" s="20" t="s">
        <v>57</v>
      </c>
      <c r="C26" s="22">
        <v>42121</v>
      </c>
      <c r="D26" s="22">
        <v>42117</v>
      </c>
      <c r="E26">
        <v>-2</v>
      </c>
    </row>
    <row r="27" spans="2:9">
      <c r="B27" s="20" t="s">
        <v>34</v>
      </c>
      <c r="C27" s="22">
        <v>42104</v>
      </c>
      <c r="D27" s="22">
        <v>42103</v>
      </c>
      <c r="E27">
        <v>-1</v>
      </c>
      <c r="I27" s="19">
        <f>NETWORKDAYS(C7,D7)-1</f>
        <v>0</v>
      </c>
    </row>
    <row r="28" spans="2:9">
      <c r="B28" s="20" t="s">
        <v>35</v>
      </c>
      <c r="C28" s="22">
        <v>42108</v>
      </c>
      <c r="D28" s="22">
        <v>42107</v>
      </c>
      <c r="E28">
        <v>-1</v>
      </c>
      <c r="I28" s="19">
        <f>NETWORKDAYS(C8,D8)-1</f>
        <v>1</v>
      </c>
    </row>
    <row r="29" spans="2:9">
      <c r="B29" s="20" t="s">
        <v>36</v>
      </c>
      <c r="C29" s="22">
        <v>42108</v>
      </c>
      <c r="D29" s="22">
        <v>42109</v>
      </c>
      <c r="E29">
        <v>1</v>
      </c>
    </row>
    <row r="30" spans="2:9">
      <c r="B30" s="20" t="s">
        <v>37</v>
      </c>
      <c r="C30" s="22">
        <v>42108</v>
      </c>
      <c r="D30" s="22">
        <v>42109</v>
      </c>
      <c r="E30">
        <v>1</v>
      </c>
    </row>
    <row r="31" spans="2:9">
      <c r="B31" s="20" t="s">
        <v>38</v>
      </c>
      <c r="C31" s="22">
        <v>42108</v>
      </c>
      <c r="D31" s="22">
        <v>42108</v>
      </c>
      <c r="E31">
        <v>0</v>
      </c>
    </row>
    <row r="32" spans="2:9">
      <c r="B32" s="20" t="s">
        <v>58</v>
      </c>
      <c r="C32" s="22">
        <v>42115</v>
      </c>
      <c r="D32" s="22">
        <v>42115</v>
      </c>
      <c r="E32">
        <v>0</v>
      </c>
    </row>
    <row r="33" spans="2:5">
      <c r="B33" s="20" t="s">
        <v>59</v>
      </c>
      <c r="C33" s="22">
        <v>42139</v>
      </c>
      <c r="D33" s="22">
        <v>42124</v>
      </c>
      <c r="E33">
        <v>-8</v>
      </c>
    </row>
    <row r="34" spans="2:5">
      <c r="B34" s="20" t="s">
        <v>60</v>
      </c>
      <c r="C34" s="22">
        <v>42139</v>
      </c>
      <c r="D34" s="22">
        <v>42124</v>
      </c>
      <c r="E34">
        <v>-8</v>
      </c>
    </row>
    <row r="35" spans="2:5">
      <c r="B35" s="20" t="s">
        <v>39</v>
      </c>
      <c r="C35" s="22">
        <v>42104</v>
      </c>
      <c r="D35" s="22">
        <v>42103</v>
      </c>
      <c r="E35">
        <v>-1</v>
      </c>
    </row>
    <row r="36" spans="2:5">
      <c r="B36" s="20" t="s">
        <v>40</v>
      </c>
      <c r="C36" s="22">
        <v>42102</v>
      </c>
      <c r="D36" s="22">
        <v>42102</v>
      </c>
      <c r="E36">
        <v>0</v>
      </c>
    </row>
    <row r="37" spans="2:5">
      <c r="B37" s="20" t="s">
        <v>40</v>
      </c>
      <c r="C37" s="22">
        <v>42102</v>
      </c>
      <c r="D37" s="22">
        <v>42102</v>
      </c>
      <c r="E37">
        <v>0</v>
      </c>
    </row>
    <row r="38" spans="2:5">
      <c r="B38" s="20" t="s">
        <v>40</v>
      </c>
      <c r="C38" s="22">
        <v>42102</v>
      </c>
      <c r="D38" s="22">
        <v>42102</v>
      </c>
      <c r="E38">
        <v>0</v>
      </c>
    </row>
    <row r="39" spans="2:5">
      <c r="B39" s="20" t="s">
        <v>61</v>
      </c>
      <c r="C39" s="22">
        <v>42103</v>
      </c>
      <c r="D39" s="22">
        <v>42118</v>
      </c>
      <c r="E39">
        <v>11</v>
      </c>
    </row>
    <row r="40" spans="2:5">
      <c r="B40" s="20" t="s">
        <v>61</v>
      </c>
      <c r="C40" s="22">
        <v>42110</v>
      </c>
      <c r="D40" s="22">
        <v>42118</v>
      </c>
      <c r="E40">
        <v>6</v>
      </c>
    </row>
    <row r="41" spans="2:5">
      <c r="B41" s="20" t="s">
        <v>61</v>
      </c>
      <c r="C41" s="22">
        <v>42103</v>
      </c>
      <c r="D41" s="22">
        <v>42118</v>
      </c>
      <c r="E41">
        <v>11</v>
      </c>
    </row>
    <row r="42" spans="2:5">
      <c r="B42" s="20" t="s">
        <v>61</v>
      </c>
      <c r="C42" s="22">
        <v>42103</v>
      </c>
      <c r="D42" s="22">
        <v>42118</v>
      </c>
      <c r="E42">
        <v>11</v>
      </c>
    </row>
    <row r="43" spans="2:5">
      <c r="B43" s="20" t="s">
        <v>41</v>
      </c>
      <c r="C43" s="22">
        <v>42101</v>
      </c>
      <c r="D43" s="22">
        <v>42097</v>
      </c>
      <c r="E43">
        <v>-1</v>
      </c>
    </row>
    <row r="44" spans="2:5">
      <c r="B44" s="20" t="s">
        <v>42</v>
      </c>
      <c r="C44" s="22">
        <v>42116</v>
      </c>
      <c r="D44" s="22">
        <v>42108</v>
      </c>
      <c r="E44">
        <v>-6</v>
      </c>
    </row>
    <row r="45" spans="2:5">
      <c r="B45" s="20" t="s">
        <v>62</v>
      </c>
      <c r="C45" s="22">
        <v>42138</v>
      </c>
      <c r="D45" s="22">
        <v>42116</v>
      </c>
      <c r="E45">
        <v>-13</v>
      </c>
    </row>
    <row r="46" spans="2:5">
      <c r="B46" s="20" t="s">
        <v>43</v>
      </c>
      <c r="C46" s="22">
        <v>42095</v>
      </c>
      <c r="D46" s="22">
        <v>42101</v>
      </c>
      <c r="E46">
        <v>3</v>
      </c>
    </row>
    <row r="47" spans="2:5">
      <c r="B47" s="17"/>
      <c r="C47" s="18"/>
      <c r="D47" s="18"/>
    </row>
    <row r="48" spans="2:5">
      <c r="C48"/>
      <c r="D48" s="7"/>
    </row>
    <row r="49" spans="3:4">
      <c r="C49"/>
      <c r="D49" s="7"/>
    </row>
    <row r="50" spans="3:4">
      <c r="C50"/>
      <c r="D50" s="7"/>
    </row>
    <row r="51" spans="3:4">
      <c r="C51"/>
      <c r="D51" s="7"/>
    </row>
    <row r="52" spans="3:4">
      <c r="C52"/>
      <c r="D52" s="7"/>
    </row>
    <row r="53" spans="3:4">
      <c r="C53"/>
      <c r="D53" s="7"/>
    </row>
    <row r="54" spans="3:4">
      <c r="C54"/>
      <c r="D54" s="7"/>
    </row>
    <row r="55" spans="3:4">
      <c r="C55"/>
      <c r="D55" s="7"/>
    </row>
    <row r="56" spans="3:4">
      <c r="C56"/>
      <c r="D56" s="7"/>
    </row>
    <row r="57" spans="3:4">
      <c r="C57"/>
      <c r="D57" s="7"/>
    </row>
    <row r="58" spans="3:4">
      <c r="C58"/>
      <c r="D58" s="7"/>
    </row>
    <row r="59" spans="3:4">
      <c r="C59"/>
      <c r="D59" s="7"/>
    </row>
    <row r="60" spans="3:4">
      <c r="C60"/>
      <c r="D60" s="7"/>
    </row>
    <row r="61" spans="3:4">
      <c r="C61"/>
      <c r="D61" s="7"/>
    </row>
  </sheetData>
  <sortState ref="B7:D14">
    <sortCondition ref="B6"/>
  </sortState>
  <mergeCells count="2">
    <mergeCell ref="D2:F2"/>
    <mergeCell ref="M7:M8"/>
  </mergeCells>
  <pageMargins left="0.7" right="0.7" top="0.75" bottom="0.75" header="0.3" footer="0.3"/>
  <pageSetup paperSize="9" orientation="portrait" verticalDpi="30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11"/>
  <sheetViews>
    <sheetView workbookViewId="0">
      <selection activeCell="A11" sqref="A11"/>
    </sheetView>
  </sheetViews>
  <sheetFormatPr baseColWidth="10" defaultRowHeight="15"/>
  <cols>
    <col min="1" max="1" width="19" bestFit="1" customWidth="1"/>
    <col min="2" max="2" width="7.7109375" bestFit="1" customWidth="1"/>
  </cols>
  <sheetData>
    <row r="1" spans="1:2">
      <c r="A1" s="31" t="s">
        <v>63</v>
      </c>
      <c r="B1" s="32">
        <v>42005</v>
      </c>
    </row>
    <row r="2" spans="1:2">
      <c r="A2" s="31" t="s">
        <v>64</v>
      </c>
      <c r="B2" s="32">
        <v>42100</v>
      </c>
    </row>
    <row r="3" spans="1:2">
      <c r="A3" s="31" t="s">
        <v>65</v>
      </c>
      <c r="B3" s="32">
        <v>42125</v>
      </c>
    </row>
    <row r="4" spans="1:2">
      <c r="A4" s="33" t="s">
        <v>73</v>
      </c>
      <c r="B4" s="32">
        <v>42132</v>
      </c>
    </row>
    <row r="5" spans="1:2">
      <c r="A5" s="31" t="s">
        <v>66</v>
      </c>
      <c r="B5" s="32">
        <v>42138</v>
      </c>
    </row>
    <row r="6" spans="1:2">
      <c r="A6" s="31" t="s">
        <v>67</v>
      </c>
      <c r="B6" s="32">
        <v>42149</v>
      </c>
    </row>
    <row r="7" spans="1:2">
      <c r="A7" s="31" t="s">
        <v>68</v>
      </c>
      <c r="B7" s="32">
        <v>42199</v>
      </c>
    </row>
    <row r="8" spans="1:2">
      <c r="A8" s="31" t="s">
        <v>69</v>
      </c>
      <c r="B8" s="32">
        <v>42231</v>
      </c>
    </row>
    <row r="9" spans="1:2">
      <c r="A9" s="31" t="s">
        <v>70</v>
      </c>
      <c r="B9" s="32">
        <v>42309</v>
      </c>
    </row>
    <row r="10" spans="1:2">
      <c r="A10" s="31" t="s">
        <v>71</v>
      </c>
      <c r="B10" s="32">
        <v>42319</v>
      </c>
    </row>
    <row r="11" spans="1:2">
      <c r="A11" s="31" t="s">
        <v>72</v>
      </c>
      <c r="B11" s="32">
        <v>42363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DONNEES TOLTECH</vt:lpstr>
      <vt:lpstr>Bilan</vt:lpstr>
      <vt:lpstr>Fériés</vt:lpstr>
      <vt:lpstr>Bilan!Criteres</vt:lpstr>
      <vt:lpstr>'DONNEES TOLTECH'!Criteres</vt:lpstr>
      <vt:lpstr>Bilan!Extraire</vt:lpstr>
      <vt:lpstr>Fériés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Pierre</cp:lastModifiedBy>
  <dcterms:created xsi:type="dcterms:W3CDTF">2015-05-05T06:54:45Z</dcterms:created>
  <dcterms:modified xsi:type="dcterms:W3CDTF">2015-05-07T14:53:40Z</dcterms:modified>
</cp:coreProperties>
</file>