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0" yWindow="0" windowWidth="19200" windowHeight="7245" activeTab="1"/>
  </bookViews>
  <sheets>
    <sheet name="DONNEES TOLTECH" sheetId="1" r:id="rId1"/>
    <sheet name="Bilan" sheetId="2" r:id="rId2"/>
  </sheets>
  <definedNames>
    <definedName name="_xlnm._FilterDatabase" localSheetId="1" hidden="1">Bilan!$B$6:$D$14</definedName>
    <definedName name="_xlnm._FilterDatabase" localSheetId="0" hidden="1">'DONNEES TOLTECH'!$A$1:$BK$79</definedName>
    <definedName name="_xlnm.Criteria" localSheetId="1">Bilan!$D$3:$F$4</definedName>
    <definedName name="_xlnm.Extract" localSheetId="1">Bilan!$B$6:$D$6</definedName>
  </definedNames>
  <calcPr calcId="125725"/>
</workbook>
</file>

<file path=xl/calcChain.xml><?xml version="1.0" encoding="utf-8"?>
<calcChain xmlns="http://schemas.openxmlformats.org/spreadsheetml/2006/main">
  <c r="BK80" i="1"/>
  <c r="BJ80"/>
  <c r="AP80"/>
  <c r="AO80"/>
  <c r="AN80"/>
  <c r="AH80"/>
  <c r="AG80"/>
  <c r="AF80"/>
  <c r="AE80"/>
  <c r="AD80"/>
  <c r="AC80"/>
  <c r="AA80"/>
  <c r="Y80"/>
  <c r="X80"/>
  <c r="U80"/>
  <c r="T80"/>
  <c r="S80"/>
  <c r="Q80"/>
  <c r="P80"/>
  <c r="O80"/>
  <c r="K80"/>
  <c r="H80"/>
  <c r="G80"/>
  <c r="E80"/>
  <c r="D80"/>
  <c r="C80"/>
  <c r="B80"/>
  <c r="A80"/>
  <c r="BK79"/>
  <c r="BJ79"/>
  <c r="AP79"/>
  <c r="AO79"/>
  <c r="AN79"/>
  <c r="AH79"/>
  <c r="AG79"/>
  <c r="AF79"/>
  <c r="AE79"/>
  <c r="AD79"/>
  <c r="AC79"/>
  <c r="AA79"/>
  <c r="Y79"/>
  <c r="X79"/>
  <c r="U79"/>
  <c r="T79"/>
  <c r="S79"/>
  <c r="Q79"/>
  <c r="P79"/>
  <c r="O79"/>
  <c r="K79"/>
  <c r="H79"/>
  <c r="G79"/>
  <c r="E79"/>
  <c r="D79"/>
  <c r="C79"/>
  <c r="B79"/>
  <c r="A79"/>
  <c r="BK78"/>
  <c r="BJ78"/>
  <c r="AP78"/>
  <c r="AO78"/>
  <c r="AN78"/>
  <c r="AH78"/>
  <c r="AG78"/>
  <c r="AF78"/>
  <c r="AE78"/>
  <c r="AD78"/>
  <c r="AC78"/>
  <c r="AA78"/>
  <c r="Y78"/>
  <c r="X78"/>
  <c r="U78"/>
  <c r="T78"/>
  <c r="S78"/>
  <c r="Q78"/>
  <c r="P78"/>
  <c r="O78"/>
  <c r="K78"/>
  <c r="H78"/>
  <c r="G78"/>
  <c r="E78"/>
  <c r="D78"/>
  <c r="C78"/>
  <c r="B78"/>
  <c r="A78"/>
  <c r="BK77"/>
  <c r="BJ77"/>
  <c r="AP77"/>
  <c r="AO77"/>
  <c r="AN77"/>
  <c r="AH77"/>
  <c r="AG77"/>
  <c r="AF77"/>
  <c r="AE77"/>
  <c r="AD77"/>
  <c r="AC77"/>
  <c r="AA77"/>
  <c r="Y77"/>
  <c r="X77"/>
  <c r="U77"/>
  <c r="T77"/>
  <c r="S77"/>
  <c r="Q77"/>
  <c r="P77"/>
  <c r="O77"/>
  <c r="K77"/>
  <c r="H77"/>
  <c r="G77"/>
  <c r="E77"/>
  <c r="D77"/>
  <c r="C77"/>
  <c r="B77"/>
  <c r="A77"/>
  <c r="BK76"/>
  <c r="BJ76"/>
  <c r="AP76"/>
  <c r="AO76"/>
  <c r="AN76"/>
  <c r="AH76"/>
  <c r="AG76"/>
  <c r="AF76"/>
  <c r="AE76"/>
  <c r="AD76"/>
  <c r="AC76"/>
  <c r="AA76"/>
  <c r="Y76"/>
  <c r="X76"/>
  <c r="U76"/>
  <c r="T76"/>
  <c r="S76"/>
  <c r="Q76"/>
  <c r="P76"/>
  <c r="O76"/>
  <c r="K76"/>
  <c r="H76"/>
  <c r="G76"/>
  <c r="E76"/>
  <c r="D76"/>
  <c r="C76"/>
  <c r="B76"/>
  <c r="A76"/>
  <c r="BK75"/>
  <c r="BJ75"/>
  <c r="AP75"/>
  <c r="AO75"/>
  <c r="AN75"/>
  <c r="AH75"/>
  <c r="AG75"/>
  <c r="AF75"/>
  <c r="AE75"/>
  <c r="AD75"/>
  <c r="AC75"/>
  <c r="AA75"/>
  <c r="Y75"/>
  <c r="X75"/>
  <c r="U75"/>
  <c r="T75"/>
  <c r="S75"/>
  <c r="Q75"/>
  <c r="P75"/>
  <c r="O75"/>
  <c r="K75"/>
  <c r="H75"/>
  <c r="G75"/>
  <c r="E75"/>
  <c r="D75"/>
  <c r="C75"/>
  <c r="B75"/>
  <c r="A75"/>
  <c r="BK74"/>
  <c r="BJ74"/>
  <c r="AP74"/>
  <c r="AO74"/>
  <c r="AN74"/>
  <c r="AH74"/>
  <c r="AG74"/>
  <c r="AF74"/>
  <c r="AE74"/>
  <c r="AD74"/>
  <c r="AC74"/>
  <c r="AA74"/>
  <c r="Y74"/>
  <c r="X74"/>
  <c r="U74"/>
  <c r="T74"/>
  <c r="S74"/>
  <c r="Q74"/>
  <c r="P74"/>
  <c r="O74"/>
  <c r="K74"/>
  <c r="H74"/>
  <c r="G74"/>
  <c r="E74"/>
  <c r="D74"/>
  <c r="C74"/>
  <c r="B74"/>
  <c r="A74"/>
  <c r="BK73"/>
  <c r="BJ73"/>
  <c r="AP73"/>
  <c r="AO73"/>
  <c r="AN73"/>
  <c r="AH73"/>
  <c r="AG73"/>
  <c r="AF73"/>
  <c r="AE73"/>
  <c r="AD73"/>
  <c r="AC73"/>
  <c r="AA73"/>
  <c r="Y73"/>
  <c r="X73"/>
  <c r="U73"/>
  <c r="T73"/>
  <c r="S73"/>
  <c r="Q73"/>
  <c r="P73"/>
  <c r="O73"/>
  <c r="K73"/>
  <c r="H73"/>
  <c r="G73"/>
  <c r="E73"/>
  <c r="D73"/>
  <c r="C73"/>
  <c r="B73"/>
  <c r="A73"/>
  <c r="BK72"/>
  <c r="BJ72"/>
  <c r="AP72"/>
  <c r="AO72"/>
  <c r="AN72"/>
  <c r="AH72"/>
  <c r="AG72"/>
  <c r="AF72"/>
  <c r="AE72"/>
  <c r="AD72"/>
  <c r="AC72"/>
  <c r="AA72"/>
  <c r="Y72"/>
  <c r="X72"/>
  <c r="U72"/>
  <c r="T72"/>
  <c r="S72"/>
  <c r="Q72"/>
  <c r="P72"/>
  <c r="O72"/>
  <c r="K72"/>
  <c r="H72"/>
  <c r="G72"/>
  <c r="E72"/>
  <c r="D72"/>
  <c r="C72"/>
  <c r="B72"/>
  <c r="A72"/>
  <c r="BK71"/>
  <c r="BJ71"/>
  <c r="AP71"/>
  <c r="AO71"/>
  <c r="AN71"/>
  <c r="AH71"/>
  <c r="AG71"/>
  <c r="AF71"/>
  <c r="AE71"/>
  <c r="AD71"/>
  <c r="AC71"/>
  <c r="AA71"/>
  <c r="Y71"/>
  <c r="X71"/>
  <c r="U71"/>
  <c r="T71"/>
  <c r="S71"/>
  <c r="Q71"/>
  <c r="P71"/>
  <c r="O71"/>
  <c r="K71"/>
  <c r="H71"/>
  <c r="G71"/>
  <c r="E71"/>
  <c r="D71"/>
  <c r="C71"/>
  <c r="B71"/>
  <c r="A71"/>
  <c r="BK70"/>
  <c r="BJ70"/>
  <c r="AP70"/>
  <c r="AO70"/>
  <c r="AN70"/>
  <c r="AH70"/>
  <c r="AG70"/>
  <c r="AF70"/>
  <c r="AE70"/>
  <c r="AD70"/>
  <c r="AC70"/>
  <c r="AA70"/>
  <c r="Y70"/>
  <c r="X70"/>
  <c r="U70"/>
  <c r="T70"/>
  <c r="S70"/>
  <c r="Q70"/>
  <c r="P70"/>
  <c r="O70"/>
  <c r="K70"/>
  <c r="H70"/>
  <c r="G70"/>
  <c r="E70"/>
  <c r="D70"/>
  <c r="C70"/>
  <c r="B70"/>
  <c r="A70"/>
  <c r="BK69"/>
  <c r="BJ69"/>
  <c r="AP69"/>
  <c r="AO69"/>
  <c r="AN69"/>
  <c r="AH69"/>
  <c r="AG69"/>
  <c r="AF69"/>
  <c r="AE69"/>
  <c r="AD69"/>
  <c r="AC69"/>
  <c r="AA69"/>
  <c r="Y69"/>
  <c r="X69"/>
  <c r="U69"/>
  <c r="T69"/>
  <c r="S69"/>
  <c r="Q69"/>
  <c r="P69"/>
  <c r="O69"/>
  <c r="K69"/>
  <c r="H69"/>
  <c r="G69"/>
  <c r="E69"/>
  <c r="D69"/>
  <c r="C69"/>
  <c r="B69"/>
  <c r="A69"/>
  <c r="BK68"/>
  <c r="BJ68"/>
  <c r="AP68"/>
  <c r="AO68"/>
  <c r="AN68"/>
  <c r="AH68"/>
  <c r="AG68"/>
  <c r="AF68"/>
  <c r="AE68"/>
  <c r="AD68"/>
  <c r="AC68"/>
  <c r="AA68"/>
  <c r="Y68"/>
  <c r="X68"/>
  <c r="U68"/>
  <c r="T68"/>
  <c r="S68"/>
  <c r="Q68"/>
  <c r="P68"/>
  <c r="O68"/>
  <c r="K68"/>
  <c r="H68"/>
  <c r="G68"/>
  <c r="E68"/>
  <c r="D68"/>
  <c r="C68"/>
  <c r="B68"/>
  <c r="A68"/>
  <c r="BK67"/>
  <c r="BJ67"/>
  <c r="AP67"/>
  <c r="AO67"/>
  <c r="AN67"/>
  <c r="AH67"/>
  <c r="AG67"/>
  <c r="AF67"/>
  <c r="AE67"/>
  <c r="AD67"/>
  <c r="AC67"/>
  <c r="AA67"/>
  <c r="Y67"/>
  <c r="X67"/>
  <c r="U67"/>
  <c r="T67"/>
  <c r="S67"/>
  <c r="Q67"/>
  <c r="P67"/>
  <c r="O67"/>
  <c r="K67"/>
  <c r="H67"/>
  <c r="G67"/>
  <c r="E67"/>
  <c r="D67"/>
  <c r="C67"/>
  <c r="B67"/>
  <c r="A67"/>
  <c r="BK66"/>
  <c r="BJ66"/>
  <c r="AP66"/>
  <c r="AO66"/>
  <c r="AN66"/>
  <c r="AH66"/>
  <c r="AG66"/>
  <c r="AF66"/>
  <c r="AE66"/>
  <c r="AD66"/>
  <c r="AC66"/>
  <c r="AA66"/>
  <c r="Y66"/>
  <c r="X66"/>
  <c r="U66"/>
  <c r="T66"/>
  <c r="S66"/>
  <c r="Q66"/>
  <c r="P66"/>
  <c r="O66"/>
  <c r="K66"/>
  <c r="H66"/>
  <c r="G66"/>
  <c r="E66"/>
  <c r="D66"/>
  <c r="C66"/>
  <c r="B66"/>
  <c r="A66"/>
  <c r="BK65"/>
  <c r="BJ65"/>
  <c r="AP65"/>
  <c r="AO65"/>
  <c r="AN65"/>
  <c r="AH65"/>
  <c r="AG65"/>
  <c r="AF65"/>
  <c r="AE65"/>
  <c r="AD65"/>
  <c r="AC65"/>
  <c r="AA65"/>
  <c r="Y65"/>
  <c r="X65"/>
  <c r="U65"/>
  <c r="T65"/>
  <c r="S65"/>
  <c r="Q65"/>
  <c r="P65"/>
  <c r="O65"/>
  <c r="K65"/>
  <c r="H65"/>
  <c r="G65"/>
  <c r="E65"/>
  <c r="D65"/>
  <c r="C65"/>
  <c r="B65"/>
  <c r="A65"/>
  <c r="BK64"/>
  <c r="BJ64"/>
  <c r="AP64"/>
  <c r="AO64"/>
  <c r="AN64"/>
  <c r="AH64"/>
  <c r="AG64"/>
  <c r="AF64"/>
  <c r="AE64"/>
  <c r="AD64"/>
  <c r="AC64"/>
  <c r="AA64"/>
  <c r="Y64"/>
  <c r="X64"/>
  <c r="U64"/>
  <c r="T64"/>
  <c r="S64"/>
  <c r="Q64"/>
  <c r="P64"/>
  <c r="O64"/>
  <c r="K64"/>
  <c r="H64"/>
  <c r="G64"/>
  <c r="E64"/>
  <c r="D64"/>
  <c r="C64"/>
  <c r="B64"/>
  <c r="A64"/>
  <c r="BK63"/>
  <c r="BJ63"/>
  <c r="AP63"/>
  <c r="AO63"/>
  <c r="AN63"/>
  <c r="AH63"/>
  <c r="AG63"/>
  <c r="AF63"/>
  <c r="AE63"/>
  <c r="AD63"/>
  <c r="AC63"/>
  <c r="AA63"/>
  <c r="Y63"/>
  <c r="X63"/>
  <c r="U63"/>
  <c r="T63"/>
  <c r="S63"/>
  <c r="Q63"/>
  <c r="P63"/>
  <c r="O63"/>
  <c r="K63"/>
  <c r="H63"/>
  <c r="G63"/>
  <c r="E63"/>
  <c r="D63"/>
  <c r="C63"/>
  <c r="B63"/>
  <c r="A63"/>
  <c r="BK62"/>
  <c r="BJ62"/>
  <c r="AP62"/>
  <c r="AO62"/>
  <c r="AN62"/>
  <c r="AH62"/>
  <c r="AG62"/>
  <c r="AF62"/>
  <c r="AE62"/>
  <c r="AD62"/>
  <c r="AC62"/>
  <c r="AA62"/>
  <c r="Y62"/>
  <c r="X62"/>
  <c r="U62"/>
  <c r="T62"/>
  <c r="S62"/>
  <c r="Q62"/>
  <c r="P62"/>
  <c r="O62"/>
  <c r="K62"/>
  <c r="H62"/>
  <c r="G62"/>
  <c r="E62"/>
  <c r="D62"/>
  <c r="C62"/>
  <c r="B62"/>
  <c r="A62"/>
  <c r="BK61"/>
  <c r="BJ61"/>
  <c r="AP61"/>
  <c r="AO61"/>
  <c r="AN61"/>
  <c r="AH61"/>
  <c r="AG61"/>
  <c r="AF61"/>
  <c r="AE61"/>
  <c r="AD61"/>
  <c r="AC61"/>
  <c r="AA61"/>
  <c r="Y61"/>
  <c r="X61"/>
  <c r="U61"/>
  <c r="T61"/>
  <c r="S61"/>
  <c r="Q61"/>
  <c r="P61"/>
  <c r="O61"/>
  <c r="K61"/>
  <c r="H61"/>
  <c r="G61"/>
  <c r="E61"/>
  <c r="D61"/>
  <c r="C61"/>
  <c r="B61"/>
  <c r="A61"/>
  <c r="BK60"/>
  <c r="BJ60"/>
  <c r="AP60"/>
  <c r="AO60"/>
  <c r="AN60"/>
  <c r="AH60"/>
  <c r="AG60"/>
  <c r="AF60"/>
  <c r="AE60"/>
  <c r="AD60"/>
  <c r="AC60"/>
  <c r="AA60"/>
  <c r="Y60"/>
  <c r="X60"/>
  <c r="U60"/>
  <c r="T60"/>
  <c r="S60"/>
  <c r="Q60"/>
  <c r="P60"/>
  <c r="O60"/>
  <c r="K60"/>
  <c r="H60"/>
  <c r="G60"/>
  <c r="E60"/>
  <c r="D60"/>
  <c r="C60"/>
  <c r="B60"/>
  <c r="A60"/>
  <c r="BK59"/>
  <c r="BJ59"/>
  <c r="AP59"/>
  <c r="AO59"/>
  <c r="AN59"/>
  <c r="AH59"/>
  <c r="AG59"/>
  <c r="AF59"/>
  <c r="AE59"/>
  <c r="AD59"/>
  <c r="AC59"/>
  <c r="AA59"/>
  <c r="Y59"/>
  <c r="X59"/>
  <c r="U59"/>
  <c r="T59"/>
  <c r="S59"/>
  <c r="Q59"/>
  <c r="P59"/>
  <c r="O59"/>
  <c r="K59"/>
  <c r="H59"/>
  <c r="G59"/>
  <c r="E59"/>
  <c r="D59"/>
  <c r="C59"/>
  <c r="B59"/>
  <c r="A59"/>
  <c r="BK58"/>
  <c r="BJ58"/>
  <c r="AP58"/>
  <c r="AO58"/>
  <c r="AN58"/>
  <c r="AH58"/>
  <c r="AG58"/>
  <c r="AF58"/>
  <c r="AE58"/>
  <c r="AD58"/>
  <c r="AC58"/>
  <c r="AA58"/>
  <c r="Y58"/>
  <c r="X58"/>
  <c r="U58"/>
  <c r="T58"/>
  <c r="S58"/>
  <c r="Q58"/>
  <c r="P58"/>
  <c r="O58"/>
  <c r="K58"/>
  <c r="H58"/>
  <c r="G58"/>
  <c r="E58"/>
  <c r="D58"/>
  <c r="C58"/>
  <c r="B58"/>
  <c r="A58"/>
  <c r="BK57"/>
  <c r="BJ57"/>
  <c r="AP57"/>
  <c r="AO57"/>
  <c r="AN57"/>
  <c r="AH57"/>
  <c r="AG57"/>
  <c r="AF57"/>
  <c r="AE57"/>
  <c r="AD57"/>
  <c r="AC57"/>
  <c r="AA57"/>
  <c r="Y57"/>
  <c r="X57"/>
  <c r="U57"/>
  <c r="T57"/>
  <c r="S57"/>
  <c r="Q57"/>
  <c r="P57"/>
  <c r="O57"/>
  <c r="K57"/>
  <c r="H57"/>
  <c r="G57"/>
  <c r="E57"/>
  <c r="D57"/>
  <c r="C57"/>
  <c r="B57"/>
  <c r="A57"/>
  <c r="BK56"/>
  <c r="BJ56"/>
  <c r="AP56"/>
  <c r="AO56"/>
  <c r="AN56"/>
  <c r="AH56"/>
  <c r="AG56"/>
  <c r="AF56"/>
  <c r="AE56"/>
  <c r="AD56"/>
  <c r="AC56"/>
  <c r="AA56"/>
  <c r="Y56"/>
  <c r="X56"/>
  <c r="U56"/>
  <c r="T56"/>
  <c r="S56"/>
  <c r="Q56"/>
  <c r="P56"/>
  <c r="O56"/>
  <c r="K56"/>
  <c r="H56"/>
  <c r="G56"/>
  <c r="E56"/>
  <c r="D56"/>
  <c r="C56"/>
  <c r="B56"/>
  <c r="A56"/>
  <c r="BK55"/>
  <c r="BJ55"/>
  <c r="AP55"/>
  <c r="AO55"/>
  <c r="AN55"/>
  <c r="AH55"/>
  <c r="AG55"/>
  <c r="AF55"/>
  <c r="AE55"/>
  <c r="AD55"/>
  <c r="AC55"/>
  <c r="AA55"/>
  <c r="Y55"/>
  <c r="X55"/>
  <c r="U55"/>
  <c r="T55"/>
  <c r="S55"/>
  <c r="Q55"/>
  <c r="P55"/>
  <c r="O55"/>
  <c r="K55"/>
  <c r="H55"/>
  <c r="G55"/>
  <c r="E55"/>
  <c r="D55"/>
  <c r="C55"/>
  <c r="B55"/>
  <c r="A55"/>
  <c r="BK54"/>
  <c r="BJ54"/>
  <c r="AP54"/>
  <c r="AO54"/>
  <c r="AN54"/>
  <c r="AH54"/>
  <c r="AG54"/>
  <c r="AF54"/>
  <c r="AE54"/>
  <c r="AD54"/>
  <c r="AC54"/>
  <c r="AA54"/>
  <c r="Y54"/>
  <c r="X54"/>
  <c r="U54"/>
  <c r="T54"/>
  <c r="S54"/>
  <c r="Q54"/>
  <c r="P54"/>
  <c r="O54"/>
  <c r="K54"/>
  <c r="H54"/>
  <c r="G54"/>
  <c r="E54"/>
  <c r="D54"/>
  <c r="C54"/>
  <c r="B54"/>
  <c r="A54"/>
  <c r="BK53"/>
  <c r="BJ53"/>
  <c r="AP53"/>
  <c r="AO53"/>
  <c r="AN53"/>
  <c r="AH53"/>
  <c r="AG53"/>
  <c r="AF53"/>
  <c r="AE53"/>
  <c r="AD53"/>
  <c r="AC53"/>
  <c r="AA53"/>
  <c r="Y53"/>
  <c r="X53"/>
  <c r="U53"/>
  <c r="T53"/>
  <c r="S53"/>
  <c r="Q53"/>
  <c r="P53"/>
  <c r="O53"/>
  <c r="K53"/>
  <c r="H53"/>
  <c r="G53"/>
  <c r="E53"/>
  <c r="D53"/>
  <c r="C53"/>
  <c r="B53"/>
  <c r="A53"/>
  <c r="BK52"/>
  <c r="BJ52"/>
  <c r="AP52"/>
  <c r="AO52"/>
  <c r="AN52"/>
  <c r="AH52"/>
  <c r="AG52"/>
  <c r="AF52"/>
  <c r="AE52"/>
  <c r="AD52"/>
  <c r="AC52"/>
  <c r="AA52"/>
  <c r="Y52"/>
  <c r="X52"/>
  <c r="U52"/>
  <c r="T52"/>
  <c r="S52"/>
  <c r="Q52"/>
  <c r="P52"/>
  <c r="O52"/>
  <c r="K52"/>
  <c r="H52"/>
  <c r="G52"/>
  <c r="E52"/>
  <c r="D52"/>
  <c r="C52"/>
  <c r="B52"/>
  <c r="A52"/>
  <c r="BK51"/>
  <c r="BJ51"/>
  <c r="AP51"/>
  <c r="AO51"/>
  <c r="AN51"/>
  <c r="AH51"/>
  <c r="AG51"/>
  <c r="AF51"/>
  <c r="AE51"/>
  <c r="AD51"/>
  <c r="AC51"/>
  <c r="AA51"/>
  <c r="Y51"/>
  <c r="X51"/>
  <c r="U51"/>
  <c r="T51"/>
  <c r="S51"/>
  <c r="Q51"/>
  <c r="P51"/>
  <c r="O51"/>
  <c r="K51"/>
  <c r="H51"/>
  <c r="G51"/>
  <c r="E51"/>
  <c r="D51"/>
  <c r="C51"/>
  <c r="B51"/>
  <c r="A51"/>
  <c r="BK50"/>
  <c r="BJ50"/>
  <c r="AP50"/>
  <c r="AO50"/>
  <c r="AN50"/>
  <c r="AH50"/>
  <c r="AG50"/>
  <c r="AF50"/>
  <c r="AE50"/>
  <c r="AD50"/>
  <c r="AC50"/>
  <c r="AA50"/>
  <c r="Y50"/>
  <c r="X50"/>
  <c r="U50"/>
  <c r="T50"/>
  <c r="S50"/>
  <c r="Q50"/>
  <c r="P50"/>
  <c r="O50"/>
  <c r="K50"/>
  <c r="H50"/>
  <c r="G50"/>
  <c r="E50"/>
  <c r="D50"/>
  <c r="C50"/>
  <c r="B50"/>
  <c r="A50"/>
  <c r="BK49"/>
  <c r="BJ49"/>
  <c r="AP49"/>
  <c r="AO49"/>
  <c r="AN49"/>
  <c r="AH49"/>
  <c r="AG49"/>
  <c r="AF49"/>
  <c r="AE49"/>
  <c r="AD49"/>
  <c r="AC49"/>
  <c r="AA49"/>
  <c r="Y49"/>
  <c r="X49"/>
  <c r="U49"/>
  <c r="T49"/>
  <c r="S49"/>
  <c r="Q49"/>
  <c r="P49"/>
  <c r="O49"/>
  <c r="K49"/>
  <c r="H49"/>
  <c r="G49"/>
  <c r="E49"/>
  <c r="D49"/>
  <c r="C49"/>
  <c r="B49"/>
  <c r="A49"/>
  <c r="BK48"/>
  <c r="BJ48"/>
  <c r="AP48"/>
  <c r="AO48"/>
  <c r="AN48"/>
  <c r="AH48"/>
  <c r="AG48"/>
  <c r="AF48"/>
  <c r="AE48"/>
  <c r="AD48"/>
  <c r="AC48"/>
  <c r="AA48"/>
  <c r="Y48"/>
  <c r="X48"/>
  <c r="U48"/>
  <c r="T48"/>
  <c r="S48"/>
  <c r="Q48"/>
  <c r="P48"/>
  <c r="O48"/>
  <c r="K48"/>
  <c r="H48"/>
  <c r="G48"/>
  <c r="E48"/>
  <c r="D48"/>
  <c r="C48"/>
  <c r="B48"/>
  <c r="A48"/>
  <c r="BK47"/>
  <c r="BJ47"/>
  <c r="AP47"/>
  <c r="AO47"/>
  <c r="AN47"/>
  <c r="AH47"/>
  <c r="AG47"/>
  <c r="AF47"/>
  <c r="AE47"/>
  <c r="AD47"/>
  <c r="AC47"/>
  <c r="AA47"/>
  <c r="Y47"/>
  <c r="X47"/>
  <c r="U47"/>
  <c r="T47"/>
  <c r="S47"/>
  <c r="Q47"/>
  <c r="P47"/>
  <c r="O47"/>
  <c r="K47"/>
  <c r="H47"/>
  <c r="G47"/>
  <c r="E47"/>
  <c r="D47"/>
  <c r="C47"/>
  <c r="B47"/>
  <c r="A47"/>
  <c r="BK46"/>
  <c r="BJ46"/>
  <c r="AP46"/>
  <c r="AO46"/>
  <c r="AN46"/>
  <c r="AH46"/>
  <c r="AG46"/>
  <c r="AF46"/>
  <c r="AE46"/>
  <c r="AD46"/>
  <c r="AC46"/>
  <c r="AA46"/>
  <c r="Y46"/>
  <c r="X46"/>
  <c r="U46"/>
  <c r="T46"/>
  <c r="S46"/>
  <c r="Q46"/>
  <c r="P46"/>
  <c r="O46"/>
  <c r="K46"/>
  <c r="H46"/>
  <c r="G46"/>
  <c r="E46"/>
  <c r="D46"/>
  <c r="C46"/>
  <c r="B46"/>
  <c r="A46"/>
  <c r="BK45"/>
  <c r="BJ45"/>
  <c r="AP45"/>
  <c r="AO45"/>
  <c r="AN45"/>
  <c r="AH45"/>
  <c r="AG45"/>
  <c r="AF45"/>
  <c r="AE45"/>
  <c r="AD45"/>
  <c r="AC45"/>
  <c r="AA45"/>
  <c r="Y45"/>
  <c r="X45"/>
  <c r="U45"/>
  <c r="T45"/>
  <c r="S45"/>
  <c r="Q45"/>
  <c r="P45"/>
  <c r="O45"/>
  <c r="K45"/>
  <c r="H45"/>
  <c r="G45"/>
  <c r="E45"/>
  <c r="D45"/>
  <c r="C45"/>
  <c r="B45"/>
  <c r="A45"/>
  <c r="BK44"/>
  <c r="BJ44"/>
  <c r="AP44"/>
  <c r="AO44"/>
  <c r="AN44"/>
  <c r="AH44"/>
  <c r="AG44"/>
  <c r="AF44"/>
  <c r="AE44"/>
  <c r="AD44"/>
  <c r="AC44"/>
  <c r="AA44"/>
  <c r="Y44"/>
  <c r="X44"/>
  <c r="U44"/>
  <c r="T44"/>
  <c r="S44"/>
  <c r="Q44"/>
  <c r="P44"/>
  <c r="O44"/>
  <c r="K44"/>
  <c r="H44"/>
  <c r="G44"/>
  <c r="E44"/>
  <c r="D44"/>
  <c r="C44"/>
  <c r="B44"/>
  <c r="A44"/>
  <c r="BK43"/>
  <c r="BJ43"/>
  <c r="AP43"/>
  <c r="AO43"/>
  <c r="AN43"/>
  <c r="AH43"/>
  <c r="AG43"/>
  <c r="AF43"/>
  <c r="AE43"/>
  <c r="AD43"/>
  <c r="AC43"/>
  <c r="AA43"/>
  <c r="Y43"/>
  <c r="X43"/>
  <c r="U43"/>
  <c r="T43"/>
  <c r="S43"/>
  <c r="Q43"/>
  <c r="P43"/>
  <c r="O43"/>
  <c r="K43"/>
  <c r="H43"/>
  <c r="G43"/>
  <c r="E43"/>
  <c r="D43"/>
  <c r="C43"/>
  <c r="B43"/>
  <c r="A43"/>
  <c r="BK42"/>
  <c r="BJ42"/>
  <c r="AP42"/>
  <c r="AO42"/>
  <c r="AN42"/>
  <c r="AH42"/>
  <c r="AG42"/>
  <c r="AF42"/>
  <c r="AE42"/>
  <c r="AD42"/>
  <c r="AC42"/>
  <c r="AA42"/>
  <c r="Y42"/>
  <c r="X42"/>
  <c r="U42"/>
  <c r="T42"/>
  <c r="S42"/>
  <c r="Q42"/>
  <c r="P42"/>
  <c r="O42"/>
  <c r="K42"/>
  <c r="H42"/>
  <c r="G42"/>
  <c r="E42"/>
  <c r="D42"/>
  <c r="C42"/>
  <c r="B42"/>
  <c r="A42"/>
  <c r="BK41"/>
  <c r="BJ41"/>
  <c r="AP41"/>
  <c r="AO41"/>
  <c r="AN41"/>
  <c r="AH41"/>
  <c r="AG41"/>
  <c r="AF41"/>
  <c r="AE41"/>
  <c r="AD41"/>
  <c r="AC41"/>
  <c r="AA41"/>
  <c r="Y41"/>
  <c r="X41"/>
  <c r="U41"/>
  <c r="T41"/>
  <c r="S41"/>
  <c r="Q41"/>
  <c r="P41"/>
  <c r="O41"/>
  <c r="K41"/>
  <c r="H41"/>
  <c r="G41"/>
  <c r="E41"/>
  <c r="D41"/>
  <c r="C41"/>
  <c r="B41"/>
  <c r="A41"/>
  <c r="BK40"/>
  <c r="BJ40"/>
  <c r="AP40"/>
  <c r="AO40"/>
  <c r="AN40"/>
  <c r="AH40"/>
  <c r="AG40"/>
  <c r="AF40"/>
  <c r="AE40"/>
  <c r="AD40"/>
  <c r="AC40"/>
  <c r="AA40"/>
  <c r="Y40"/>
  <c r="X40"/>
  <c r="U40"/>
  <c r="T40"/>
  <c r="S40"/>
  <c r="Q40"/>
  <c r="P40"/>
  <c r="O40"/>
  <c r="K40"/>
  <c r="H40"/>
  <c r="G40"/>
  <c r="E40"/>
  <c r="D40"/>
  <c r="C40"/>
  <c r="B40"/>
  <c r="A40"/>
  <c r="BK39"/>
  <c r="BJ39"/>
  <c r="AP39"/>
  <c r="AO39"/>
  <c r="AN39"/>
  <c r="AH39"/>
  <c r="AG39"/>
  <c r="AF39"/>
  <c r="AE39"/>
  <c r="AD39"/>
  <c r="AC39"/>
  <c r="AA39"/>
  <c r="Y39"/>
  <c r="X39"/>
  <c r="U39"/>
  <c r="T39"/>
  <c r="S39"/>
  <c r="Q39"/>
  <c r="P39"/>
  <c r="O39"/>
  <c r="K39"/>
  <c r="H39"/>
  <c r="G39"/>
  <c r="E39"/>
  <c r="D39"/>
  <c r="C39"/>
  <c r="B39"/>
  <c r="A39"/>
  <c r="BK38"/>
  <c r="BJ38"/>
  <c r="AP38"/>
  <c r="AO38"/>
  <c r="AN38"/>
  <c r="AH38"/>
  <c r="AG38"/>
  <c r="AF38"/>
  <c r="AE38"/>
  <c r="AD38"/>
  <c r="AC38"/>
  <c r="AA38"/>
  <c r="Y38"/>
  <c r="X38"/>
  <c r="U38"/>
  <c r="T38"/>
  <c r="S38"/>
  <c r="Q38"/>
  <c r="P38"/>
  <c r="O38"/>
  <c r="K38"/>
  <c r="H38"/>
  <c r="G38"/>
  <c r="E38"/>
  <c r="D38"/>
  <c r="C38"/>
  <c r="B38"/>
  <c r="A38"/>
  <c r="BK37"/>
  <c r="BJ37"/>
  <c r="AP37"/>
  <c r="AO37"/>
  <c r="AN37"/>
  <c r="AH37"/>
  <c r="AG37"/>
  <c r="AF37"/>
  <c r="AE37"/>
  <c r="AD37"/>
  <c r="AC37"/>
  <c r="AA37"/>
  <c r="Y37"/>
  <c r="X37"/>
  <c r="U37"/>
  <c r="T37"/>
  <c r="S37"/>
  <c r="Q37"/>
  <c r="P37"/>
  <c r="O37"/>
  <c r="K37"/>
  <c r="H37"/>
  <c r="G37"/>
  <c r="E37"/>
  <c r="D37"/>
  <c r="C37"/>
  <c r="B37"/>
  <c r="A37"/>
  <c r="BK36"/>
  <c r="BJ36"/>
  <c r="AP36"/>
  <c r="AO36"/>
  <c r="AN36"/>
  <c r="AH36"/>
  <c r="AG36"/>
  <c r="AF36"/>
  <c r="AE36"/>
  <c r="AD36"/>
  <c r="AC36"/>
  <c r="AA36"/>
  <c r="Y36"/>
  <c r="X36"/>
  <c r="U36"/>
  <c r="T36"/>
  <c r="S36"/>
  <c r="Q36"/>
  <c r="P36"/>
  <c r="O36"/>
  <c r="K36"/>
  <c r="H36"/>
  <c r="G36"/>
  <c r="E36"/>
  <c r="D36"/>
  <c r="C36"/>
  <c r="B36"/>
  <c r="A36"/>
  <c r="BK35"/>
  <c r="BJ35"/>
  <c r="AP35"/>
  <c r="AO35"/>
  <c r="AN35"/>
  <c r="AH35"/>
  <c r="AG35"/>
  <c r="AF35"/>
  <c r="AE35"/>
  <c r="AD35"/>
  <c r="AC35"/>
  <c r="AA35"/>
  <c r="Y35"/>
  <c r="X35"/>
  <c r="U35"/>
  <c r="T35"/>
  <c r="S35"/>
  <c r="Q35"/>
  <c r="P35"/>
  <c r="O35"/>
  <c r="K35"/>
  <c r="H35"/>
  <c r="G35"/>
  <c r="E35"/>
  <c r="D35"/>
  <c r="C35"/>
  <c r="B35"/>
  <c r="A35"/>
  <c r="BK34"/>
  <c r="BJ34"/>
  <c r="AP34"/>
  <c r="AO34"/>
  <c r="AN34"/>
  <c r="AH34"/>
  <c r="AG34"/>
  <c r="AF34"/>
  <c r="AE34"/>
  <c r="AD34"/>
  <c r="AC34"/>
  <c r="AA34"/>
  <c r="Y34"/>
  <c r="X34"/>
  <c r="U34"/>
  <c r="T34"/>
  <c r="S34"/>
  <c r="Q34"/>
  <c r="P34"/>
  <c r="O34"/>
  <c r="K34"/>
  <c r="H34"/>
  <c r="G34"/>
  <c r="E34"/>
  <c r="D34"/>
  <c r="C34"/>
  <c r="B34"/>
  <c r="A34"/>
  <c r="BK33"/>
  <c r="BJ33"/>
  <c r="AP33"/>
  <c r="AO33"/>
  <c r="AN33"/>
  <c r="AH33"/>
  <c r="AG33"/>
  <c r="AF33"/>
  <c r="AE33"/>
  <c r="AD33"/>
  <c r="AC33"/>
  <c r="AA33"/>
  <c r="Y33"/>
  <c r="X33"/>
  <c r="U33"/>
  <c r="T33"/>
  <c r="S33"/>
  <c r="Q33"/>
  <c r="P33"/>
  <c r="O33"/>
  <c r="K33"/>
  <c r="H33"/>
  <c r="G33"/>
  <c r="E33"/>
  <c r="D33"/>
  <c r="C33"/>
  <c r="B33"/>
  <c r="A33"/>
  <c r="BK32"/>
  <c r="BJ32"/>
  <c r="AP32"/>
  <c r="AO32"/>
  <c r="AN32"/>
  <c r="AH32"/>
  <c r="AG32"/>
  <c r="AF32"/>
  <c r="AE32"/>
  <c r="AD32"/>
  <c r="AC32"/>
  <c r="AA32"/>
  <c r="Y32"/>
  <c r="X32"/>
  <c r="U32"/>
  <c r="T32"/>
  <c r="S32"/>
  <c r="Q32"/>
  <c r="P32"/>
  <c r="O32"/>
  <c r="K32"/>
  <c r="H32"/>
  <c r="G32"/>
  <c r="E32"/>
  <c r="D32"/>
  <c r="C32"/>
  <c r="B32"/>
  <c r="A32"/>
  <c r="BK31"/>
  <c r="BJ31"/>
  <c r="AP31"/>
  <c r="AO31"/>
  <c r="AN31"/>
  <c r="AH31"/>
  <c r="AG31"/>
  <c r="AF31"/>
  <c r="AE31"/>
  <c r="AD31"/>
  <c r="AC31"/>
  <c r="AA31"/>
  <c r="Y31"/>
  <c r="X31"/>
  <c r="U31"/>
  <c r="T31"/>
  <c r="S31"/>
  <c r="Q31"/>
  <c r="P31"/>
  <c r="O31"/>
  <c r="K31"/>
  <c r="H31"/>
  <c r="G31"/>
  <c r="E31"/>
  <c r="D31"/>
  <c r="C31"/>
  <c r="B31"/>
  <c r="A31"/>
  <c r="BK30"/>
  <c r="BJ30"/>
  <c r="AP30"/>
  <c r="AO30"/>
  <c r="AN30"/>
  <c r="AH30"/>
  <c r="AG30"/>
  <c r="AF30"/>
  <c r="AE30"/>
  <c r="AD30"/>
  <c r="AC30"/>
  <c r="AA30"/>
  <c r="Y30"/>
  <c r="X30"/>
  <c r="U30"/>
  <c r="T30"/>
  <c r="S30"/>
  <c r="Q30"/>
  <c r="P30"/>
  <c r="O30"/>
  <c r="K30"/>
  <c r="H30"/>
  <c r="G30"/>
  <c r="E30"/>
  <c r="D30"/>
  <c r="C30"/>
  <c r="B30"/>
  <c r="A30"/>
  <c r="BK29"/>
  <c r="BJ29"/>
  <c r="AP29"/>
  <c r="AO29"/>
  <c r="AN29"/>
  <c r="AH29"/>
  <c r="AG29"/>
  <c r="AF29"/>
  <c r="AE29"/>
  <c r="AD29"/>
  <c r="AC29"/>
  <c r="AA29"/>
  <c r="Y29"/>
  <c r="X29"/>
  <c r="U29"/>
  <c r="T29"/>
  <c r="S29"/>
  <c r="Q29"/>
  <c r="P29"/>
  <c r="O29"/>
  <c r="K29"/>
  <c r="H29"/>
  <c r="G29"/>
  <c r="E29"/>
  <c r="D29"/>
  <c r="C29"/>
  <c r="B29"/>
  <c r="A29"/>
  <c r="BK28"/>
  <c r="BJ28"/>
  <c r="AP28"/>
  <c r="AO28"/>
  <c r="AN28"/>
  <c r="AH28"/>
  <c r="AG28"/>
  <c r="AF28"/>
  <c r="AE28"/>
  <c r="AD28"/>
  <c r="AC28"/>
  <c r="AA28"/>
  <c r="Y28"/>
  <c r="X28"/>
  <c r="U28"/>
  <c r="T28"/>
  <c r="S28"/>
  <c r="Q28"/>
  <c r="P28"/>
  <c r="O28"/>
  <c r="K28"/>
  <c r="H28"/>
  <c r="G28"/>
  <c r="E28"/>
  <c r="D28"/>
  <c r="C28"/>
  <c r="B28"/>
  <c r="A28"/>
  <c r="BK27"/>
  <c r="BJ27"/>
  <c r="AP27"/>
  <c r="AO27"/>
  <c r="AN27"/>
  <c r="AH27"/>
  <c r="AG27"/>
  <c r="AF27"/>
  <c r="AE27"/>
  <c r="AD27"/>
  <c r="AC27"/>
  <c r="AA27"/>
  <c r="Y27"/>
  <c r="X27"/>
  <c r="U27"/>
  <c r="T27"/>
  <c r="S27"/>
  <c r="Q27"/>
  <c r="P27"/>
  <c r="O27"/>
  <c r="K27"/>
  <c r="H27"/>
  <c r="G27"/>
  <c r="E27"/>
  <c r="D27"/>
  <c r="C27"/>
  <c r="B27"/>
  <c r="A27"/>
  <c r="BK26"/>
  <c r="BJ26"/>
  <c r="AP26"/>
  <c r="AO26"/>
  <c r="AN26"/>
  <c r="AH26"/>
  <c r="AG26"/>
  <c r="AF26"/>
  <c r="AE26"/>
  <c r="AD26"/>
  <c r="AC26"/>
  <c r="AA26"/>
  <c r="Y26"/>
  <c r="X26"/>
  <c r="U26"/>
  <c r="T26"/>
  <c r="S26"/>
  <c r="Q26"/>
  <c r="P26"/>
  <c r="O26"/>
  <c r="K26"/>
  <c r="H26"/>
  <c r="G26"/>
  <c r="E26"/>
  <c r="D26"/>
  <c r="C26"/>
  <c r="B26"/>
  <c r="A26"/>
  <c r="BK25"/>
  <c r="BJ25"/>
  <c r="AP25"/>
  <c r="AO25"/>
  <c r="AN25"/>
  <c r="AH25"/>
  <c r="AG25"/>
  <c r="AF25"/>
  <c r="AE25"/>
  <c r="AD25"/>
  <c r="AC25"/>
  <c r="AA25"/>
  <c r="Y25"/>
  <c r="X25"/>
  <c r="U25"/>
  <c r="T25"/>
  <c r="S25"/>
  <c r="Q25"/>
  <c r="P25"/>
  <c r="O25"/>
  <c r="K25"/>
  <c r="H25"/>
  <c r="G25"/>
  <c r="E25"/>
  <c r="D25"/>
  <c r="C25"/>
  <c r="B25"/>
  <c r="A25"/>
  <c r="BK24"/>
  <c r="BJ24"/>
  <c r="AP24"/>
  <c r="AO24"/>
  <c r="AN24"/>
  <c r="AH24"/>
  <c r="AG24"/>
  <c r="AF24"/>
  <c r="AE24"/>
  <c r="AD24"/>
  <c r="AC24"/>
  <c r="AA24"/>
  <c r="Y24"/>
  <c r="X24"/>
  <c r="U24"/>
  <c r="T24"/>
  <c r="S24"/>
  <c r="Q24"/>
  <c r="P24"/>
  <c r="O24"/>
  <c r="K24"/>
  <c r="H24"/>
  <c r="G24"/>
  <c r="E24"/>
  <c r="D24"/>
  <c r="C24"/>
  <c r="B24"/>
  <c r="A24"/>
  <c r="BK23"/>
  <c r="BJ23"/>
  <c r="AP23"/>
  <c r="AO23"/>
  <c r="AN23"/>
  <c r="AH23"/>
  <c r="AG23"/>
  <c r="AF23"/>
  <c r="AE23"/>
  <c r="AD23"/>
  <c r="AC23"/>
  <c r="AA23"/>
  <c r="Y23"/>
  <c r="X23"/>
  <c r="U23"/>
  <c r="T23"/>
  <c r="S23"/>
  <c r="Q23"/>
  <c r="P23"/>
  <c r="O23"/>
  <c r="K23"/>
  <c r="H23"/>
  <c r="G23"/>
  <c r="E23"/>
  <c r="D23"/>
  <c r="C23"/>
  <c r="B23"/>
  <c r="A23"/>
  <c r="BK22"/>
  <c r="BJ22"/>
  <c r="AP22"/>
  <c r="AO22"/>
  <c r="AN22"/>
  <c r="AH22"/>
  <c r="AG22"/>
  <c r="AF22"/>
  <c r="AE22"/>
  <c r="AD22"/>
  <c r="AC22"/>
  <c r="AA22"/>
  <c r="Y22"/>
  <c r="X22"/>
  <c r="U22"/>
  <c r="T22"/>
  <c r="S22"/>
  <c r="Q22"/>
  <c r="P22"/>
  <c r="O22"/>
  <c r="K22"/>
  <c r="H22"/>
  <c r="G22"/>
  <c r="E22"/>
  <c r="D22"/>
  <c r="C22"/>
  <c r="B22"/>
  <c r="A22"/>
  <c r="BK21"/>
  <c r="BJ21"/>
  <c r="AP21"/>
  <c r="AO21"/>
  <c r="AN21"/>
  <c r="AH21"/>
  <c r="AG21"/>
  <c r="AF21"/>
  <c r="AE21"/>
  <c r="AD21"/>
  <c r="AC21"/>
  <c r="AA21"/>
  <c r="Y21"/>
  <c r="X21"/>
  <c r="U21"/>
  <c r="T21"/>
  <c r="S21"/>
  <c r="Q21"/>
  <c r="P21"/>
  <c r="O21"/>
  <c r="K21"/>
  <c r="H21"/>
  <c r="G21"/>
  <c r="E21"/>
  <c r="D21"/>
  <c r="C21"/>
  <c r="B21"/>
  <c r="A21"/>
  <c r="BK20"/>
  <c r="BJ20"/>
  <c r="AP20"/>
  <c r="AO20"/>
  <c r="AN20"/>
  <c r="AH20"/>
  <c r="AG20"/>
  <c r="AF20"/>
  <c r="AE20"/>
  <c r="AD20"/>
  <c r="AC20"/>
  <c r="AA20"/>
  <c r="Y20"/>
  <c r="X20"/>
  <c r="U20"/>
  <c r="T20"/>
  <c r="S20"/>
  <c r="Q20"/>
  <c r="P20"/>
  <c r="O20"/>
  <c r="K20"/>
  <c r="H20"/>
  <c r="G20"/>
  <c r="E20"/>
  <c r="D20"/>
  <c r="C20"/>
  <c r="B20"/>
  <c r="A20"/>
  <c r="BK19"/>
  <c r="BJ19"/>
  <c r="AP19"/>
  <c r="AO19"/>
  <c r="AN19"/>
  <c r="AH19"/>
  <c r="AG19"/>
  <c r="AF19"/>
  <c r="AE19"/>
  <c r="AD19"/>
  <c r="AC19"/>
  <c r="AA19"/>
  <c r="Y19"/>
  <c r="X19"/>
  <c r="U19"/>
  <c r="T19"/>
  <c r="S19"/>
  <c r="Q19"/>
  <c r="P19"/>
  <c r="O19"/>
  <c r="K19"/>
  <c r="H19"/>
  <c r="G19"/>
  <c r="E19"/>
  <c r="D19"/>
  <c r="C19"/>
  <c r="B19"/>
  <c r="A19"/>
  <c r="BK18"/>
  <c r="BJ18"/>
  <c r="AP18"/>
  <c r="AO18"/>
  <c r="AN18"/>
  <c r="AH18"/>
  <c r="AG18"/>
  <c r="AF18"/>
  <c r="AE18"/>
  <c r="AD18"/>
  <c r="AC18"/>
  <c r="AA18"/>
  <c r="Y18"/>
  <c r="X18"/>
  <c r="U18"/>
  <c r="T18"/>
  <c r="S18"/>
  <c r="Q18"/>
  <c r="P18"/>
  <c r="O18"/>
  <c r="K18"/>
  <c r="H18"/>
  <c r="G18"/>
  <c r="E18"/>
  <c r="D18"/>
  <c r="C18"/>
  <c r="B18"/>
  <c r="A18"/>
  <c r="BK17"/>
  <c r="BJ17"/>
  <c r="AP17"/>
  <c r="AO17"/>
  <c r="AN17"/>
  <c r="AH17"/>
  <c r="AG17"/>
  <c r="AF17"/>
  <c r="AE17"/>
  <c r="AD17"/>
  <c r="AC17"/>
  <c r="AA17"/>
  <c r="Y17"/>
  <c r="X17"/>
  <c r="U17"/>
  <c r="T17"/>
  <c r="S17"/>
  <c r="Q17"/>
  <c r="P17"/>
  <c r="O17"/>
  <c r="K17"/>
  <c r="H17"/>
  <c r="G17"/>
  <c r="E17"/>
  <c r="D17"/>
  <c r="C17"/>
  <c r="B17"/>
  <c r="A17"/>
  <c r="BK16"/>
  <c r="BJ16"/>
  <c r="AP16"/>
  <c r="AO16"/>
  <c r="AN16"/>
  <c r="AH16"/>
  <c r="AG16"/>
  <c r="AF16"/>
  <c r="AE16"/>
  <c r="AD16"/>
  <c r="AC16"/>
  <c r="AA16"/>
  <c r="Y16"/>
  <c r="X16"/>
  <c r="U16"/>
  <c r="T16"/>
  <c r="S16"/>
  <c r="Q16"/>
  <c r="P16"/>
  <c r="O16"/>
  <c r="K16"/>
  <c r="H16"/>
  <c r="G16"/>
  <c r="E16"/>
  <c r="D16"/>
  <c r="C16"/>
  <c r="B16"/>
  <c r="A16"/>
  <c r="BK15"/>
  <c r="BJ15"/>
  <c r="AP15"/>
  <c r="AO15"/>
  <c r="AN15"/>
  <c r="AH15"/>
  <c r="AG15"/>
  <c r="AF15"/>
  <c r="AE15"/>
  <c r="AD15"/>
  <c r="AC15"/>
  <c r="AA15"/>
  <c r="Y15"/>
  <c r="X15"/>
  <c r="U15"/>
  <c r="T15"/>
  <c r="S15"/>
  <c r="Q15"/>
  <c r="P15"/>
  <c r="O15"/>
  <c r="K15"/>
  <c r="H15"/>
  <c r="G15"/>
  <c r="E15"/>
  <c r="D15"/>
  <c r="C15"/>
  <c r="B15"/>
  <c r="A15"/>
  <c r="BK14"/>
  <c r="BJ14"/>
  <c r="AP14"/>
  <c r="AO14"/>
  <c r="AN14"/>
  <c r="AH14"/>
  <c r="AG14"/>
  <c r="AF14"/>
  <c r="AE14"/>
  <c r="AD14"/>
  <c r="AC14"/>
  <c r="AA14"/>
  <c r="Y14"/>
  <c r="X14"/>
  <c r="U14"/>
  <c r="T14"/>
  <c r="S14"/>
  <c r="Q14"/>
  <c r="P14"/>
  <c r="O14"/>
  <c r="K14"/>
  <c r="H14"/>
  <c r="G14"/>
  <c r="E14"/>
  <c r="D14"/>
  <c r="C14"/>
  <c r="B14"/>
  <c r="A14"/>
  <c r="BK13"/>
  <c r="BJ13"/>
  <c r="AP13"/>
  <c r="AO13"/>
  <c r="AN13"/>
  <c r="AH13"/>
  <c r="AG13"/>
  <c r="AF13"/>
  <c r="AE13"/>
  <c r="AD13"/>
  <c r="AC13"/>
  <c r="AA13"/>
  <c r="Y13"/>
  <c r="X13"/>
  <c r="U13"/>
  <c r="T13"/>
  <c r="S13"/>
  <c r="Q13"/>
  <c r="P13"/>
  <c r="O13"/>
  <c r="K13"/>
  <c r="H13"/>
  <c r="G13"/>
  <c r="E13"/>
  <c r="D13"/>
  <c r="C13"/>
  <c r="B13"/>
  <c r="A13"/>
  <c r="BK12"/>
  <c r="BJ12"/>
  <c r="AP12"/>
  <c r="AO12"/>
  <c r="AN12"/>
  <c r="AH12"/>
  <c r="AG12"/>
  <c r="AF12"/>
  <c r="AE12"/>
  <c r="AD12"/>
  <c r="AC12"/>
  <c r="AA12"/>
  <c r="Y12"/>
  <c r="X12"/>
  <c r="U12"/>
  <c r="T12"/>
  <c r="S12"/>
  <c r="Q12"/>
  <c r="P12"/>
  <c r="O12"/>
  <c r="K12"/>
  <c r="H12"/>
  <c r="G12"/>
  <c r="E12"/>
  <c r="D12"/>
  <c r="C12"/>
  <c r="B12"/>
  <c r="A12"/>
  <c r="BK11"/>
  <c r="BJ11"/>
  <c r="AP11"/>
  <c r="AO11"/>
  <c r="AN11"/>
  <c r="AH11"/>
  <c r="AG11"/>
  <c r="AF11"/>
  <c r="AE11"/>
  <c r="AD11"/>
  <c r="AC11"/>
  <c r="AA11"/>
  <c r="Y11"/>
  <c r="X11"/>
  <c r="U11"/>
  <c r="T11"/>
  <c r="S11"/>
  <c r="Q11"/>
  <c r="P11"/>
  <c r="O11"/>
  <c r="K11"/>
  <c r="H11"/>
  <c r="G11"/>
  <c r="E11"/>
  <c r="D11"/>
  <c r="C11"/>
  <c r="B11"/>
  <c r="A11"/>
  <c r="BK10"/>
  <c r="BJ10"/>
  <c r="AP10"/>
  <c r="AO10"/>
  <c r="AN10"/>
  <c r="AH10"/>
  <c r="AG10"/>
  <c r="AF10"/>
  <c r="AE10"/>
  <c r="AD10"/>
  <c r="AC10"/>
  <c r="AA10"/>
  <c r="Y10"/>
  <c r="X10"/>
  <c r="U10"/>
  <c r="T10"/>
  <c r="S10"/>
  <c r="Q10"/>
  <c r="P10"/>
  <c r="O10"/>
  <c r="K10"/>
  <c r="H10"/>
  <c r="G10"/>
  <c r="E10"/>
  <c r="D10"/>
  <c r="C10"/>
  <c r="B10"/>
  <c r="A10"/>
  <c r="BK9"/>
  <c r="BJ9"/>
  <c r="AP9"/>
  <c r="AO9"/>
  <c r="AN9"/>
  <c r="AH9"/>
  <c r="AG9"/>
  <c r="AF9"/>
  <c r="AE9"/>
  <c r="AD9"/>
  <c r="AC9"/>
  <c r="AA9"/>
  <c r="Y9"/>
  <c r="X9"/>
  <c r="U9"/>
  <c r="T9"/>
  <c r="S9"/>
  <c r="Q9"/>
  <c r="P9"/>
  <c r="O9"/>
  <c r="K9"/>
  <c r="H9"/>
  <c r="G9"/>
  <c r="E9"/>
  <c r="D9"/>
  <c r="C9"/>
  <c r="B9"/>
  <c r="A9"/>
  <c r="BK8"/>
  <c r="BJ8"/>
  <c r="AP8"/>
  <c r="AO8"/>
  <c r="AN8"/>
  <c r="AH8"/>
  <c r="AG8"/>
  <c r="AF8"/>
  <c r="AE8"/>
  <c r="AD8"/>
  <c r="AC8"/>
  <c r="AA8"/>
  <c r="Y8"/>
  <c r="X8"/>
  <c r="U8"/>
  <c r="T8"/>
  <c r="S8"/>
  <c r="Q8"/>
  <c r="P8"/>
  <c r="O8"/>
  <c r="K8"/>
  <c r="H8"/>
  <c r="G8"/>
  <c r="E8"/>
  <c r="D8"/>
  <c r="C8"/>
  <c r="B8"/>
  <c r="A8"/>
  <c r="BK7"/>
  <c r="BJ7"/>
  <c r="AP7"/>
  <c r="AO7"/>
  <c r="AN7"/>
  <c r="AH7"/>
  <c r="AG7"/>
  <c r="AF7"/>
  <c r="AE7"/>
  <c r="AD7"/>
  <c r="AC7"/>
  <c r="AA7"/>
  <c r="Y7"/>
  <c r="X7"/>
  <c r="U7"/>
  <c r="T7"/>
  <c r="S7"/>
  <c r="Q7"/>
  <c r="P7"/>
  <c r="O7"/>
  <c r="K7"/>
  <c r="H7"/>
  <c r="G7"/>
  <c r="E7"/>
  <c r="D7"/>
  <c r="C7"/>
  <c r="B7"/>
  <c r="A7"/>
  <c r="BK6"/>
  <c r="BJ6"/>
  <c r="AP6"/>
  <c r="AO6"/>
  <c r="AN6"/>
  <c r="AH6"/>
  <c r="AG6"/>
  <c r="AF6"/>
  <c r="AE6"/>
  <c r="AD6"/>
  <c r="AC6"/>
  <c r="AA6"/>
  <c r="Y6"/>
  <c r="X6"/>
  <c r="U6"/>
  <c r="T6"/>
  <c r="S6"/>
  <c r="Q6"/>
  <c r="P6"/>
  <c r="O6"/>
  <c r="K6"/>
  <c r="H6"/>
  <c r="G6"/>
  <c r="E6"/>
  <c r="D6"/>
  <c r="C6"/>
  <c r="B6"/>
  <c r="A6"/>
  <c r="BK5"/>
  <c r="BJ5"/>
  <c r="AP5"/>
  <c r="AO5"/>
  <c r="AN5"/>
  <c r="AH5"/>
  <c r="AG5"/>
  <c r="AF5"/>
  <c r="AE5"/>
  <c r="AD5"/>
  <c r="AC5"/>
  <c r="AA5"/>
  <c r="Y5"/>
  <c r="X5"/>
  <c r="U5"/>
  <c r="T5"/>
  <c r="S5"/>
  <c r="Q5"/>
  <c r="P5"/>
  <c r="O5"/>
  <c r="K5"/>
  <c r="H5"/>
  <c r="G5"/>
  <c r="E5"/>
  <c r="D5"/>
  <c r="C5"/>
  <c r="B5"/>
  <c r="A5"/>
  <c r="BK4"/>
  <c r="BJ4"/>
  <c r="AP4"/>
  <c r="AO4"/>
  <c r="AN4"/>
  <c r="AH4"/>
  <c r="AG4"/>
  <c r="AF4"/>
  <c r="AE4"/>
  <c r="AD4"/>
  <c r="AC4"/>
  <c r="AA4"/>
  <c r="Y4"/>
  <c r="X4"/>
  <c r="U4"/>
  <c r="T4"/>
  <c r="S4"/>
  <c r="Q4"/>
  <c r="P4"/>
  <c r="O4"/>
  <c r="K4"/>
  <c r="H4"/>
  <c r="G4"/>
  <c r="E4"/>
  <c r="D4"/>
  <c r="C4"/>
  <c r="B4"/>
  <c r="A4"/>
  <c r="BK3"/>
  <c r="BJ3"/>
  <c r="AP3"/>
  <c r="AO3"/>
  <c r="AN3"/>
  <c r="AH3"/>
  <c r="AG3"/>
  <c r="AF3"/>
  <c r="AE3"/>
  <c r="AD3"/>
  <c r="AC3"/>
  <c r="AA3"/>
  <c r="Y3"/>
  <c r="X3"/>
  <c r="U3"/>
  <c r="T3"/>
  <c r="S3"/>
  <c r="Q3"/>
  <c r="P3"/>
  <c r="O3"/>
  <c r="K3"/>
  <c r="H3"/>
  <c r="G3"/>
  <c r="E3"/>
  <c r="D3"/>
  <c r="C3"/>
  <c r="B3"/>
  <c r="A3"/>
  <c r="BK2"/>
  <c r="BJ2"/>
  <c r="AP2"/>
  <c r="AO2"/>
  <c r="AN2"/>
  <c r="AH2"/>
  <c r="AG2"/>
  <c r="AF2"/>
  <c r="AE2"/>
  <c r="AD2"/>
  <c r="AC2"/>
  <c r="AA2"/>
  <c r="Y2"/>
  <c r="X2"/>
  <c r="U2"/>
  <c r="T2"/>
  <c r="S2"/>
  <c r="Q2"/>
  <c r="P2"/>
  <c r="O2"/>
  <c r="K2"/>
  <c r="H2"/>
  <c r="G2"/>
  <c r="E2"/>
  <c r="D2"/>
  <c r="C2"/>
  <c r="B2"/>
  <c r="A2"/>
  <c r="E4" i="2" l="1"/>
  <c r="D4"/>
</calcChain>
</file>

<file path=xl/sharedStrings.xml><?xml version="1.0" encoding="utf-8"?>
<sst xmlns="http://schemas.openxmlformats.org/spreadsheetml/2006/main" count="74" uniqueCount="68">
  <si>
    <t>N° Commande</t>
  </si>
  <si>
    <t>Référence Client</t>
  </si>
  <si>
    <t>Sit. Cde</t>
  </si>
  <si>
    <t>Création</t>
  </si>
  <si>
    <t>Sit. Liv.</t>
  </si>
  <si>
    <t>Sit. Fac.</t>
  </si>
  <si>
    <t>Expédition</t>
  </si>
  <si>
    <t>Date prévue</t>
  </si>
  <si>
    <t>Blocage</t>
  </si>
  <si>
    <t>Net</t>
  </si>
  <si>
    <t>Revient</t>
  </si>
  <si>
    <t xml:space="preserve">Marge </t>
  </si>
  <si>
    <t>Devise</t>
  </si>
  <si>
    <t>Affaire</t>
  </si>
  <si>
    <t>Societe</t>
  </si>
  <si>
    <t>Mt Stat.</t>
  </si>
  <si>
    <t>Stat. Client 1</t>
  </si>
  <si>
    <t>Stat. Client 2</t>
  </si>
  <si>
    <t>Stat Client 3</t>
  </si>
  <si>
    <t>Mt marge</t>
  </si>
  <si>
    <t>Client livré</t>
  </si>
  <si>
    <t>Gestionnaire</t>
  </si>
  <si>
    <t>Date Liv Prevue Cde</t>
  </si>
  <si>
    <t>Magasin</t>
  </si>
  <si>
    <t>Coût de transport</t>
  </si>
  <si>
    <t>Désignation Affaire</t>
  </si>
  <si>
    <t>Barème</t>
  </si>
  <si>
    <t>Code Postal</t>
  </si>
  <si>
    <t>Ville</t>
  </si>
  <si>
    <t>Représentant</t>
  </si>
  <si>
    <t>Type Cde</t>
  </si>
  <si>
    <t>Réception</t>
  </si>
  <si>
    <t>Cagnotte utilisée</t>
  </si>
  <si>
    <t>Cagnotte générée</t>
  </si>
  <si>
    <t>Durée en jours</t>
  </si>
  <si>
    <t>Retour prévu le</t>
  </si>
  <si>
    <t>Créateur de la cde</t>
  </si>
  <si>
    <t>Nom</t>
  </si>
  <si>
    <t>Devis</t>
  </si>
  <si>
    <t>Port A Payer</t>
  </si>
  <si>
    <t>Taux Remise 1</t>
  </si>
  <si>
    <t>Taux Remise2</t>
  </si>
  <si>
    <t>Taux Remise3</t>
  </si>
  <si>
    <t>Remise 1</t>
  </si>
  <si>
    <t>Remise 2</t>
  </si>
  <si>
    <t>Remise 3</t>
  </si>
  <si>
    <t>Taux Escompte</t>
  </si>
  <si>
    <t>Escompte Mt</t>
  </si>
  <si>
    <t>Base Tva1</t>
  </si>
  <si>
    <t>Base Tva2</t>
  </si>
  <si>
    <t>Base Tva3</t>
  </si>
  <si>
    <t>Montant Tva1</t>
  </si>
  <si>
    <t>Montant Tva2</t>
  </si>
  <si>
    <t>Montant Tva3</t>
  </si>
  <si>
    <t>Emballage</t>
  </si>
  <si>
    <t>Frais Divers</t>
  </si>
  <si>
    <t>TTC</t>
  </si>
  <si>
    <t>TOTAL H.T.</t>
  </si>
  <si>
    <t>Condition Règlement</t>
  </si>
  <si>
    <t>Mode règlement</t>
  </si>
  <si>
    <t>Confirmée</t>
  </si>
  <si>
    <t>Critères</t>
  </si>
  <si>
    <t>&lt;&gt;</t>
  </si>
  <si>
    <t>Recherche</t>
  </si>
  <si>
    <t>du</t>
  </si>
  <si>
    <t>au</t>
  </si>
  <si>
    <t>Client</t>
  </si>
  <si>
    <t>Nom client</t>
  </si>
</sst>
</file>

<file path=xl/styles.xml><?xml version="1.0" encoding="utf-8"?>
<styleSheet xmlns="http://schemas.openxmlformats.org/spreadsheetml/2006/main">
  <numFmts count="2">
    <numFmt numFmtId="8" formatCode="#,##0.00\ &quot;€&quot;;[Red]\-#,##0.00\ &quot;€&quot;"/>
    <numFmt numFmtId="164" formatCode="dd/mm/yy;@"/>
  </numFmts>
  <fonts count="2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i/>
      <sz val="11"/>
      <color rgb="FF000000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18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21">
    <xf numFmtId="0" fontId="0" fillId="0" borderId="0" xfId="0"/>
    <xf numFmtId="0" fontId="0" fillId="0" borderId="0" xfId="0" applyAlignment="1">
      <alignment horizontal="center" vertical="center"/>
    </xf>
    <xf numFmtId="0" fontId="16" fillId="0" borderId="0" xfId="0" applyFont="1" applyAlignment="1">
      <alignment vertical="center"/>
    </xf>
    <xf numFmtId="164" fontId="18" fillId="0" borderId="0" xfId="0" applyNumberFormat="1" applyFont="1" applyAlignment="1">
      <alignment horizontal="center" vertical="center"/>
    </xf>
    <xf numFmtId="164" fontId="18" fillId="0" borderId="0" xfId="0" applyNumberFormat="1" applyFont="1" applyAlignment="1">
      <alignment horizontal="right"/>
    </xf>
    <xf numFmtId="0" fontId="18" fillId="0" borderId="10" xfId="0" applyFont="1" applyBorder="1" applyAlignment="1">
      <alignment horizontal="center" vertical="center"/>
    </xf>
    <xf numFmtId="0" fontId="16" fillId="0" borderId="14" xfId="0" applyFont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16" fillId="0" borderId="16" xfId="0" applyFont="1" applyBorder="1" applyAlignment="1">
      <alignment horizontal="center" vertical="center"/>
    </xf>
    <xf numFmtId="14" fontId="0" fillId="33" borderId="10" xfId="0" applyNumberFormat="1" applyFill="1" applyBorder="1" applyAlignment="1">
      <alignment horizontal="center" vertical="center"/>
    </xf>
    <xf numFmtId="0" fontId="18" fillId="34" borderId="11" xfId="0" applyFont="1" applyFill="1" applyBorder="1" applyAlignment="1">
      <alignment horizontal="center" vertical="center"/>
    </xf>
    <xf numFmtId="0" fontId="18" fillId="34" borderId="12" xfId="0" applyFont="1" applyFill="1" applyBorder="1" applyAlignment="1">
      <alignment horizontal="center" vertical="center"/>
    </xf>
    <xf numFmtId="0" fontId="18" fillId="34" borderId="13" xfId="0" applyFont="1" applyFill="1" applyBorder="1" applyAlignment="1">
      <alignment horizontal="center" vertical="center"/>
    </xf>
    <xf numFmtId="0" fontId="14" fillId="35" borderId="0" xfId="0" applyFont="1" applyFill="1"/>
    <xf numFmtId="14" fontId="0" fillId="0" borderId="0" xfId="0" applyNumberFormat="1"/>
    <xf numFmtId="8" fontId="0" fillId="0" borderId="0" xfId="0" applyNumberFormat="1"/>
    <xf numFmtId="10" fontId="0" fillId="0" borderId="0" xfId="0" applyNumberFormat="1"/>
    <xf numFmtId="14" fontId="14" fillId="35" borderId="0" xfId="0" applyNumberFormat="1" applyFont="1" applyFill="1"/>
    <xf numFmtId="0" fontId="16" fillId="0" borderId="17" xfId="0" applyFont="1" applyBorder="1" applyAlignment="1">
      <alignment horizontal="center" vertical="center"/>
    </xf>
    <xf numFmtId="0" fontId="19" fillId="35" borderId="17" xfId="0" applyFont="1" applyFill="1" applyBorder="1" applyAlignment="1">
      <alignment horizontal="center" vertical="center"/>
    </xf>
    <xf numFmtId="0" fontId="16" fillId="0" borderId="0" xfId="0" applyFont="1" applyBorder="1" applyAlignment="1">
      <alignment horizontal="center" vertic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K80"/>
  <sheetViews>
    <sheetView zoomScaleNormal="100" workbookViewId="0">
      <selection activeCell="F1" sqref="F1"/>
    </sheetView>
  </sheetViews>
  <sheetFormatPr baseColWidth="10" defaultRowHeight="15"/>
  <cols>
    <col min="1" max="1" width="7" bestFit="1" customWidth="1"/>
    <col min="2" max="2" width="21" bestFit="1" customWidth="1"/>
    <col min="3" max="3" width="13.7109375" bestFit="1" customWidth="1"/>
    <col min="4" max="4" width="17.5703125" bestFit="1" customWidth="1"/>
    <col min="5" max="5" width="7.7109375" bestFit="1" customWidth="1"/>
    <col min="6" max="6" width="10.7109375" bestFit="1" customWidth="1"/>
    <col min="7" max="7" width="7.28515625" bestFit="1" customWidth="1"/>
    <col min="8" max="8" width="7.7109375" bestFit="1" customWidth="1"/>
    <col min="9" max="9" width="10.7109375" style="13" bestFit="1" customWidth="1"/>
    <col min="10" max="10" width="11.85546875" bestFit="1" customWidth="1"/>
    <col min="11" max="11" width="7.85546875" bestFit="1" customWidth="1"/>
    <col min="12" max="12" width="7" bestFit="1" customWidth="1"/>
    <col min="13" max="13" width="7.85546875" bestFit="1" customWidth="1"/>
    <col min="14" max="14" width="8.140625" bestFit="1" customWidth="1"/>
    <col min="15" max="15" width="7" bestFit="1" customWidth="1"/>
    <col min="16" max="16" width="7.140625" style="13" bestFit="1" customWidth="1"/>
    <col min="17" max="17" width="7.5703125" bestFit="1" customWidth="1"/>
    <col min="19" max="20" width="12.140625" bestFit="1" customWidth="1"/>
    <col min="21" max="21" width="11.5703125" bestFit="1" customWidth="1"/>
    <col min="23" max="23" width="11.85546875" style="13" bestFit="1" customWidth="1"/>
    <col min="24" max="24" width="21" bestFit="1" customWidth="1"/>
    <col min="25" max="25" width="12.42578125" bestFit="1" customWidth="1"/>
    <col min="26" max="26" width="18.7109375" bestFit="1" customWidth="1"/>
    <col min="27" max="27" width="8.28515625" bestFit="1" customWidth="1"/>
    <col min="28" max="28" width="16.5703125" bestFit="1" customWidth="1"/>
    <col min="29" max="29" width="37.7109375" bestFit="1" customWidth="1"/>
    <col min="30" max="30" width="7.85546875" bestFit="1" customWidth="1"/>
    <col min="32" max="32" width="24.7109375" bestFit="1" customWidth="1"/>
    <col min="33" max="33" width="13" bestFit="1" customWidth="1"/>
    <col min="34" max="34" width="9.140625" bestFit="1" customWidth="1"/>
    <col min="35" max="35" width="10.7109375" bestFit="1" customWidth="1"/>
    <col min="36" max="36" width="16.28515625" bestFit="1" customWidth="1"/>
    <col min="37" max="37" width="17" bestFit="1" customWidth="1"/>
    <col min="38" max="38" width="14" bestFit="1" customWidth="1"/>
    <col min="39" max="39" width="14.7109375" bestFit="1" customWidth="1"/>
    <col min="40" max="40" width="17.140625" bestFit="1" customWidth="1"/>
    <col min="41" max="41" width="37.7109375" bestFit="1" customWidth="1"/>
    <col min="42" max="42" width="5.85546875" bestFit="1" customWidth="1"/>
    <col min="43" max="43" width="11.85546875" bestFit="1" customWidth="1"/>
    <col min="44" max="44" width="13.5703125" bestFit="1" customWidth="1"/>
    <col min="45" max="46" width="13.140625" bestFit="1" customWidth="1"/>
    <col min="47" max="49" width="9" bestFit="1" customWidth="1"/>
    <col min="50" max="50" width="14.140625" bestFit="1" customWidth="1"/>
    <col min="51" max="51" width="12.42578125" bestFit="1" customWidth="1"/>
    <col min="52" max="54" width="9.5703125" bestFit="1" customWidth="1"/>
    <col min="55" max="57" width="13" bestFit="1" customWidth="1"/>
    <col min="58" max="58" width="10.140625" bestFit="1" customWidth="1"/>
    <col min="59" max="59" width="11.140625" bestFit="1" customWidth="1"/>
    <col min="60" max="60" width="9" bestFit="1" customWidth="1"/>
    <col min="61" max="61" width="10.42578125" bestFit="1" customWidth="1"/>
    <col min="62" max="62" width="20" bestFit="1" customWidth="1"/>
    <col min="63" max="63" width="15.85546875" bestFit="1" customWidth="1"/>
  </cols>
  <sheetData>
    <row r="1" spans="1:63" s="20" customFormat="1">
      <c r="A1" s="18" t="s">
        <v>66</v>
      </c>
      <c r="B1" s="18" t="s">
        <v>67</v>
      </c>
      <c r="C1" s="18" t="s">
        <v>0</v>
      </c>
      <c r="D1" s="18" t="s">
        <v>1</v>
      </c>
      <c r="E1" s="18" t="s">
        <v>2</v>
      </c>
      <c r="F1" s="18" t="s">
        <v>3</v>
      </c>
      <c r="G1" s="18" t="s">
        <v>4</v>
      </c>
      <c r="H1" s="18" t="s">
        <v>5</v>
      </c>
      <c r="I1" s="19" t="s">
        <v>6</v>
      </c>
      <c r="J1" s="18" t="s">
        <v>7</v>
      </c>
      <c r="K1" s="18" t="s">
        <v>8</v>
      </c>
      <c r="L1" s="18" t="s">
        <v>9</v>
      </c>
      <c r="M1" s="18" t="s">
        <v>10</v>
      </c>
      <c r="N1" s="18" t="s">
        <v>11</v>
      </c>
      <c r="O1" s="18" t="s">
        <v>12</v>
      </c>
      <c r="P1" s="19" t="s">
        <v>13</v>
      </c>
      <c r="Q1" s="18" t="s">
        <v>14</v>
      </c>
      <c r="R1" s="18" t="s">
        <v>15</v>
      </c>
      <c r="S1" s="18" t="s">
        <v>16</v>
      </c>
      <c r="T1" s="18" t="s">
        <v>17</v>
      </c>
      <c r="U1" s="18" t="s">
        <v>18</v>
      </c>
      <c r="V1" s="18" t="s">
        <v>19</v>
      </c>
      <c r="W1" s="19" t="s">
        <v>60</v>
      </c>
      <c r="X1" s="18" t="s">
        <v>20</v>
      </c>
      <c r="Y1" s="18" t="s">
        <v>21</v>
      </c>
      <c r="Z1" s="18" t="s">
        <v>22</v>
      </c>
      <c r="AA1" s="18" t="s">
        <v>23</v>
      </c>
      <c r="AB1" s="18" t="s">
        <v>24</v>
      </c>
      <c r="AC1" s="18" t="s">
        <v>25</v>
      </c>
      <c r="AD1" s="18" t="s">
        <v>26</v>
      </c>
      <c r="AE1" s="18" t="s">
        <v>27</v>
      </c>
      <c r="AF1" s="18" t="s">
        <v>28</v>
      </c>
      <c r="AG1" s="18" t="s">
        <v>29</v>
      </c>
      <c r="AH1" s="18" t="s">
        <v>30</v>
      </c>
      <c r="AI1" s="18" t="s">
        <v>31</v>
      </c>
      <c r="AJ1" s="18" t="s">
        <v>32</v>
      </c>
      <c r="AK1" s="18" t="s">
        <v>33</v>
      </c>
      <c r="AL1" s="18" t="s">
        <v>34</v>
      </c>
      <c r="AM1" s="18" t="s">
        <v>35</v>
      </c>
      <c r="AN1" s="18" t="s">
        <v>36</v>
      </c>
      <c r="AO1" s="18" t="s">
        <v>37</v>
      </c>
      <c r="AP1" s="18" t="s">
        <v>38</v>
      </c>
      <c r="AQ1" s="18" t="s">
        <v>39</v>
      </c>
      <c r="AR1" s="18" t="s">
        <v>40</v>
      </c>
      <c r="AS1" s="18" t="s">
        <v>41</v>
      </c>
      <c r="AT1" s="18" t="s">
        <v>42</v>
      </c>
      <c r="AU1" s="18" t="s">
        <v>43</v>
      </c>
      <c r="AV1" s="18" t="s">
        <v>44</v>
      </c>
      <c r="AW1" s="18" t="s">
        <v>45</v>
      </c>
      <c r="AX1" s="18" t="s">
        <v>46</v>
      </c>
      <c r="AY1" s="18" t="s">
        <v>47</v>
      </c>
      <c r="AZ1" s="18" t="s">
        <v>48</v>
      </c>
      <c r="BA1" s="18" t="s">
        <v>49</v>
      </c>
      <c r="BB1" s="18" t="s">
        <v>50</v>
      </c>
      <c r="BC1" s="18" t="s">
        <v>51</v>
      </c>
      <c r="BD1" s="18" t="s">
        <v>52</v>
      </c>
      <c r="BE1" s="18" t="s">
        <v>53</v>
      </c>
      <c r="BF1" s="18" t="s">
        <v>54</v>
      </c>
      <c r="BG1" s="18" t="s">
        <v>55</v>
      </c>
      <c r="BH1" s="18" t="s">
        <v>56</v>
      </c>
      <c r="BI1" s="18" t="s">
        <v>57</v>
      </c>
      <c r="BJ1" s="18" t="s">
        <v>58</v>
      </c>
      <c r="BK1" s="18" t="s">
        <v>59</v>
      </c>
    </row>
    <row r="2" spans="1:63">
      <c r="A2" t="str">
        <f>"119500"</f>
        <v>119500</v>
      </c>
      <c r="B2" t="str">
        <f>"STELIA"</f>
        <v>STELIA</v>
      </c>
      <c r="C2" t="str">
        <f>"16220"</f>
        <v>16220</v>
      </c>
      <c r="D2" t="str">
        <f>" "</f>
        <v xml:space="preserve"> </v>
      </c>
      <c r="E2" t="str">
        <f>" "</f>
        <v xml:space="preserve"> </v>
      </c>
      <c r="F2" s="14">
        <v>42124</v>
      </c>
      <c r="G2" t="str">
        <f t="shared" ref="G2:H14" si="0">" "</f>
        <v xml:space="preserve"> </v>
      </c>
      <c r="H2" t="str">
        <f t="shared" si="0"/>
        <v xml:space="preserve"> </v>
      </c>
      <c r="J2" s="14">
        <v>42146</v>
      </c>
      <c r="K2" t="str">
        <f t="shared" ref="K2:K65" si="1">" "</f>
        <v xml:space="preserve"> </v>
      </c>
      <c r="L2">
        <v>4992</v>
      </c>
      <c r="M2" s="15">
        <v>0</v>
      </c>
      <c r="N2" s="16">
        <v>1</v>
      </c>
      <c r="O2" t="str">
        <f t="shared" ref="O2:O65" si="2">"EUR"</f>
        <v>EUR</v>
      </c>
      <c r="P2" s="13" t="str">
        <f>"16220"</f>
        <v>16220</v>
      </c>
      <c r="Q2" t="str">
        <f t="shared" ref="Q2:Q65" si="3">"01"</f>
        <v>01</v>
      </c>
      <c r="R2" s="15">
        <v>4992</v>
      </c>
      <c r="S2" t="str">
        <f t="shared" ref="S2:U21" si="4">" "</f>
        <v xml:space="preserve"> </v>
      </c>
      <c r="T2" t="str">
        <f t="shared" si="4"/>
        <v xml:space="preserve"> </v>
      </c>
      <c r="U2" t="str">
        <f t="shared" si="4"/>
        <v xml:space="preserve"> </v>
      </c>
      <c r="V2" s="15">
        <v>4992</v>
      </c>
      <c r="W2" s="13">
        <v>1</v>
      </c>
      <c r="X2" t="str">
        <f>"STELI"</f>
        <v>STELI</v>
      </c>
      <c r="Y2" t="str">
        <f t="shared" ref="Y2:Y17" si="5">"MP"</f>
        <v>MP</v>
      </c>
      <c r="Z2" s="14">
        <v>42146</v>
      </c>
      <c r="AA2" t="str">
        <f t="shared" ref="AA2:AA65" si="6">" "</f>
        <v xml:space="preserve"> </v>
      </c>
      <c r="AB2" s="15">
        <v>0</v>
      </c>
      <c r="AC2" t="str">
        <f>"STELIA AEROSPACE COMPOSITES"</f>
        <v>STELIA AEROSPACE COMPOSITES</v>
      </c>
      <c r="AD2" t="str">
        <f t="shared" ref="AD2:AD65" si="7">" "</f>
        <v xml:space="preserve"> </v>
      </c>
      <c r="AE2" t="str">
        <f>"33160"</f>
        <v>33160</v>
      </c>
      <c r="AF2" t="str">
        <f>"SALAUNES"</f>
        <v>SALAUNES</v>
      </c>
      <c r="AG2" t="str">
        <f t="shared" ref="AG2:AG65" si="8">" "</f>
        <v xml:space="preserve"> </v>
      </c>
      <c r="AH2" t="str">
        <f t="shared" ref="AH2:AH65" si="9">"F"</f>
        <v>F</v>
      </c>
      <c r="AJ2">
        <v>0</v>
      </c>
      <c r="AL2">
        <v>0</v>
      </c>
      <c r="AN2" t="str">
        <f t="shared" ref="AN2:AN21" si="10">"DEBARROS"</f>
        <v>DEBARROS</v>
      </c>
      <c r="AO2" t="str">
        <f>"STELIA Aerospace Composites"</f>
        <v>STELIA Aerospace Composites</v>
      </c>
      <c r="AP2" t="str">
        <f t="shared" ref="AP2:AP65" si="11">" "</f>
        <v xml:space="preserve"> </v>
      </c>
      <c r="AQ2" s="15">
        <v>0</v>
      </c>
      <c r="AR2" s="16">
        <v>0</v>
      </c>
      <c r="AS2" s="16">
        <v>0</v>
      </c>
      <c r="AT2" s="16">
        <v>0</v>
      </c>
      <c r="AU2">
        <v>0</v>
      </c>
      <c r="AV2">
        <v>0</v>
      </c>
      <c r="AW2">
        <v>0</v>
      </c>
      <c r="AX2" s="16">
        <v>0</v>
      </c>
      <c r="AY2">
        <v>0</v>
      </c>
      <c r="AZ2">
        <v>4992</v>
      </c>
      <c r="BA2">
        <v>0</v>
      </c>
      <c r="BB2">
        <v>0</v>
      </c>
      <c r="BC2">
        <v>998.4</v>
      </c>
      <c r="BD2">
        <v>0</v>
      </c>
      <c r="BE2">
        <v>0</v>
      </c>
      <c r="BF2">
        <v>0</v>
      </c>
      <c r="BG2">
        <v>0</v>
      </c>
      <c r="BH2">
        <v>5990.4</v>
      </c>
      <c r="BI2">
        <v>4992</v>
      </c>
      <c r="BJ2" t="str">
        <f t="shared" ref="BJ2:BJ15" si="12">"41"</f>
        <v>41</v>
      </c>
      <c r="BK2" t="str">
        <f t="shared" ref="BK2:BK15" si="13">"VI"</f>
        <v>VI</v>
      </c>
    </row>
    <row r="3" spans="1:63">
      <c r="A3" t="str">
        <f>"101000"</f>
        <v>101000</v>
      </c>
      <c r="B3" t="str">
        <f>"AIRBUS"</f>
        <v>AIRBUS</v>
      </c>
      <c r="C3" t="str">
        <f>"16219"</f>
        <v>16219</v>
      </c>
      <c r="D3" t="str">
        <f>"4577006768"</f>
        <v>4577006768</v>
      </c>
      <c r="E3" t="str">
        <f t="shared" ref="E3:E66" si="14">" "</f>
        <v xml:space="preserve"> </v>
      </c>
      <c r="F3" s="14">
        <v>42124</v>
      </c>
      <c r="G3" t="str">
        <f t="shared" si="0"/>
        <v xml:space="preserve"> </v>
      </c>
      <c r="H3" t="str">
        <f t="shared" si="0"/>
        <v xml:space="preserve"> </v>
      </c>
      <c r="J3" s="14">
        <v>42156</v>
      </c>
      <c r="K3" t="str">
        <f t="shared" si="1"/>
        <v xml:space="preserve"> </v>
      </c>
      <c r="L3">
        <v>2192</v>
      </c>
      <c r="M3" s="15">
        <v>0</v>
      </c>
      <c r="N3" s="16">
        <v>1</v>
      </c>
      <c r="O3" t="str">
        <f t="shared" si="2"/>
        <v>EUR</v>
      </c>
      <c r="P3" s="13" t="str">
        <f>"16219"</f>
        <v>16219</v>
      </c>
      <c r="Q3" t="str">
        <f t="shared" si="3"/>
        <v>01</v>
      </c>
      <c r="R3" s="15">
        <v>2192</v>
      </c>
      <c r="S3" t="str">
        <f t="shared" si="4"/>
        <v xml:space="preserve"> </v>
      </c>
      <c r="T3" t="str">
        <f t="shared" si="4"/>
        <v xml:space="preserve"> </v>
      </c>
      <c r="U3" t="str">
        <f t="shared" si="4"/>
        <v xml:space="preserve"> </v>
      </c>
      <c r="V3" s="15">
        <v>2192</v>
      </c>
      <c r="W3" s="13">
        <v>0</v>
      </c>
      <c r="X3" t="str">
        <f>"AIRBUS"</f>
        <v>AIRBUS</v>
      </c>
      <c r="Y3" t="str">
        <f t="shared" si="5"/>
        <v>MP</v>
      </c>
      <c r="Z3" s="14">
        <v>42156</v>
      </c>
      <c r="AA3" t="str">
        <f t="shared" si="6"/>
        <v xml:space="preserve"> </v>
      </c>
      <c r="AB3" s="15">
        <v>0</v>
      </c>
      <c r="AC3" t="str">
        <f>"Airbus D &amp; S "</f>
        <v xml:space="preserve">Airbus D &amp; S </v>
      </c>
      <c r="AD3" t="str">
        <f t="shared" si="7"/>
        <v xml:space="preserve"> </v>
      </c>
      <c r="AE3" t="str">
        <f>"33165"</f>
        <v>33165</v>
      </c>
      <c r="AF3" t="str">
        <f>"SAINT MEDARD EN JALLES"</f>
        <v>SAINT MEDARD EN JALLES</v>
      </c>
      <c r="AG3" t="str">
        <f t="shared" si="8"/>
        <v xml:space="preserve"> </v>
      </c>
      <c r="AH3" t="str">
        <f t="shared" si="9"/>
        <v>F</v>
      </c>
      <c r="AI3" s="14">
        <v>42124</v>
      </c>
      <c r="AJ3">
        <v>0</v>
      </c>
      <c r="AL3">
        <v>0</v>
      </c>
      <c r="AN3" t="str">
        <f t="shared" si="10"/>
        <v>DEBARROS</v>
      </c>
      <c r="AO3" t="str">
        <f>"Airbus D &amp; S"</f>
        <v>Airbus D &amp; S</v>
      </c>
      <c r="AP3" t="str">
        <f t="shared" si="11"/>
        <v xml:space="preserve"> </v>
      </c>
      <c r="AQ3" s="15">
        <v>0</v>
      </c>
      <c r="AR3" s="16">
        <v>0</v>
      </c>
      <c r="AS3" s="16">
        <v>0</v>
      </c>
      <c r="AT3" s="16">
        <v>0</v>
      </c>
      <c r="AU3">
        <v>0</v>
      </c>
      <c r="AV3">
        <v>0</v>
      </c>
      <c r="AW3">
        <v>0</v>
      </c>
      <c r="AX3" s="16">
        <v>0</v>
      </c>
      <c r="AY3">
        <v>0</v>
      </c>
      <c r="AZ3">
        <v>2192</v>
      </c>
      <c r="BA3">
        <v>0</v>
      </c>
      <c r="BB3">
        <v>0</v>
      </c>
      <c r="BC3">
        <v>438.4</v>
      </c>
      <c r="BD3">
        <v>0</v>
      </c>
      <c r="BE3">
        <v>0</v>
      </c>
      <c r="BF3">
        <v>0</v>
      </c>
      <c r="BG3">
        <v>0</v>
      </c>
      <c r="BH3">
        <v>2630.4</v>
      </c>
      <c r="BI3">
        <v>2192</v>
      </c>
      <c r="BJ3" t="str">
        <f t="shared" si="12"/>
        <v>41</v>
      </c>
      <c r="BK3" t="str">
        <f t="shared" si="13"/>
        <v>VI</v>
      </c>
    </row>
    <row r="4" spans="1:63">
      <c r="A4" t="str">
        <f>"185900"</f>
        <v>185900</v>
      </c>
      <c r="B4" t="str">
        <f>"HERAKLES"</f>
        <v>HERAKLES</v>
      </c>
      <c r="C4" t="str">
        <f>"16218"</f>
        <v>16218</v>
      </c>
      <c r="D4" t="str">
        <f>"121 500089721"</f>
        <v>121 500089721</v>
      </c>
      <c r="E4" t="str">
        <f t="shared" si="14"/>
        <v xml:space="preserve"> </v>
      </c>
      <c r="F4" s="14">
        <v>42124</v>
      </c>
      <c r="G4" t="str">
        <f t="shared" si="0"/>
        <v xml:space="preserve"> </v>
      </c>
      <c r="H4" t="str">
        <f t="shared" si="0"/>
        <v xml:space="preserve"> </v>
      </c>
      <c r="J4" s="14">
        <v>42165</v>
      </c>
      <c r="K4" t="str">
        <f t="shared" si="1"/>
        <v xml:space="preserve"> </v>
      </c>
      <c r="L4">
        <v>5932</v>
      </c>
      <c r="M4" s="15">
        <v>0</v>
      </c>
      <c r="N4" s="16">
        <v>1</v>
      </c>
      <c r="O4" t="str">
        <f t="shared" si="2"/>
        <v>EUR</v>
      </c>
      <c r="P4" s="13" t="str">
        <f>"16218"</f>
        <v>16218</v>
      </c>
      <c r="Q4" t="str">
        <f t="shared" si="3"/>
        <v>01</v>
      </c>
      <c r="R4" s="15">
        <v>5932</v>
      </c>
      <c r="S4" t="str">
        <f t="shared" si="4"/>
        <v xml:space="preserve"> </v>
      </c>
      <c r="T4" t="str">
        <f t="shared" si="4"/>
        <v xml:space="preserve"> </v>
      </c>
      <c r="U4" t="str">
        <f t="shared" si="4"/>
        <v xml:space="preserve"> </v>
      </c>
      <c r="V4" s="15">
        <v>5932</v>
      </c>
      <c r="W4" s="13">
        <v>1</v>
      </c>
      <c r="X4" t="str">
        <f>"HERAKLES"</f>
        <v>HERAKLES</v>
      </c>
      <c r="Y4" t="str">
        <f t="shared" si="5"/>
        <v>MP</v>
      </c>
      <c r="Z4" s="14">
        <v>42165</v>
      </c>
      <c r="AA4" t="str">
        <f t="shared" si="6"/>
        <v xml:space="preserve"> </v>
      </c>
      <c r="AB4" s="15">
        <v>0</v>
      </c>
      <c r="AC4" t="str">
        <f>"HERAKLES"</f>
        <v>HERAKLES</v>
      </c>
      <c r="AD4" t="str">
        <f t="shared" si="7"/>
        <v xml:space="preserve"> </v>
      </c>
      <c r="AE4" t="str">
        <f>"33187"</f>
        <v>33187</v>
      </c>
      <c r="AF4" t="str">
        <f>"LE HAILLAN CEDEX"</f>
        <v>LE HAILLAN CEDEX</v>
      </c>
      <c r="AG4" t="str">
        <f t="shared" si="8"/>
        <v xml:space="preserve"> </v>
      </c>
      <c r="AH4" t="str">
        <f t="shared" si="9"/>
        <v>F</v>
      </c>
      <c r="AI4" s="14">
        <v>42122</v>
      </c>
      <c r="AJ4">
        <v>0</v>
      </c>
      <c r="AL4">
        <v>0</v>
      </c>
      <c r="AN4" t="str">
        <f t="shared" si="10"/>
        <v>DEBARROS</v>
      </c>
      <c r="AO4" t="str">
        <f>"HERAKLES"</f>
        <v>HERAKLES</v>
      </c>
      <c r="AP4" t="str">
        <f t="shared" si="11"/>
        <v xml:space="preserve"> </v>
      </c>
      <c r="AQ4" s="15">
        <v>0</v>
      </c>
      <c r="AR4" s="16">
        <v>0</v>
      </c>
      <c r="AS4" s="16">
        <v>0</v>
      </c>
      <c r="AT4" s="16">
        <v>0</v>
      </c>
      <c r="AU4">
        <v>0</v>
      </c>
      <c r="AV4">
        <v>0</v>
      </c>
      <c r="AW4">
        <v>0</v>
      </c>
      <c r="AX4" s="16">
        <v>0</v>
      </c>
      <c r="AY4">
        <v>0</v>
      </c>
      <c r="AZ4">
        <v>5932</v>
      </c>
      <c r="BA4">
        <v>0</v>
      </c>
      <c r="BB4">
        <v>0</v>
      </c>
      <c r="BC4">
        <v>1186.4000000000001</v>
      </c>
      <c r="BD4">
        <v>0</v>
      </c>
      <c r="BE4">
        <v>0</v>
      </c>
      <c r="BF4">
        <v>0</v>
      </c>
      <c r="BG4">
        <v>0</v>
      </c>
      <c r="BH4">
        <v>7118.4</v>
      </c>
      <c r="BI4">
        <v>5932</v>
      </c>
      <c r="BJ4" t="str">
        <f t="shared" si="12"/>
        <v>41</v>
      </c>
      <c r="BK4" t="str">
        <f t="shared" si="13"/>
        <v>VI</v>
      </c>
    </row>
    <row r="5" spans="1:63">
      <c r="A5" t="str">
        <f>"202302"</f>
        <v>202302</v>
      </c>
      <c r="B5" t="str">
        <f>"VALLOUREC DRILLING"</f>
        <v>VALLOUREC DRILLING</v>
      </c>
      <c r="C5" t="str">
        <f>"16217"</f>
        <v>16217</v>
      </c>
      <c r="D5" t="str">
        <f>"35011852 POSTE 50"</f>
        <v>35011852 POSTE 50</v>
      </c>
      <c r="E5" t="str">
        <f t="shared" si="14"/>
        <v xml:space="preserve"> </v>
      </c>
      <c r="F5" s="14">
        <v>42124</v>
      </c>
      <c r="G5" t="str">
        <f t="shared" si="0"/>
        <v xml:space="preserve"> </v>
      </c>
      <c r="H5" t="str">
        <f t="shared" si="0"/>
        <v xml:space="preserve"> </v>
      </c>
      <c r="J5" s="14">
        <v>42160</v>
      </c>
      <c r="K5" t="str">
        <f t="shared" si="1"/>
        <v xml:space="preserve"> </v>
      </c>
      <c r="L5">
        <v>1350</v>
      </c>
      <c r="M5" s="15">
        <v>0</v>
      </c>
      <c r="N5" s="16">
        <v>1</v>
      </c>
      <c r="O5" t="str">
        <f t="shared" si="2"/>
        <v>EUR</v>
      </c>
      <c r="P5" s="13" t="str">
        <f>"16217"</f>
        <v>16217</v>
      </c>
      <c r="Q5" t="str">
        <f t="shared" si="3"/>
        <v>01</v>
      </c>
      <c r="R5" s="15">
        <v>1350</v>
      </c>
      <c r="S5" t="str">
        <f t="shared" si="4"/>
        <v xml:space="preserve"> </v>
      </c>
      <c r="T5" t="str">
        <f t="shared" si="4"/>
        <v xml:space="preserve"> </v>
      </c>
      <c r="U5" t="str">
        <f t="shared" si="4"/>
        <v xml:space="preserve"> </v>
      </c>
      <c r="V5" s="15">
        <v>1350</v>
      </c>
      <c r="W5" s="13">
        <v>1</v>
      </c>
      <c r="X5" t="str">
        <f>"VALLOUREC DRILLING"</f>
        <v>VALLOUREC DRILLING</v>
      </c>
      <c r="Y5" t="str">
        <f t="shared" si="5"/>
        <v>MP</v>
      </c>
      <c r="Z5" s="14">
        <v>42160</v>
      </c>
      <c r="AA5" t="str">
        <f t="shared" si="6"/>
        <v xml:space="preserve"> </v>
      </c>
      <c r="AB5" s="15">
        <v>0</v>
      </c>
      <c r="AC5" t="str">
        <f>"VALLOUREC DRILLING PRODUCTS FRANCE"</f>
        <v>VALLOUREC DRILLING PRODUCTS FRANCE</v>
      </c>
      <c r="AD5" t="str">
        <f t="shared" si="7"/>
        <v xml:space="preserve"> </v>
      </c>
      <c r="AE5" t="str">
        <f>"65000"</f>
        <v>65000</v>
      </c>
      <c r="AF5" t="str">
        <f>"TARBES"</f>
        <v>TARBES</v>
      </c>
      <c r="AG5" t="str">
        <f t="shared" si="8"/>
        <v xml:space="preserve"> </v>
      </c>
      <c r="AH5" t="str">
        <f t="shared" si="9"/>
        <v>F</v>
      </c>
      <c r="AI5" s="14">
        <v>42122</v>
      </c>
      <c r="AJ5">
        <v>0</v>
      </c>
      <c r="AL5">
        <v>0</v>
      </c>
      <c r="AN5" t="str">
        <f t="shared" si="10"/>
        <v>DEBARROS</v>
      </c>
      <c r="AO5" t="str">
        <f>"VALLOUREC DRILLING PRODUCTS FRANCE"</f>
        <v>VALLOUREC DRILLING PRODUCTS FRANCE</v>
      </c>
      <c r="AP5" t="str">
        <f t="shared" si="11"/>
        <v xml:space="preserve"> </v>
      </c>
      <c r="AQ5" s="15">
        <v>0</v>
      </c>
      <c r="AR5" s="16">
        <v>0</v>
      </c>
      <c r="AS5" s="16">
        <v>0</v>
      </c>
      <c r="AT5" s="16">
        <v>0</v>
      </c>
      <c r="AU5">
        <v>0</v>
      </c>
      <c r="AV5">
        <v>0</v>
      </c>
      <c r="AW5">
        <v>0</v>
      </c>
      <c r="AX5" s="16">
        <v>0</v>
      </c>
      <c r="AY5">
        <v>0</v>
      </c>
      <c r="AZ5">
        <v>1350</v>
      </c>
      <c r="BA5">
        <v>0</v>
      </c>
      <c r="BB5">
        <v>0</v>
      </c>
      <c r="BC5">
        <v>270</v>
      </c>
      <c r="BD5">
        <v>0</v>
      </c>
      <c r="BE5">
        <v>0</v>
      </c>
      <c r="BF5">
        <v>0</v>
      </c>
      <c r="BG5">
        <v>0</v>
      </c>
      <c r="BH5">
        <v>1620</v>
      </c>
      <c r="BI5">
        <v>1350</v>
      </c>
      <c r="BJ5" t="str">
        <f t="shared" si="12"/>
        <v>41</v>
      </c>
      <c r="BK5" t="str">
        <f t="shared" si="13"/>
        <v>VI</v>
      </c>
    </row>
    <row r="6" spans="1:63">
      <c r="A6" t="str">
        <f>"202302"</f>
        <v>202302</v>
      </c>
      <c r="B6" t="str">
        <f>"VALLOUREC DRILLING"</f>
        <v>VALLOUREC DRILLING</v>
      </c>
      <c r="C6" t="str">
        <f>"16216"</f>
        <v>16216</v>
      </c>
      <c r="D6" t="str">
        <f>"35011852 POSTE 40"</f>
        <v>35011852 POSTE 40</v>
      </c>
      <c r="E6" t="str">
        <f t="shared" si="14"/>
        <v xml:space="preserve"> </v>
      </c>
      <c r="F6" s="14">
        <v>42124</v>
      </c>
      <c r="G6" t="str">
        <f t="shared" si="0"/>
        <v xml:space="preserve"> </v>
      </c>
      <c r="H6" t="str">
        <f t="shared" si="0"/>
        <v xml:space="preserve"> </v>
      </c>
      <c r="J6" s="14">
        <v>42167</v>
      </c>
      <c r="K6" t="str">
        <f t="shared" si="1"/>
        <v xml:space="preserve"> </v>
      </c>
      <c r="L6">
        <v>650</v>
      </c>
      <c r="M6" s="15">
        <v>0</v>
      </c>
      <c r="N6" s="16">
        <v>1</v>
      </c>
      <c r="O6" t="str">
        <f t="shared" si="2"/>
        <v>EUR</v>
      </c>
      <c r="P6" s="13" t="str">
        <f>"16216"</f>
        <v>16216</v>
      </c>
      <c r="Q6" t="str">
        <f t="shared" si="3"/>
        <v>01</v>
      </c>
      <c r="R6" s="15">
        <v>650</v>
      </c>
      <c r="S6" t="str">
        <f t="shared" si="4"/>
        <v xml:space="preserve"> </v>
      </c>
      <c r="T6" t="str">
        <f t="shared" si="4"/>
        <v xml:space="preserve"> </v>
      </c>
      <c r="U6" t="str">
        <f t="shared" si="4"/>
        <v xml:space="preserve"> </v>
      </c>
      <c r="V6" s="15">
        <v>650</v>
      </c>
      <c r="W6" s="13">
        <v>1</v>
      </c>
      <c r="X6" t="str">
        <f>"VALLOUREC DRILLING"</f>
        <v>VALLOUREC DRILLING</v>
      </c>
      <c r="Y6" t="str">
        <f t="shared" si="5"/>
        <v>MP</v>
      </c>
      <c r="Z6" s="14">
        <v>42167</v>
      </c>
      <c r="AA6" t="str">
        <f t="shared" si="6"/>
        <v xml:space="preserve"> </v>
      </c>
      <c r="AB6" s="15">
        <v>0</v>
      </c>
      <c r="AC6" t="str">
        <f>"VALLOUREC DRILLING PRODUCTS FRANCE"</f>
        <v>VALLOUREC DRILLING PRODUCTS FRANCE</v>
      </c>
      <c r="AD6" t="str">
        <f t="shared" si="7"/>
        <v xml:space="preserve"> </v>
      </c>
      <c r="AE6" t="str">
        <f>"65000"</f>
        <v>65000</v>
      </c>
      <c r="AF6" t="str">
        <f>"TARBES"</f>
        <v>TARBES</v>
      </c>
      <c r="AG6" t="str">
        <f t="shared" si="8"/>
        <v xml:space="preserve"> </v>
      </c>
      <c r="AH6" t="str">
        <f t="shared" si="9"/>
        <v>F</v>
      </c>
      <c r="AI6" s="14">
        <v>42122</v>
      </c>
      <c r="AJ6">
        <v>0</v>
      </c>
      <c r="AL6">
        <v>0</v>
      </c>
      <c r="AN6" t="str">
        <f t="shared" si="10"/>
        <v>DEBARROS</v>
      </c>
      <c r="AO6" t="str">
        <f>"VALLOUREC DRILLING PRODUCTS FRANCE"</f>
        <v>VALLOUREC DRILLING PRODUCTS FRANCE</v>
      </c>
      <c r="AP6" t="str">
        <f t="shared" si="11"/>
        <v xml:space="preserve"> </v>
      </c>
      <c r="AQ6" s="15">
        <v>0</v>
      </c>
      <c r="AR6" s="16">
        <v>0</v>
      </c>
      <c r="AS6" s="16">
        <v>0</v>
      </c>
      <c r="AT6" s="16">
        <v>0</v>
      </c>
      <c r="AU6">
        <v>0</v>
      </c>
      <c r="AV6">
        <v>0</v>
      </c>
      <c r="AW6">
        <v>0</v>
      </c>
      <c r="AX6" s="16">
        <v>0</v>
      </c>
      <c r="AY6">
        <v>0</v>
      </c>
      <c r="AZ6">
        <v>650</v>
      </c>
      <c r="BA6">
        <v>0</v>
      </c>
      <c r="BB6">
        <v>0</v>
      </c>
      <c r="BC6">
        <v>130</v>
      </c>
      <c r="BD6">
        <v>0</v>
      </c>
      <c r="BE6">
        <v>0</v>
      </c>
      <c r="BF6">
        <v>0</v>
      </c>
      <c r="BG6">
        <v>0</v>
      </c>
      <c r="BH6">
        <v>780</v>
      </c>
      <c r="BI6">
        <v>650</v>
      </c>
      <c r="BJ6" t="str">
        <f t="shared" si="12"/>
        <v>41</v>
      </c>
      <c r="BK6" t="str">
        <f t="shared" si="13"/>
        <v>VI</v>
      </c>
    </row>
    <row r="7" spans="1:63">
      <c r="A7" t="str">
        <f>"202302"</f>
        <v>202302</v>
      </c>
      <c r="B7" t="str">
        <f>"VALLOUREC DRILLING"</f>
        <v>VALLOUREC DRILLING</v>
      </c>
      <c r="C7" t="str">
        <f>"16215"</f>
        <v>16215</v>
      </c>
      <c r="D7" t="str">
        <f>"35011852 POSTE 30"</f>
        <v>35011852 POSTE 30</v>
      </c>
      <c r="E7" t="str">
        <f t="shared" si="14"/>
        <v xml:space="preserve"> </v>
      </c>
      <c r="F7" s="14">
        <v>42124</v>
      </c>
      <c r="G7" t="str">
        <f t="shared" si="0"/>
        <v xml:space="preserve"> </v>
      </c>
      <c r="H7" t="str">
        <f t="shared" si="0"/>
        <v xml:space="preserve"> </v>
      </c>
      <c r="J7" s="14">
        <v>42160</v>
      </c>
      <c r="K7" t="str">
        <f t="shared" si="1"/>
        <v xml:space="preserve"> </v>
      </c>
      <c r="L7">
        <v>620</v>
      </c>
      <c r="M7" s="15">
        <v>0</v>
      </c>
      <c r="N7" s="16">
        <v>1</v>
      </c>
      <c r="O7" t="str">
        <f t="shared" si="2"/>
        <v>EUR</v>
      </c>
      <c r="P7" s="13" t="str">
        <f>"16215"</f>
        <v>16215</v>
      </c>
      <c r="Q7" t="str">
        <f t="shared" si="3"/>
        <v>01</v>
      </c>
      <c r="R7" s="15">
        <v>620</v>
      </c>
      <c r="S7" t="str">
        <f t="shared" si="4"/>
        <v xml:space="preserve"> </v>
      </c>
      <c r="T7" t="str">
        <f t="shared" si="4"/>
        <v xml:space="preserve"> </v>
      </c>
      <c r="U7" t="str">
        <f t="shared" si="4"/>
        <v xml:space="preserve"> </v>
      </c>
      <c r="V7" s="15">
        <v>620</v>
      </c>
      <c r="W7" s="13">
        <v>1</v>
      </c>
      <c r="X7" t="str">
        <f>"VALLOUREC DRILLING"</f>
        <v>VALLOUREC DRILLING</v>
      </c>
      <c r="Y7" t="str">
        <f t="shared" si="5"/>
        <v>MP</v>
      </c>
      <c r="Z7" s="14">
        <v>42160</v>
      </c>
      <c r="AA7" t="str">
        <f t="shared" si="6"/>
        <v xml:space="preserve"> </v>
      </c>
      <c r="AB7" s="15">
        <v>0</v>
      </c>
      <c r="AC7" t="str">
        <f>"VALLOUREC DRILLING PRODUCTS FRANCE"</f>
        <v>VALLOUREC DRILLING PRODUCTS FRANCE</v>
      </c>
      <c r="AD7" t="str">
        <f t="shared" si="7"/>
        <v xml:space="preserve"> </v>
      </c>
      <c r="AE7" t="str">
        <f>"65000"</f>
        <v>65000</v>
      </c>
      <c r="AF7" t="str">
        <f>"TARBES"</f>
        <v>TARBES</v>
      </c>
      <c r="AG7" t="str">
        <f t="shared" si="8"/>
        <v xml:space="preserve"> </v>
      </c>
      <c r="AH7" t="str">
        <f t="shared" si="9"/>
        <v>F</v>
      </c>
      <c r="AI7" s="14">
        <v>42122</v>
      </c>
      <c r="AJ7">
        <v>0</v>
      </c>
      <c r="AL7">
        <v>0</v>
      </c>
      <c r="AN7" t="str">
        <f t="shared" si="10"/>
        <v>DEBARROS</v>
      </c>
      <c r="AO7" t="str">
        <f>"VALLOUREC DRILLING PRODUCTS FRANCE"</f>
        <v>VALLOUREC DRILLING PRODUCTS FRANCE</v>
      </c>
      <c r="AP7" t="str">
        <f t="shared" si="11"/>
        <v xml:space="preserve"> </v>
      </c>
      <c r="AQ7" s="15">
        <v>0</v>
      </c>
      <c r="AR7" s="16">
        <v>0</v>
      </c>
      <c r="AS7" s="16">
        <v>0</v>
      </c>
      <c r="AT7" s="16">
        <v>0</v>
      </c>
      <c r="AU7">
        <v>0</v>
      </c>
      <c r="AV7">
        <v>0</v>
      </c>
      <c r="AW7">
        <v>0</v>
      </c>
      <c r="AX7" s="16">
        <v>0</v>
      </c>
      <c r="AY7">
        <v>0</v>
      </c>
      <c r="AZ7">
        <v>620</v>
      </c>
      <c r="BA7">
        <v>0</v>
      </c>
      <c r="BB7">
        <v>0</v>
      </c>
      <c r="BC7">
        <v>124</v>
      </c>
      <c r="BD7">
        <v>0</v>
      </c>
      <c r="BE7">
        <v>0</v>
      </c>
      <c r="BF7">
        <v>0</v>
      </c>
      <c r="BG7">
        <v>0</v>
      </c>
      <c r="BH7">
        <v>744</v>
      </c>
      <c r="BI7">
        <v>620</v>
      </c>
      <c r="BJ7" t="str">
        <f t="shared" si="12"/>
        <v>41</v>
      </c>
      <c r="BK7" t="str">
        <f t="shared" si="13"/>
        <v>VI</v>
      </c>
    </row>
    <row r="8" spans="1:63">
      <c r="A8" t="str">
        <f>"202302"</f>
        <v>202302</v>
      </c>
      <c r="B8" t="str">
        <f>"VALLOUREC DRILLING"</f>
        <v>VALLOUREC DRILLING</v>
      </c>
      <c r="C8" t="str">
        <f>"16214"</f>
        <v>16214</v>
      </c>
      <c r="D8" t="str">
        <f>"35011852 POSTE 20"</f>
        <v>35011852 POSTE 20</v>
      </c>
      <c r="E8" t="str">
        <f t="shared" si="14"/>
        <v xml:space="preserve"> </v>
      </c>
      <c r="F8" s="14">
        <v>42124</v>
      </c>
      <c r="G8" t="str">
        <f t="shared" si="0"/>
        <v xml:space="preserve"> </v>
      </c>
      <c r="H8" t="str">
        <f t="shared" si="0"/>
        <v xml:space="preserve"> </v>
      </c>
      <c r="J8" s="14">
        <v>42153</v>
      </c>
      <c r="K8" t="str">
        <f t="shared" si="1"/>
        <v xml:space="preserve"> </v>
      </c>
      <c r="L8">
        <v>1350</v>
      </c>
      <c r="M8" s="15">
        <v>0</v>
      </c>
      <c r="N8" s="16">
        <v>1</v>
      </c>
      <c r="O8" t="str">
        <f t="shared" si="2"/>
        <v>EUR</v>
      </c>
      <c r="P8" s="13" t="str">
        <f>"16214"</f>
        <v>16214</v>
      </c>
      <c r="Q8" t="str">
        <f t="shared" si="3"/>
        <v>01</v>
      </c>
      <c r="R8" s="15">
        <v>1350</v>
      </c>
      <c r="S8" t="str">
        <f t="shared" si="4"/>
        <v xml:space="preserve"> </v>
      </c>
      <c r="T8" t="str">
        <f t="shared" si="4"/>
        <v xml:space="preserve"> </v>
      </c>
      <c r="U8" t="str">
        <f t="shared" si="4"/>
        <v xml:space="preserve"> </v>
      </c>
      <c r="V8" s="15">
        <v>1350</v>
      </c>
      <c r="W8" s="13">
        <v>1</v>
      </c>
      <c r="X8" t="str">
        <f>"VALLOUREC DRILLING"</f>
        <v>VALLOUREC DRILLING</v>
      </c>
      <c r="Y8" t="str">
        <f t="shared" si="5"/>
        <v>MP</v>
      </c>
      <c r="Z8" s="14">
        <v>42153</v>
      </c>
      <c r="AA8" t="str">
        <f t="shared" si="6"/>
        <v xml:space="preserve"> </v>
      </c>
      <c r="AB8" s="15">
        <v>0</v>
      </c>
      <c r="AC8" t="str">
        <f>"VALLOUREC DRILLING PRODUCTS FRANCE"</f>
        <v>VALLOUREC DRILLING PRODUCTS FRANCE</v>
      </c>
      <c r="AD8" t="str">
        <f t="shared" si="7"/>
        <v xml:space="preserve"> </v>
      </c>
      <c r="AE8" t="str">
        <f>"65000"</f>
        <v>65000</v>
      </c>
      <c r="AF8" t="str">
        <f>"TARBES"</f>
        <v>TARBES</v>
      </c>
      <c r="AG8" t="str">
        <f t="shared" si="8"/>
        <v xml:space="preserve"> </v>
      </c>
      <c r="AH8" t="str">
        <f t="shared" si="9"/>
        <v>F</v>
      </c>
      <c r="AI8" s="14">
        <v>42122</v>
      </c>
      <c r="AJ8">
        <v>0</v>
      </c>
      <c r="AL8">
        <v>0</v>
      </c>
      <c r="AN8" t="str">
        <f t="shared" si="10"/>
        <v>DEBARROS</v>
      </c>
      <c r="AO8" t="str">
        <f>"VALLOUREC DRILLING PRODUCTS FRANCE"</f>
        <v>VALLOUREC DRILLING PRODUCTS FRANCE</v>
      </c>
      <c r="AP8" t="str">
        <f t="shared" si="11"/>
        <v xml:space="preserve"> </v>
      </c>
      <c r="AQ8" s="15">
        <v>0</v>
      </c>
      <c r="AR8" s="16">
        <v>0</v>
      </c>
      <c r="AS8" s="16">
        <v>0</v>
      </c>
      <c r="AT8" s="16">
        <v>0</v>
      </c>
      <c r="AU8">
        <v>0</v>
      </c>
      <c r="AV8">
        <v>0</v>
      </c>
      <c r="AW8">
        <v>0</v>
      </c>
      <c r="AX8" s="16">
        <v>0</v>
      </c>
      <c r="AY8">
        <v>0</v>
      </c>
      <c r="AZ8">
        <v>1350</v>
      </c>
      <c r="BA8">
        <v>0</v>
      </c>
      <c r="BB8">
        <v>0</v>
      </c>
      <c r="BC8">
        <v>270</v>
      </c>
      <c r="BD8">
        <v>0</v>
      </c>
      <c r="BE8">
        <v>0</v>
      </c>
      <c r="BF8">
        <v>0</v>
      </c>
      <c r="BG8">
        <v>0</v>
      </c>
      <c r="BH8">
        <v>1620</v>
      </c>
      <c r="BI8">
        <v>1350</v>
      </c>
      <c r="BJ8" t="str">
        <f t="shared" si="12"/>
        <v>41</v>
      </c>
      <c r="BK8" t="str">
        <f t="shared" si="13"/>
        <v>VI</v>
      </c>
    </row>
    <row r="9" spans="1:63">
      <c r="A9" t="str">
        <f>"101000"</f>
        <v>101000</v>
      </c>
      <c r="B9" t="str">
        <f>"AIRBUS"</f>
        <v>AIRBUS</v>
      </c>
      <c r="C9" t="str">
        <f>"16213"</f>
        <v>16213</v>
      </c>
      <c r="D9" t="str">
        <f>"4572049952"</f>
        <v>4572049952</v>
      </c>
      <c r="E9" t="str">
        <f t="shared" si="14"/>
        <v xml:space="preserve"> </v>
      </c>
      <c r="F9" s="14">
        <v>42123</v>
      </c>
      <c r="G9" t="str">
        <f t="shared" si="0"/>
        <v xml:space="preserve"> </v>
      </c>
      <c r="H9" t="str">
        <f t="shared" si="0"/>
        <v xml:space="preserve"> </v>
      </c>
      <c r="J9" s="14">
        <v>42151</v>
      </c>
      <c r="K9" t="str">
        <f t="shared" si="1"/>
        <v xml:space="preserve"> </v>
      </c>
      <c r="L9">
        <v>1950</v>
      </c>
      <c r="M9" s="15">
        <v>0</v>
      </c>
      <c r="N9" s="16">
        <v>1</v>
      </c>
      <c r="O9" t="str">
        <f t="shared" si="2"/>
        <v>EUR</v>
      </c>
      <c r="P9" s="13" t="str">
        <f>"16213"</f>
        <v>16213</v>
      </c>
      <c r="Q9" t="str">
        <f t="shared" si="3"/>
        <v>01</v>
      </c>
      <c r="R9" s="15">
        <v>1950</v>
      </c>
      <c r="S9" t="str">
        <f t="shared" si="4"/>
        <v xml:space="preserve"> </v>
      </c>
      <c r="T9" t="str">
        <f t="shared" si="4"/>
        <v xml:space="preserve"> </v>
      </c>
      <c r="U9" t="str">
        <f t="shared" si="4"/>
        <v xml:space="preserve"> </v>
      </c>
      <c r="V9" s="15">
        <v>1950</v>
      </c>
      <c r="W9" s="13">
        <v>1</v>
      </c>
      <c r="X9" t="str">
        <f>"AIRBUS"</f>
        <v>AIRBUS</v>
      </c>
      <c r="Y9" t="str">
        <f t="shared" si="5"/>
        <v>MP</v>
      </c>
      <c r="Z9" s="14">
        <v>42151</v>
      </c>
      <c r="AA9" t="str">
        <f t="shared" si="6"/>
        <v xml:space="preserve"> </v>
      </c>
      <c r="AB9" s="15">
        <v>0</v>
      </c>
      <c r="AC9" t="str">
        <f>"Airbus D &amp; S "</f>
        <v xml:space="preserve">Airbus D &amp; S </v>
      </c>
      <c r="AD9" t="str">
        <f t="shared" si="7"/>
        <v xml:space="preserve"> </v>
      </c>
      <c r="AE9" t="str">
        <f>"33165"</f>
        <v>33165</v>
      </c>
      <c r="AF9" t="str">
        <f>"SAINT MEDARD EN JALLES"</f>
        <v>SAINT MEDARD EN JALLES</v>
      </c>
      <c r="AG9" t="str">
        <f t="shared" si="8"/>
        <v xml:space="preserve"> </v>
      </c>
      <c r="AH9" t="str">
        <f t="shared" si="9"/>
        <v>F</v>
      </c>
      <c r="AI9" s="14">
        <v>42128</v>
      </c>
      <c r="AJ9">
        <v>0</v>
      </c>
      <c r="AL9">
        <v>0</v>
      </c>
      <c r="AN9" t="str">
        <f t="shared" si="10"/>
        <v>DEBARROS</v>
      </c>
      <c r="AO9" t="str">
        <f>"Airbus D &amp; S"</f>
        <v>Airbus D &amp; S</v>
      </c>
      <c r="AP9" t="str">
        <f t="shared" si="11"/>
        <v xml:space="preserve"> </v>
      </c>
      <c r="AQ9" s="15">
        <v>0</v>
      </c>
      <c r="AR9" s="16">
        <v>0</v>
      </c>
      <c r="AS9" s="16">
        <v>0</v>
      </c>
      <c r="AT9" s="16">
        <v>0</v>
      </c>
      <c r="AU9">
        <v>0</v>
      </c>
      <c r="AV9">
        <v>0</v>
      </c>
      <c r="AW9">
        <v>0</v>
      </c>
      <c r="AX9" s="16">
        <v>0</v>
      </c>
      <c r="AY9">
        <v>0</v>
      </c>
      <c r="AZ9">
        <v>1950</v>
      </c>
      <c r="BA9">
        <v>0</v>
      </c>
      <c r="BB9">
        <v>0</v>
      </c>
      <c r="BC9">
        <v>390</v>
      </c>
      <c r="BD9">
        <v>0</v>
      </c>
      <c r="BE9">
        <v>0</v>
      </c>
      <c r="BF9">
        <v>0</v>
      </c>
      <c r="BG9">
        <v>0</v>
      </c>
      <c r="BH9">
        <v>2340</v>
      </c>
      <c r="BI9">
        <v>1950</v>
      </c>
      <c r="BJ9" t="str">
        <f t="shared" si="12"/>
        <v>41</v>
      </c>
      <c r="BK9" t="str">
        <f t="shared" si="13"/>
        <v>VI</v>
      </c>
    </row>
    <row r="10" spans="1:63">
      <c r="A10" t="str">
        <f>"101000"</f>
        <v>101000</v>
      </c>
      <c r="B10" t="str">
        <f>"AIRBUS"</f>
        <v>AIRBUS</v>
      </c>
      <c r="C10" t="str">
        <f>"16212"</f>
        <v>16212</v>
      </c>
      <c r="D10" t="str">
        <f>"4572049952"</f>
        <v>4572049952</v>
      </c>
      <c r="E10" t="str">
        <f t="shared" si="14"/>
        <v xml:space="preserve"> </v>
      </c>
      <c r="F10" s="14">
        <v>42123</v>
      </c>
      <c r="G10" t="str">
        <f t="shared" si="0"/>
        <v xml:space="preserve"> </v>
      </c>
      <c r="H10" t="str">
        <f t="shared" si="0"/>
        <v xml:space="preserve"> </v>
      </c>
      <c r="J10" s="14">
        <v>42151</v>
      </c>
      <c r="K10" t="str">
        <f t="shared" si="1"/>
        <v xml:space="preserve"> </v>
      </c>
      <c r="L10">
        <v>1950</v>
      </c>
      <c r="M10" s="15">
        <v>0</v>
      </c>
      <c r="N10" s="16">
        <v>1</v>
      </c>
      <c r="O10" t="str">
        <f t="shared" si="2"/>
        <v>EUR</v>
      </c>
      <c r="P10" s="13" t="str">
        <f>"16212"</f>
        <v>16212</v>
      </c>
      <c r="Q10" t="str">
        <f t="shared" si="3"/>
        <v>01</v>
      </c>
      <c r="R10" s="15">
        <v>1950</v>
      </c>
      <c r="S10" t="str">
        <f t="shared" si="4"/>
        <v xml:space="preserve"> </v>
      </c>
      <c r="T10" t="str">
        <f t="shared" si="4"/>
        <v xml:space="preserve"> </v>
      </c>
      <c r="U10" t="str">
        <f t="shared" si="4"/>
        <v xml:space="preserve"> </v>
      </c>
      <c r="V10" s="15">
        <v>1950</v>
      </c>
      <c r="W10" s="13">
        <v>1</v>
      </c>
      <c r="X10" t="str">
        <f>"AIRBUS"</f>
        <v>AIRBUS</v>
      </c>
      <c r="Y10" t="str">
        <f t="shared" si="5"/>
        <v>MP</v>
      </c>
      <c r="Z10" s="14">
        <v>42151</v>
      </c>
      <c r="AA10" t="str">
        <f t="shared" si="6"/>
        <v xml:space="preserve"> </v>
      </c>
      <c r="AB10" s="15">
        <v>0</v>
      </c>
      <c r="AC10" t="str">
        <f>"Airbus D &amp; S "</f>
        <v xml:space="preserve">Airbus D &amp; S </v>
      </c>
      <c r="AD10" t="str">
        <f t="shared" si="7"/>
        <v xml:space="preserve"> </v>
      </c>
      <c r="AE10" t="str">
        <f>"33165"</f>
        <v>33165</v>
      </c>
      <c r="AF10" t="str">
        <f>"SAINT MEDARD EN JALLES"</f>
        <v>SAINT MEDARD EN JALLES</v>
      </c>
      <c r="AG10" t="str">
        <f t="shared" si="8"/>
        <v xml:space="preserve"> </v>
      </c>
      <c r="AH10" t="str">
        <f t="shared" si="9"/>
        <v>F</v>
      </c>
      <c r="AI10" s="14">
        <v>42128</v>
      </c>
      <c r="AJ10">
        <v>0</v>
      </c>
      <c r="AL10">
        <v>0</v>
      </c>
      <c r="AN10" t="str">
        <f t="shared" si="10"/>
        <v>DEBARROS</v>
      </c>
      <c r="AO10" t="str">
        <f>"Airbus D &amp; S"</f>
        <v>Airbus D &amp; S</v>
      </c>
      <c r="AP10" t="str">
        <f t="shared" si="11"/>
        <v xml:space="preserve"> </v>
      </c>
      <c r="AQ10" s="15">
        <v>0</v>
      </c>
      <c r="AR10" s="16">
        <v>0</v>
      </c>
      <c r="AS10" s="16">
        <v>0</v>
      </c>
      <c r="AT10" s="16">
        <v>0</v>
      </c>
      <c r="AU10">
        <v>0</v>
      </c>
      <c r="AV10">
        <v>0</v>
      </c>
      <c r="AW10">
        <v>0</v>
      </c>
      <c r="AX10" s="16">
        <v>0</v>
      </c>
      <c r="AY10">
        <v>0</v>
      </c>
      <c r="AZ10">
        <v>1950</v>
      </c>
      <c r="BA10">
        <v>0</v>
      </c>
      <c r="BB10">
        <v>0</v>
      </c>
      <c r="BC10">
        <v>390</v>
      </c>
      <c r="BD10">
        <v>0</v>
      </c>
      <c r="BE10">
        <v>0</v>
      </c>
      <c r="BF10">
        <v>0</v>
      </c>
      <c r="BG10">
        <v>0</v>
      </c>
      <c r="BH10">
        <v>2340</v>
      </c>
      <c r="BI10">
        <v>1950</v>
      </c>
      <c r="BJ10" t="str">
        <f t="shared" si="12"/>
        <v>41</v>
      </c>
      <c r="BK10" t="str">
        <f t="shared" si="13"/>
        <v>VI</v>
      </c>
    </row>
    <row r="11" spans="1:63">
      <c r="A11" t="str">
        <f>"101000"</f>
        <v>101000</v>
      </c>
      <c r="B11" t="str">
        <f>"AIRBUS"</f>
        <v>AIRBUS</v>
      </c>
      <c r="C11" t="str">
        <f>"16211"</f>
        <v>16211</v>
      </c>
      <c r="D11" t="str">
        <f>"4572049952"</f>
        <v>4572049952</v>
      </c>
      <c r="E11" t="str">
        <f t="shared" si="14"/>
        <v xml:space="preserve"> </v>
      </c>
      <c r="F11" s="14">
        <v>42123</v>
      </c>
      <c r="G11" t="str">
        <f t="shared" si="0"/>
        <v xml:space="preserve"> </v>
      </c>
      <c r="H11" t="str">
        <f t="shared" si="0"/>
        <v xml:space="preserve"> </v>
      </c>
      <c r="J11" s="14">
        <v>42151</v>
      </c>
      <c r="K11" t="str">
        <f t="shared" si="1"/>
        <v xml:space="preserve"> </v>
      </c>
      <c r="L11">
        <v>1950</v>
      </c>
      <c r="M11" s="15">
        <v>0</v>
      </c>
      <c r="N11" s="16">
        <v>1</v>
      </c>
      <c r="O11" t="str">
        <f t="shared" si="2"/>
        <v>EUR</v>
      </c>
      <c r="P11" s="13" t="str">
        <f>"16211"</f>
        <v>16211</v>
      </c>
      <c r="Q11" t="str">
        <f t="shared" si="3"/>
        <v>01</v>
      </c>
      <c r="R11" s="15">
        <v>1950</v>
      </c>
      <c r="S11" t="str">
        <f t="shared" si="4"/>
        <v xml:space="preserve"> </v>
      </c>
      <c r="T11" t="str">
        <f t="shared" si="4"/>
        <v xml:space="preserve"> </v>
      </c>
      <c r="U11" t="str">
        <f t="shared" si="4"/>
        <v xml:space="preserve"> </v>
      </c>
      <c r="V11" s="15">
        <v>1950</v>
      </c>
      <c r="W11" s="13">
        <v>1</v>
      </c>
      <c r="X11" t="str">
        <f>"AIRBUS"</f>
        <v>AIRBUS</v>
      </c>
      <c r="Y11" t="str">
        <f t="shared" si="5"/>
        <v>MP</v>
      </c>
      <c r="Z11" s="14">
        <v>42151</v>
      </c>
      <c r="AA11" t="str">
        <f t="shared" si="6"/>
        <v xml:space="preserve"> </v>
      </c>
      <c r="AB11" s="15">
        <v>0</v>
      </c>
      <c r="AC11" t="str">
        <f>"Airbus D &amp; S "</f>
        <v xml:space="preserve">Airbus D &amp; S </v>
      </c>
      <c r="AD11" t="str">
        <f t="shared" si="7"/>
        <v xml:space="preserve"> </v>
      </c>
      <c r="AE11" t="str">
        <f>"33165"</f>
        <v>33165</v>
      </c>
      <c r="AF11" t="str">
        <f>"SAINT MEDARD EN JALLES"</f>
        <v>SAINT MEDARD EN JALLES</v>
      </c>
      <c r="AG11" t="str">
        <f t="shared" si="8"/>
        <v xml:space="preserve"> </v>
      </c>
      <c r="AH11" t="str">
        <f t="shared" si="9"/>
        <v>F</v>
      </c>
      <c r="AI11" s="14">
        <v>42128</v>
      </c>
      <c r="AJ11">
        <v>0</v>
      </c>
      <c r="AL11">
        <v>0</v>
      </c>
      <c r="AN11" t="str">
        <f t="shared" si="10"/>
        <v>DEBARROS</v>
      </c>
      <c r="AO11" t="str">
        <f>"Airbus D &amp; S"</f>
        <v>Airbus D &amp; S</v>
      </c>
      <c r="AP11" t="str">
        <f t="shared" si="11"/>
        <v xml:space="preserve"> </v>
      </c>
      <c r="AQ11" s="15">
        <v>0</v>
      </c>
      <c r="AR11" s="16">
        <v>0</v>
      </c>
      <c r="AS11" s="16">
        <v>0</v>
      </c>
      <c r="AT11" s="16">
        <v>0</v>
      </c>
      <c r="AU11">
        <v>0</v>
      </c>
      <c r="AV11">
        <v>0</v>
      </c>
      <c r="AW11">
        <v>0</v>
      </c>
      <c r="AX11" s="16">
        <v>0</v>
      </c>
      <c r="AY11">
        <v>0</v>
      </c>
      <c r="AZ11">
        <v>1950</v>
      </c>
      <c r="BA11">
        <v>0</v>
      </c>
      <c r="BB11">
        <v>0</v>
      </c>
      <c r="BC11">
        <v>390</v>
      </c>
      <c r="BD11">
        <v>0</v>
      </c>
      <c r="BE11">
        <v>0</v>
      </c>
      <c r="BF11">
        <v>0</v>
      </c>
      <c r="BG11">
        <v>0</v>
      </c>
      <c r="BH11">
        <v>2340</v>
      </c>
      <c r="BI11">
        <v>1950</v>
      </c>
      <c r="BJ11" t="str">
        <f t="shared" si="12"/>
        <v>41</v>
      </c>
      <c r="BK11" t="str">
        <f t="shared" si="13"/>
        <v>VI</v>
      </c>
    </row>
    <row r="12" spans="1:63">
      <c r="A12" t="str">
        <f>"101000"</f>
        <v>101000</v>
      </c>
      <c r="B12" t="str">
        <f>"AIRBUS"</f>
        <v>AIRBUS</v>
      </c>
      <c r="C12" t="str">
        <f>"16210"</f>
        <v>16210</v>
      </c>
      <c r="D12" t="str">
        <f>"4572049952"</f>
        <v>4572049952</v>
      </c>
      <c r="E12" t="str">
        <f t="shared" si="14"/>
        <v xml:space="preserve"> </v>
      </c>
      <c r="F12" s="14">
        <v>42123</v>
      </c>
      <c r="G12" t="str">
        <f t="shared" si="0"/>
        <v xml:space="preserve"> </v>
      </c>
      <c r="H12" t="str">
        <f t="shared" si="0"/>
        <v xml:space="preserve"> </v>
      </c>
      <c r="J12" s="14">
        <v>42151</v>
      </c>
      <c r="K12" t="str">
        <f t="shared" si="1"/>
        <v xml:space="preserve"> </v>
      </c>
      <c r="L12">
        <v>1950</v>
      </c>
      <c r="M12" s="15">
        <v>0</v>
      </c>
      <c r="N12" s="16">
        <v>1</v>
      </c>
      <c r="O12" t="str">
        <f t="shared" si="2"/>
        <v>EUR</v>
      </c>
      <c r="P12" s="13" t="str">
        <f>"16210"</f>
        <v>16210</v>
      </c>
      <c r="Q12" t="str">
        <f t="shared" si="3"/>
        <v>01</v>
      </c>
      <c r="R12" s="15">
        <v>1950</v>
      </c>
      <c r="S12" t="str">
        <f t="shared" si="4"/>
        <v xml:space="preserve"> </v>
      </c>
      <c r="T12" t="str">
        <f t="shared" si="4"/>
        <v xml:space="preserve"> </v>
      </c>
      <c r="U12" t="str">
        <f t="shared" si="4"/>
        <v xml:space="preserve"> </v>
      </c>
      <c r="V12" s="15">
        <v>1950</v>
      </c>
      <c r="W12" s="13">
        <v>1</v>
      </c>
      <c r="X12" t="str">
        <f>"AIRBUS"</f>
        <v>AIRBUS</v>
      </c>
      <c r="Y12" t="str">
        <f t="shared" si="5"/>
        <v>MP</v>
      </c>
      <c r="Z12" s="14">
        <v>42151</v>
      </c>
      <c r="AA12" t="str">
        <f t="shared" si="6"/>
        <v xml:space="preserve"> </v>
      </c>
      <c r="AB12" s="15">
        <v>0</v>
      </c>
      <c r="AC12" t="str">
        <f>"Airbus D &amp; S "</f>
        <v xml:space="preserve">Airbus D &amp; S </v>
      </c>
      <c r="AD12" t="str">
        <f t="shared" si="7"/>
        <v xml:space="preserve"> </v>
      </c>
      <c r="AE12" t="str">
        <f>"33165"</f>
        <v>33165</v>
      </c>
      <c r="AF12" t="str">
        <f>"SAINT MEDARD EN JALLES"</f>
        <v>SAINT MEDARD EN JALLES</v>
      </c>
      <c r="AG12" t="str">
        <f t="shared" si="8"/>
        <v xml:space="preserve"> </v>
      </c>
      <c r="AH12" t="str">
        <f t="shared" si="9"/>
        <v>F</v>
      </c>
      <c r="AI12" s="14">
        <v>42128</v>
      </c>
      <c r="AJ12">
        <v>0</v>
      </c>
      <c r="AL12">
        <v>0</v>
      </c>
      <c r="AN12" t="str">
        <f t="shared" si="10"/>
        <v>DEBARROS</v>
      </c>
      <c r="AO12" t="str">
        <f>"Airbus D &amp; S"</f>
        <v>Airbus D &amp; S</v>
      </c>
      <c r="AP12" t="str">
        <f t="shared" si="11"/>
        <v xml:space="preserve"> </v>
      </c>
      <c r="AQ12" s="15">
        <v>0</v>
      </c>
      <c r="AR12" s="16">
        <v>0</v>
      </c>
      <c r="AS12" s="16">
        <v>0</v>
      </c>
      <c r="AT12" s="16">
        <v>0</v>
      </c>
      <c r="AU12">
        <v>0</v>
      </c>
      <c r="AV12">
        <v>0</v>
      </c>
      <c r="AW12">
        <v>0</v>
      </c>
      <c r="AX12" s="16">
        <v>0</v>
      </c>
      <c r="AY12">
        <v>0</v>
      </c>
      <c r="AZ12">
        <v>1950</v>
      </c>
      <c r="BA12">
        <v>0</v>
      </c>
      <c r="BB12">
        <v>0</v>
      </c>
      <c r="BC12">
        <v>390</v>
      </c>
      <c r="BD12">
        <v>0</v>
      </c>
      <c r="BE12">
        <v>0</v>
      </c>
      <c r="BF12">
        <v>0</v>
      </c>
      <c r="BG12">
        <v>0</v>
      </c>
      <c r="BH12">
        <v>2340</v>
      </c>
      <c r="BI12">
        <v>1950</v>
      </c>
      <c r="BJ12" t="str">
        <f t="shared" si="12"/>
        <v>41</v>
      </c>
      <c r="BK12" t="str">
        <f t="shared" si="13"/>
        <v>VI</v>
      </c>
    </row>
    <row r="13" spans="1:63">
      <c r="A13" t="str">
        <f>"202302"</f>
        <v>202302</v>
      </c>
      <c r="B13" t="str">
        <f>"VALLOUREC DRILLING"</f>
        <v>VALLOUREC DRILLING</v>
      </c>
      <c r="C13" t="str">
        <f>"16209"</f>
        <v>16209</v>
      </c>
      <c r="D13" t="str">
        <f>"35011786 POSTE 10"</f>
        <v>35011786 POSTE 10</v>
      </c>
      <c r="E13" t="str">
        <f t="shared" si="14"/>
        <v xml:space="preserve"> </v>
      </c>
      <c r="F13" s="14">
        <v>42122</v>
      </c>
      <c r="G13" t="str">
        <f t="shared" si="0"/>
        <v xml:space="preserve"> </v>
      </c>
      <c r="H13" t="str">
        <f t="shared" si="0"/>
        <v xml:space="preserve"> </v>
      </c>
      <c r="J13" s="14">
        <v>42160</v>
      </c>
      <c r="K13" t="str">
        <f t="shared" si="1"/>
        <v xml:space="preserve"> </v>
      </c>
      <c r="L13">
        <v>680</v>
      </c>
      <c r="M13" s="15">
        <v>0</v>
      </c>
      <c r="N13" s="16">
        <v>1</v>
      </c>
      <c r="O13" t="str">
        <f t="shared" si="2"/>
        <v>EUR</v>
      </c>
      <c r="P13" s="13" t="str">
        <f>"16209"</f>
        <v>16209</v>
      </c>
      <c r="Q13" t="str">
        <f t="shared" si="3"/>
        <v>01</v>
      </c>
      <c r="R13" s="15">
        <v>680</v>
      </c>
      <c r="S13" t="str">
        <f t="shared" si="4"/>
        <v xml:space="preserve"> </v>
      </c>
      <c r="T13" t="str">
        <f t="shared" si="4"/>
        <v xml:space="preserve"> </v>
      </c>
      <c r="U13" t="str">
        <f t="shared" si="4"/>
        <v xml:space="preserve"> </v>
      </c>
      <c r="V13" s="15">
        <v>680</v>
      </c>
      <c r="W13" s="13">
        <v>1</v>
      </c>
      <c r="X13" t="str">
        <f>"VALLOUREC DRILLING"</f>
        <v>VALLOUREC DRILLING</v>
      </c>
      <c r="Y13" t="str">
        <f t="shared" si="5"/>
        <v>MP</v>
      </c>
      <c r="Z13" s="14">
        <v>42160</v>
      </c>
      <c r="AA13" t="str">
        <f t="shared" si="6"/>
        <v xml:space="preserve"> </v>
      </c>
      <c r="AB13" s="15">
        <v>0</v>
      </c>
      <c r="AC13" t="str">
        <f>"VALLOUREC DRILLING PRODUCTS FRANCE"</f>
        <v>VALLOUREC DRILLING PRODUCTS FRANCE</v>
      </c>
      <c r="AD13" t="str">
        <f t="shared" si="7"/>
        <v xml:space="preserve"> </v>
      </c>
      <c r="AE13" t="str">
        <f>"65000"</f>
        <v>65000</v>
      </c>
      <c r="AF13" t="str">
        <f>"TARBES"</f>
        <v>TARBES</v>
      </c>
      <c r="AG13" t="str">
        <f t="shared" si="8"/>
        <v xml:space="preserve"> </v>
      </c>
      <c r="AH13" t="str">
        <f t="shared" si="9"/>
        <v>F</v>
      </c>
      <c r="AI13" s="14">
        <v>42115</v>
      </c>
      <c r="AJ13">
        <v>0</v>
      </c>
      <c r="AL13">
        <v>0</v>
      </c>
      <c r="AN13" t="str">
        <f t="shared" si="10"/>
        <v>DEBARROS</v>
      </c>
      <c r="AO13" t="str">
        <f>"VALLOUREC DRILLING PRODUCTS FRANCE"</f>
        <v>VALLOUREC DRILLING PRODUCTS FRANCE</v>
      </c>
      <c r="AP13" t="str">
        <f t="shared" si="11"/>
        <v xml:space="preserve"> </v>
      </c>
      <c r="AQ13" s="15">
        <v>0</v>
      </c>
      <c r="AR13" s="16">
        <v>0</v>
      </c>
      <c r="AS13" s="16">
        <v>0</v>
      </c>
      <c r="AT13" s="16">
        <v>0</v>
      </c>
      <c r="AU13">
        <v>0</v>
      </c>
      <c r="AV13">
        <v>0</v>
      </c>
      <c r="AW13">
        <v>0</v>
      </c>
      <c r="AX13" s="16">
        <v>0</v>
      </c>
      <c r="AY13">
        <v>0</v>
      </c>
      <c r="AZ13">
        <v>680</v>
      </c>
      <c r="BA13">
        <v>0</v>
      </c>
      <c r="BB13">
        <v>0</v>
      </c>
      <c r="BC13">
        <v>136</v>
      </c>
      <c r="BD13">
        <v>0</v>
      </c>
      <c r="BE13">
        <v>0</v>
      </c>
      <c r="BF13">
        <v>0</v>
      </c>
      <c r="BG13">
        <v>0</v>
      </c>
      <c r="BH13">
        <v>816</v>
      </c>
      <c r="BI13">
        <v>680</v>
      </c>
      <c r="BJ13" t="str">
        <f t="shared" si="12"/>
        <v>41</v>
      </c>
      <c r="BK13" t="str">
        <f t="shared" si="13"/>
        <v>VI</v>
      </c>
    </row>
    <row r="14" spans="1:63">
      <c r="A14" t="str">
        <f>"202302"</f>
        <v>202302</v>
      </c>
      <c r="B14" t="str">
        <f>"VALLOUREC DRILLING"</f>
        <v>VALLOUREC DRILLING</v>
      </c>
      <c r="C14" t="str">
        <f>"16208"</f>
        <v>16208</v>
      </c>
      <c r="D14" t="str">
        <f>"35011786 poste 20"</f>
        <v>35011786 poste 20</v>
      </c>
      <c r="E14" t="str">
        <f t="shared" si="14"/>
        <v xml:space="preserve"> </v>
      </c>
      <c r="F14" s="14">
        <v>42122</v>
      </c>
      <c r="G14" t="str">
        <f t="shared" si="0"/>
        <v xml:space="preserve"> </v>
      </c>
      <c r="H14" t="str">
        <f t="shared" si="0"/>
        <v xml:space="preserve"> </v>
      </c>
      <c r="J14" s="14">
        <v>42153</v>
      </c>
      <c r="K14" t="str">
        <f t="shared" si="1"/>
        <v xml:space="preserve"> </v>
      </c>
      <c r="L14">
        <v>2440</v>
      </c>
      <c r="M14" s="15">
        <v>0</v>
      </c>
      <c r="N14" s="16">
        <v>1</v>
      </c>
      <c r="O14" t="str">
        <f t="shared" si="2"/>
        <v>EUR</v>
      </c>
      <c r="P14" s="13" t="str">
        <f>"16208"</f>
        <v>16208</v>
      </c>
      <c r="Q14" t="str">
        <f t="shared" si="3"/>
        <v>01</v>
      </c>
      <c r="R14" s="15">
        <v>2440</v>
      </c>
      <c r="S14" t="str">
        <f t="shared" si="4"/>
        <v xml:space="preserve"> </v>
      </c>
      <c r="T14" t="str">
        <f t="shared" si="4"/>
        <v xml:space="preserve"> </v>
      </c>
      <c r="U14" t="str">
        <f t="shared" si="4"/>
        <v xml:space="preserve"> </v>
      </c>
      <c r="V14" s="15">
        <v>2440</v>
      </c>
      <c r="W14" s="13">
        <v>1</v>
      </c>
      <c r="X14" t="str">
        <f>"VALLOUREC DRILLING"</f>
        <v>VALLOUREC DRILLING</v>
      </c>
      <c r="Y14" t="str">
        <f t="shared" si="5"/>
        <v>MP</v>
      </c>
      <c r="Z14" s="14">
        <v>42153</v>
      </c>
      <c r="AA14" t="str">
        <f t="shared" si="6"/>
        <v xml:space="preserve"> </v>
      </c>
      <c r="AB14" s="15">
        <v>0</v>
      </c>
      <c r="AC14" t="str">
        <f>"VALLOUREC DRILLING PRODUCTS FRANCE"</f>
        <v>VALLOUREC DRILLING PRODUCTS FRANCE</v>
      </c>
      <c r="AD14" t="str">
        <f t="shared" si="7"/>
        <v xml:space="preserve"> </v>
      </c>
      <c r="AE14" t="str">
        <f>"65000"</f>
        <v>65000</v>
      </c>
      <c r="AF14" t="str">
        <f>"TARBES"</f>
        <v>TARBES</v>
      </c>
      <c r="AG14" t="str">
        <f t="shared" si="8"/>
        <v xml:space="preserve"> </v>
      </c>
      <c r="AH14" t="str">
        <f t="shared" si="9"/>
        <v>F</v>
      </c>
      <c r="AI14" s="14">
        <v>42115</v>
      </c>
      <c r="AJ14">
        <v>0</v>
      </c>
      <c r="AL14">
        <v>0</v>
      </c>
      <c r="AN14" t="str">
        <f t="shared" si="10"/>
        <v>DEBARROS</v>
      </c>
      <c r="AO14" t="str">
        <f>"VALLOUREC DRILLING PRODUCTS FRANCE"</f>
        <v>VALLOUREC DRILLING PRODUCTS FRANCE</v>
      </c>
      <c r="AP14" t="str">
        <f t="shared" si="11"/>
        <v xml:space="preserve"> </v>
      </c>
      <c r="AQ14" s="15">
        <v>0</v>
      </c>
      <c r="AR14" s="16">
        <v>0</v>
      </c>
      <c r="AS14" s="16">
        <v>0</v>
      </c>
      <c r="AT14" s="16">
        <v>0</v>
      </c>
      <c r="AU14">
        <v>0</v>
      </c>
      <c r="AV14">
        <v>0</v>
      </c>
      <c r="AW14">
        <v>0</v>
      </c>
      <c r="AX14" s="16">
        <v>0</v>
      </c>
      <c r="AY14">
        <v>0</v>
      </c>
      <c r="AZ14">
        <v>2440</v>
      </c>
      <c r="BA14">
        <v>0</v>
      </c>
      <c r="BB14">
        <v>0</v>
      </c>
      <c r="BC14">
        <v>488</v>
      </c>
      <c r="BD14">
        <v>0</v>
      </c>
      <c r="BE14">
        <v>0</v>
      </c>
      <c r="BF14">
        <v>0</v>
      </c>
      <c r="BG14">
        <v>0</v>
      </c>
      <c r="BH14">
        <v>2928</v>
      </c>
      <c r="BI14">
        <v>2440</v>
      </c>
      <c r="BJ14" t="str">
        <f t="shared" si="12"/>
        <v>41</v>
      </c>
      <c r="BK14" t="str">
        <f t="shared" si="13"/>
        <v>VI</v>
      </c>
    </row>
    <row r="15" spans="1:63">
      <c r="A15" t="str">
        <f>"165300"</f>
        <v>165300</v>
      </c>
      <c r="B15" t="str">
        <f>"METAREG"</f>
        <v>METAREG</v>
      </c>
      <c r="C15" t="str">
        <f>"16207"</f>
        <v>16207</v>
      </c>
      <c r="D15" t="str">
        <f>" "</f>
        <v xml:space="preserve"> </v>
      </c>
      <c r="E15" t="str">
        <f t="shared" si="14"/>
        <v xml:space="preserve"> </v>
      </c>
      <c r="F15" s="14">
        <v>42122</v>
      </c>
      <c r="G15" t="str">
        <f>"LT"</f>
        <v>LT</v>
      </c>
      <c r="H15" t="str">
        <f>" "</f>
        <v xml:space="preserve"> </v>
      </c>
      <c r="I15" s="17">
        <v>42124</v>
      </c>
      <c r="J15" s="14">
        <v>42124</v>
      </c>
      <c r="K15" t="str">
        <f t="shared" si="1"/>
        <v xml:space="preserve"> </v>
      </c>
      <c r="L15">
        <v>0</v>
      </c>
      <c r="M15" s="15">
        <v>0</v>
      </c>
      <c r="O15" t="str">
        <f t="shared" si="2"/>
        <v>EUR</v>
      </c>
      <c r="P15" s="13" t="str">
        <f>"16207"</f>
        <v>16207</v>
      </c>
      <c r="Q15" t="str">
        <f t="shared" si="3"/>
        <v>01</v>
      </c>
      <c r="R15" s="15">
        <v>0</v>
      </c>
      <c r="S15" t="str">
        <f t="shared" si="4"/>
        <v xml:space="preserve"> </v>
      </c>
      <c r="T15" t="str">
        <f t="shared" si="4"/>
        <v xml:space="preserve"> </v>
      </c>
      <c r="U15" t="str">
        <f t="shared" si="4"/>
        <v xml:space="preserve"> </v>
      </c>
      <c r="W15" s="13">
        <v>1</v>
      </c>
      <c r="X15" t="str">
        <f>"METAREG"</f>
        <v>METAREG</v>
      </c>
      <c r="Y15" t="str">
        <f t="shared" si="5"/>
        <v>MP</v>
      </c>
      <c r="Z15" s="14">
        <v>42124</v>
      </c>
      <c r="AA15" t="str">
        <f t="shared" si="6"/>
        <v xml:space="preserve"> </v>
      </c>
      <c r="AB15" s="15">
        <v>0</v>
      </c>
      <c r="AC15" t="str">
        <f>"EIFFAGE CONTRUCTION METALLIQUE"</f>
        <v>EIFFAGE CONTRUCTION METALLIQUE</v>
      </c>
      <c r="AD15" t="str">
        <f t="shared" si="7"/>
        <v xml:space="preserve"> </v>
      </c>
      <c r="AE15" t="str">
        <f>"33600"</f>
        <v>33600</v>
      </c>
      <c r="AF15" t="str">
        <f>"PESSAC"</f>
        <v>PESSAC</v>
      </c>
      <c r="AG15" t="str">
        <f t="shared" si="8"/>
        <v xml:space="preserve"> </v>
      </c>
      <c r="AH15" t="str">
        <f t="shared" si="9"/>
        <v>F</v>
      </c>
      <c r="AJ15">
        <v>0</v>
      </c>
      <c r="AL15">
        <v>0</v>
      </c>
      <c r="AN15" t="str">
        <f t="shared" si="10"/>
        <v>DEBARROS</v>
      </c>
      <c r="AO15" t="str">
        <f>"EIFFAGE CONSTRUCTION METALLIQUE"</f>
        <v>EIFFAGE CONSTRUCTION METALLIQUE</v>
      </c>
      <c r="AP15" t="str">
        <f t="shared" si="11"/>
        <v xml:space="preserve"> </v>
      </c>
      <c r="AQ15" s="15">
        <v>0</v>
      </c>
      <c r="AR15" s="16">
        <v>0</v>
      </c>
      <c r="AS15" s="16">
        <v>0</v>
      </c>
      <c r="AT15" s="16">
        <v>0</v>
      </c>
      <c r="AU15">
        <v>0</v>
      </c>
      <c r="AV15">
        <v>0</v>
      </c>
      <c r="AW15">
        <v>0</v>
      </c>
      <c r="AX15" s="16">
        <v>0</v>
      </c>
      <c r="AY15">
        <v>0</v>
      </c>
      <c r="AZ15">
        <v>0</v>
      </c>
      <c r="BA15">
        <v>0</v>
      </c>
      <c r="BB15">
        <v>0</v>
      </c>
      <c r="BC15">
        <v>0</v>
      </c>
      <c r="BD15">
        <v>0</v>
      </c>
      <c r="BE15">
        <v>0</v>
      </c>
      <c r="BF15">
        <v>0</v>
      </c>
      <c r="BG15">
        <v>0</v>
      </c>
      <c r="BH15">
        <v>0</v>
      </c>
      <c r="BI15">
        <v>0</v>
      </c>
      <c r="BJ15" t="str">
        <f t="shared" si="12"/>
        <v>41</v>
      </c>
      <c r="BK15" t="str">
        <f t="shared" si="13"/>
        <v>VI</v>
      </c>
    </row>
    <row r="16" spans="1:63">
      <c r="A16" t="str">
        <f>"103700"</f>
        <v>103700</v>
      </c>
      <c r="B16" t="str">
        <f>"ASE"</f>
        <v>ASE</v>
      </c>
      <c r="C16" t="str">
        <f>"16206"</f>
        <v>16206</v>
      </c>
      <c r="D16" t="str">
        <f>"A014620"</f>
        <v>A014620</v>
      </c>
      <c r="E16" t="str">
        <f t="shared" si="14"/>
        <v xml:space="preserve"> </v>
      </c>
      <c r="F16" s="14">
        <v>42122</v>
      </c>
      <c r="G16" t="str">
        <f>"LT"</f>
        <v>LT</v>
      </c>
      <c r="H16" t="str">
        <f>"FT"</f>
        <v>FT</v>
      </c>
      <c r="I16" s="17">
        <v>42124</v>
      </c>
      <c r="J16" s="14">
        <v>42123</v>
      </c>
      <c r="K16" t="str">
        <f t="shared" si="1"/>
        <v xml:space="preserve"> </v>
      </c>
      <c r="L16">
        <v>500</v>
      </c>
      <c r="M16" s="15">
        <v>0</v>
      </c>
      <c r="N16" s="16">
        <v>1</v>
      </c>
      <c r="O16" t="str">
        <f t="shared" si="2"/>
        <v>EUR</v>
      </c>
      <c r="P16" s="13" t="str">
        <f>"16206"</f>
        <v>16206</v>
      </c>
      <c r="Q16" t="str">
        <f t="shared" si="3"/>
        <v>01</v>
      </c>
      <c r="R16" s="15">
        <v>500</v>
      </c>
      <c r="S16" t="str">
        <f t="shared" si="4"/>
        <v xml:space="preserve"> </v>
      </c>
      <c r="T16" t="str">
        <f t="shared" si="4"/>
        <v xml:space="preserve"> </v>
      </c>
      <c r="U16" t="str">
        <f t="shared" si="4"/>
        <v xml:space="preserve"> </v>
      </c>
      <c r="V16" s="15">
        <v>500</v>
      </c>
      <c r="W16" s="13">
        <v>1</v>
      </c>
      <c r="X16" t="str">
        <f>"ASE"</f>
        <v>ASE</v>
      </c>
      <c r="Y16" t="str">
        <f t="shared" si="5"/>
        <v>MP</v>
      </c>
      <c r="Z16" s="14">
        <v>42123</v>
      </c>
      <c r="AA16" t="str">
        <f t="shared" si="6"/>
        <v xml:space="preserve"> </v>
      </c>
      <c r="AB16" s="15">
        <v>0</v>
      </c>
      <c r="AC16" t="str">
        <f>"AQUITAINE SERVICE ELECTRIQUE"</f>
        <v>AQUITAINE SERVICE ELECTRIQUE</v>
      </c>
      <c r="AD16" t="str">
        <f t="shared" si="7"/>
        <v xml:space="preserve"> </v>
      </c>
      <c r="AE16" t="str">
        <f>"33700"</f>
        <v>33700</v>
      </c>
      <c r="AF16" t="str">
        <f>"MERIGNAC"</f>
        <v>MERIGNAC</v>
      </c>
      <c r="AG16" t="str">
        <f t="shared" si="8"/>
        <v xml:space="preserve"> </v>
      </c>
      <c r="AH16" t="str">
        <f t="shared" si="9"/>
        <v>F</v>
      </c>
      <c r="AI16" s="14">
        <v>42116</v>
      </c>
      <c r="AJ16">
        <v>0</v>
      </c>
      <c r="AL16">
        <v>0</v>
      </c>
      <c r="AN16" t="str">
        <f t="shared" si="10"/>
        <v>DEBARROS</v>
      </c>
      <c r="AO16" t="str">
        <f>"AQUITAINE SERVICE ELECTRIQUE"</f>
        <v>AQUITAINE SERVICE ELECTRIQUE</v>
      </c>
      <c r="AP16" t="str">
        <f t="shared" si="11"/>
        <v xml:space="preserve"> </v>
      </c>
      <c r="AQ16" s="15">
        <v>0</v>
      </c>
      <c r="AR16" s="16">
        <v>0</v>
      </c>
      <c r="AS16" s="16">
        <v>0</v>
      </c>
      <c r="AT16" s="16">
        <v>0</v>
      </c>
      <c r="AU16">
        <v>0</v>
      </c>
      <c r="AV16">
        <v>0</v>
      </c>
      <c r="AW16">
        <v>0</v>
      </c>
      <c r="AX16" s="16">
        <v>0</v>
      </c>
      <c r="AY16">
        <v>0</v>
      </c>
      <c r="AZ16">
        <v>500</v>
      </c>
      <c r="BA16">
        <v>0</v>
      </c>
      <c r="BB16">
        <v>0</v>
      </c>
      <c r="BC16">
        <v>100</v>
      </c>
      <c r="BD16">
        <v>0</v>
      </c>
      <c r="BE16">
        <v>0</v>
      </c>
      <c r="BF16">
        <v>0</v>
      </c>
      <c r="BG16">
        <v>0</v>
      </c>
      <c r="BH16">
        <v>600</v>
      </c>
      <c r="BI16">
        <v>500</v>
      </c>
      <c r="BJ16" t="str">
        <f>"100"</f>
        <v>100</v>
      </c>
      <c r="BK16" t="str">
        <f>"CH"</f>
        <v>CH</v>
      </c>
    </row>
    <row r="17" spans="1:63">
      <c r="A17" t="str">
        <f>"124000"</f>
        <v>124000</v>
      </c>
      <c r="B17" t="str">
        <f>"DIMETAL"</f>
        <v>DIMETAL</v>
      </c>
      <c r="C17" t="str">
        <f>"16205"</f>
        <v>16205</v>
      </c>
      <c r="D17" t="str">
        <f>"466 BS"</f>
        <v>466 BS</v>
      </c>
      <c r="E17" t="str">
        <f t="shared" si="14"/>
        <v xml:space="preserve"> </v>
      </c>
      <c r="F17" s="14">
        <v>42121</v>
      </c>
      <c r="G17" t="str">
        <f>" "</f>
        <v xml:space="preserve"> </v>
      </c>
      <c r="H17" t="str">
        <f>" "</f>
        <v xml:space="preserve"> </v>
      </c>
      <c r="J17" s="14">
        <v>42142</v>
      </c>
      <c r="K17" t="str">
        <f t="shared" si="1"/>
        <v xml:space="preserve"> </v>
      </c>
      <c r="L17">
        <v>4175</v>
      </c>
      <c r="M17" s="15">
        <v>0</v>
      </c>
      <c r="N17" s="16">
        <v>1</v>
      </c>
      <c r="O17" t="str">
        <f t="shared" si="2"/>
        <v>EUR</v>
      </c>
      <c r="P17" s="13" t="str">
        <f>"16205"</f>
        <v>16205</v>
      </c>
      <c r="Q17" t="str">
        <f t="shared" si="3"/>
        <v>01</v>
      </c>
      <c r="R17" s="15">
        <v>4175</v>
      </c>
      <c r="S17" t="str">
        <f t="shared" si="4"/>
        <v xml:space="preserve"> </v>
      </c>
      <c r="T17" t="str">
        <f t="shared" si="4"/>
        <v xml:space="preserve"> </v>
      </c>
      <c r="U17" t="str">
        <f t="shared" si="4"/>
        <v xml:space="preserve"> </v>
      </c>
      <c r="V17" s="15">
        <v>4175</v>
      </c>
      <c r="W17" s="13">
        <v>1</v>
      </c>
      <c r="X17" t="str">
        <f>"DIMETAL"</f>
        <v>DIMETAL</v>
      </c>
      <c r="Y17" t="str">
        <f t="shared" si="5"/>
        <v>MP</v>
      </c>
      <c r="Z17" s="14">
        <v>42142</v>
      </c>
      <c r="AA17" t="str">
        <f t="shared" si="6"/>
        <v xml:space="preserve"> </v>
      </c>
      <c r="AB17" s="15">
        <v>0</v>
      </c>
      <c r="AC17" t="str">
        <f>"DIMETAL"</f>
        <v>DIMETAL</v>
      </c>
      <c r="AD17" t="str">
        <f t="shared" si="7"/>
        <v xml:space="preserve"> </v>
      </c>
      <c r="AE17" t="str">
        <f>"33700"</f>
        <v>33700</v>
      </c>
      <c r="AF17" t="str">
        <f>"MERIGNAC"</f>
        <v>MERIGNAC</v>
      </c>
      <c r="AG17" t="str">
        <f t="shared" si="8"/>
        <v xml:space="preserve"> </v>
      </c>
      <c r="AH17" t="str">
        <f t="shared" si="9"/>
        <v>F</v>
      </c>
      <c r="AI17" s="14">
        <v>42115</v>
      </c>
      <c r="AJ17">
        <v>0</v>
      </c>
      <c r="AL17">
        <v>0</v>
      </c>
      <c r="AN17" t="str">
        <f t="shared" si="10"/>
        <v>DEBARROS</v>
      </c>
      <c r="AO17" t="str">
        <f>"DIMETAL"</f>
        <v>DIMETAL</v>
      </c>
      <c r="AP17" t="str">
        <f t="shared" si="11"/>
        <v xml:space="preserve"> </v>
      </c>
      <c r="AQ17" s="15">
        <v>0</v>
      </c>
      <c r="AR17" s="16">
        <v>0</v>
      </c>
      <c r="AS17" s="16">
        <v>0</v>
      </c>
      <c r="AT17" s="16">
        <v>0</v>
      </c>
      <c r="AU17">
        <v>0</v>
      </c>
      <c r="AV17">
        <v>0</v>
      </c>
      <c r="AW17">
        <v>0</v>
      </c>
      <c r="AX17" s="16">
        <v>0</v>
      </c>
      <c r="AY17">
        <v>0</v>
      </c>
      <c r="AZ17">
        <v>4175</v>
      </c>
      <c r="BA17">
        <v>0</v>
      </c>
      <c r="BB17">
        <v>0</v>
      </c>
      <c r="BC17">
        <v>835</v>
      </c>
      <c r="BD17">
        <v>0</v>
      </c>
      <c r="BE17">
        <v>0</v>
      </c>
      <c r="BF17">
        <v>0</v>
      </c>
      <c r="BG17">
        <v>0</v>
      </c>
      <c r="BH17">
        <v>5010</v>
      </c>
      <c r="BI17">
        <v>4175</v>
      </c>
      <c r="BJ17" t="str">
        <f>"10"</f>
        <v>10</v>
      </c>
      <c r="BK17" t="str">
        <f>"CH"</f>
        <v>CH</v>
      </c>
    </row>
    <row r="18" spans="1:63">
      <c r="A18" t="str">
        <f>"650112"</f>
        <v>650112</v>
      </c>
      <c r="B18" t="str">
        <f>"VERITAS"</f>
        <v>VERITAS</v>
      </c>
      <c r="C18" t="str">
        <f>"16204"</f>
        <v>16204</v>
      </c>
      <c r="D18" t="str">
        <f>"1508466801 15057"</f>
        <v>1508466801 15057</v>
      </c>
      <c r="E18" t="str">
        <f t="shared" si="14"/>
        <v xml:space="preserve"> </v>
      </c>
      <c r="F18" s="14">
        <v>42121</v>
      </c>
      <c r="G18" t="str">
        <f>" "</f>
        <v xml:space="preserve"> </v>
      </c>
      <c r="H18" t="str">
        <f>" "</f>
        <v xml:space="preserve"> </v>
      </c>
      <c r="J18" s="14">
        <v>42128</v>
      </c>
      <c r="K18" t="str">
        <f t="shared" si="1"/>
        <v xml:space="preserve"> </v>
      </c>
      <c r="L18">
        <v>1840</v>
      </c>
      <c r="M18" s="15">
        <v>0</v>
      </c>
      <c r="N18" s="16">
        <v>1</v>
      </c>
      <c r="O18" t="str">
        <f t="shared" si="2"/>
        <v>EUR</v>
      </c>
      <c r="P18" s="13" t="str">
        <f>"16204"</f>
        <v>16204</v>
      </c>
      <c r="Q18" t="str">
        <f t="shared" si="3"/>
        <v>01</v>
      </c>
      <c r="R18" s="15">
        <v>1840</v>
      </c>
      <c r="S18" t="str">
        <f t="shared" si="4"/>
        <v xml:space="preserve"> </v>
      </c>
      <c r="T18" t="str">
        <f t="shared" si="4"/>
        <v xml:space="preserve"> </v>
      </c>
      <c r="U18" t="str">
        <f t="shared" si="4"/>
        <v xml:space="preserve"> </v>
      </c>
      <c r="V18" s="15">
        <v>1840</v>
      </c>
      <c r="W18" s="13">
        <v>1</v>
      </c>
      <c r="X18" t="str">
        <f>"Bureau Veritas"</f>
        <v>Bureau Veritas</v>
      </c>
      <c r="Y18" t="str">
        <f>"TS"</f>
        <v>TS</v>
      </c>
      <c r="Z18" s="14">
        <v>42128</v>
      </c>
      <c r="AA18" t="str">
        <f t="shared" si="6"/>
        <v xml:space="preserve"> </v>
      </c>
      <c r="AB18" s="15">
        <v>0</v>
      </c>
      <c r="AC18" t="str">
        <f>"Bureau Veritas Laboratoires"</f>
        <v>Bureau Veritas Laboratoires</v>
      </c>
      <c r="AD18" t="str">
        <f t="shared" si="7"/>
        <v xml:space="preserve"> </v>
      </c>
      <c r="AE18" t="str">
        <f>"33600"</f>
        <v>33600</v>
      </c>
      <c r="AF18" t="str">
        <f>"PESSAC"</f>
        <v>PESSAC</v>
      </c>
      <c r="AG18" t="str">
        <f t="shared" si="8"/>
        <v xml:space="preserve"> </v>
      </c>
      <c r="AH18" t="str">
        <f t="shared" si="9"/>
        <v>F</v>
      </c>
      <c r="AI18" s="14">
        <v>42111</v>
      </c>
      <c r="AJ18">
        <v>0</v>
      </c>
      <c r="AL18">
        <v>0</v>
      </c>
      <c r="AN18" t="str">
        <f t="shared" si="10"/>
        <v>DEBARROS</v>
      </c>
      <c r="AO18" t="str">
        <f>"BUREAU VERITAS"</f>
        <v>BUREAU VERITAS</v>
      </c>
      <c r="AP18" t="str">
        <f t="shared" si="11"/>
        <v xml:space="preserve"> </v>
      </c>
      <c r="AQ18" s="15">
        <v>0</v>
      </c>
      <c r="AR18" s="16">
        <v>0</v>
      </c>
      <c r="AS18" s="16">
        <v>0</v>
      </c>
      <c r="AT18" s="16">
        <v>0</v>
      </c>
      <c r="AU18">
        <v>0</v>
      </c>
      <c r="AV18">
        <v>0</v>
      </c>
      <c r="AW18">
        <v>0</v>
      </c>
      <c r="AX18" s="16">
        <v>0</v>
      </c>
      <c r="AY18">
        <v>0</v>
      </c>
      <c r="AZ18">
        <v>1840</v>
      </c>
      <c r="BA18">
        <v>0</v>
      </c>
      <c r="BB18">
        <v>0</v>
      </c>
      <c r="BC18">
        <v>368</v>
      </c>
      <c r="BD18">
        <v>0</v>
      </c>
      <c r="BE18">
        <v>0</v>
      </c>
      <c r="BF18">
        <v>0</v>
      </c>
      <c r="BG18">
        <v>0</v>
      </c>
      <c r="BH18">
        <v>2208</v>
      </c>
      <c r="BI18">
        <v>1840</v>
      </c>
      <c r="BJ18" t="str">
        <f t="shared" ref="BJ18:BJ38" si="15">"41"</f>
        <v>41</v>
      </c>
      <c r="BK18" t="str">
        <f>"CH"</f>
        <v>CH</v>
      </c>
    </row>
    <row r="19" spans="1:63">
      <c r="A19" t="str">
        <f>"199981"</f>
        <v>199981</v>
      </c>
      <c r="B19" t="str">
        <f>"MPRD"</f>
        <v>MPRD</v>
      </c>
      <c r="C19" t="str">
        <f>"16203"</f>
        <v>16203</v>
      </c>
      <c r="D19" t="str">
        <f>"23222"</f>
        <v>23222</v>
      </c>
      <c r="E19" t="str">
        <f t="shared" si="14"/>
        <v xml:space="preserve"> </v>
      </c>
      <c r="F19" s="14">
        <v>42118</v>
      </c>
      <c r="G19" t="str">
        <f>"LT"</f>
        <v>LT</v>
      </c>
      <c r="H19" t="str">
        <f>"FT"</f>
        <v>FT</v>
      </c>
      <c r="I19" s="17">
        <v>42122</v>
      </c>
      <c r="J19" s="14">
        <v>42122</v>
      </c>
      <c r="K19" t="str">
        <f t="shared" si="1"/>
        <v xml:space="preserve"> </v>
      </c>
      <c r="L19">
        <v>900</v>
      </c>
      <c r="M19" s="15">
        <v>0</v>
      </c>
      <c r="N19" s="16">
        <v>1</v>
      </c>
      <c r="O19" t="str">
        <f t="shared" si="2"/>
        <v>EUR</v>
      </c>
      <c r="P19" s="13" t="str">
        <f>"16203"</f>
        <v>16203</v>
      </c>
      <c r="Q19" t="str">
        <f t="shared" si="3"/>
        <v>01</v>
      </c>
      <c r="R19" s="15">
        <v>900</v>
      </c>
      <c r="S19" t="str">
        <f t="shared" si="4"/>
        <v xml:space="preserve"> </v>
      </c>
      <c r="T19" t="str">
        <f t="shared" si="4"/>
        <v xml:space="preserve"> </v>
      </c>
      <c r="U19" t="str">
        <f t="shared" si="4"/>
        <v xml:space="preserve"> </v>
      </c>
      <c r="V19" s="15">
        <v>900</v>
      </c>
      <c r="W19" s="13">
        <v>1</v>
      </c>
      <c r="X19" t="str">
        <f>"M.P.R.D"</f>
        <v>M.P.R.D</v>
      </c>
      <c r="Y19" t="str">
        <f>"MP"</f>
        <v>MP</v>
      </c>
      <c r="Z19" s="14">
        <v>42122</v>
      </c>
      <c r="AA19" t="str">
        <f t="shared" si="6"/>
        <v xml:space="preserve"> </v>
      </c>
      <c r="AB19" s="15">
        <v>0</v>
      </c>
      <c r="AC19" t="str">
        <f>"M.P.R.D"</f>
        <v>M.P.R.D</v>
      </c>
      <c r="AD19" t="str">
        <f t="shared" si="7"/>
        <v xml:space="preserve"> </v>
      </c>
      <c r="AE19" t="str">
        <f>"33370"</f>
        <v>33370</v>
      </c>
      <c r="AF19" t="str">
        <f>"ARTIGUES PRES BORDEAUX"</f>
        <v>ARTIGUES PRES BORDEAUX</v>
      </c>
      <c r="AG19" t="str">
        <f t="shared" si="8"/>
        <v xml:space="preserve"> </v>
      </c>
      <c r="AH19" t="str">
        <f t="shared" si="9"/>
        <v>F</v>
      </c>
      <c r="AI19" s="14">
        <v>42115</v>
      </c>
      <c r="AJ19">
        <v>0</v>
      </c>
      <c r="AL19">
        <v>0</v>
      </c>
      <c r="AN19" t="str">
        <f t="shared" si="10"/>
        <v>DEBARROS</v>
      </c>
      <c r="AO19" t="str">
        <f>"MPRD"</f>
        <v>MPRD</v>
      </c>
      <c r="AP19" t="str">
        <f t="shared" si="11"/>
        <v xml:space="preserve"> </v>
      </c>
      <c r="AQ19" s="15">
        <v>0</v>
      </c>
      <c r="AR19" s="16">
        <v>0</v>
      </c>
      <c r="AS19" s="16">
        <v>0</v>
      </c>
      <c r="AT19" s="16">
        <v>0</v>
      </c>
      <c r="AU19">
        <v>0</v>
      </c>
      <c r="AV19">
        <v>0</v>
      </c>
      <c r="AW19">
        <v>0</v>
      </c>
      <c r="AX19" s="16">
        <v>0</v>
      </c>
      <c r="AY19">
        <v>0</v>
      </c>
      <c r="AZ19">
        <v>900</v>
      </c>
      <c r="BA19">
        <v>0</v>
      </c>
      <c r="BB19">
        <v>0</v>
      </c>
      <c r="BC19">
        <v>180</v>
      </c>
      <c r="BD19">
        <v>0</v>
      </c>
      <c r="BE19">
        <v>0</v>
      </c>
      <c r="BF19">
        <v>0</v>
      </c>
      <c r="BG19">
        <v>0</v>
      </c>
      <c r="BH19">
        <v>1080</v>
      </c>
      <c r="BI19">
        <v>900</v>
      </c>
      <c r="BJ19" t="str">
        <f t="shared" si="15"/>
        <v>41</v>
      </c>
      <c r="BK19" t="str">
        <f>"VI"</f>
        <v>VI</v>
      </c>
    </row>
    <row r="20" spans="1:63">
      <c r="A20" t="str">
        <f>"186100"</f>
        <v>186100</v>
      </c>
      <c r="B20" t="str">
        <f>"HERAKLES ( SME )"</f>
        <v>HERAKLES ( SME )</v>
      </c>
      <c r="C20" t="str">
        <f>"16202"</f>
        <v>16202</v>
      </c>
      <c r="D20" t="str">
        <f>" "</f>
        <v xml:space="preserve"> </v>
      </c>
      <c r="E20" t="str">
        <f t="shared" si="14"/>
        <v xml:space="preserve"> </v>
      </c>
      <c r="F20" s="14">
        <v>42118</v>
      </c>
      <c r="G20" t="str">
        <f>" "</f>
        <v xml:space="preserve"> </v>
      </c>
      <c r="H20" t="str">
        <f>" "</f>
        <v xml:space="preserve"> </v>
      </c>
      <c r="J20" s="14">
        <v>42118</v>
      </c>
      <c r="K20" t="str">
        <f t="shared" si="1"/>
        <v xml:space="preserve"> </v>
      </c>
      <c r="L20">
        <v>550</v>
      </c>
      <c r="M20" s="15">
        <v>0</v>
      </c>
      <c r="N20" s="16">
        <v>1</v>
      </c>
      <c r="O20" t="str">
        <f t="shared" si="2"/>
        <v>EUR</v>
      </c>
      <c r="P20" s="13" t="str">
        <f>"16202"</f>
        <v>16202</v>
      </c>
      <c r="Q20" t="str">
        <f t="shared" si="3"/>
        <v>01</v>
      </c>
      <c r="R20" s="15">
        <v>550</v>
      </c>
      <c r="S20" t="str">
        <f t="shared" si="4"/>
        <v xml:space="preserve"> </v>
      </c>
      <c r="T20" t="str">
        <f t="shared" si="4"/>
        <v xml:space="preserve"> </v>
      </c>
      <c r="U20" t="str">
        <f t="shared" si="4"/>
        <v xml:space="preserve"> </v>
      </c>
      <c r="V20" s="15">
        <v>550</v>
      </c>
      <c r="W20" s="13">
        <v>1</v>
      </c>
      <c r="X20" t="str">
        <f>"HERAKLES ( SME )"</f>
        <v>HERAKLES ( SME )</v>
      </c>
      <c r="Y20" t="str">
        <f>"TS"</f>
        <v>TS</v>
      </c>
      <c r="Z20" s="14">
        <v>42118</v>
      </c>
      <c r="AA20" t="str">
        <f t="shared" si="6"/>
        <v xml:space="preserve"> </v>
      </c>
      <c r="AB20" s="15">
        <v>0</v>
      </c>
      <c r="AC20" t="str">
        <f>"SAFRAN HERAKLES"</f>
        <v>SAFRAN HERAKLES</v>
      </c>
      <c r="AD20" t="str">
        <f t="shared" si="7"/>
        <v xml:space="preserve"> </v>
      </c>
      <c r="AE20" t="str">
        <f>"33160"</f>
        <v>33160</v>
      </c>
      <c r="AF20" t="str">
        <f>"Saint Médard en Jalles"</f>
        <v>Saint Médard en Jalles</v>
      </c>
      <c r="AG20" t="str">
        <f t="shared" si="8"/>
        <v xml:space="preserve"> </v>
      </c>
      <c r="AH20" t="str">
        <f t="shared" si="9"/>
        <v>F</v>
      </c>
      <c r="AI20" s="14">
        <v>42118</v>
      </c>
      <c r="AJ20">
        <v>0</v>
      </c>
      <c r="AL20">
        <v>0</v>
      </c>
      <c r="AN20" t="str">
        <f t="shared" si="10"/>
        <v>DEBARROS</v>
      </c>
      <c r="AO20" t="str">
        <f>"HERAKLES ( SME )"</f>
        <v>HERAKLES ( SME )</v>
      </c>
      <c r="AP20" t="str">
        <f t="shared" si="11"/>
        <v xml:space="preserve"> </v>
      </c>
      <c r="AQ20" s="15">
        <v>0</v>
      </c>
      <c r="AR20" s="16">
        <v>0</v>
      </c>
      <c r="AS20" s="16">
        <v>0</v>
      </c>
      <c r="AT20" s="16">
        <v>0</v>
      </c>
      <c r="AU20">
        <v>0</v>
      </c>
      <c r="AV20">
        <v>0</v>
      </c>
      <c r="AW20">
        <v>0</v>
      </c>
      <c r="AX20" s="16">
        <v>0</v>
      </c>
      <c r="AY20">
        <v>0</v>
      </c>
      <c r="AZ20">
        <v>550</v>
      </c>
      <c r="BA20">
        <v>0</v>
      </c>
      <c r="BB20">
        <v>0</v>
      </c>
      <c r="BC20">
        <v>110</v>
      </c>
      <c r="BD20">
        <v>0</v>
      </c>
      <c r="BE20">
        <v>0</v>
      </c>
      <c r="BF20">
        <v>0</v>
      </c>
      <c r="BG20">
        <v>0</v>
      </c>
      <c r="BH20">
        <v>660</v>
      </c>
      <c r="BI20">
        <v>550</v>
      </c>
      <c r="BJ20" t="str">
        <f t="shared" si="15"/>
        <v>41</v>
      </c>
      <c r="BK20" t="str">
        <f>"VI"</f>
        <v>VI</v>
      </c>
    </row>
    <row r="21" spans="1:63">
      <c r="A21" t="str">
        <f>"220253"</f>
        <v>220253</v>
      </c>
      <c r="B21" t="str">
        <f>"SERCOVAM"</f>
        <v>SERCOVAM</v>
      </c>
      <c r="C21" t="str">
        <f>"16201"</f>
        <v>16201</v>
      </c>
      <c r="D21" t="str">
        <f>"6675-GOUR"</f>
        <v>6675-GOUR</v>
      </c>
      <c r="E21" t="str">
        <f t="shared" si="14"/>
        <v xml:space="preserve"> </v>
      </c>
      <c r="F21" s="14">
        <v>42118</v>
      </c>
      <c r="G21" t="str">
        <f>"LT"</f>
        <v>LT</v>
      </c>
      <c r="H21" t="str">
        <f>"FT"</f>
        <v>FT</v>
      </c>
      <c r="I21" s="17">
        <v>42124</v>
      </c>
      <c r="J21" s="14">
        <v>42130</v>
      </c>
      <c r="K21" t="str">
        <f t="shared" si="1"/>
        <v xml:space="preserve"> </v>
      </c>
      <c r="L21">
        <v>900</v>
      </c>
      <c r="M21" s="15">
        <v>0</v>
      </c>
      <c r="N21" s="16">
        <v>1</v>
      </c>
      <c r="O21" t="str">
        <f t="shared" si="2"/>
        <v>EUR</v>
      </c>
      <c r="P21" s="13" t="str">
        <f>"16201"</f>
        <v>16201</v>
      </c>
      <c r="Q21" t="str">
        <f t="shared" si="3"/>
        <v>01</v>
      </c>
      <c r="R21" s="15">
        <v>900</v>
      </c>
      <c r="S21" t="str">
        <f t="shared" si="4"/>
        <v xml:space="preserve"> </v>
      </c>
      <c r="T21" t="str">
        <f t="shared" si="4"/>
        <v xml:space="preserve"> </v>
      </c>
      <c r="U21" t="str">
        <f t="shared" si="4"/>
        <v xml:space="preserve"> </v>
      </c>
      <c r="V21" s="15">
        <v>900</v>
      </c>
      <c r="W21" s="13">
        <v>1</v>
      </c>
      <c r="X21" t="str">
        <f>"SERCOVAM"</f>
        <v>SERCOVAM</v>
      </c>
      <c r="Y21" t="str">
        <f>"TS"</f>
        <v>TS</v>
      </c>
      <c r="Z21" s="14">
        <v>42130</v>
      </c>
      <c r="AA21" t="str">
        <f t="shared" si="6"/>
        <v xml:space="preserve"> </v>
      </c>
      <c r="AB21" s="15">
        <v>0</v>
      </c>
      <c r="AC21" t="str">
        <f>"SGS SERCOVAM"</f>
        <v>SGS SERCOVAM</v>
      </c>
      <c r="AD21" t="str">
        <f t="shared" si="7"/>
        <v xml:space="preserve"> </v>
      </c>
      <c r="AE21" t="str">
        <f>"33611"</f>
        <v>33611</v>
      </c>
      <c r="AF21" t="str">
        <f>"Cestas"</f>
        <v>Cestas</v>
      </c>
      <c r="AG21" t="str">
        <f t="shared" si="8"/>
        <v xml:space="preserve"> </v>
      </c>
      <c r="AH21" t="str">
        <f t="shared" si="9"/>
        <v>F</v>
      </c>
      <c r="AJ21">
        <v>0</v>
      </c>
      <c r="AL21">
        <v>0</v>
      </c>
      <c r="AN21" t="str">
        <f t="shared" si="10"/>
        <v>DEBARROS</v>
      </c>
      <c r="AO21" t="str">
        <f>"SGS SERCOVAM"</f>
        <v>SGS SERCOVAM</v>
      </c>
      <c r="AP21" t="str">
        <f t="shared" si="11"/>
        <v xml:space="preserve"> </v>
      </c>
      <c r="AQ21" s="15">
        <v>0</v>
      </c>
      <c r="AR21" s="16">
        <v>0</v>
      </c>
      <c r="AS21" s="16">
        <v>0</v>
      </c>
      <c r="AT21" s="16">
        <v>0</v>
      </c>
      <c r="AU21">
        <v>0</v>
      </c>
      <c r="AV21">
        <v>0</v>
      </c>
      <c r="AW21">
        <v>0</v>
      </c>
      <c r="AX21" s="16">
        <v>0</v>
      </c>
      <c r="AY21">
        <v>0</v>
      </c>
      <c r="AZ21">
        <v>900</v>
      </c>
      <c r="BA21">
        <v>0</v>
      </c>
      <c r="BB21">
        <v>0</v>
      </c>
      <c r="BC21">
        <v>180</v>
      </c>
      <c r="BD21">
        <v>0</v>
      </c>
      <c r="BE21">
        <v>0</v>
      </c>
      <c r="BF21">
        <v>0</v>
      </c>
      <c r="BG21">
        <v>0</v>
      </c>
      <c r="BH21">
        <v>1080</v>
      </c>
      <c r="BI21">
        <v>900</v>
      </c>
      <c r="BJ21" t="str">
        <f t="shared" si="15"/>
        <v>41</v>
      </c>
      <c r="BK21" t="str">
        <f>"VI"</f>
        <v>VI</v>
      </c>
    </row>
    <row r="22" spans="1:63">
      <c r="A22" t="str">
        <f>"185900"</f>
        <v>185900</v>
      </c>
      <c r="B22" t="str">
        <f>"HERAKLES"</f>
        <v>HERAKLES</v>
      </c>
      <c r="C22" t="str">
        <f>"16200"</f>
        <v>16200</v>
      </c>
      <c r="D22" t="str">
        <f>" "</f>
        <v xml:space="preserve"> </v>
      </c>
      <c r="E22" t="str">
        <f t="shared" si="14"/>
        <v xml:space="preserve"> </v>
      </c>
      <c r="F22" s="14">
        <v>42118</v>
      </c>
      <c r="G22" t="str">
        <f t="shared" ref="G22:H24" si="16">" "</f>
        <v xml:space="preserve"> </v>
      </c>
      <c r="H22" t="str">
        <f t="shared" si="16"/>
        <v xml:space="preserve"> </v>
      </c>
      <c r="J22" s="14">
        <v>42173</v>
      </c>
      <c r="K22" t="str">
        <f t="shared" si="1"/>
        <v xml:space="preserve"> </v>
      </c>
      <c r="L22">
        <v>0</v>
      </c>
      <c r="M22" s="15">
        <v>0</v>
      </c>
      <c r="O22" t="str">
        <f t="shared" si="2"/>
        <v>EUR</v>
      </c>
      <c r="P22" s="13" t="str">
        <f>"16200"</f>
        <v>16200</v>
      </c>
      <c r="Q22" t="str">
        <f t="shared" si="3"/>
        <v>01</v>
      </c>
      <c r="R22" s="15">
        <v>0</v>
      </c>
      <c r="S22" t="str">
        <f t="shared" ref="S22:U41" si="17">" "</f>
        <v xml:space="preserve"> </v>
      </c>
      <c r="T22" t="str">
        <f t="shared" si="17"/>
        <v xml:space="preserve"> </v>
      </c>
      <c r="U22" t="str">
        <f t="shared" si="17"/>
        <v xml:space="preserve"> </v>
      </c>
      <c r="W22" s="13">
        <v>0</v>
      </c>
      <c r="X22" t="str">
        <f>"HERAKLES"</f>
        <v>HERAKLES</v>
      </c>
      <c r="Y22" t="str">
        <f t="shared" ref="Y22:Y27" si="18">"MP"</f>
        <v>MP</v>
      </c>
      <c r="Z22" s="14">
        <v>42173</v>
      </c>
      <c r="AA22" t="str">
        <f t="shared" si="6"/>
        <v xml:space="preserve"> </v>
      </c>
      <c r="AB22" s="15">
        <v>0</v>
      </c>
      <c r="AC22" t="str">
        <f>"HERAKLES"</f>
        <v>HERAKLES</v>
      </c>
      <c r="AD22" t="str">
        <f t="shared" si="7"/>
        <v xml:space="preserve"> </v>
      </c>
      <c r="AE22" t="str">
        <f>"33187"</f>
        <v>33187</v>
      </c>
      <c r="AF22" t="str">
        <f>"LE HAILLAN CEDEX"</f>
        <v>LE HAILLAN CEDEX</v>
      </c>
      <c r="AG22" t="str">
        <f t="shared" si="8"/>
        <v xml:space="preserve"> </v>
      </c>
      <c r="AH22" t="str">
        <f t="shared" si="9"/>
        <v>F</v>
      </c>
      <c r="AJ22">
        <v>0</v>
      </c>
      <c r="AL22">
        <v>0</v>
      </c>
      <c r="AN22" t="str">
        <f>"TINARD"</f>
        <v>TINARD</v>
      </c>
      <c r="AO22" t="str">
        <f>"HERAKLES"</f>
        <v>HERAKLES</v>
      </c>
      <c r="AP22" t="str">
        <f t="shared" si="11"/>
        <v xml:space="preserve"> </v>
      </c>
      <c r="AQ22" s="15">
        <v>0</v>
      </c>
      <c r="AR22" s="16">
        <v>0</v>
      </c>
      <c r="AS22" s="16">
        <v>0</v>
      </c>
      <c r="AT22" s="16">
        <v>0</v>
      </c>
      <c r="AU22">
        <v>0</v>
      </c>
      <c r="AV22">
        <v>0</v>
      </c>
      <c r="AW22">
        <v>0</v>
      </c>
      <c r="AX22" s="16">
        <v>0</v>
      </c>
      <c r="AY22">
        <v>0</v>
      </c>
      <c r="AZ22">
        <v>0</v>
      </c>
      <c r="BA22">
        <v>0</v>
      </c>
      <c r="BB22">
        <v>0</v>
      </c>
      <c r="BC22">
        <v>0</v>
      </c>
      <c r="BD22">
        <v>0</v>
      </c>
      <c r="BE22">
        <v>0</v>
      </c>
      <c r="BF22">
        <v>0</v>
      </c>
      <c r="BG22">
        <v>0</v>
      </c>
      <c r="BH22">
        <v>0</v>
      </c>
      <c r="BI22">
        <v>0</v>
      </c>
      <c r="BJ22" t="str">
        <f t="shared" si="15"/>
        <v>41</v>
      </c>
      <c r="BK22" t="str">
        <f>"VI"</f>
        <v>VI</v>
      </c>
    </row>
    <row r="23" spans="1:63">
      <c r="A23" t="str">
        <f>"165300"</f>
        <v>165300</v>
      </c>
      <c r="B23" t="str">
        <f>"METAREG"</f>
        <v>METAREG</v>
      </c>
      <c r="C23" t="str">
        <f>"16198"</f>
        <v>16198</v>
      </c>
      <c r="D23" t="str">
        <f>" "</f>
        <v xml:space="preserve"> </v>
      </c>
      <c r="E23" t="str">
        <f t="shared" si="14"/>
        <v xml:space="preserve"> </v>
      </c>
      <c r="F23" s="14">
        <v>42116</v>
      </c>
      <c r="G23" t="str">
        <f t="shared" si="16"/>
        <v xml:space="preserve"> </v>
      </c>
      <c r="H23" t="str">
        <f t="shared" si="16"/>
        <v xml:space="preserve"> </v>
      </c>
      <c r="J23" s="14">
        <v>42135</v>
      </c>
      <c r="K23" t="str">
        <f t="shared" si="1"/>
        <v xml:space="preserve"> </v>
      </c>
      <c r="L23">
        <v>2030</v>
      </c>
      <c r="M23" s="15">
        <v>0</v>
      </c>
      <c r="N23" s="16">
        <v>1</v>
      </c>
      <c r="O23" t="str">
        <f t="shared" si="2"/>
        <v>EUR</v>
      </c>
      <c r="P23" s="13" t="str">
        <f>"16198"</f>
        <v>16198</v>
      </c>
      <c r="Q23" t="str">
        <f t="shared" si="3"/>
        <v>01</v>
      </c>
      <c r="R23" s="15">
        <v>2030</v>
      </c>
      <c r="S23" t="str">
        <f t="shared" si="17"/>
        <v xml:space="preserve"> </v>
      </c>
      <c r="T23" t="str">
        <f t="shared" si="17"/>
        <v xml:space="preserve"> </v>
      </c>
      <c r="U23" t="str">
        <f t="shared" si="17"/>
        <v xml:space="preserve"> </v>
      </c>
      <c r="V23" s="15">
        <v>2030</v>
      </c>
      <c r="W23" s="13">
        <v>1</v>
      </c>
      <c r="X23" t="str">
        <f>"METAREG"</f>
        <v>METAREG</v>
      </c>
      <c r="Y23" t="str">
        <f t="shared" si="18"/>
        <v>MP</v>
      </c>
      <c r="Z23" s="14">
        <v>42135</v>
      </c>
      <c r="AA23" t="str">
        <f t="shared" si="6"/>
        <v xml:space="preserve"> </v>
      </c>
      <c r="AB23" s="15">
        <v>0</v>
      </c>
      <c r="AC23" t="str">
        <f>"EIFFAGE CONTRUCTION METALLIQUE"</f>
        <v>EIFFAGE CONTRUCTION METALLIQUE</v>
      </c>
      <c r="AD23" t="str">
        <f t="shared" si="7"/>
        <v xml:space="preserve"> </v>
      </c>
      <c r="AE23" t="str">
        <f>"33600"</f>
        <v>33600</v>
      </c>
      <c r="AF23" t="str">
        <f>"PESSAC"</f>
        <v>PESSAC</v>
      </c>
      <c r="AG23" t="str">
        <f t="shared" si="8"/>
        <v xml:space="preserve"> </v>
      </c>
      <c r="AH23" t="str">
        <f t="shared" si="9"/>
        <v>F</v>
      </c>
      <c r="AI23" s="14">
        <v>42116</v>
      </c>
      <c r="AJ23">
        <v>0</v>
      </c>
      <c r="AL23">
        <v>0</v>
      </c>
      <c r="AN23" t="str">
        <f t="shared" ref="AN23:AN79" si="19">"DEBARROS"</f>
        <v>DEBARROS</v>
      </c>
      <c r="AO23" t="str">
        <f>"EIFFAGE CONSTRUCTION METALLIQUE"</f>
        <v>EIFFAGE CONSTRUCTION METALLIQUE</v>
      </c>
      <c r="AP23" t="str">
        <f t="shared" si="11"/>
        <v xml:space="preserve"> </v>
      </c>
      <c r="AQ23" s="15">
        <v>0</v>
      </c>
      <c r="AR23" s="16">
        <v>0</v>
      </c>
      <c r="AS23" s="16">
        <v>0</v>
      </c>
      <c r="AT23" s="16">
        <v>0</v>
      </c>
      <c r="AU23">
        <v>0</v>
      </c>
      <c r="AV23">
        <v>0</v>
      </c>
      <c r="AW23">
        <v>0</v>
      </c>
      <c r="AX23" s="16">
        <v>0</v>
      </c>
      <c r="AY23">
        <v>0</v>
      </c>
      <c r="AZ23">
        <v>2030</v>
      </c>
      <c r="BA23">
        <v>0</v>
      </c>
      <c r="BB23">
        <v>0</v>
      </c>
      <c r="BC23">
        <v>406</v>
      </c>
      <c r="BD23">
        <v>0</v>
      </c>
      <c r="BE23">
        <v>0</v>
      </c>
      <c r="BF23">
        <v>0</v>
      </c>
      <c r="BG23">
        <v>0</v>
      </c>
      <c r="BH23">
        <v>2436</v>
      </c>
      <c r="BI23">
        <v>2030</v>
      </c>
      <c r="BJ23" t="str">
        <f t="shared" si="15"/>
        <v>41</v>
      </c>
      <c r="BK23" t="str">
        <f>"VI"</f>
        <v>VI</v>
      </c>
    </row>
    <row r="24" spans="1:63">
      <c r="A24" t="str">
        <f>"199962"</f>
        <v>199962</v>
      </c>
      <c r="B24" t="str">
        <f>"LAMARCHE"</f>
        <v>LAMARCHE</v>
      </c>
      <c r="C24" t="str">
        <f>"16197"</f>
        <v>16197</v>
      </c>
      <c r="D24" t="str">
        <f>"5863-01"</f>
        <v>5863-01</v>
      </c>
      <c r="E24" t="str">
        <f t="shared" si="14"/>
        <v xml:space="preserve"> </v>
      </c>
      <c r="F24" s="14">
        <v>42115</v>
      </c>
      <c r="G24" t="str">
        <f t="shared" si="16"/>
        <v xml:space="preserve"> </v>
      </c>
      <c r="H24" t="str">
        <f t="shared" si="16"/>
        <v xml:space="preserve"> </v>
      </c>
      <c r="J24" s="14">
        <v>42152</v>
      </c>
      <c r="K24" t="str">
        <f t="shared" si="1"/>
        <v xml:space="preserve"> </v>
      </c>
      <c r="L24">
        <v>6620</v>
      </c>
      <c r="M24" s="15">
        <v>0</v>
      </c>
      <c r="N24" s="16">
        <v>1</v>
      </c>
      <c r="O24" t="str">
        <f t="shared" si="2"/>
        <v>EUR</v>
      </c>
      <c r="P24" s="13" t="str">
        <f>"16197"</f>
        <v>16197</v>
      </c>
      <c r="Q24" t="str">
        <f t="shared" si="3"/>
        <v>01</v>
      </c>
      <c r="R24" s="15">
        <v>6620</v>
      </c>
      <c r="S24" t="str">
        <f t="shared" si="17"/>
        <v xml:space="preserve"> </v>
      </c>
      <c r="T24" t="str">
        <f t="shared" si="17"/>
        <v xml:space="preserve"> </v>
      </c>
      <c r="U24" t="str">
        <f t="shared" si="17"/>
        <v xml:space="preserve"> </v>
      </c>
      <c r="V24" s="15">
        <v>6620</v>
      </c>
      <c r="W24" s="13">
        <v>1</v>
      </c>
      <c r="X24" t="str">
        <f>"LAMARCHE"</f>
        <v>LAMARCHE</v>
      </c>
      <c r="Y24" t="str">
        <f t="shared" si="18"/>
        <v>MP</v>
      </c>
      <c r="Z24" s="14">
        <v>42152</v>
      </c>
      <c r="AA24" t="str">
        <f t="shared" si="6"/>
        <v xml:space="preserve"> </v>
      </c>
      <c r="AB24" s="15">
        <v>0</v>
      </c>
      <c r="AC24" t="str">
        <f>"CABINET LAMARCHE"</f>
        <v>CABINET LAMARCHE</v>
      </c>
      <c r="AD24" t="str">
        <f t="shared" si="7"/>
        <v xml:space="preserve"> </v>
      </c>
      <c r="AE24" t="str">
        <f>"33160"</f>
        <v>33160</v>
      </c>
      <c r="AF24" t="str">
        <f>"Saint Aubin du Médoc"</f>
        <v>Saint Aubin du Médoc</v>
      </c>
      <c r="AG24" t="str">
        <f t="shared" si="8"/>
        <v xml:space="preserve"> </v>
      </c>
      <c r="AH24" t="str">
        <f t="shared" si="9"/>
        <v>F</v>
      </c>
      <c r="AI24" s="14">
        <v>42114</v>
      </c>
      <c r="AJ24">
        <v>0</v>
      </c>
      <c r="AL24">
        <v>0</v>
      </c>
      <c r="AN24" t="str">
        <f t="shared" si="19"/>
        <v>DEBARROS</v>
      </c>
      <c r="AO24" t="str">
        <f>"CABINET LAMARCHE"</f>
        <v>CABINET LAMARCHE</v>
      </c>
      <c r="AP24" t="str">
        <f t="shared" si="11"/>
        <v xml:space="preserve"> </v>
      </c>
      <c r="AQ24" s="15">
        <v>0</v>
      </c>
      <c r="AR24" s="16">
        <v>0</v>
      </c>
      <c r="AS24" s="16">
        <v>0</v>
      </c>
      <c r="AT24" s="16">
        <v>0</v>
      </c>
      <c r="AU24">
        <v>0</v>
      </c>
      <c r="AV24">
        <v>0</v>
      </c>
      <c r="AW24">
        <v>0</v>
      </c>
      <c r="AX24" s="16">
        <v>0</v>
      </c>
      <c r="AY24">
        <v>0</v>
      </c>
      <c r="AZ24">
        <v>6620</v>
      </c>
      <c r="BA24">
        <v>0</v>
      </c>
      <c r="BB24">
        <v>0</v>
      </c>
      <c r="BC24">
        <v>1324</v>
      </c>
      <c r="BD24">
        <v>0</v>
      </c>
      <c r="BE24">
        <v>0</v>
      </c>
      <c r="BF24">
        <v>0</v>
      </c>
      <c r="BG24">
        <v>0</v>
      </c>
      <c r="BH24">
        <v>7944</v>
      </c>
      <c r="BI24">
        <v>6620</v>
      </c>
      <c r="BJ24" t="str">
        <f t="shared" si="15"/>
        <v>41</v>
      </c>
      <c r="BK24" t="str">
        <f>"CH"</f>
        <v>CH</v>
      </c>
    </row>
    <row r="25" spans="1:63">
      <c r="A25" t="str">
        <f>"100800"</f>
        <v>100800</v>
      </c>
      <c r="B25" t="str">
        <f>"ABAQUE"</f>
        <v>ABAQUE</v>
      </c>
      <c r="C25" t="str">
        <f>"16196"</f>
        <v>16196</v>
      </c>
      <c r="D25" t="str">
        <f>"01240"</f>
        <v>01240</v>
      </c>
      <c r="E25" t="str">
        <f t="shared" si="14"/>
        <v xml:space="preserve"> </v>
      </c>
      <c r="F25" s="14">
        <v>42114</v>
      </c>
      <c r="G25" t="str">
        <f>"LT"</f>
        <v>LT</v>
      </c>
      <c r="H25" t="str">
        <f>"FT"</f>
        <v>FT</v>
      </c>
      <c r="I25" s="17">
        <v>42115</v>
      </c>
      <c r="J25" s="14">
        <v>42116</v>
      </c>
      <c r="K25" t="str">
        <f t="shared" si="1"/>
        <v xml:space="preserve"> </v>
      </c>
      <c r="L25">
        <v>145</v>
      </c>
      <c r="M25" s="15">
        <v>0</v>
      </c>
      <c r="N25" s="16">
        <v>1</v>
      </c>
      <c r="O25" t="str">
        <f t="shared" si="2"/>
        <v>EUR</v>
      </c>
      <c r="P25" s="13" t="str">
        <f>"16196"</f>
        <v>16196</v>
      </c>
      <c r="Q25" t="str">
        <f t="shared" si="3"/>
        <v>01</v>
      </c>
      <c r="R25" s="15">
        <v>145</v>
      </c>
      <c r="S25" t="str">
        <f t="shared" si="17"/>
        <v xml:space="preserve"> </v>
      </c>
      <c r="T25" t="str">
        <f t="shared" si="17"/>
        <v xml:space="preserve"> </v>
      </c>
      <c r="U25" t="str">
        <f t="shared" si="17"/>
        <v xml:space="preserve"> </v>
      </c>
      <c r="V25" s="15">
        <v>145</v>
      </c>
      <c r="W25" s="13">
        <v>1</v>
      </c>
      <c r="X25" t="str">
        <f>"ABAQUE"</f>
        <v>ABAQUE</v>
      </c>
      <c r="Y25" t="str">
        <f t="shared" si="18"/>
        <v>MP</v>
      </c>
      <c r="Z25" s="14">
        <v>42116</v>
      </c>
      <c r="AA25" t="str">
        <f t="shared" si="6"/>
        <v xml:space="preserve"> </v>
      </c>
      <c r="AB25" s="15">
        <v>0</v>
      </c>
      <c r="AC25" t="str">
        <f>"ABAQUE INDUSTRIE S.A."</f>
        <v>ABAQUE INDUSTRIE S.A.</v>
      </c>
      <c r="AD25" t="str">
        <f t="shared" si="7"/>
        <v xml:space="preserve"> </v>
      </c>
      <c r="AE25" t="str">
        <f>"33290"</f>
        <v>33290</v>
      </c>
      <c r="AF25" t="str">
        <f>"BLANQUEFORT"</f>
        <v>BLANQUEFORT</v>
      </c>
      <c r="AG25" t="str">
        <f t="shared" si="8"/>
        <v xml:space="preserve"> </v>
      </c>
      <c r="AH25" t="str">
        <f t="shared" si="9"/>
        <v>F</v>
      </c>
      <c r="AI25" s="14">
        <v>42114</v>
      </c>
      <c r="AJ25">
        <v>0</v>
      </c>
      <c r="AL25">
        <v>0</v>
      </c>
      <c r="AN25" t="str">
        <f t="shared" si="19"/>
        <v>DEBARROS</v>
      </c>
      <c r="AO25" t="str">
        <f>"ABAQUE INDUSTRIE S.A."</f>
        <v>ABAQUE INDUSTRIE S.A.</v>
      </c>
      <c r="AP25" t="str">
        <f t="shared" si="11"/>
        <v xml:space="preserve"> </v>
      </c>
      <c r="AQ25" s="15">
        <v>0</v>
      </c>
      <c r="AR25" s="16">
        <v>0</v>
      </c>
      <c r="AS25" s="16">
        <v>0</v>
      </c>
      <c r="AT25" s="16">
        <v>0</v>
      </c>
      <c r="AU25">
        <v>0</v>
      </c>
      <c r="AV25">
        <v>0</v>
      </c>
      <c r="AW25">
        <v>0</v>
      </c>
      <c r="AX25" s="16">
        <v>0</v>
      </c>
      <c r="AY25">
        <v>0</v>
      </c>
      <c r="AZ25">
        <v>145</v>
      </c>
      <c r="BA25">
        <v>0</v>
      </c>
      <c r="BB25">
        <v>0</v>
      </c>
      <c r="BC25">
        <v>29</v>
      </c>
      <c r="BD25">
        <v>0</v>
      </c>
      <c r="BE25">
        <v>0</v>
      </c>
      <c r="BF25">
        <v>0</v>
      </c>
      <c r="BG25">
        <v>0</v>
      </c>
      <c r="BH25">
        <v>174</v>
      </c>
      <c r="BI25">
        <v>145</v>
      </c>
      <c r="BJ25" t="str">
        <f t="shared" si="15"/>
        <v>41</v>
      </c>
      <c r="BK25" t="str">
        <f>"CH"</f>
        <v>CH</v>
      </c>
    </row>
    <row r="26" spans="1:63">
      <c r="A26" t="str">
        <f>"202302"</f>
        <v>202302</v>
      </c>
      <c r="B26" t="str">
        <f>"VALLOUREC DRILLING"</f>
        <v>VALLOUREC DRILLING</v>
      </c>
      <c r="C26" t="str">
        <f>"16195"</f>
        <v>16195</v>
      </c>
      <c r="D26" t="str">
        <f>"35011772 POSTE 10"</f>
        <v>35011772 POSTE 10</v>
      </c>
      <c r="E26" t="str">
        <f t="shared" si="14"/>
        <v xml:space="preserve"> </v>
      </c>
      <c r="F26" s="14">
        <v>42114</v>
      </c>
      <c r="G26" t="str">
        <f t="shared" ref="G26:H28" si="20">" "</f>
        <v xml:space="preserve"> </v>
      </c>
      <c r="H26" t="str">
        <f t="shared" si="20"/>
        <v xml:space="preserve"> </v>
      </c>
      <c r="J26" s="14">
        <v>42146</v>
      </c>
      <c r="K26" t="str">
        <f t="shared" si="1"/>
        <v xml:space="preserve"> </v>
      </c>
      <c r="L26">
        <v>3820</v>
      </c>
      <c r="M26" s="15">
        <v>0</v>
      </c>
      <c r="N26" s="16">
        <v>1</v>
      </c>
      <c r="O26" t="str">
        <f t="shared" si="2"/>
        <v>EUR</v>
      </c>
      <c r="P26" s="13" t="str">
        <f>"16195"</f>
        <v>16195</v>
      </c>
      <c r="Q26" t="str">
        <f t="shared" si="3"/>
        <v>01</v>
      </c>
      <c r="R26" s="15">
        <v>3820</v>
      </c>
      <c r="S26" t="str">
        <f t="shared" si="17"/>
        <v xml:space="preserve"> </v>
      </c>
      <c r="T26" t="str">
        <f t="shared" si="17"/>
        <v xml:space="preserve"> </v>
      </c>
      <c r="U26" t="str">
        <f t="shared" si="17"/>
        <v xml:space="preserve"> </v>
      </c>
      <c r="V26" s="15">
        <v>3820</v>
      </c>
      <c r="W26" s="13">
        <v>1</v>
      </c>
      <c r="X26" t="str">
        <f>"VALLOUREC DRILLING"</f>
        <v>VALLOUREC DRILLING</v>
      </c>
      <c r="Y26" t="str">
        <f t="shared" si="18"/>
        <v>MP</v>
      </c>
      <c r="Z26" s="14">
        <v>42146</v>
      </c>
      <c r="AA26" t="str">
        <f t="shared" si="6"/>
        <v xml:space="preserve"> </v>
      </c>
      <c r="AB26" s="15">
        <v>0</v>
      </c>
      <c r="AC26" t="str">
        <f>"VALLOUREC DRILLING PRODUCTS FRANCE"</f>
        <v>VALLOUREC DRILLING PRODUCTS FRANCE</v>
      </c>
      <c r="AD26" t="str">
        <f t="shared" si="7"/>
        <v xml:space="preserve"> </v>
      </c>
      <c r="AE26" t="str">
        <f>"65000"</f>
        <v>65000</v>
      </c>
      <c r="AF26" t="str">
        <f>"TARBES"</f>
        <v>TARBES</v>
      </c>
      <c r="AG26" t="str">
        <f t="shared" si="8"/>
        <v xml:space="preserve"> </v>
      </c>
      <c r="AH26" t="str">
        <f t="shared" si="9"/>
        <v>F</v>
      </c>
      <c r="AI26" s="14">
        <v>42114</v>
      </c>
      <c r="AJ26">
        <v>0</v>
      </c>
      <c r="AL26">
        <v>0</v>
      </c>
      <c r="AN26" t="str">
        <f t="shared" si="19"/>
        <v>DEBARROS</v>
      </c>
      <c r="AO26" t="str">
        <f>"VALLOUREC DRILLING PRODUCTS FRANCE"</f>
        <v>VALLOUREC DRILLING PRODUCTS FRANCE</v>
      </c>
      <c r="AP26" t="str">
        <f t="shared" si="11"/>
        <v xml:space="preserve"> </v>
      </c>
      <c r="AQ26" s="15">
        <v>0</v>
      </c>
      <c r="AR26" s="16">
        <v>0</v>
      </c>
      <c r="AS26" s="16">
        <v>0</v>
      </c>
      <c r="AT26" s="16">
        <v>0</v>
      </c>
      <c r="AU26">
        <v>0</v>
      </c>
      <c r="AV26">
        <v>0</v>
      </c>
      <c r="AW26">
        <v>0</v>
      </c>
      <c r="AX26" s="16">
        <v>0</v>
      </c>
      <c r="AY26">
        <v>0</v>
      </c>
      <c r="AZ26">
        <v>3820</v>
      </c>
      <c r="BA26">
        <v>0</v>
      </c>
      <c r="BB26">
        <v>0</v>
      </c>
      <c r="BC26">
        <v>764</v>
      </c>
      <c r="BD26">
        <v>0</v>
      </c>
      <c r="BE26">
        <v>0</v>
      </c>
      <c r="BF26">
        <v>0</v>
      </c>
      <c r="BG26">
        <v>0</v>
      </c>
      <c r="BH26">
        <v>4584</v>
      </c>
      <c r="BI26">
        <v>3820</v>
      </c>
      <c r="BJ26" t="str">
        <f t="shared" si="15"/>
        <v>41</v>
      </c>
      <c r="BK26" t="str">
        <f t="shared" ref="BK26:BK40" si="21">"VI"</f>
        <v>VI</v>
      </c>
    </row>
    <row r="27" spans="1:63">
      <c r="A27" t="str">
        <f>"202302"</f>
        <v>202302</v>
      </c>
      <c r="B27" t="str">
        <f>"VALLOUREC DRILLING"</f>
        <v>VALLOUREC DRILLING</v>
      </c>
      <c r="C27" t="str">
        <f>"16194"</f>
        <v>16194</v>
      </c>
      <c r="D27" t="str">
        <f>"35011772 poste 20"</f>
        <v>35011772 poste 20</v>
      </c>
      <c r="E27" t="str">
        <f t="shared" si="14"/>
        <v xml:space="preserve"> </v>
      </c>
      <c r="F27" s="14">
        <v>42114</v>
      </c>
      <c r="G27" t="str">
        <f t="shared" si="20"/>
        <v xml:space="preserve"> </v>
      </c>
      <c r="H27" t="str">
        <f t="shared" si="20"/>
        <v xml:space="preserve"> </v>
      </c>
      <c r="J27" s="14">
        <v>42146</v>
      </c>
      <c r="K27" t="str">
        <f t="shared" si="1"/>
        <v xml:space="preserve"> </v>
      </c>
      <c r="L27">
        <v>8440</v>
      </c>
      <c r="M27" s="15">
        <v>0</v>
      </c>
      <c r="N27" s="16">
        <v>1</v>
      </c>
      <c r="O27" t="str">
        <f t="shared" si="2"/>
        <v>EUR</v>
      </c>
      <c r="P27" s="13" t="str">
        <f>"16194"</f>
        <v>16194</v>
      </c>
      <c r="Q27" t="str">
        <f t="shared" si="3"/>
        <v>01</v>
      </c>
      <c r="R27" s="15">
        <v>8440</v>
      </c>
      <c r="S27" t="str">
        <f t="shared" si="17"/>
        <v xml:space="preserve"> </v>
      </c>
      <c r="T27" t="str">
        <f t="shared" si="17"/>
        <v xml:space="preserve"> </v>
      </c>
      <c r="U27" t="str">
        <f t="shared" si="17"/>
        <v xml:space="preserve"> </v>
      </c>
      <c r="V27" s="15">
        <v>8440</v>
      </c>
      <c r="W27" s="13">
        <v>1</v>
      </c>
      <c r="X27" t="str">
        <f>"VALLOUREC DRILLING"</f>
        <v>VALLOUREC DRILLING</v>
      </c>
      <c r="Y27" t="str">
        <f t="shared" si="18"/>
        <v>MP</v>
      </c>
      <c r="Z27" s="14">
        <v>42146</v>
      </c>
      <c r="AA27" t="str">
        <f t="shared" si="6"/>
        <v xml:space="preserve"> </v>
      </c>
      <c r="AB27" s="15">
        <v>0</v>
      </c>
      <c r="AC27" t="str">
        <f>"VALLOUREC DRILLING PRODUCTS FRANCE"</f>
        <v>VALLOUREC DRILLING PRODUCTS FRANCE</v>
      </c>
      <c r="AD27" t="str">
        <f t="shared" si="7"/>
        <v xml:space="preserve"> </v>
      </c>
      <c r="AE27" t="str">
        <f>"65000"</f>
        <v>65000</v>
      </c>
      <c r="AF27" t="str">
        <f>"TARBES"</f>
        <v>TARBES</v>
      </c>
      <c r="AG27" t="str">
        <f t="shared" si="8"/>
        <v xml:space="preserve"> </v>
      </c>
      <c r="AH27" t="str">
        <f t="shared" si="9"/>
        <v>F</v>
      </c>
      <c r="AI27" s="14">
        <v>42114</v>
      </c>
      <c r="AJ27">
        <v>0</v>
      </c>
      <c r="AL27">
        <v>0</v>
      </c>
      <c r="AN27" t="str">
        <f t="shared" si="19"/>
        <v>DEBARROS</v>
      </c>
      <c r="AO27" t="str">
        <f>"VALLOUREC DRILLING PRODUCTS FRANCE"</f>
        <v>VALLOUREC DRILLING PRODUCTS FRANCE</v>
      </c>
      <c r="AP27" t="str">
        <f t="shared" si="11"/>
        <v xml:space="preserve"> </v>
      </c>
      <c r="AQ27" s="15">
        <v>0</v>
      </c>
      <c r="AR27" s="16">
        <v>0</v>
      </c>
      <c r="AS27" s="16">
        <v>0</v>
      </c>
      <c r="AT27" s="16">
        <v>0</v>
      </c>
      <c r="AU27">
        <v>0</v>
      </c>
      <c r="AV27">
        <v>0</v>
      </c>
      <c r="AW27">
        <v>0</v>
      </c>
      <c r="AX27" s="16">
        <v>0</v>
      </c>
      <c r="AY27">
        <v>0</v>
      </c>
      <c r="AZ27">
        <v>8440</v>
      </c>
      <c r="BA27">
        <v>0</v>
      </c>
      <c r="BB27">
        <v>0</v>
      </c>
      <c r="BC27">
        <v>1688</v>
      </c>
      <c r="BD27">
        <v>0</v>
      </c>
      <c r="BE27">
        <v>0</v>
      </c>
      <c r="BF27">
        <v>0</v>
      </c>
      <c r="BG27">
        <v>0</v>
      </c>
      <c r="BH27">
        <v>10128</v>
      </c>
      <c r="BI27">
        <v>8440</v>
      </c>
      <c r="BJ27" t="str">
        <f t="shared" si="15"/>
        <v>41</v>
      </c>
      <c r="BK27" t="str">
        <f t="shared" si="21"/>
        <v>VI</v>
      </c>
    </row>
    <row r="28" spans="1:63">
      <c r="A28" t="str">
        <f>"112200"</f>
        <v>112200</v>
      </c>
      <c r="B28" t="str">
        <f>"AE"</f>
        <v>AE</v>
      </c>
      <c r="C28" t="str">
        <f>"16193"</f>
        <v>16193</v>
      </c>
      <c r="D28" t="str">
        <f>"CF1501396/C316"</f>
        <v>CF1501396/C316</v>
      </c>
      <c r="E28" t="str">
        <f t="shared" si="14"/>
        <v xml:space="preserve"> </v>
      </c>
      <c r="F28" s="14">
        <v>42114</v>
      </c>
      <c r="G28" t="str">
        <f t="shared" si="20"/>
        <v xml:space="preserve"> </v>
      </c>
      <c r="H28" t="str">
        <f t="shared" si="20"/>
        <v xml:space="preserve"> </v>
      </c>
      <c r="J28" s="14">
        <v>42150</v>
      </c>
      <c r="K28" t="str">
        <f t="shared" si="1"/>
        <v xml:space="preserve"> </v>
      </c>
      <c r="L28">
        <v>1440</v>
      </c>
      <c r="M28" s="15">
        <v>0</v>
      </c>
      <c r="N28" s="16">
        <v>1</v>
      </c>
      <c r="O28" t="str">
        <f t="shared" si="2"/>
        <v>EUR</v>
      </c>
      <c r="P28" s="13" t="str">
        <f>"16193"</f>
        <v>16193</v>
      </c>
      <c r="Q28" t="str">
        <f t="shared" si="3"/>
        <v>01</v>
      </c>
      <c r="R28" s="15">
        <v>1440</v>
      </c>
      <c r="S28" t="str">
        <f t="shared" si="17"/>
        <v xml:space="preserve"> </v>
      </c>
      <c r="T28" t="str">
        <f t="shared" si="17"/>
        <v xml:space="preserve"> </v>
      </c>
      <c r="U28" t="str">
        <f t="shared" si="17"/>
        <v xml:space="preserve"> </v>
      </c>
      <c r="V28" s="15">
        <v>1440</v>
      </c>
      <c r="W28" s="13">
        <v>1</v>
      </c>
      <c r="X28" t="str">
        <f>"AE"</f>
        <v>AE</v>
      </c>
      <c r="Y28" t="str">
        <f>"TS"</f>
        <v>TS</v>
      </c>
      <c r="Z28" s="14">
        <v>42150</v>
      </c>
      <c r="AA28" t="str">
        <f t="shared" si="6"/>
        <v xml:space="preserve"> </v>
      </c>
      <c r="AB28" s="15">
        <v>0</v>
      </c>
      <c r="AC28" t="str">
        <f>"AQUITAINE ELECTRONIQUE"</f>
        <v>AQUITAINE ELECTRONIQUE</v>
      </c>
      <c r="AD28" t="str">
        <f t="shared" si="7"/>
        <v xml:space="preserve"> </v>
      </c>
      <c r="AE28" t="str">
        <f>"64121"</f>
        <v>64121</v>
      </c>
      <c r="AF28" t="str">
        <f>"SERRES-CASTET"</f>
        <v>SERRES-CASTET</v>
      </c>
      <c r="AG28" t="str">
        <f t="shared" si="8"/>
        <v xml:space="preserve"> </v>
      </c>
      <c r="AH28" t="str">
        <f t="shared" si="9"/>
        <v>F</v>
      </c>
      <c r="AI28" s="14">
        <v>42114</v>
      </c>
      <c r="AJ28">
        <v>0</v>
      </c>
      <c r="AL28">
        <v>0</v>
      </c>
      <c r="AN28" t="str">
        <f t="shared" si="19"/>
        <v>DEBARROS</v>
      </c>
      <c r="AO28" t="str">
        <f>"AQUITAINE ELECTRONIQUE"</f>
        <v>AQUITAINE ELECTRONIQUE</v>
      </c>
      <c r="AP28" t="str">
        <f t="shared" si="11"/>
        <v xml:space="preserve"> </v>
      </c>
      <c r="AQ28" s="15">
        <v>0</v>
      </c>
      <c r="AR28" s="16">
        <v>0</v>
      </c>
      <c r="AS28" s="16">
        <v>0</v>
      </c>
      <c r="AT28" s="16">
        <v>0</v>
      </c>
      <c r="AU28">
        <v>0</v>
      </c>
      <c r="AV28">
        <v>0</v>
      </c>
      <c r="AW28">
        <v>0</v>
      </c>
      <c r="AX28" s="16">
        <v>0</v>
      </c>
      <c r="AY28">
        <v>0</v>
      </c>
      <c r="AZ28">
        <v>1440</v>
      </c>
      <c r="BA28">
        <v>0</v>
      </c>
      <c r="BB28">
        <v>0</v>
      </c>
      <c r="BC28">
        <v>288</v>
      </c>
      <c r="BD28">
        <v>0</v>
      </c>
      <c r="BE28">
        <v>0</v>
      </c>
      <c r="BF28">
        <v>0</v>
      </c>
      <c r="BG28">
        <v>0</v>
      </c>
      <c r="BH28">
        <v>1728</v>
      </c>
      <c r="BI28">
        <v>1440</v>
      </c>
      <c r="BJ28" t="str">
        <f t="shared" si="15"/>
        <v>41</v>
      </c>
      <c r="BK28" t="str">
        <f t="shared" si="21"/>
        <v>VI</v>
      </c>
    </row>
    <row r="29" spans="1:63">
      <c r="A29" t="str">
        <f>"165300"</f>
        <v>165300</v>
      </c>
      <c r="B29" t="str">
        <f>"METAREG"</f>
        <v>METAREG</v>
      </c>
      <c r="C29" t="str">
        <f>"16192"</f>
        <v>16192</v>
      </c>
      <c r="D29" t="str">
        <f>" "</f>
        <v xml:space="preserve"> </v>
      </c>
      <c r="E29" t="str">
        <f t="shared" si="14"/>
        <v xml:space="preserve"> </v>
      </c>
      <c r="F29" s="14">
        <v>42114</v>
      </c>
      <c r="G29" t="str">
        <f>"LT"</f>
        <v>LT</v>
      </c>
      <c r="H29" t="str">
        <f>"FT"</f>
        <v>FT</v>
      </c>
      <c r="I29" s="17">
        <v>42115</v>
      </c>
      <c r="J29" s="14">
        <v>42116</v>
      </c>
      <c r="K29" t="str">
        <f t="shared" si="1"/>
        <v xml:space="preserve"> </v>
      </c>
      <c r="L29">
        <v>110</v>
      </c>
      <c r="M29" s="15">
        <v>0</v>
      </c>
      <c r="N29" s="16">
        <v>1</v>
      </c>
      <c r="O29" t="str">
        <f t="shared" si="2"/>
        <v>EUR</v>
      </c>
      <c r="P29" s="13" t="str">
        <f>"16192"</f>
        <v>16192</v>
      </c>
      <c r="Q29" t="str">
        <f t="shared" si="3"/>
        <v>01</v>
      </c>
      <c r="R29" s="15">
        <v>110</v>
      </c>
      <c r="S29" t="str">
        <f t="shared" si="17"/>
        <v xml:space="preserve"> </v>
      </c>
      <c r="T29" t="str">
        <f t="shared" si="17"/>
        <v xml:space="preserve"> </v>
      </c>
      <c r="U29" t="str">
        <f t="shared" si="17"/>
        <v xml:space="preserve"> </v>
      </c>
      <c r="V29" s="15">
        <v>110</v>
      </c>
      <c r="W29" s="13">
        <v>1</v>
      </c>
      <c r="X29" t="str">
        <f>"METAREG"</f>
        <v>METAREG</v>
      </c>
      <c r="Y29" t="str">
        <f>"MP"</f>
        <v>MP</v>
      </c>
      <c r="Z29" s="14">
        <v>42116</v>
      </c>
      <c r="AA29" t="str">
        <f t="shared" si="6"/>
        <v xml:space="preserve"> </v>
      </c>
      <c r="AB29" s="15">
        <v>0</v>
      </c>
      <c r="AC29" t="str">
        <f>"EIFFAGE CONTRUCTION METALLIQUE"</f>
        <v>EIFFAGE CONTRUCTION METALLIQUE</v>
      </c>
      <c r="AD29" t="str">
        <f t="shared" si="7"/>
        <v xml:space="preserve"> </v>
      </c>
      <c r="AE29" t="str">
        <f>"33600"</f>
        <v>33600</v>
      </c>
      <c r="AF29" t="str">
        <f>"PESSAC"</f>
        <v>PESSAC</v>
      </c>
      <c r="AG29" t="str">
        <f t="shared" si="8"/>
        <v xml:space="preserve"> </v>
      </c>
      <c r="AH29" t="str">
        <f t="shared" si="9"/>
        <v>F</v>
      </c>
      <c r="AI29" s="14">
        <v>42114</v>
      </c>
      <c r="AJ29">
        <v>0</v>
      </c>
      <c r="AL29">
        <v>0</v>
      </c>
      <c r="AN29" t="str">
        <f t="shared" si="19"/>
        <v>DEBARROS</v>
      </c>
      <c r="AO29" t="str">
        <f>"EIFFAGE CONSTRUCTION METALLIQUE"</f>
        <v>EIFFAGE CONSTRUCTION METALLIQUE</v>
      </c>
      <c r="AP29" t="str">
        <f t="shared" si="11"/>
        <v xml:space="preserve"> </v>
      </c>
      <c r="AQ29" s="15">
        <v>0</v>
      </c>
      <c r="AR29" s="16">
        <v>0</v>
      </c>
      <c r="AS29" s="16">
        <v>0</v>
      </c>
      <c r="AT29" s="16">
        <v>0</v>
      </c>
      <c r="AU29">
        <v>0</v>
      </c>
      <c r="AV29">
        <v>0</v>
      </c>
      <c r="AW29">
        <v>0</v>
      </c>
      <c r="AX29" s="16">
        <v>0</v>
      </c>
      <c r="AY29">
        <v>0</v>
      </c>
      <c r="AZ29">
        <v>110</v>
      </c>
      <c r="BA29">
        <v>0</v>
      </c>
      <c r="BB29">
        <v>0</v>
      </c>
      <c r="BC29">
        <v>22</v>
      </c>
      <c r="BD29">
        <v>0</v>
      </c>
      <c r="BE29">
        <v>0</v>
      </c>
      <c r="BF29">
        <v>0</v>
      </c>
      <c r="BG29">
        <v>0</v>
      </c>
      <c r="BH29">
        <v>132</v>
      </c>
      <c r="BI29">
        <v>110</v>
      </c>
      <c r="BJ29" t="str">
        <f t="shared" si="15"/>
        <v>41</v>
      </c>
      <c r="BK29" t="str">
        <f t="shared" si="21"/>
        <v>VI</v>
      </c>
    </row>
    <row r="30" spans="1:63">
      <c r="A30" t="str">
        <f>"186100"</f>
        <v>186100</v>
      </c>
      <c r="B30" t="str">
        <f>"HERAKLES ( SME )"</f>
        <v>HERAKLES ( SME )</v>
      </c>
      <c r="C30" t="str">
        <f>"16191"</f>
        <v>16191</v>
      </c>
      <c r="D30" t="str">
        <f>"ANS 0738907 1"</f>
        <v>ANS 0738907 1</v>
      </c>
      <c r="E30" t="str">
        <f t="shared" si="14"/>
        <v xml:space="preserve"> </v>
      </c>
      <c r="F30" s="14">
        <v>42111</v>
      </c>
      <c r="G30" t="str">
        <f>"LT"</f>
        <v>LT</v>
      </c>
      <c r="H30" t="str">
        <f>"FT"</f>
        <v>FT</v>
      </c>
      <c r="I30" s="17">
        <v>42121</v>
      </c>
      <c r="J30" s="14">
        <v>42118</v>
      </c>
      <c r="K30" t="str">
        <f t="shared" si="1"/>
        <v xml:space="preserve"> </v>
      </c>
      <c r="L30">
        <v>120</v>
      </c>
      <c r="M30" s="15">
        <v>0</v>
      </c>
      <c r="N30" s="16">
        <v>1</v>
      </c>
      <c r="O30" t="str">
        <f t="shared" si="2"/>
        <v>EUR</v>
      </c>
      <c r="P30" s="13" t="str">
        <f>"16191"</f>
        <v>16191</v>
      </c>
      <c r="Q30" t="str">
        <f t="shared" si="3"/>
        <v>01</v>
      </c>
      <c r="R30" s="15">
        <v>120</v>
      </c>
      <c r="S30" t="str">
        <f t="shared" si="17"/>
        <v xml:space="preserve"> </v>
      </c>
      <c r="T30" t="str">
        <f t="shared" si="17"/>
        <v xml:space="preserve"> </v>
      </c>
      <c r="U30" t="str">
        <f t="shared" si="17"/>
        <v xml:space="preserve"> </v>
      </c>
      <c r="V30" s="15">
        <v>120</v>
      </c>
      <c r="W30" s="13">
        <v>1</v>
      </c>
      <c r="X30" t="str">
        <f>"HERAKLES ( SME )"</f>
        <v>HERAKLES ( SME )</v>
      </c>
      <c r="Y30" t="str">
        <f>"TS"</f>
        <v>TS</v>
      </c>
      <c r="Z30" s="14">
        <v>42118</v>
      </c>
      <c r="AA30" t="str">
        <f t="shared" si="6"/>
        <v xml:space="preserve"> </v>
      </c>
      <c r="AB30" s="15">
        <v>0</v>
      </c>
      <c r="AC30" t="str">
        <f>"SAFRAN HERAKLES"</f>
        <v>SAFRAN HERAKLES</v>
      </c>
      <c r="AD30" t="str">
        <f t="shared" si="7"/>
        <v xml:space="preserve"> </v>
      </c>
      <c r="AE30" t="str">
        <f>"33160"</f>
        <v>33160</v>
      </c>
      <c r="AF30" t="str">
        <f>"Saint Médard en Jalles"</f>
        <v>Saint Médard en Jalles</v>
      </c>
      <c r="AG30" t="str">
        <f t="shared" si="8"/>
        <v xml:space="preserve"> </v>
      </c>
      <c r="AH30" t="str">
        <f t="shared" si="9"/>
        <v>F</v>
      </c>
      <c r="AI30" s="14">
        <v>42111</v>
      </c>
      <c r="AJ30">
        <v>0</v>
      </c>
      <c r="AL30">
        <v>0</v>
      </c>
      <c r="AN30" t="str">
        <f t="shared" si="19"/>
        <v>DEBARROS</v>
      </c>
      <c r="AO30" t="str">
        <f>"HERAKLES ( SME )"</f>
        <v>HERAKLES ( SME )</v>
      </c>
      <c r="AP30" t="str">
        <f t="shared" si="11"/>
        <v xml:space="preserve"> </v>
      </c>
      <c r="AQ30" s="15">
        <v>0</v>
      </c>
      <c r="AR30" s="16">
        <v>0</v>
      </c>
      <c r="AS30" s="16">
        <v>0</v>
      </c>
      <c r="AT30" s="16">
        <v>0</v>
      </c>
      <c r="AU30">
        <v>0</v>
      </c>
      <c r="AV30">
        <v>0</v>
      </c>
      <c r="AW30">
        <v>0</v>
      </c>
      <c r="AX30" s="16">
        <v>0</v>
      </c>
      <c r="AY30">
        <v>0</v>
      </c>
      <c r="AZ30">
        <v>120</v>
      </c>
      <c r="BA30">
        <v>0</v>
      </c>
      <c r="BB30">
        <v>0</v>
      </c>
      <c r="BC30">
        <v>24</v>
      </c>
      <c r="BD30">
        <v>0</v>
      </c>
      <c r="BE30">
        <v>0</v>
      </c>
      <c r="BF30">
        <v>0</v>
      </c>
      <c r="BG30">
        <v>0</v>
      </c>
      <c r="BH30">
        <v>144</v>
      </c>
      <c r="BI30">
        <v>120</v>
      </c>
      <c r="BJ30" t="str">
        <f t="shared" si="15"/>
        <v>41</v>
      </c>
      <c r="BK30" t="str">
        <f t="shared" si="21"/>
        <v>VI</v>
      </c>
    </row>
    <row r="31" spans="1:63">
      <c r="A31" t="str">
        <f>"186100"</f>
        <v>186100</v>
      </c>
      <c r="B31" t="str">
        <f>"HERAKLES ( SME )"</f>
        <v>HERAKLES ( SME )</v>
      </c>
      <c r="C31" t="str">
        <f>"16190"</f>
        <v>16190</v>
      </c>
      <c r="D31" t="str">
        <f>"ANS 0738854 1"</f>
        <v>ANS 0738854 1</v>
      </c>
      <c r="E31" t="str">
        <f t="shared" si="14"/>
        <v xml:space="preserve"> </v>
      </c>
      <c r="F31" s="14">
        <v>42111</v>
      </c>
      <c r="G31" t="str">
        <f>" "</f>
        <v xml:space="preserve"> </v>
      </c>
      <c r="H31" t="str">
        <f>" "</f>
        <v xml:space="preserve"> </v>
      </c>
      <c r="J31" s="14">
        <v>42167</v>
      </c>
      <c r="K31" t="str">
        <f t="shared" si="1"/>
        <v xml:space="preserve"> </v>
      </c>
      <c r="L31">
        <v>9605</v>
      </c>
      <c r="M31" s="15">
        <v>0</v>
      </c>
      <c r="N31" s="16">
        <v>1</v>
      </c>
      <c r="O31" t="str">
        <f t="shared" si="2"/>
        <v>EUR</v>
      </c>
      <c r="P31" s="13" t="str">
        <f>"16190"</f>
        <v>16190</v>
      </c>
      <c r="Q31" t="str">
        <f t="shared" si="3"/>
        <v>01</v>
      </c>
      <c r="R31" s="15">
        <v>9605</v>
      </c>
      <c r="S31" t="str">
        <f t="shared" si="17"/>
        <v xml:space="preserve"> </v>
      </c>
      <c r="T31" t="str">
        <f t="shared" si="17"/>
        <v xml:space="preserve"> </v>
      </c>
      <c r="U31" t="str">
        <f t="shared" si="17"/>
        <v xml:space="preserve"> </v>
      </c>
      <c r="V31" s="15">
        <v>9605</v>
      </c>
      <c r="W31" s="13">
        <v>1</v>
      </c>
      <c r="X31" t="str">
        <f>"HERAKLES ( SME )"</f>
        <v>HERAKLES ( SME )</v>
      </c>
      <c r="Y31" t="str">
        <f>"TS"</f>
        <v>TS</v>
      </c>
      <c r="Z31" s="14">
        <v>42167</v>
      </c>
      <c r="AA31" t="str">
        <f t="shared" si="6"/>
        <v xml:space="preserve"> </v>
      </c>
      <c r="AB31" s="15">
        <v>0</v>
      </c>
      <c r="AC31" t="str">
        <f>"SAFRAN HERAKLES"</f>
        <v>SAFRAN HERAKLES</v>
      </c>
      <c r="AD31" t="str">
        <f t="shared" si="7"/>
        <v xml:space="preserve"> </v>
      </c>
      <c r="AE31" t="str">
        <f>"33160"</f>
        <v>33160</v>
      </c>
      <c r="AF31" t="str">
        <f>"Saint Médard en Jalles"</f>
        <v>Saint Médard en Jalles</v>
      </c>
      <c r="AG31" t="str">
        <f t="shared" si="8"/>
        <v xml:space="preserve"> </v>
      </c>
      <c r="AH31" t="str">
        <f t="shared" si="9"/>
        <v>F</v>
      </c>
      <c r="AI31" s="14">
        <v>42110</v>
      </c>
      <c r="AJ31">
        <v>0</v>
      </c>
      <c r="AL31">
        <v>0</v>
      </c>
      <c r="AN31" t="str">
        <f t="shared" si="19"/>
        <v>DEBARROS</v>
      </c>
      <c r="AO31" t="str">
        <f>"HERAKLES ( SME )"</f>
        <v>HERAKLES ( SME )</v>
      </c>
      <c r="AP31" t="str">
        <f t="shared" si="11"/>
        <v xml:space="preserve"> </v>
      </c>
      <c r="AQ31" s="15">
        <v>0</v>
      </c>
      <c r="AR31" s="16">
        <v>0</v>
      </c>
      <c r="AS31" s="16">
        <v>0</v>
      </c>
      <c r="AT31" s="16">
        <v>0</v>
      </c>
      <c r="AU31">
        <v>0</v>
      </c>
      <c r="AV31">
        <v>0</v>
      </c>
      <c r="AW31">
        <v>0</v>
      </c>
      <c r="AX31" s="16">
        <v>0</v>
      </c>
      <c r="AY31">
        <v>0</v>
      </c>
      <c r="AZ31">
        <v>9605</v>
      </c>
      <c r="BA31">
        <v>0</v>
      </c>
      <c r="BB31">
        <v>0</v>
      </c>
      <c r="BC31">
        <v>1921</v>
      </c>
      <c r="BD31">
        <v>0</v>
      </c>
      <c r="BE31">
        <v>0</v>
      </c>
      <c r="BF31">
        <v>0</v>
      </c>
      <c r="BG31">
        <v>0</v>
      </c>
      <c r="BH31">
        <v>11526</v>
      </c>
      <c r="BI31">
        <v>9605</v>
      </c>
      <c r="BJ31" t="str">
        <f t="shared" si="15"/>
        <v>41</v>
      </c>
      <c r="BK31" t="str">
        <f t="shared" si="21"/>
        <v>VI</v>
      </c>
    </row>
    <row r="32" spans="1:63">
      <c r="A32" t="str">
        <f>"165300"</f>
        <v>165300</v>
      </c>
      <c r="B32" t="str">
        <f>"METAREG"</f>
        <v>METAREG</v>
      </c>
      <c r="C32" t="str">
        <f>"16189"</f>
        <v>16189</v>
      </c>
      <c r="D32" t="str">
        <f>"C150009962/2"</f>
        <v>C150009962/2</v>
      </c>
      <c r="E32" t="str">
        <f t="shared" si="14"/>
        <v xml:space="preserve"> </v>
      </c>
      <c r="F32" s="14">
        <v>42110</v>
      </c>
      <c r="G32" t="str">
        <f>"LT"</f>
        <v>LT</v>
      </c>
      <c r="H32" t="str">
        <f>"FT"</f>
        <v>FT</v>
      </c>
      <c r="I32" s="17">
        <v>42115</v>
      </c>
      <c r="J32" s="14">
        <v>42115</v>
      </c>
      <c r="K32" t="str">
        <f t="shared" si="1"/>
        <v xml:space="preserve"> </v>
      </c>
      <c r="L32">
        <v>480</v>
      </c>
      <c r="M32" s="15">
        <v>0</v>
      </c>
      <c r="N32" s="16">
        <v>1</v>
      </c>
      <c r="O32" t="str">
        <f t="shared" si="2"/>
        <v>EUR</v>
      </c>
      <c r="P32" s="13" t="str">
        <f>"16189"</f>
        <v>16189</v>
      </c>
      <c r="Q32" t="str">
        <f t="shared" si="3"/>
        <v>01</v>
      </c>
      <c r="R32" s="15">
        <v>480</v>
      </c>
      <c r="S32" t="str">
        <f t="shared" si="17"/>
        <v xml:space="preserve"> </v>
      </c>
      <c r="T32" t="str">
        <f t="shared" si="17"/>
        <v xml:space="preserve"> </v>
      </c>
      <c r="U32" t="str">
        <f t="shared" si="17"/>
        <v xml:space="preserve"> </v>
      </c>
      <c r="V32" s="15">
        <v>480</v>
      </c>
      <c r="W32" s="13">
        <v>1</v>
      </c>
      <c r="X32" t="str">
        <f>"METAREG"</f>
        <v>METAREG</v>
      </c>
      <c r="Y32" t="str">
        <f>"MP"</f>
        <v>MP</v>
      </c>
      <c r="Z32" s="14">
        <v>42115</v>
      </c>
      <c r="AA32" t="str">
        <f t="shared" si="6"/>
        <v xml:space="preserve"> </v>
      </c>
      <c r="AB32" s="15">
        <v>0</v>
      </c>
      <c r="AC32" t="str">
        <f>"EIFFAGE CONTRUCTION METALLIQUE"</f>
        <v>EIFFAGE CONTRUCTION METALLIQUE</v>
      </c>
      <c r="AD32" t="str">
        <f t="shared" si="7"/>
        <v xml:space="preserve"> </v>
      </c>
      <c r="AE32" t="str">
        <f>"33600"</f>
        <v>33600</v>
      </c>
      <c r="AF32" t="str">
        <f>"PESSAC"</f>
        <v>PESSAC</v>
      </c>
      <c r="AG32" t="str">
        <f t="shared" si="8"/>
        <v xml:space="preserve"> </v>
      </c>
      <c r="AH32" t="str">
        <f t="shared" si="9"/>
        <v>F</v>
      </c>
      <c r="AI32" s="14">
        <v>42110</v>
      </c>
      <c r="AJ32">
        <v>0</v>
      </c>
      <c r="AL32">
        <v>0</v>
      </c>
      <c r="AN32" t="str">
        <f t="shared" si="19"/>
        <v>DEBARROS</v>
      </c>
      <c r="AO32" t="str">
        <f>"EIFFAGE CONSTRUCTION METALLIQUE"</f>
        <v>EIFFAGE CONSTRUCTION METALLIQUE</v>
      </c>
      <c r="AP32" t="str">
        <f t="shared" si="11"/>
        <v xml:space="preserve"> </v>
      </c>
      <c r="AQ32" s="15">
        <v>0</v>
      </c>
      <c r="AR32" s="16">
        <v>0</v>
      </c>
      <c r="AS32" s="16">
        <v>0</v>
      </c>
      <c r="AT32" s="16">
        <v>0</v>
      </c>
      <c r="AU32">
        <v>0</v>
      </c>
      <c r="AV32">
        <v>0</v>
      </c>
      <c r="AW32">
        <v>0</v>
      </c>
      <c r="AX32" s="16">
        <v>0</v>
      </c>
      <c r="AY32">
        <v>0</v>
      </c>
      <c r="AZ32">
        <v>480</v>
      </c>
      <c r="BA32">
        <v>0</v>
      </c>
      <c r="BB32">
        <v>0</v>
      </c>
      <c r="BC32">
        <v>96</v>
      </c>
      <c r="BD32">
        <v>0</v>
      </c>
      <c r="BE32">
        <v>0</v>
      </c>
      <c r="BF32">
        <v>0</v>
      </c>
      <c r="BG32">
        <v>0</v>
      </c>
      <c r="BH32">
        <v>576</v>
      </c>
      <c r="BI32">
        <v>480</v>
      </c>
      <c r="BJ32" t="str">
        <f t="shared" si="15"/>
        <v>41</v>
      </c>
      <c r="BK32" t="str">
        <f t="shared" si="21"/>
        <v>VI</v>
      </c>
    </row>
    <row r="33" spans="1:63">
      <c r="A33" t="str">
        <f>"186100"</f>
        <v>186100</v>
      </c>
      <c r="B33" t="str">
        <f>"HERAKLES ( SME )"</f>
        <v>HERAKLES ( SME )</v>
      </c>
      <c r="C33" t="str">
        <f>"16188"</f>
        <v>16188</v>
      </c>
      <c r="D33" t="str">
        <f>"ANS 0738851 1"</f>
        <v>ANS 0738851 1</v>
      </c>
      <c r="E33" t="str">
        <f t="shared" si="14"/>
        <v xml:space="preserve"> </v>
      </c>
      <c r="F33" s="14">
        <v>42110</v>
      </c>
      <c r="G33" t="str">
        <f>" "</f>
        <v xml:space="preserve"> </v>
      </c>
      <c r="H33" t="str">
        <f>" "</f>
        <v xml:space="preserve"> </v>
      </c>
      <c r="J33" s="14">
        <v>42167</v>
      </c>
      <c r="K33" t="str">
        <f t="shared" si="1"/>
        <v xml:space="preserve"> </v>
      </c>
      <c r="L33">
        <v>65863</v>
      </c>
      <c r="M33" s="15">
        <v>0</v>
      </c>
      <c r="N33" s="16">
        <v>1</v>
      </c>
      <c r="O33" t="str">
        <f t="shared" si="2"/>
        <v>EUR</v>
      </c>
      <c r="P33" s="13" t="str">
        <f>"16188"</f>
        <v>16188</v>
      </c>
      <c r="Q33" t="str">
        <f t="shared" si="3"/>
        <v>01</v>
      </c>
      <c r="R33" s="15">
        <v>65863</v>
      </c>
      <c r="S33" t="str">
        <f t="shared" si="17"/>
        <v xml:space="preserve"> </v>
      </c>
      <c r="T33" t="str">
        <f t="shared" si="17"/>
        <v xml:space="preserve"> </v>
      </c>
      <c r="U33" t="str">
        <f t="shared" si="17"/>
        <v xml:space="preserve"> </v>
      </c>
      <c r="V33" s="15">
        <v>65863</v>
      </c>
      <c r="W33" s="13">
        <v>1</v>
      </c>
      <c r="X33" t="str">
        <f>"HERAKLES ( SME )"</f>
        <v>HERAKLES ( SME )</v>
      </c>
      <c r="Y33" t="str">
        <f>"TS"</f>
        <v>TS</v>
      </c>
      <c r="Z33" s="14">
        <v>42167</v>
      </c>
      <c r="AA33" t="str">
        <f t="shared" si="6"/>
        <v xml:space="preserve"> </v>
      </c>
      <c r="AB33" s="15">
        <v>0</v>
      </c>
      <c r="AC33" t="str">
        <f>"SAFRAN HERAKLES"</f>
        <v>SAFRAN HERAKLES</v>
      </c>
      <c r="AD33" t="str">
        <f t="shared" si="7"/>
        <v xml:space="preserve"> </v>
      </c>
      <c r="AE33" t="str">
        <f>"33160"</f>
        <v>33160</v>
      </c>
      <c r="AF33" t="str">
        <f>"Saint Médard en Jalles"</f>
        <v>Saint Médard en Jalles</v>
      </c>
      <c r="AG33" t="str">
        <f t="shared" si="8"/>
        <v xml:space="preserve"> </v>
      </c>
      <c r="AH33" t="str">
        <f t="shared" si="9"/>
        <v>F</v>
      </c>
      <c r="AI33" s="14">
        <v>42110</v>
      </c>
      <c r="AJ33">
        <v>0</v>
      </c>
      <c r="AL33">
        <v>0</v>
      </c>
      <c r="AN33" t="str">
        <f t="shared" si="19"/>
        <v>DEBARROS</v>
      </c>
      <c r="AO33" t="str">
        <f>"HERAKLES ( SME )"</f>
        <v>HERAKLES ( SME )</v>
      </c>
      <c r="AP33" t="str">
        <f t="shared" si="11"/>
        <v xml:space="preserve"> </v>
      </c>
      <c r="AQ33" s="15">
        <v>0</v>
      </c>
      <c r="AR33" s="16">
        <v>0</v>
      </c>
      <c r="AS33" s="16">
        <v>0</v>
      </c>
      <c r="AT33" s="16">
        <v>0</v>
      </c>
      <c r="AU33">
        <v>0</v>
      </c>
      <c r="AV33">
        <v>0</v>
      </c>
      <c r="AW33">
        <v>0</v>
      </c>
      <c r="AX33" s="16">
        <v>0</v>
      </c>
      <c r="AY33">
        <v>0</v>
      </c>
      <c r="AZ33">
        <v>65863</v>
      </c>
      <c r="BA33">
        <v>0</v>
      </c>
      <c r="BB33">
        <v>0</v>
      </c>
      <c r="BC33">
        <v>13172.6</v>
      </c>
      <c r="BD33">
        <v>0</v>
      </c>
      <c r="BE33">
        <v>0</v>
      </c>
      <c r="BF33">
        <v>0</v>
      </c>
      <c r="BG33">
        <v>0</v>
      </c>
      <c r="BH33">
        <v>79035.600000000006</v>
      </c>
      <c r="BI33">
        <v>65863</v>
      </c>
      <c r="BJ33" t="str">
        <f t="shared" si="15"/>
        <v>41</v>
      </c>
      <c r="BK33" t="str">
        <f t="shared" si="21"/>
        <v>VI</v>
      </c>
    </row>
    <row r="34" spans="1:63">
      <c r="A34" t="str">
        <f>"202302"</f>
        <v>202302</v>
      </c>
      <c r="B34" t="str">
        <f>"VALLOUREC DRILLING"</f>
        <v>VALLOUREC DRILLING</v>
      </c>
      <c r="C34" t="str">
        <f>"16187"</f>
        <v>16187</v>
      </c>
      <c r="D34" t="str">
        <f>"35011732 poste 10"</f>
        <v>35011732 poste 10</v>
      </c>
      <c r="E34" t="str">
        <f t="shared" si="14"/>
        <v xml:space="preserve"> </v>
      </c>
      <c r="F34" s="14">
        <v>42109</v>
      </c>
      <c r="G34" t="str">
        <f>" "</f>
        <v xml:space="preserve"> </v>
      </c>
      <c r="H34" t="str">
        <f>" "</f>
        <v xml:space="preserve"> </v>
      </c>
      <c r="J34" s="14">
        <v>42160</v>
      </c>
      <c r="K34" t="str">
        <f t="shared" si="1"/>
        <v xml:space="preserve"> </v>
      </c>
      <c r="L34">
        <v>2000</v>
      </c>
      <c r="M34" s="15">
        <v>0</v>
      </c>
      <c r="N34" s="16">
        <v>1</v>
      </c>
      <c r="O34" t="str">
        <f t="shared" si="2"/>
        <v>EUR</v>
      </c>
      <c r="P34" s="13" t="str">
        <f>"16187"</f>
        <v>16187</v>
      </c>
      <c r="Q34" t="str">
        <f t="shared" si="3"/>
        <v>01</v>
      </c>
      <c r="R34" s="15">
        <v>2000</v>
      </c>
      <c r="S34" t="str">
        <f t="shared" si="17"/>
        <v xml:space="preserve"> </v>
      </c>
      <c r="T34" t="str">
        <f t="shared" si="17"/>
        <v xml:space="preserve"> </v>
      </c>
      <c r="U34" t="str">
        <f t="shared" si="17"/>
        <v xml:space="preserve"> </v>
      </c>
      <c r="V34" s="15">
        <v>2000</v>
      </c>
      <c r="W34" s="13">
        <v>1</v>
      </c>
      <c r="X34" t="str">
        <f>"VALLOUREC DRILLING"</f>
        <v>VALLOUREC DRILLING</v>
      </c>
      <c r="Y34" t="str">
        <f>"MP"</f>
        <v>MP</v>
      </c>
      <c r="Z34" s="14">
        <v>42160</v>
      </c>
      <c r="AA34" t="str">
        <f t="shared" si="6"/>
        <v xml:space="preserve"> </v>
      </c>
      <c r="AB34" s="15">
        <v>0</v>
      </c>
      <c r="AC34" t="str">
        <f>"VALLOUREC DRILLING PRODUCTS FRANCE"</f>
        <v>VALLOUREC DRILLING PRODUCTS FRANCE</v>
      </c>
      <c r="AD34" t="str">
        <f t="shared" si="7"/>
        <v xml:space="preserve"> </v>
      </c>
      <c r="AE34" t="str">
        <f>"65000"</f>
        <v>65000</v>
      </c>
      <c r="AF34" t="str">
        <f>"TARBES"</f>
        <v>TARBES</v>
      </c>
      <c r="AG34" t="str">
        <f t="shared" si="8"/>
        <v xml:space="preserve"> </v>
      </c>
      <c r="AH34" t="str">
        <f t="shared" si="9"/>
        <v>F</v>
      </c>
      <c r="AI34" s="14">
        <v>42109</v>
      </c>
      <c r="AJ34">
        <v>0</v>
      </c>
      <c r="AL34">
        <v>0</v>
      </c>
      <c r="AN34" t="str">
        <f t="shared" si="19"/>
        <v>DEBARROS</v>
      </c>
      <c r="AO34" t="str">
        <f>"VALLOUREC DRILLING PRODUCTS FRANCE"</f>
        <v>VALLOUREC DRILLING PRODUCTS FRANCE</v>
      </c>
      <c r="AP34" t="str">
        <f t="shared" si="11"/>
        <v xml:space="preserve"> </v>
      </c>
      <c r="AQ34" s="15">
        <v>0</v>
      </c>
      <c r="AR34" s="16">
        <v>0</v>
      </c>
      <c r="AS34" s="16">
        <v>0</v>
      </c>
      <c r="AT34" s="16">
        <v>0</v>
      </c>
      <c r="AU34">
        <v>0</v>
      </c>
      <c r="AV34">
        <v>0</v>
      </c>
      <c r="AW34">
        <v>0</v>
      </c>
      <c r="AX34" s="16">
        <v>0</v>
      </c>
      <c r="AY34">
        <v>0</v>
      </c>
      <c r="AZ34">
        <v>2000</v>
      </c>
      <c r="BA34">
        <v>0</v>
      </c>
      <c r="BB34">
        <v>0</v>
      </c>
      <c r="BC34">
        <v>400</v>
      </c>
      <c r="BD34">
        <v>0</v>
      </c>
      <c r="BE34">
        <v>0</v>
      </c>
      <c r="BF34">
        <v>0</v>
      </c>
      <c r="BG34">
        <v>0</v>
      </c>
      <c r="BH34">
        <v>2400</v>
      </c>
      <c r="BI34">
        <v>2000</v>
      </c>
      <c r="BJ34" t="str">
        <f t="shared" si="15"/>
        <v>41</v>
      </c>
      <c r="BK34" t="str">
        <f t="shared" si="21"/>
        <v>VI</v>
      </c>
    </row>
    <row r="35" spans="1:63">
      <c r="A35" t="str">
        <f>"165300"</f>
        <v>165300</v>
      </c>
      <c r="B35" t="str">
        <f>"METAREG"</f>
        <v>METAREG</v>
      </c>
      <c r="C35" t="str">
        <f>"16186"</f>
        <v>16186</v>
      </c>
      <c r="D35" t="str">
        <f>"C150009927/1"</f>
        <v>C150009927/1</v>
      </c>
      <c r="E35" t="str">
        <f t="shared" si="14"/>
        <v xml:space="preserve"> </v>
      </c>
      <c r="F35" s="14">
        <v>42109</v>
      </c>
      <c r="G35" t="str">
        <f>"LT"</f>
        <v>LT</v>
      </c>
      <c r="H35" t="str">
        <f>"FT"</f>
        <v>FT</v>
      </c>
      <c r="I35" s="17">
        <v>42114</v>
      </c>
      <c r="J35" s="14">
        <v>42116</v>
      </c>
      <c r="K35" t="str">
        <f t="shared" si="1"/>
        <v xml:space="preserve"> </v>
      </c>
      <c r="L35">
        <v>1900</v>
      </c>
      <c r="M35" s="15">
        <v>0</v>
      </c>
      <c r="N35" s="16">
        <v>1</v>
      </c>
      <c r="O35" t="str">
        <f t="shared" si="2"/>
        <v>EUR</v>
      </c>
      <c r="P35" s="13" t="str">
        <f>"16186"</f>
        <v>16186</v>
      </c>
      <c r="Q35" t="str">
        <f t="shared" si="3"/>
        <v>01</v>
      </c>
      <c r="R35" s="15">
        <v>1900</v>
      </c>
      <c r="S35" t="str">
        <f t="shared" si="17"/>
        <v xml:space="preserve"> </v>
      </c>
      <c r="T35" t="str">
        <f t="shared" si="17"/>
        <v xml:space="preserve"> </v>
      </c>
      <c r="U35" t="str">
        <f t="shared" si="17"/>
        <v xml:space="preserve"> </v>
      </c>
      <c r="V35" s="15">
        <v>1900</v>
      </c>
      <c r="W35" s="13">
        <v>1</v>
      </c>
      <c r="X35" t="str">
        <f>"METAREG"</f>
        <v>METAREG</v>
      </c>
      <c r="Y35" t="str">
        <f>"MP"</f>
        <v>MP</v>
      </c>
      <c r="Z35" s="14">
        <v>42116</v>
      </c>
      <c r="AA35" t="str">
        <f t="shared" si="6"/>
        <v xml:space="preserve"> </v>
      </c>
      <c r="AB35" s="15">
        <v>0</v>
      </c>
      <c r="AC35" t="str">
        <f>"EIFFAGE CONTRUCTION METALLIQUE"</f>
        <v>EIFFAGE CONTRUCTION METALLIQUE</v>
      </c>
      <c r="AD35" t="str">
        <f t="shared" si="7"/>
        <v xml:space="preserve"> </v>
      </c>
      <c r="AE35" t="str">
        <f>"33600"</f>
        <v>33600</v>
      </c>
      <c r="AF35" t="str">
        <f>"PESSAC"</f>
        <v>PESSAC</v>
      </c>
      <c r="AG35" t="str">
        <f t="shared" si="8"/>
        <v xml:space="preserve"> </v>
      </c>
      <c r="AH35" t="str">
        <f t="shared" si="9"/>
        <v>F</v>
      </c>
      <c r="AI35" s="14">
        <v>42109</v>
      </c>
      <c r="AJ35">
        <v>0</v>
      </c>
      <c r="AL35">
        <v>0</v>
      </c>
      <c r="AN35" t="str">
        <f t="shared" si="19"/>
        <v>DEBARROS</v>
      </c>
      <c r="AO35" t="str">
        <f>"EIFFAGE CONSTRUCTION METALLIQUE"</f>
        <v>EIFFAGE CONSTRUCTION METALLIQUE</v>
      </c>
      <c r="AP35" t="str">
        <f t="shared" si="11"/>
        <v xml:space="preserve"> </v>
      </c>
      <c r="AQ35" s="15">
        <v>0</v>
      </c>
      <c r="AR35" s="16">
        <v>0</v>
      </c>
      <c r="AS35" s="16">
        <v>0</v>
      </c>
      <c r="AT35" s="16">
        <v>0</v>
      </c>
      <c r="AU35">
        <v>0</v>
      </c>
      <c r="AV35">
        <v>0</v>
      </c>
      <c r="AW35">
        <v>0</v>
      </c>
      <c r="AX35" s="16">
        <v>0</v>
      </c>
      <c r="AY35">
        <v>0</v>
      </c>
      <c r="AZ35">
        <v>1900</v>
      </c>
      <c r="BA35">
        <v>0</v>
      </c>
      <c r="BB35">
        <v>0</v>
      </c>
      <c r="BC35">
        <v>380</v>
      </c>
      <c r="BD35">
        <v>0</v>
      </c>
      <c r="BE35">
        <v>0</v>
      </c>
      <c r="BF35">
        <v>0</v>
      </c>
      <c r="BG35">
        <v>0</v>
      </c>
      <c r="BH35">
        <v>2280</v>
      </c>
      <c r="BI35">
        <v>1900</v>
      </c>
      <c r="BJ35" t="str">
        <f t="shared" si="15"/>
        <v>41</v>
      </c>
      <c r="BK35" t="str">
        <f t="shared" si="21"/>
        <v>VI</v>
      </c>
    </row>
    <row r="36" spans="1:63">
      <c r="A36" t="str">
        <f>"199983"</f>
        <v>199983</v>
      </c>
      <c r="B36" t="str">
        <f>"DEDIENNE AEROSPACE"</f>
        <v>DEDIENNE AEROSPACE</v>
      </c>
      <c r="C36" t="str">
        <f>"16185"</f>
        <v>16185</v>
      </c>
      <c r="D36" t="str">
        <f>"TCC150520-1"</f>
        <v>TCC150520-1</v>
      </c>
      <c r="E36" t="str">
        <f t="shared" si="14"/>
        <v xml:space="preserve"> </v>
      </c>
      <c r="F36" s="14">
        <v>42109</v>
      </c>
      <c r="G36" t="str">
        <f>" "</f>
        <v xml:space="preserve"> </v>
      </c>
      <c r="H36" t="str">
        <f>" "</f>
        <v xml:space="preserve"> </v>
      </c>
      <c r="J36" s="14">
        <v>42144</v>
      </c>
      <c r="K36" t="str">
        <f t="shared" si="1"/>
        <v xml:space="preserve"> </v>
      </c>
      <c r="L36">
        <v>1500</v>
      </c>
      <c r="M36" s="15">
        <v>0</v>
      </c>
      <c r="N36" s="16">
        <v>1</v>
      </c>
      <c r="O36" t="str">
        <f t="shared" si="2"/>
        <v>EUR</v>
      </c>
      <c r="P36" s="13" t="str">
        <f>"16185"</f>
        <v>16185</v>
      </c>
      <c r="Q36" t="str">
        <f t="shared" si="3"/>
        <v>01</v>
      </c>
      <c r="R36" s="15">
        <v>1500</v>
      </c>
      <c r="S36" t="str">
        <f t="shared" si="17"/>
        <v xml:space="preserve"> </v>
      </c>
      <c r="T36" t="str">
        <f t="shared" si="17"/>
        <v xml:space="preserve"> </v>
      </c>
      <c r="U36" t="str">
        <f t="shared" si="17"/>
        <v xml:space="preserve"> </v>
      </c>
      <c r="V36" s="15">
        <v>1500</v>
      </c>
      <c r="W36" s="13">
        <v>1</v>
      </c>
      <c r="X36" t="str">
        <f>"DEDIENNE AEROSPACE"</f>
        <v>DEDIENNE AEROSPACE</v>
      </c>
      <c r="Y36" t="str">
        <f>"MP"</f>
        <v>MP</v>
      </c>
      <c r="Z36" s="14">
        <v>42144</v>
      </c>
      <c r="AA36" t="str">
        <f t="shared" si="6"/>
        <v xml:space="preserve"> </v>
      </c>
      <c r="AB36" s="15">
        <v>0</v>
      </c>
      <c r="AC36" t="str">
        <f>"DEDIENNE AEROSPACE"</f>
        <v>DEDIENNE AEROSPACE</v>
      </c>
      <c r="AD36" t="str">
        <f t="shared" si="7"/>
        <v xml:space="preserve"> </v>
      </c>
      <c r="AE36" t="str">
        <f>"31300"</f>
        <v>31300</v>
      </c>
      <c r="AF36" t="str">
        <f>"Toulouse"</f>
        <v>Toulouse</v>
      </c>
      <c r="AG36" t="str">
        <f t="shared" si="8"/>
        <v xml:space="preserve"> </v>
      </c>
      <c r="AH36" t="str">
        <f t="shared" si="9"/>
        <v>F</v>
      </c>
      <c r="AI36" s="14">
        <v>42108</v>
      </c>
      <c r="AJ36">
        <v>0</v>
      </c>
      <c r="AL36">
        <v>0</v>
      </c>
      <c r="AN36" t="str">
        <f t="shared" si="19"/>
        <v>DEBARROS</v>
      </c>
      <c r="AO36" t="str">
        <f>"DEDIENNE AEROSPACE"</f>
        <v>DEDIENNE AEROSPACE</v>
      </c>
      <c r="AP36" t="str">
        <f t="shared" si="11"/>
        <v xml:space="preserve"> </v>
      </c>
      <c r="AQ36" s="15">
        <v>0</v>
      </c>
      <c r="AR36" s="16">
        <v>0</v>
      </c>
      <c r="AS36" s="16">
        <v>0</v>
      </c>
      <c r="AT36" s="16">
        <v>0</v>
      </c>
      <c r="AU36">
        <v>0</v>
      </c>
      <c r="AV36">
        <v>0</v>
      </c>
      <c r="AW36">
        <v>0</v>
      </c>
      <c r="AX36" s="16">
        <v>0</v>
      </c>
      <c r="AY36">
        <v>0</v>
      </c>
      <c r="AZ36">
        <v>1500</v>
      </c>
      <c r="BA36">
        <v>0</v>
      </c>
      <c r="BB36">
        <v>0</v>
      </c>
      <c r="BC36">
        <v>300</v>
      </c>
      <c r="BD36">
        <v>0</v>
      </c>
      <c r="BE36">
        <v>0</v>
      </c>
      <c r="BF36">
        <v>0</v>
      </c>
      <c r="BG36">
        <v>0</v>
      </c>
      <c r="BH36">
        <v>1800</v>
      </c>
      <c r="BI36">
        <v>1500</v>
      </c>
      <c r="BJ36" t="str">
        <f t="shared" si="15"/>
        <v>41</v>
      </c>
      <c r="BK36" t="str">
        <f t="shared" si="21"/>
        <v>VI</v>
      </c>
    </row>
    <row r="37" spans="1:63">
      <c r="A37" t="str">
        <f>"181600"</f>
        <v>181600</v>
      </c>
      <c r="B37" t="str">
        <f>"REDA"</f>
        <v>REDA</v>
      </c>
      <c r="C37" t="str">
        <f>"16184"</f>
        <v>16184</v>
      </c>
      <c r="D37" t="str">
        <f>"YF23155"</f>
        <v>YF23155</v>
      </c>
      <c r="E37" t="str">
        <f t="shared" si="14"/>
        <v xml:space="preserve"> </v>
      </c>
      <c r="F37" s="14">
        <v>42108</v>
      </c>
      <c r="G37" t="str">
        <f>"LT"</f>
        <v>LT</v>
      </c>
      <c r="H37" t="str">
        <f>"FT"</f>
        <v>FT</v>
      </c>
      <c r="I37" s="17">
        <v>42109</v>
      </c>
      <c r="J37" s="14">
        <v>42116</v>
      </c>
      <c r="K37" t="str">
        <f t="shared" si="1"/>
        <v xml:space="preserve"> </v>
      </c>
      <c r="L37">
        <v>150</v>
      </c>
      <c r="M37" s="15">
        <v>0</v>
      </c>
      <c r="N37" s="16">
        <v>1</v>
      </c>
      <c r="O37" t="str">
        <f t="shared" si="2"/>
        <v>EUR</v>
      </c>
      <c r="P37" s="13" t="str">
        <f>"16184"</f>
        <v>16184</v>
      </c>
      <c r="Q37" t="str">
        <f t="shared" si="3"/>
        <v>01</v>
      </c>
      <c r="R37" s="15">
        <v>150</v>
      </c>
      <c r="S37" t="str">
        <f t="shared" si="17"/>
        <v xml:space="preserve"> </v>
      </c>
      <c r="T37" t="str">
        <f t="shared" si="17"/>
        <v xml:space="preserve"> </v>
      </c>
      <c r="U37" t="str">
        <f t="shared" si="17"/>
        <v xml:space="preserve"> </v>
      </c>
      <c r="V37" s="15">
        <v>150</v>
      </c>
      <c r="W37" s="13">
        <v>1</v>
      </c>
      <c r="X37" t="str">
        <f>"REDA"</f>
        <v>REDA</v>
      </c>
      <c r="Y37" t="str">
        <f>"TS"</f>
        <v>TS</v>
      </c>
      <c r="Z37" s="14">
        <v>42116</v>
      </c>
      <c r="AA37" t="str">
        <f t="shared" si="6"/>
        <v xml:space="preserve"> </v>
      </c>
      <c r="AB37" s="15">
        <v>0</v>
      </c>
      <c r="AC37" t="str">
        <f>"REDA"</f>
        <v>REDA</v>
      </c>
      <c r="AD37" t="str">
        <f t="shared" si="7"/>
        <v xml:space="preserve"> </v>
      </c>
      <c r="AE37" t="str">
        <f>"33700"</f>
        <v>33700</v>
      </c>
      <c r="AF37" t="str">
        <f>"MERIGNAC"</f>
        <v>MERIGNAC</v>
      </c>
      <c r="AG37" t="str">
        <f t="shared" si="8"/>
        <v xml:space="preserve"> </v>
      </c>
      <c r="AH37" t="str">
        <f t="shared" si="9"/>
        <v>F</v>
      </c>
      <c r="AI37" s="14">
        <v>42108</v>
      </c>
      <c r="AJ37">
        <v>0</v>
      </c>
      <c r="AL37">
        <v>0</v>
      </c>
      <c r="AN37" t="str">
        <f t="shared" si="19"/>
        <v>DEBARROS</v>
      </c>
      <c r="AO37" t="str">
        <f>"REDA"</f>
        <v>REDA</v>
      </c>
      <c r="AP37" t="str">
        <f t="shared" si="11"/>
        <v xml:space="preserve"> </v>
      </c>
      <c r="AQ37" s="15">
        <v>0</v>
      </c>
      <c r="AR37" s="16">
        <v>0</v>
      </c>
      <c r="AS37" s="16">
        <v>0</v>
      </c>
      <c r="AT37" s="16">
        <v>0</v>
      </c>
      <c r="AU37">
        <v>0</v>
      </c>
      <c r="AV37">
        <v>0</v>
      </c>
      <c r="AW37">
        <v>0</v>
      </c>
      <c r="AX37" s="16">
        <v>0</v>
      </c>
      <c r="AY37">
        <v>0</v>
      </c>
      <c r="AZ37">
        <v>150</v>
      </c>
      <c r="BA37">
        <v>0</v>
      </c>
      <c r="BB37">
        <v>0</v>
      </c>
      <c r="BC37">
        <v>30</v>
      </c>
      <c r="BD37">
        <v>0</v>
      </c>
      <c r="BE37">
        <v>0</v>
      </c>
      <c r="BF37">
        <v>0</v>
      </c>
      <c r="BG37">
        <v>0</v>
      </c>
      <c r="BH37">
        <v>180</v>
      </c>
      <c r="BI37">
        <v>150</v>
      </c>
      <c r="BJ37" t="str">
        <f t="shared" si="15"/>
        <v>41</v>
      </c>
      <c r="BK37" t="str">
        <f t="shared" si="21"/>
        <v>VI</v>
      </c>
    </row>
    <row r="38" spans="1:63">
      <c r="A38" t="str">
        <f>"186100"</f>
        <v>186100</v>
      </c>
      <c r="B38" t="str">
        <f>"HERAKLES ( SME )"</f>
        <v>HERAKLES ( SME )</v>
      </c>
      <c r="C38" t="str">
        <f>"16183"</f>
        <v>16183</v>
      </c>
      <c r="D38" t="str">
        <f>"ANS 0738823 1"</f>
        <v>ANS 0738823 1</v>
      </c>
      <c r="E38" t="str">
        <f t="shared" si="14"/>
        <v xml:space="preserve"> </v>
      </c>
      <c r="F38" s="14">
        <v>42108</v>
      </c>
      <c r="G38" t="str">
        <f>" "</f>
        <v xml:space="preserve"> </v>
      </c>
      <c r="H38" t="str">
        <f>" "</f>
        <v xml:space="preserve"> </v>
      </c>
      <c r="J38" s="14">
        <v>42142</v>
      </c>
      <c r="K38" t="str">
        <f t="shared" si="1"/>
        <v xml:space="preserve"> </v>
      </c>
      <c r="L38">
        <v>3245</v>
      </c>
      <c r="M38" s="15">
        <v>0</v>
      </c>
      <c r="N38" s="16">
        <v>1</v>
      </c>
      <c r="O38" t="str">
        <f t="shared" si="2"/>
        <v>EUR</v>
      </c>
      <c r="P38" s="13" t="str">
        <f>"16183"</f>
        <v>16183</v>
      </c>
      <c r="Q38" t="str">
        <f t="shared" si="3"/>
        <v>01</v>
      </c>
      <c r="R38" s="15">
        <v>3245</v>
      </c>
      <c r="S38" t="str">
        <f t="shared" si="17"/>
        <v xml:space="preserve"> </v>
      </c>
      <c r="T38" t="str">
        <f t="shared" si="17"/>
        <v xml:space="preserve"> </v>
      </c>
      <c r="U38" t="str">
        <f t="shared" si="17"/>
        <v xml:space="preserve"> </v>
      </c>
      <c r="V38" s="15">
        <v>3245</v>
      </c>
      <c r="W38" s="13">
        <v>1</v>
      </c>
      <c r="X38" t="str">
        <f>"HERAKLES ( SME )"</f>
        <v>HERAKLES ( SME )</v>
      </c>
      <c r="Y38" t="str">
        <f>"TS"</f>
        <v>TS</v>
      </c>
      <c r="Z38" s="14">
        <v>42142</v>
      </c>
      <c r="AA38" t="str">
        <f t="shared" si="6"/>
        <v xml:space="preserve"> </v>
      </c>
      <c r="AB38" s="15">
        <v>0</v>
      </c>
      <c r="AC38" t="str">
        <f>"SAFRAN HERAKLES"</f>
        <v>SAFRAN HERAKLES</v>
      </c>
      <c r="AD38" t="str">
        <f t="shared" si="7"/>
        <v xml:space="preserve"> </v>
      </c>
      <c r="AE38" t="str">
        <f>"33160"</f>
        <v>33160</v>
      </c>
      <c r="AF38" t="str">
        <f>"Saint Médard en Jalles"</f>
        <v>Saint Médard en Jalles</v>
      </c>
      <c r="AG38" t="str">
        <f t="shared" si="8"/>
        <v xml:space="preserve"> </v>
      </c>
      <c r="AH38" t="str">
        <f t="shared" si="9"/>
        <v>F</v>
      </c>
      <c r="AI38" s="14">
        <v>42108</v>
      </c>
      <c r="AJ38">
        <v>0</v>
      </c>
      <c r="AL38">
        <v>0</v>
      </c>
      <c r="AN38" t="str">
        <f t="shared" si="19"/>
        <v>DEBARROS</v>
      </c>
      <c r="AO38" t="str">
        <f>"HERAKLES ( SME )"</f>
        <v>HERAKLES ( SME )</v>
      </c>
      <c r="AP38" t="str">
        <f t="shared" si="11"/>
        <v xml:space="preserve"> </v>
      </c>
      <c r="AQ38" s="15">
        <v>0</v>
      </c>
      <c r="AR38" s="16">
        <v>0</v>
      </c>
      <c r="AS38" s="16">
        <v>0</v>
      </c>
      <c r="AT38" s="16">
        <v>0</v>
      </c>
      <c r="AU38">
        <v>0</v>
      </c>
      <c r="AV38">
        <v>0</v>
      </c>
      <c r="AW38">
        <v>0</v>
      </c>
      <c r="AX38" s="16">
        <v>0</v>
      </c>
      <c r="AY38">
        <v>0</v>
      </c>
      <c r="AZ38">
        <v>3245</v>
      </c>
      <c r="BA38">
        <v>0</v>
      </c>
      <c r="BB38">
        <v>0</v>
      </c>
      <c r="BC38">
        <v>649</v>
      </c>
      <c r="BD38">
        <v>0</v>
      </c>
      <c r="BE38">
        <v>0</v>
      </c>
      <c r="BF38">
        <v>0</v>
      </c>
      <c r="BG38">
        <v>0</v>
      </c>
      <c r="BH38">
        <v>3894</v>
      </c>
      <c r="BI38">
        <v>3245</v>
      </c>
      <c r="BJ38" t="str">
        <f t="shared" si="15"/>
        <v>41</v>
      </c>
      <c r="BK38" t="str">
        <f t="shared" si="21"/>
        <v>VI</v>
      </c>
    </row>
    <row r="39" spans="1:63">
      <c r="A39" t="str">
        <f>"199917"</f>
        <v>199917</v>
      </c>
      <c r="B39" t="str">
        <f>"SERRES"</f>
        <v>SERRES</v>
      </c>
      <c r="C39" t="str">
        <f>"16181"</f>
        <v>16181</v>
      </c>
      <c r="D39" t="str">
        <f>" "</f>
        <v xml:space="preserve"> </v>
      </c>
      <c r="E39" t="str">
        <f t="shared" si="14"/>
        <v xml:space="preserve"> </v>
      </c>
      <c r="F39" s="14">
        <v>42108</v>
      </c>
      <c r="G39" t="str">
        <f>" "</f>
        <v xml:space="preserve"> </v>
      </c>
      <c r="H39" t="str">
        <f>" "</f>
        <v xml:space="preserve"> </v>
      </c>
      <c r="J39" s="14">
        <v>42369</v>
      </c>
      <c r="K39" t="str">
        <f t="shared" si="1"/>
        <v xml:space="preserve"> </v>
      </c>
      <c r="L39">
        <v>0</v>
      </c>
      <c r="M39" s="15">
        <v>0</v>
      </c>
      <c r="O39" t="str">
        <f t="shared" si="2"/>
        <v>EUR</v>
      </c>
      <c r="P39" s="13" t="str">
        <f>"16181"</f>
        <v>16181</v>
      </c>
      <c r="Q39" t="str">
        <f t="shared" si="3"/>
        <v>01</v>
      </c>
      <c r="R39" s="15">
        <v>0</v>
      </c>
      <c r="S39" t="str">
        <f t="shared" si="17"/>
        <v xml:space="preserve"> </v>
      </c>
      <c r="T39" t="str">
        <f t="shared" si="17"/>
        <v xml:space="preserve"> </v>
      </c>
      <c r="U39" t="str">
        <f t="shared" si="17"/>
        <v xml:space="preserve"> </v>
      </c>
      <c r="W39" s="13">
        <v>1</v>
      </c>
      <c r="X39" t="str">
        <f>"SERRES"</f>
        <v>SERRES</v>
      </c>
      <c r="Y39" t="str">
        <f>"MP"</f>
        <v>MP</v>
      </c>
      <c r="Z39" s="14">
        <v>42369</v>
      </c>
      <c r="AA39" t="str">
        <f t="shared" si="6"/>
        <v xml:space="preserve"> </v>
      </c>
      <c r="AB39" s="15">
        <v>0</v>
      </c>
      <c r="AC39" t="str">
        <f>"ATELIERS SERRES"</f>
        <v>ATELIERS SERRES</v>
      </c>
      <c r="AD39" t="str">
        <f t="shared" si="7"/>
        <v xml:space="preserve"> </v>
      </c>
      <c r="AE39" t="str">
        <f>"33320"</f>
        <v>33320</v>
      </c>
      <c r="AF39" t="str">
        <f>"EYSINES"</f>
        <v>EYSINES</v>
      </c>
      <c r="AG39" t="str">
        <f t="shared" si="8"/>
        <v xml:space="preserve"> </v>
      </c>
      <c r="AH39" t="str">
        <f t="shared" si="9"/>
        <v>F</v>
      </c>
      <c r="AI39" s="14">
        <v>42108</v>
      </c>
      <c r="AJ39">
        <v>0</v>
      </c>
      <c r="AL39">
        <v>0</v>
      </c>
      <c r="AN39" t="str">
        <f t="shared" si="19"/>
        <v>DEBARROS</v>
      </c>
      <c r="AO39" t="str">
        <f>"ATELIERS SERRES"</f>
        <v>ATELIERS SERRES</v>
      </c>
      <c r="AP39" t="str">
        <f t="shared" si="11"/>
        <v xml:space="preserve"> </v>
      </c>
      <c r="AQ39" s="15">
        <v>0</v>
      </c>
      <c r="AR39" s="16">
        <v>0</v>
      </c>
      <c r="AS39" s="16">
        <v>0</v>
      </c>
      <c r="AT39" s="16">
        <v>0</v>
      </c>
      <c r="AU39">
        <v>0</v>
      </c>
      <c r="AV39">
        <v>0</v>
      </c>
      <c r="AW39">
        <v>0</v>
      </c>
      <c r="AX39" s="16">
        <v>0</v>
      </c>
      <c r="AY39">
        <v>0</v>
      </c>
      <c r="AZ39">
        <v>0</v>
      </c>
      <c r="BA39">
        <v>0</v>
      </c>
      <c r="BB39">
        <v>0</v>
      </c>
      <c r="BC39">
        <v>0</v>
      </c>
      <c r="BD39">
        <v>0</v>
      </c>
      <c r="BE39">
        <v>0</v>
      </c>
      <c r="BF39">
        <v>0</v>
      </c>
      <c r="BG39">
        <v>0</v>
      </c>
      <c r="BH39">
        <v>0</v>
      </c>
      <c r="BI39">
        <v>0</v>
      </c>
      <c r="BJ39" t="str">
        <f>"62"</f>
        <v>62</v>
      </c>
      <c r="BK39" t="str">
        <f t="shared" si="21"/>
        <v>VI</v>
      </c>
    </row>
    <row r="40" spans="1:63">
      <c r="A40" t="str">
        <f>"119500"</f>
        <v>119500</v>
      </c>
      <c r="B40" t="str">
        <f>"STELIA"</f>
        <v>STELIA</v>
      </c>
      <c r="C40" t="str">
        <f>"16180"</f>
        <v>16180</v>
      </c>
      <c r="D40" t="str">
        <f>"27883+8278"</f>
        <v>27883+8278</v>
      </c>
      <c r="E40" t="str">
        <f t="shared" si="14"/>
        <v xml:space="preserve"> </v>
      </c>
      <c r="F40" s="14">
        <v>42108</v>
      </c>
      <c r="G40" t="str">
        <f>"LT"</f>
        <v>LT</v>
      </c>
      <c r="H40" t="str">
        <f>"FT"</f>
        <v>FT</v>
      </c>
      <c r="I40" s="17">
        <v>42123</v>
      </c>
      <c r="J40" s="14">
        <v>42131</v>
      </c>
      <c r="K40" t="str">
        <f t="shared" si="1"/>
        <v xml:space="preserve"> </v>
      </c>
      <c r="L40">
        <v>4992</v>
      </c>
      <c r="M40" s="15">
        <v>0</v>
      </c>
      <c r="N40" s="16">
        <v>1</v>
      </c>
      <c r="O40" t="str">
        <f t="shared" si="2"/>
        <v>EUR</v>
      </c>
      <c r="P40" s="13" t="str">
        <f>"16180"</f>
        <v>16180</v>
      </c>
      <c r="Q40" t="str">
        <f t="shared" si="3"/>
        <v>01</v>
      </c>
      <c r="R40" s="15">
        <v>4992</v>
      </c>
      <c r="S40" t="str">
        <f t="shared" si="17"/>
        <v xml:space="preserve"> </v>
      </c>
      <c r="T40" t="str">
        <f t="shared" si="17"/>
        <v xml:space="preserve"> </v>
      </c>
      <c r="U40" t="str">
        <f t="shared" si="17"/>
        <v xml:space="preserve"> </v>
      </c>
      <c r="V40" s="15">
        <v>4992</v>
      </c>
      <c r="W40" s="13">
        <v>1</v>
      </c>
      <c r="X40" t="str">
        <f>"STELI"</f>
        <v>STELI</v>
      </c>
      <c r="Y40" t="str">
        <f>"TS"</f>
        <v>TS</v>
      </c>
      <c r="Z40" s="14">
        <v>42131</v>
      </c>
      <c r="AA40" t="str">
        <f t="shared" si="6"/>
        <v xml:space="preserve"> </v>
      </c>
      <c r="AB40" s="15">
        <v>0</v>
      </c>
      <c r="AC40" t="str">
        <f>"STELIA AEROSPACE COMPOSITES"</f>
        <v>STELIA AEROSPACE COMPOSITES</v>
      </c>
      <c r="AD40" t="str">
        <f t="shared" si="7"/>
        <v xml:space="preserve"> </v>
      </c>
      <c r="AE40" t="str">
        <f>"33160"</f>
        <v>33160</v>
      </c>
      <c r="AF40" t="str">
        <f>"SALAUNES"</f>
        <v>SALAUNES</v>
      </c>
      <c r="AG40" t="str">
        <f t="shared" si="8"/>
        <v xml:space="preserve"> </v>
      </c>
      <c r="AH40" t="str">
        <f t="shared" si="9"/>
        <v>F</v>
      </c>
      <c r="AI40" s="14">
        <v>42108</v>
      </c>
      <c r="AJ40">
        <v>0</v>
      </c>
      <c r="AL40">
        <v>0</v>
      </c>
      <c r="AN40" t="str">
        <f t="shared" si="19"/>
        <v>DEBARROS</v>
      </c>
      <c r="AO40" t="str">
        <f>"STELIA Aerospace Composites"</f>
        <v>STELIA Aerospace Composites</v>
      </c>
      <c r="AP40" t="str">
        <f t="shared" si="11"/>
        <v xml:space="preserve"> </v>
      </c>
      <c r="AQ40" s="15">
        <v>0</v>
      </c>
      <c r="AR40" s="16">
        <v>0</v>
      </c>
      <c r="AS40" s="16">
        <v>0</v>
      </c>
      <c r="AT40" s="16">
        <v>0</v>
      </c>
      <c r="AU40">
        <v>0</v>
      </c>
      <c r="AV40">
        <v>0</v>
      </c>
      <c r="AW40">
        <v>0</v>
      </c>
      <c r="AX40" s="16">
        <v>0</v>
      </c>
      <c r="AY40">
        <v>0</v>
      </c>
      <c r="AZ40">
        <v>4992</v>
      </c>
      <c r="BA40">
        <v>0</v>
      </c>
      <c r="BB40">
        <v>0</v>
      </c>
      <c r="BC40">
        <v>998.4</v>
      </c>
      <c r="BD40">
        <v>0</v>
      </c>
      <c r="BE40">
        <v>0</v>
      </c>
      <c r="BF40">
        <v>0</v>
      </c>
      <c r="BG40">
        <v>0</v>
      </c>
      <c r="BH40">
        <v>5990.4</v>
      </c>
      <c r="BI40">
        <v>4992</v>
      </c>
      <c r="BJ40" t="str">
        <f t="shared" ref="BJ40:BJ46" si="22">"41"</f>
        <v>41</v>
      </c>
      <c r="BK40" t="str">
        <f t="shared" si="21"/>
        <v>VI</v>
      </c>
    </row>
    <row r="41" spans="1:63">
      <c r="A41" t="str">
        <f>"199936"</f>
        <v>199936</v>
      </c>
      <c r="B41" t="str">
        <f>"SOE"</f>
        <v>SOE</v>
      </c>
      <c r="C41" t="str">
        <f>"16179"</f>
        <v>16179</v>
      </c>
      <c r="D41" t="str">
        <f>" "</f>
        <v xml:space="preserve"> </v>
      </c>
      <c r="E41" t="str">
        <f t="shared" si="14"/>
        <v xml:space="preserve"> </v>
      </c>
      <c r="F41" s="14">
        <v>42108</v>
      </c>
      <c r="G41" t="str">
        <f>"LT"</f>
        <v>LT</v>
      </c>
      <c r="H41" t="str">
        <f>"FT"</f>
        <v>FT</v>
      </c>
      <c r="I41" s="17">
        <v>42115</v>
      </c>
      <c r="J41" s="14">
        <v>42121</v>
      </c>
      <c r="K41" t="str">
        <f t="shared" si="1"/>
        <v xml:space="preserve"> </v>
      </c>
      <c r="L41">
        <v>1300</v>
      </c>
      <c r="M41" s="15">
        <v>0</v>
      </c>
      <c r="N41" s="16">
        <v>1</v>
      </c>
      <c r="O41" t="str">
        <f t="shared" si="2"/>
        <v>EUR</v>
      </c>
      <c r="P41" s="13" t="str">
        <f>"16179"</f>
        <v>16179</v>
      </c>
      <c r="Q41" t="str">
        <f t="shared" si="3"/>
        <v>01</v>
      </c>
      <c r="R41" s="15">
        <v>1300</v>
      </c>
      <c r="S41" t="str">
        <f t="shared" si="17"/>
        <v xml:space="preserve"> </v>
      </c>
      <c r="T41" t="str">
        <f t="shared" si="17"/>
        <v xml:space="preserve"> </v>
      </c>
      <c r="U41" t="str">
        <f t="shared" si="17"/>
        <v xml:space="preserve"> </v>
      </c>
      <c r="V41" s="15">
        <v>1300</v>
      </c>
      <c r="W41" s="13">
        <v>1</v>
      </c>
      <c r="X41" t="str">
        <f>"SOE"</f>
        <v>SOE</v>
      </c>
      <c r="Y41" t="str">
        <f>"TS"</f>
        <v>TS</v>
      </c>
      <c r="Z41" s="14">
        <v>42121</v>
      </c>
      <c r="AA41" t="str">
        <f t="shared" si="6"/>
        <v xml:space="preserve"> </v>
      </c>
      <c r="AB41" s="15">
        <v>0</v>
      </c>
      <c r="AC41" t="str">
        <f>"IMPRIMERIE SUD OUEST ETIQUETTES"</f>
        <v>IMPRIMERIE SUD OUEST ETIQUETTES</v>
      </c>
      <c r="AD41" t="str">
        <f t="shared" si="7"/>
        <v xml:space="preserve"> </v>
      </c>
      <c r="AE41" t="str">
        <f>"33083"</f>
        <v>33083</v>
      </c>
      <c r="AF41" t="str">
        <f>"BORDEAUX CEDEX"</f>
        <v>BORDEAUX CEDEX</v>
      </c>
      <c r="AG41" t="str">
        <f t="shared" si="8"/>
        <v xml:space="preserve"> </v>
      </c>
      <c r="AH41" t="str">
        <f t="shared" si="9"/>
        <v>F</v>
      </c>
      <c r="AI41" s="14">
        <v>42108</v>
      </c>
      <c r="AJ41">
        <v>0</v>
      </c>
      <c r="AL41">
        <v>0</v>
      </c>
      <c r="AN41" t="str">
        <f t="shared" si="19"/>
        <v>DEBARROS</v>
      </c>
      <c r="AO41" t="str">
        <f>"IMPRIMERIE SUD OUEST ETIQUETTES"</f>
        <v>IMPRIMERIE SUD OUEST ETIQUETTES</v>
      </c>
      <c r="AP41" t="str">
        <f t="shared" si="11"/>
        <v xml:space="preserve"> </v>
      </c>
      <c r="AQ41" s="15">
        <v>0</v>
      </c>
      <c r="AR41" s="16">
        <v>0</v>
      </c>
      <c r="AS41" s="16">
        <v>0</v>
      </c>
      <c r="AT41" s="16">
        <v>0</v>
      </c>
      <c r="AU41">
        <v>0</v>
      </c>
      <c r="AV41">
        <v>0</v>
      </c>
      <c r="AW41">
        <v>0</v>
      </c>
      <c r="AX41" s="16">
        <v>0</v>
      </c>
      <c r="AY41">
        <v>0</v>
      </c>
      <c r="AZ41">
        <v>1300</v>
      </c>
      <c r="BA41">
        <v>0</v>
      </c>
      <c r="BB41">
        <v>0</v>
      </c>
      <c r="BC41">
        <v>260</v>
      </c>
      <c r="BD41">
        <v>0</v>
      </c>
      <c r="BE41">
        <v>0</v>
      </c>
      <c r="BF41">
        <v>0</v>
      </c>
      <c r="BG41">
        <v>0</v>
      </c>
      <c r="BH41">
        <v>1560</v>
      </c>
      <c r="BI41">
        <v>1300</v>
      </c>
      <c r="BJ41" t="str">
        <f t="shared" si="22"/>
        <v>41</v>
      </c>
      <c r="BK41" t="str">
        <f>"CH"</f>
        <v>CH</v>
      </c>
    </row>
    <row r="42" spans="1:63">
      <c r="A42" t="str">
        <f>"165300"</f>
        <v>165300</v>
      </c>
      <c r="B42" t="str">
        <f>"METAREG"</f>
        <v>METAREG</v>
      </c>
      <c r="C42" t="str">
        <f>"16178"</f>
        <v>16178</v>
      </c>
      <c r="D42" t="str">
        <f>"C150009927/2"</f>
        <v>C150009927/2</v>
      </c>
      <c r="E42" t="str">
        <f t="shared" si="14"/>
        <v xml:space="preserve"> </v>
      </c>
      <c r="F42" s="14">
        <v>42107</v>
      </c>
      <c r="G42" t="str">
        <f>"LT"</f>
        <v>LT</v>
      </c>
      <c r="H42" t="str">
        <f>"FT"</f>
        <v>FT</v>
      </c>
      <c r="I42" s="17">
        <v>42114</v>
      </c>
      <c r="J42" s="14">
        <v>42111</v>
      </c>
      <c r="K42" t="str">
        <f t="shared" si="1"/>
        <v xml:space="preserve"> </v>
      </c>
      <c r="L42">
        <v>430</v>
      </c>
      <c r="M42" s="15">
        <v>0</v>
      </c>
      <c r="N42" s="16">
        <v>1</v>
      </c>
      <c r="O42" t="str">
        <f t="shared" si="2"/>
        <v>EUR</v>
      </c>
      <c r="P42" s="13" t="str">
        <f>"16178"</f>
        <v>16178</v>
      </c>
      <c r="Q42" t="str">
        <f t="shared" si="3"/>
        <v>01</v>
      </c>
      <c r="R42" s="15">
        <v>430</v>
      </c>
      <c r="S42" t="str">
        <f t="shared" ref="S42:U61" si="23">" "</f>
        <v xml:space="preserve"> </v>
      </c>
      <c r="T42" t="str">
        <f t="shared" si="23"/>
        <v xml:space="preserve"> </v>
      </c>
      <c r="U42" t="str">
        <f t="shared" si="23"/>
        <v xml:space="preserve"> </v>
      </c>
      <c r="V42" s="15">
        <v>430</v>
      </c>
      <c r="W42" s="13">
        <v>1</v>
      </c>
      <c r="X42" t="str">
        <f>"METAREG"</f>
        <v>METAREG</v>
      </c>
      <c r="Y42" t="str">
        <f>"MP"</f>
        <v>MP</v>
      </c>
      <c r="Z42" s="14">
        <v>42111</v>
      </c>
      <c r="AA42" t="str">
        <f t="shared" si="6"/>
        <v xml:space="preserve"> </v>
      </c>
      <c r="AB42" s="15">
        <v>0</v>
      </c>
      <c r="AC42" t="str">
        <f>"EIFFAGE CONTRUCTION METALLIQUE"</f>
        <v>EIFFAGE CONTRUCTION METALLIQUE</v>
      </c>
      <c r="AD42" t="str">
        <f t="shared" si="7"/>
        <v xml:space="preserve"> </v>
      </c>
      <c r="AE42" t="str">
        <f>"33600"</f>
        <v>33600</v>
      </c>
      <c r="AF42" t="str">
        <f>"PESSAC"</f>
        <v>PESSAC</v>
      </c>
      <c r="AG42" t="str">
        <f t="shared" si="8"/>
        <v xml:space="preserve"> </v>
      </c>
      <c r="AH42" t="str">
        <f t="shared" si="9"/>
        <v>F</v>
      </c>
      <c r="AI42" s="14">
        <v>42107</v>
      </c>
      <c r="AJ42">
        <v>0</v>
      </c>
      <c r="AL42">
        <v>0</v>
      </c>
      <c r="AN42" t="str">
        <f t="shared" si="19"/>
        <v>DEBARROS</v>
      </c>
      <c r="AO42" t="str">
        <f>"EIFFAGE CONSTRUCTION METALLIQUE"</f>
        <v>EIFFAGE CONSTRUCTION METALLIQUE</v>
      </c>
      <c r="AP42" t="str">
        <f t="shared" si="11"/>
        <v xml:space="preserve"> </v>
      </c>
      <c r="AQ42" s="15">
        <v>0</v>
      </c>
      <c r="AR42" s="16">
        <v>0</v>
      </c>
      <c r="AS42" s="16">
        <v>0</v>
      </c>
      <c r="AT42" s="16">
        <v>0</v>
      </c>
      <c r="AU42">
        <v>0</v>
      </c>
      <c r="AV42">
        <v>0</v>
      </c>
      <c r="AW42">
        <v>0</v>
      </c>
      <c r="AX42" s="16">
        <v>0</v>
      </c>
      <c r="AY42">
        <v>0</v>
      </c>
      <c r="AZ42">
        <v>430</v>
      </c>
      <c r="BA42">
        <v>0</v>
      </c>
      <c r="BB42">
        <v>0</v>
      </c>
      <c r="BC42">
        <v>86</v>
      </c>
      <c r="BD42">
        <v>0</v>
      </c>
      <c r="BE42">
        <v>0</v>
      </c>
      <c r="BF42">
        <v>0</v>
      </c>
      <c r="BG42">
        <v>0</v>
      </c>
      <c r="BH42">
        <v>516</v>
      </c>
      <c r="BI42">
        <v>430</v>
      </c>
      <c r="BJ42" t="str">
        <f t="shared" si="22"/>
        <v>41</v>
      </c>
      <c r="BK42" t="str">
        <f>"VI"</f>
        <v>VI</v>
      </c>
    </row>
    <row r="43" spans="1:63">
      <c r="A43" t="str">
        <f>"165300"</f>
        <v>165300</v>
      </c>
      <c r="B43" t="str">
        <f>"METAREG"</f>
        <v>METAREG</v>
      </c>
      <c r="C43" t="str">
        <f>"16177"</f>
        <v>16177</v>
      </c>
      <c r="D43" t="str">
        <f>"C150009885"</f>
        <v>C150009885</v>
      </c>
      <c r="E43" t="str">
        <f t="shared" si="14"/>
        <v xml:space="preserve"> </v>
      </c>
      <c r="F43" s="14">
        <v>42107</v>
      </c>
      <c r="G43" t="str">
        <f>"LT"</f>
        <v>LT</v>
      </c>
      <c r="H43" t="str">
        <f>"FT"</f>
        <v>FT</v>
      </c>
      <c r="I43" s="17">
        <v>42108</v>
      </c>
      <c r="J43" s="14">
        <v>42109</v>
      </c>
      <c r="K43" t="str">
        <f t="shared" si="1"/>
        <v xml:space="preserve"> </v>
      </c>
      <c r="L43">
        <v>100</v>
      </c>
      <c r="M43" s="15">
        <v>0</v>
      </c>
      <c r="N43" s="16">
        <v>1</v>
      </c>
      <c r="O43" t="str">
        <f t="shared" si="2"/>
        <v>EUR</v>
      </c>
      <c r="P43" s="13" t="str">
        <f>"16177"</f>
        <v>16177</v>
      </c>
      <c r="Q43" t="str">
        <f t="shared" si="3"/>
        <v>01</v>
      </c>
      <c r="R43" s="15">
        <v>100</v>
      </c>
      <c r="S43" t="str">
        <f t="shared" si="23"/>
        <v xml:space="preserve"> </v>
      </c>
      <c r="T43" t="str">
        <f t="shared" si="23"/>
        <v xml:space="preserve"> </v>
      </c>
      <c r="U43" t="str">
        <f t="shared" si="23"/>
        <v xml:space="preserve"> </v>
      </c>
      <c r="V43" s="15">
        <v>100</v>
      </c>
      <c r="W43" s="13">
        <v>1</v>
      </c>
      <c r="X43" t="str">
        <f>"METAREG"</f>
        <v>METAREG</v>
      </c>
      <c r="Y43" t="str">
        <f>"MP"</f>
        <v>MP</v>
      </c>
      <c r="Z43" s="14">
        <v>42109</v>
      </c>
      <c r="AA43" t="str">
        <f t="shared" si="6"/>
        <v xml:space="preserve"> </v>
      </c>
      <c r="AB43" s="15">
        <v>0</v>
      </c>
      <c r="AC43" t="str">
        <f>"EIFFAGE CONTRUCTION METALLIQUE"</f>
        <v>EIFFAGE CONTRUCTION METALLIQUE</v>
      </c>
      <c r="AD43" t="str">
        <f t="shared" si="7"/>
        <v xml:space="preserve"> </v>
      </c>
      <c r="AE43" t="str">
        <f>"33600"</f>
        <v>33600</v>
      </c>
      <c r="AF43" t="str">
        <f>"PESSAC"</f>
        <v>PESSAC</v>
      </c>
      <c r="AG43" t="str">
        <f t="shared" si="8"/>
        <v xml:space="preserve"> </v>
      </c>
      <c r="AH43" t="str">
        <f t="shared" si="9"/>
        <v>F</v>
      </c>
      <c r="AI43" s="14">
        <v>42107</v>
      </c>
      <c r="AJ43">
        <v>0</v>
      </c>
      <c r="AL43">
        <v>0</v>
      </c>
      <c r="AN43" t="str">
        <f t="shared" si="19"/>
        <v>DEBARROS</v>
      </c>
      <c r="AO43" t="str">
        <f>"EIFFAGE CONSTRUCTION METALLIQUE"</f>
        <v>EIFFAGE CONSTRUCTION METALLIQUE</v>
      </c>
      <c r="AP43" t="str">
        <f t="shared" si="11"/>
        <v xml:space="preserve"> </v>
      </c>
      <c r="AQ43" s="15">
        <v>0</v>
      </c>
      <c r="AR43" s="16">
        <v>0</v>
      </c>
      <c r="AS43" s="16">
        <v>0</v>
      </c>
      <c r="AT43" s="16">
        <v>0</v>
      </c>
      <c r="AU43">
        <v>0</v>
      </c>
      <c r="AV43">
        <v>0</v>
      </c>
      <c r="AW43">
        <v>0</v>
      </c>
      <c r="AX43" s="16">
        <v>0</v>
      </c>
      <c r="AY43">
        <v>0</v>
      </c>
      <c r="AZ43">
        <v>100</v>
      </c>
      <c r="BA43">
        <v>0</v>
      </c>
      <c r="BB43">
        <v>0</v>
      </c>
      <c r="BC43">
        <v>20</v>
      </c>
      <c r="BD43">
        <v>0</v>
      </c>
      <c r="BE43">
        <v>0</v>
      </c>
      <c r="BF43">
        <v>0</v>
      </c>
      <c r="BG43">
        <v>0</v>
      </c>
      <c r="BH43">
        <v>120</v>
      </c>
      <c r="BI43">
        <v>100</v>
      </c>
      <c r="BJ43" t="str">
        <f t="shared" si="22"/>
        <v>41</v>
      </c>
      <c r="BK43" t="str">
        <f>"VI"</f>
        <v>VI</v>
      </c>
    </row>
    <row r="44" spans="1:63">
      <c r="A44" t="str">
        <f>"202302"</f>
        <v>202302</v>
      </c>
      <c r="B44" t="str">
        <f>"VALLOUREC DRILLING"</f>
        <v>VALLOUREC DRILLING</v>
      </c>
      <c r="C44" t="str">
        <f>"16172"</f>
        <v>16172</v>
      </c>
      <c r="D44" t="str">
        <f>"35011721 poste 10"</f>
        <v>35011721 poste 10</v>
      </c>
      <c r="E44" t="str">
        <f t="shared" si="14"/>
        <v xml:space="preserve"> </v>
      </c>
      <c r="F44" s="14">
        <v>42107</v>
      </c>
      <c r="G44" t="str">
        <f>" "</f>
        <v xml:space="preserve"> </v>
      </c>
      <c r="H44" t="str">
        <f>" "</f>
        <v xml:space="preserve"> </v>
      </c>
      <c r="J44" s="14">
        <v>42131</v>
      </c>
      <c r="K44" t="str">
        <f t="shared" si="1"/>
        <v xml:space="preserve"> </v>
      </c>
      <c r="L44">
        <v>800</v>
      </c>
      <c r="M44" s="15">
        <v>0</v>
      </c>
      <c r="N44" s="16">
        <v>1</v>
      </c>
      <c r="O44" t="str">
        <f t="shared" si="2"/>
        <v>EUR</v>
      </c>
      <c r="P44" s="13" t="str">
        <f>"16172"</f>
        <v>16172</v>
      </c>
      <c r="Q44" t="str">
        <f t="shared" si="3"/>
        <v>01</v>
      </c>
      <c r="R44" s="15">
        <v>800</v>
      </c>
      <c r="S44" t="str">
        <f t="shared" si="23"/>
        <v xml:space="preserve"> </v>
      </c>
      <c r="T44" t="str">
        <f t="shared" si="23"/>
        <v xml:space="preserve"> </v>
      </c>
      <c r="U44" t="str">
        <f t="shared" si="23"/>
        <v xml:space="preserve"> </v>
      </c>
      <c r="V44" s="15">
        <v>800</v>
      </c>
      <c r="W44" s="13">
        <v>1</v>
      </c>
      <c r="X44" t="str">
        <f>"VALLOUREC DRILLING"</f>
        <v>VALLOUREC DRILLING</v>
      </c>
      <c r="Y44" t="str">
        <f>"MP"</f>
        <v>MP</v>
      </c>
      <c r="Z44" s="14">
        <v>42131</v>
      </c>
      <c r="AA44" t="str">
        <f t="shared" si="6"/>
        <v xml:space="preserve"> </v>
      </c>
      <c r="AB44" s="15">
        <v>0</v>
      </c>
      <c r="AC44" t="str">
        <f>"VALLOUREC DRILLING PRODUCTS FRANCE"</f>
        <v>VALLOUREC DRILLING PRODUCTS FRANCE</v>
      </c>
      <c r="AD44" t="str">
        <f t="shared" si="7"/>
        <v xml:space="preserve"> </v>
      </c>
      <c r="AE44" t="str">
        <f>"65000"</f>
        <v>65000</v>
      </c>
      <c r="AF44" t="str">
        <f>"TARBES"</f>
        <v>TARBES</v>
      </c>
      <c r="AG44" t="str">
        <f t="shared" si="8"/>
        <v xml:space="preserve"> </v>
      </c>
      <c r="AH44" t="str">
        <f t="shared" si="9"/>
        <v>F</v>
      </c>
      <c r="AI44" s="14">
        <v>42107</v>
      </c>
      <c r="AJ44">
        <v>0</v>
      </c>
      <c r="AL44">
        <v>0</v>
      </c>
      <c r="AN44" t="str">
        <f t="shared" si="19"/>
        <v>DEBARROS</v>
      </c>
      <c r="AO44" t="str">
        <f>"VALLOUREC DRILLING PRODUCTS FRANCE"</f>
        <v>VALLOUREC DRILLING PRODUCTS FRANCE</v>
      </c>
      <c r="AP44" t="str">
        <f t="shared" si="11"/>
        <v xml:space="preserve"> </v>
      </c>
      <c r="AQ44" s="15">
        <v>0</v>
      </c>
      <c r="AR44" s="16">
        <v>0</v>
      </c>
      <c r="AS44" s="16">
        <v>0</v>
      </c>
      <c r="AT44" s="16">
        <v>0</v>
      </c>
      <c r="AU44">
        <v>0</v>
      </c>
      <c r="AV44">
        <v>0</v>
      </c>
      <c r="AW44">
        <v>0</v>
      </c>
      <c r="AX44" s="16">
        <v>0</v>
      </c>
      <c r="AY44">
        <v>0</v>
      </c>
      <c r="AZ44">
        <v>800</v>
      </c>
      <c r="BA44">
        <v>0</v>
      </c>
      <c r="BB44">
        <v>0</v>
      </c>
      <c r="BC44">
        <v>160</v>
      </c>
      <c r="BD44">
        <v>0</v>
      </c>
      <c r="BE44">
        <v>0</v>
      </c>
      <c r="BF44">
        <v>0</v>
      </c>
      <c r="BG44">
        <v>0</v>
      </c>
      <c r="BH44">
        <v>960</v>
      </c>
      <c r="BI44">
        <v>800</v>
      </c>
      <c r="BJ44" t="str">
        <f t="shared" si="22"/>
        <v>41</v>
      </c>
      <c r="BK44" t="str">
        <f>"VI"</f>
        <v>VI</v>
      </c>
    </row>
    <row r="45" spans="1:63">
      <c r="A45" t="str">
        <f>"186100"</f>
        <v>186100</v>
      </c>
      <c r="B45" t="str">
        <f>"HERAKLES ( SME )"</f>
        <v>HERAKLES ( SME )</v>
      </c>
      <c r="C45" t="str">
        <f>"16171"</f>
        <v>16171</v>
      </c>
      <c r="D45" t="str">
        <f>"ANS 0738813 1"</f>
        <v>ANS 0738813 1</v>
      </c>
      <c r="E45" t="str">
        <f t="shared" si="14"/>
        <v xml:space="preserve"> </v>
      </c>
      <c r="F45" s="14">
        <v>42107</v>
      </c>
      <c r="G45" t="str">
        <f>"LT"</f>
        <v>LT</v>
      </c>
      <c r="H45" t="str">
        <f>"FT"</f>
        <v>FT</v>
      </c>
      <c r="I45" s="17">
        <v>42122</v>
      </c>
      <c r="J45" s="14">
        <v>42121</v>
      </c>
      <c r="K45" t="str">
        <f t="shared" si="1"/>
        <v xml:space="preserve"> </v>
      </c>
      <c r="L45">
        <v>820</v>
      </c>
      <c r="M45" s="15">
        <v>0</v>
      </c>
      <c r="N45" s="16">
        <v>1</v>
      </c>
      <c r="O45" t="str">
        <f t="shared" si="2"/>
        <v>EUR</v>
      </c>
      <c r="P45" s="13" t="str">
        <f>"16171"</f>
        <v>16171</v>
      </c>
      <c r="Q45" t="str">
        <f t="shared" si="3"/>
        <v>01</v>
      </c>
      <c r="R45" s="15">
        <v>820</v>
      </c>
      <c r="S45" t="str">
        <f t="shared" si="23"/>
        <v xml:space="preserve"> </v>
      </c>
      <c r="T45" t="str">
        <f t="shared" si="23"/>
        <v xml:space="preserve"> </v>
      </c>
      <c r="U45" t="str">
        <f t="shared" si="23"/>
        <v xml:space="preserve"> </v>
      </c>
      <c r="V45" s="15">
        <v>820</v>
      </c>
      <c r="W45" s="13">
        <v>1</v>
      </c>
      <c r="X45" t="str">
        <f>"HERAKLES ( SME )"</f>
        <v>HERAKLES ( SME )</v>
      </c>
      <c r="Y45" t="str">
        <f>"TS"</f>
        <v>TS</v>
      </c>
      <c r="Z45" s="14">
        <v>42121</v>
      </c>
      <c r="AA45" t="str">
        <f t="shared" si="6"/>
        <v xml:space="preserve"> </v>
      </c>
      <c r="AB45" s="15">
        <v>0</v>
      </c>
      <c r="AC45" t="str">
        <f>"SAFRAN HERAKLES"</f>
        <v>SAFRAN HERAKLES</v>
      </c>
      <c r="AD45" t="str">
        <f t="shared" si="7"/>
        <v xml:space="preserve"> </v>
      </c>
      <c r="AE45" t="str">
        <f>"33160"</f>
        <v>33160</v>
      </c>
      <c r="AF45" t="str">
        <f>"Saint Médard en Jalles"</f>
        <v>Saint Médard en Jalles</v>
      </c>
      <c r="AG45" t="str">
        <f t="shared" si="8"/>
        <v xml:space="preserve"> </v>
      </c>
      <c r="AH45" t="str">
        <f t="shared" si="9"/>
        <v>F</v>
      </c>
      <c r="AI45" s="14">
        <v>42107</v>
      </c>
      <c r="AJ45">
        <v>0</v>
      </c>
      <c r="AL45">
        <v>0</v>
      </c>
      <c r="AN45" t="str">
        <f t="shared" si="19"/>
        <v>DEBARROS</v>
      </c>
      <c r="AO45" t="str">
        <f>"HERAKLES ( SME )"</f>
        <v>HERAKLES ( SME )</v>
      </c>
      <c r="AP45" t="str">
        <f t="shared" si="11"/>
        <v xml:space="preserve"> </v>
      </c>
      <c r="AQ45" s="15">
        <v>0</v>
      </c>
      <c r="AR45" s="16">
        <v>0</v>
      </c>
      <c r="AS45" s="16">
        <v>0</v>
      </c>
      <c r="AT45" s="16">
        <v>0</v>
      </c>
      <c r="AU45">
        <v>0</v>
      </c>
      <c r="AV45">
        <v>0</v>
      </c>
      <c r="AW45">
        <v>0</v>
      </c>
      <c r="AX45" s="16">
        <v>0</v>
      </c>
      <c r="AY45">
        <v>0</v>
      </c>
      <c r="AZ45">
        <v>820</v>
      </c>
      <c r="BA45">
        <v>0</v>
      </c>
      <c r="BB45">
        <v>0</v>
      </c>
      <c r="BC45">
        <v>164</v>
      </c>
      <c r="BD45">
        <v>0</v>
      </c>
      <c r="BE45">
        <v>0</v>
      </c>
      <c r="BF45">
        <v>0</v>
      </c>
      <c r="BG45">
        <v>0</v>
      </c>
      <c r="BH45">
        <v>984</v>
      </c>
      <c r="BI45">
        <v>820</v>
      </c>
      <c r="BJ45" t="str">
        <f t="shared" si="22"/>
        <v>41</v>
      </c>
      <c r="BK45" t="str">
        <f>"VI"</f>
        <v>VI</v>
      </c>
    </row>
    <row r="46" spans="1:63">
      <c r="A46" t="str">
        <f>"101000"</f>
        <v>101000</v>
      </c>
      <c r="B46" t="str">
        <f>"AIRBUS"</f>
        <v>AIRBUS</v>
      </c>
      <c r="C46" t="str">
        <f>"16170"</f>
        <v>16170</v>
      </c>
      <c r="D46" t="str">
        <f>"4577006750"</f>
        <v>4577006750</v>
      </c>
      <c r="E46" t="str">
        <f t="shared" si="14"/>
        <v xml:space="preserve"> </v>
      </c>
      <c r="F46" s="14">
        <v>42107</v>
      </c>
      <c r="G46" t="str">
        <f>"LP"</f>
        <v>LP</v>
      </c>
      <c r="H46" t="str">
        <f>"FP"</f>
        <v>FP</v>
      </c>
      <c r="I46" s="17">
        <v>42121</v>
      </c>
      <c r="J46" s="14">
        <v>42163</v>
      </c>
      <c r="K46" t="str">
        <f t="shared" si="1"/>
        <v xml:space="preserve"> </v>
      </c>
      <c r="L46">
        <v>4360</v>
      </c>
      <c r="M46" s="15">
        <v>0</v>
      </c>
      <c r="N46" s="16">
        <v>1</v>
      </c>
      <c r="O46" t="str">
        <f t="shared" si="2"/>
        <v>EUR</v>
      </c>
      <c r="P46" s="13" t="str">
        <f>"16170"</f>
        <v>16170</v>
      </c>
      <c r="Q46" t="str">
        <f t="shared" si="3"/>
        <v>01</v>
      </c>
      <c r="R46" s="15">
        <v>4360</v>
      </c>
      <c r="S46" t="str">
        <f t="shared" si="23"/>
        <v xml:space="preserve"> </v>
      </c>
      <c r="T46" t="str">
        <f t="shared" si="23"/>
        <v xml:space="preserve"> </v>
      </c>
      <c r="U46" t="str">
        <f t="shared" si="23"/>
        <v xml:space="preserve"> </v>
      </c>
      <c r="V46" s="15">
        <v>4360</v>
      </c>
      <c r="W46" s="13">
        <v>0</v>
      </c>
      <c r="X46" t="str">
        <f>"AIRBUS"</f>
        <v>AIRBUS</v>
      </c>
      <c r="Y46" t="str">
        <f>"MP"</f>
        <v>MP</v>
      </c>
      <c r="Z46" s="14">
        <v>42163</v>
      </c>
      <c r="AA46" t="str">
        <f t="shared" si="6"/>
        <v xml:space="preserve"> </v>
      </c>
      <c r="AB46" s="15">
        <v>0</v>
      </c>
      <c r="AC46" t="str">
        <f>"Airbus D &amp; S "</f>
        <v xml:space="preserve">Airbus D &amp; S </v>
      </c>
      <c r="AD46" t="str">
        <f t="shared" si="7"/>
        <v xml:space="preserve"> </v>
      </c>
      <c r="AE46" t="str">
        <f>"33165"</f>
        <v>33165</v>
      </c>
      <c r="AF46" t="str">
        <f>"SAINT MEDARD EN JALLES"</f>
        <v>SAINT MEDARD EN JALLES</v>
      </c>
      <c r="AG46" t="str">
        <f t="shared" si="8"/>
        <v xml:space="preserve"> </v>
      </c>
      <c r="AH46" t="str">
        <f t="shared" si="9"/>
        <v>F</v>
      </c>
      <c r="AI46" s="14">
        <v>42107</v>
      </c>
      <c r="AJ46">
        <v>0</v>
      </c>
      <c r="AL46">
        <v>0</v>
      </c>
      <c r="AN46" t="str">
        <f t="shared" si="19"/>
        <v>DEBARROS</v>
      </c>
      <c r="AO46" t="str">
        <f>"Airbus D &amp; S"</f>
        <v>Airbus D &amp; S</v>
      </c>
      <c r="AP46" t="str">
        <f t="shared" si="11"/>
        <v xml:space="preserve"> </v>
      </c>
      <c r="AQ46" s="15">
        <v>0</v>
      </c>
      <c r="AR46" s="16">
        <v>0</v>
      </c>
      <c r="AS46" s="16">
        <v>0</v>
      </c>
      <c r="AT46" s="16">
        <v>0</v>
      </c>
      <c r="AU46">
        <v>0</v>
      </c>
      <c r="AV46">
        <v>0</v>
      </c>
      <c r="AW46">
        <v>0</v>
      </c>
      <c r="AX46" s="16">
        <v>0</v>
      </c>
      <c r="AY46">
        <v>0</v>
      </c>
      <c r="AZ46">
        <v>4360</v>
      </c>
      <c r="BA46">
        <v>0</v>
      </c>
      <c r="BB46">
        <v>0</v>
      </c>
      <c r="BC46">
        <v>872</v>
      </c>
      <c r="BD46">
        <v>0</v>
      </c>
      <c r="BE46">
        <v>0</v>
      </c>
      <c r="BF46">
        <v>0</v>
      </c>
      <c r="BG46">
        <v>0</v>
      </c>
      <c r="BH46">
        <v>5232</v>
      </c>
      <c r="BI46">
        <v>4360</v>
      </c>
      <c r="BJ46" t="str">
        <f t="shared" si="22"/>
        <v>41</v>
      </c>
      <c r="BK46" t="str">
        <f>"VI"</f>
        <v>VI</v>
      </c>
    </row>
    <row r="47" spans="1:63">
      <c r="A47" t="str">
        <f>"124000"</f>
        <v>124000</v>
      </c>
      <c r="B47" t="str">
        <f>"DIMETAL"</f>
        <v>DIMETAL</v>
      </c>
      <c r="C47" t="str">
        <f>"16169"</f>
        <v>16169</v>
      </c>
      <c r="D47" t="str">
        <f>"458 BS"</f>
        <v>458 BS</v>
      </c>
      <c r="E47" t="str">
        <f t="shared" si="14"/>
        <v xml:space="preserve"> </v>
      </c>
      <c r="F47" s="14">
        <v>42107</v>
      </c>
      <c r="G47" t="str">
        <f>" "</f>
        <v xml:space="preserve"> </v>
      </c>
      <c r="H47" t="str">
        <f>" "</f>
        <v xml:space="preserve"> </v>
      </c>
      <c r="J47" s="14">
        <v>42166</v>
      </c>
      <c r="K47" t="str">
        <f t="shared" si="1"/>
        <v xml:space="preserve"> </v>
      </c>
      <c r="L47">
        <v>26400</v>
      </c>
      <c r="M47" s="15">
        <v>0</v>
      </c>
      <c r="N47" s="16">
        <v>1</v>
      </c>
      <c r="O47" t="str">
        <f t="shared" si="2"/>
        <v>EUR</v>
      </c>
      <c r="P47" s="13" t="str">
        <f>"16169"</f>
        <v>16169</v>
      </c>
      <c r="Q47" t="str">
        <f t="shared" si="3"/>
        <v>01</v>
      </c>
      <c r="R47" s="15">
        <v>26400</v>
      </c>
      <c r="S47" t="str">
        <f t="shared" si="23"/>
        <v xml:space="preserve"> </v>
      </c>
      <c r="T47" t="str">
        <f t="shared" si="23"/>
        <v xml:space="preserve"> </v>
      </c>
      <c r="U47" t="str">
        <f t="shared" si="23"/>
        <v xml:space="preserve"> </v>
      </c>
      <c r="V47" s="15">
        <v>26400</v>
      </c>
      <c r="W47" s="13">
        <v>1</v>
      </c>
      <c r="X47" t="str">
        <f>"DIMETAL"</f>
        <v>DIMETAL</v>
      </c>
      <c r="Y47" t="str">
        <f>"TS"</f>
        <v>TS</v>
      </c>
      <c r="Z47" s="14">
        <v>42166</v>
      </c>
      <c r="AA47" t="str">
        <f t="shared" si="6"/>
        <v xml:space="preserve"> </v>
      </c>
      <c r="AB47" s="15">
        <v>0</v>
      </c>
      <c r="AC47" t="str">
        <f>"DIMETAL"</f>
        <v>DIMETAL</v>
      </c>
      <c r="AD47" t="str">
        <f t="shared" si="7"/>
        <v xml:space="preserve"> </v>
      </c>
      <c r="AE47" t="str">
        <f>"33700"</f>
        <v>33700</v>
      </c>
      <c r="AF47" t="str">
        <f>"MERIGNAC"</f>
        <v>MERIGNAC</v>
      </c>
      <c r="AG47" t="str">
        <f t="shared" si="8"/>
        <v xml:space="preserve"> </v>
      </c>
      <c r="AH47" t="str">
        <f t="shared" si="9"/>
        <v>F</v>
      </c>
      <c r="AI47" s="14">
        <v>42107</v>
      </c>
      <c r="AJ47">
        <v>0</v>
      </c>
      <c r="AL47">
        <v>0</v>
      </c>
      <c r="AN47" t="str">
        <f t="shared" si="19"/>
        <v>DEBARROS</v>
      </c>
      <c r="AO47" t="str">
        <f>"DIMETAL"</f>
        <v>DIMETAL</v>
      </c>
      <c r="AP47" t="str">
        <f t="shared" si="11"/>
        <v xml:space="preserve"> </v>
      </c>
      <c r="AQ47" s="15">
        <v>0</v>
      </c>
      <c r="AR47" s="16">
        <v>0</v>
      </c>
      <c r="AS47" s="16">
        <v>0</v>
      </c>
      <c r="AT47" s="16">
        <v>0</v>
      </c>
      <c r="AU47">
        <v>0</v>
      </c>
      <c r="AV47">
        <v>0</v>
      </c>
      <c r="AW47">
        <v>0</v>
      </c>
      <c r="AX47" s="16">
        <v>0</v>
      </c>
      <c r="AY47">
        <v>0</v>
      </c>
      <c r="AZ47">
        <v>26400</v>
      </c>
      <c r="BA47">
        <v>0</v>
      </c>
      <c r="BB47">
        <v>0</v>
      </c>
      <c r="BC47">
        <v>5280</v>
      </c>
      <c r="BD47">
        <v>0</v>
      </c>
      <c r="BE47">
        <v>0</v>
      </c>
      <c r="BF47">
        <v>0</v>
      </c>
      <c r="BG47">
        <v>0</v>
      </c>
      <c r="BH47">
        <v>31680</v>
      </c>
      <c r="BI47">
        <v>26400</v>
      </c>
      <c r="BJ47" t="str">
        <f>"10"</f>
        <v>10</v>
      </c>
      <c r="BK47" t="str">
        <f>"CH"</f>
        <v>CH</v>
      </c>
    </row>
    <row r="48" spans="1:63">
      <c r="A48" t="str">
        <f>"220253"</f>
        <v>220253</v>
      </c>
      <c r="B48" t="str">
        <f>"SERCOVAM"</f>
        <v>SERCOVAM</v>
      </c>
      <c r="C48" t="str">
        <f>"16168"</f>
        <v>16168</v>
      </c>
      <c r="D48" t="str">
        <f>"6590-GOUR"</f>
        <v>6590-GOUR</v>
      </c>
      <c r="E48" t="str">
        <f t="shared" si="14"/>
        <v xml:space="preserve"> </v>
      </c>
      <c r="F48" s="14">
        <v>42107</v>
      </c>
      <c r="G48" t="str">
        <f>"LT"</f>
        <v>LT</v>
      </c>
      <c r="H48" t="str">
        <f>"FT"</f>
        <v>FT</v>
      </c>
      <c r="I48" s="17">
        <v>42117</v>
      </c>
      <c r="J48" s="14">
        <v>42124</v>
      </c>
      <c r="K48" t="str">
        <f t="shared" si="1"/>
        <v xml:space="preserve"> </v>
      </c>
      <c r="L48">
        <v>1350</v>
      </c>
      <c r="M48" s="15">
        <v>0</v>
      </c>
      <c r="N48" s="16">
        <v>1</v>
      </c>
      <c r="O48" t="str">
        <f t="shared" si="2"/>
        <v>EUR</v>
      </c>
      <c r="P48" s="13" t="str">
        <f>"16168"</f>
        <v>16168</v>
      </c>
      <c r="Q48" t="str">
        <f t="shared" si="3"/>
        <v>01</v>
      </c>
      <c r="R48" s="15">
        <v>1350</v>
      </c>
      <c r="S48" t="str">
        <f t="shared" si="23"/>
        <v xml:space="preserve"> </v>
      </c>
      <c r="T48" t="str">
        <f t="shared" si="23"/>
        <v xml:space="preserve"> </v>
      </c>
      <c r="U48" t="str">
        <f t="shared" si="23"/>
        <v xml:space="preserve"> </v>
      </c>
      <c r="V48" s="15">
        <v>1350</v>
      </c>
      <c r="W48" s="13">
        <v>1</v>
      </c>
      <c r="X48" t="str">
        <f>"SERCOVAM"</f>
        <v>SERCOVAM</v>
      </c>
      <c r="Y48" t="str">
        <f>"MP"</f>
        <v>MP</v>
      </c>
      <c r="Z48" s="14">
        <v>42124</v>
      </c>
      <c r="AA48" t="str">
        <f t="shared" si="6"/>
        <v xml:space="preserve"> </v>
      </c>
      <c r="AB48" s="15">
        <v>0</v>
      </c>
      <c r="AC48" t="str">
        <f>"SGS SERCOVAM"</f>
        <v>SGS SERCOVAM</v>
      </c>
      <c r="AD48" t="str">
        <f t="shared" si="7"/>
        <v xml:space="preserve"> </v>
      </c>
      <c r="AE48" t="str">
        <f>"33611"</f>
        <v>33611</v>
      </c>
      <c r="AF48" t="str">
        <f>"Cestas"</f>
        <v>Cestas</v>
      </c>
      <c r="AG48" t="str">
        <f t="shared" si="8"/>
        <v xml:space="preserve"> </v>
      </c>
      <c r="AH48" t="str">
        <f t="shared" si="9"/>
        <v>F</v>
      </c>
      <c r="AI48" s="14">
        <v>42104</v>
      </c>
      <c r="AJ48">
        <v>0</v>
      </c>
      <c r="AL48">
        <v>0</v>
      </c>
      <c r="AN48" t="str">
        <f t="shared" si="19"/>
        <v>DEBARROS</v>
      </c>
      <c r="AO48" t="str">
        <f>"SGS SERCOVAM"</f>
        <v>SGS SERCOVAM</v>
      </c>
      <c r="AP48" t="str">
        <f t="shared" si="11"/>
        <v xml:space="preserve"> </v>
      </c>
      <c r="AQ48" s="15">
        <v>0</v>
      </c>
      <c r="AR48" s="16">
        <v>0</v>
      </c>
      <c r="AS48" s="16">
        <v>0</v>
      </c>
      <c r="AT48" s="16">
        <v>0</v>
      </c>
      <c r="AU48">
        <v>0</v>
      </c>
      <c r="AV48">
        <v>0</v>
      </c>
      <c r="AW48">
        <v>0</v>
      </c>
      <c r="AX48" s="16">
        <v>0</v>
      </c>
      <c r="AY48">
        <v>0</v>
      </c>
      <c r="AZ48">
        <v>1350</v>
      </c>
      <c r="BA48">
        <v>0</v>
      </c>
      <c r="BB48">
        <v>0</v>
      </c>
      <c r="BC48">
        <v>270</v>
      </c>
      <c r="BD48">
        <v>0</v>
      </c>
      <c r="BE48">
        <v>0</v>
      </c>
      <c r="BF48">
        <v>0</v>
      </c>
      <c r="BG48">
        <v>0</v>
      </c>
      <c r="BH48">
        <v>1620</v>
      </c>
      <c r="BI48">
        <v>1350</v>
      </c>
      <c r="BJ48" t="str">
        <f t="shared" ref="BJ48:BJ57" si="24">"41"</f>
        <v>41</v>
      </c>
      <c r="BK48" t="str">
        <f t="shared" ref="BK48:BK53" si="25">"VI"</f>
        <v>VI</v>
      </c>
    </row>
    <row r="49" spans="1:63">
      <c r="A49" t="str">
        <f>"202302"</f>
        <v>202302</v>
      </c>
      <c r="B49" t="str">
        <f>"VALLOUREC DRILLING"</f>
        <v>VALLOUREC DRILLING</v>
      </c>
      <c r="C49" t="str">
        <f>"16167"</f>
        <v>16167</v>
      </c>
      <c r="D49" t="str">
        <f>"35011677 POSTE 40"</f>
        <v>35011677 POSTE 40</v>
      </c>
      <c r="E49" t="str">
        <f t="shared" si="14"/>
        <v xml:space="preserve"> </v>
      </c>
      <c r="F49" s="14">
        <v>42104</v>
      </c>
      <c r="G49" t="str">
        <f t="shared" ref="G49:H51" si="26">" "</f>
        <v xml:space="preserve"> </v>
      </c>
      <c r="H49" t="str">
        <f t="shared" si="26"/>
        <v xml:space="preserve"> </v>
      </c>
      <c r="J49" s="14">
        <v>42146</v>
      </c>
      <c r="K49" t="str">
        <f t="shared" si="1"/>
        <v xml:space="preserve"> </v>
      </c>
      <c r="L49">
        <v>1200</v>
      </c>
      <c r="M49" s="15">
        <v>0</v>
      </c>
      <c r="N49" s="16">
        <v>1</v>
      </c>
      <c r="O49" t="str">
        <f t="shared" si="2"/>
        <v>EUR</v>
      </c>
      <c r="P49" s="13" t="str">
        <f>"16167"</f>
        <v>16167</v>
      </c>
      <c r="Q49" t="str">
        <f t="shared" si="3"/>
        <v>01</v>
      </c>
      <c r="R49" s="15">
        <v>1200</v>
      </c>
      <c r="S49" t="str">
        <f t="shared" si="23"/>
        <v xml:space="preserve"> </v>
      </c>
      <c r="T49" t="str">
        <f t="shared" si="23"/>
        <v xml:space="preserve"> </v>
      </c>
      <c r="U49" t="str">
        <f t="shared" si="23"/>
        <v xml:space="preserve"> </v>
      </c>
      <c r="V49" s="15">
        <v>1200</v>
      </c>
      <c r="W49" s="13">
        <v>1</v>
      </c>
      <c r="X49" t="str">
        <f>"VALLOUREC DRILLING"</f>
        <v>VALLOUREC DRILLING</v>
      </c>
      <c r="Y49" t="str">
        <f>"MP"</f>
        <v>MP</v>
      </c>
      <c r="Z49" s="14">
        <v>42146</v>
      </c>
      <c r="AA49" t="str">
        <f t="shared" si="6"/>
        <v xml:space="preserve"> </v>
      </c>
      <c r="AB49" s="15">
        <v>0</v>
      </c>
      <c r="AC49" t="str">
        <f>"VALLOUREC DRILLING PRODUCTS FRANCE"</f>
        <v>VALLOUREC DRILLING PRODUCTS FRANCE</v>
      </c>
      <c r="AD49" t="str">
        <f t="shared" si="7"/>
        <v xml:space="preserve"> </v>
      </c>
      <c r="AE49" t="str">
        <f>"65000"</f>
        <v>65000</v>
      </c>
      <c r="AF49" t="str">
        <f>"TARBES"</f>
        <v>TARBES</v>
      </c>
      <c r="AG49" t="str">
        <f t="shared" si="8"/>
        <v xml:space="preserve"> </v>
      </c>
      <c r="AH49" t="str">
        <f t="shared" si="9"/>
        <v>F</v>
      </c>
      <c r="AI49" s="14">
        <v>42104</v>
      </c>
      <c r="AJ49">
        <v>0</v>
      </c>
      <c r="AL49">
        <v>0</v>
      </c>
      <c r="AN49" t="str">
        <f t="shared" si="19"/>
        <v>DEBARROS</v>
      </c>
      <c r="AO49" t="str">
        <f>"VALLOUREC DRILLING PRODUCTS FRANCE"</f>
        <v>VALLOUREC DRILLING PRODUCTS FRANCE</v>
      </c>
      <c r="AP49" t="str">
        <f t="shared" si="11"/>
        <v xml:space="preserve"> </v>
      </c>
      <c r="AQ49" s="15">
        <v>0</v>
      </c>
      <c r="AR49" s="16">
        <v>0</v>
      </c>
      <c r="AS49" s="16">
        <v>0</v>
      </c>
      <c r="AT49" s="16">
        <v>0</v>
      </c>
      <c r="AU49">
        <v>0</v>
      </c>
      <c r="AV49">
        <v>0</v>
      </c>
      <c r="AW49">
        <v>0</v>
      </c>
      <c r="AX49" s="16">
        <v>0</v>
      </c>
      <c r="AY49">
        <v>0</v>
      </c>
      <c r="AZ49">
        <v>1200</v>
      </c>
      <c r="BA49">
        <v>0</v>
      </c>
      <c r="BB49">
        <v>0</v>
      </c>
      <c r="BC49">
        <v>240</v>
      </c>
      <c r="BD49">
        <v>0</v>
      </c>
      <c r="BE49">
        <v>0</v>
      </c>
      <c r="BF49">
        <v>0</v>
      </c>
      <c r="BG49">
        <v>0</v>
      </c>
      <c r="BH49">
        <v>1440</v>
      </c>
      <c r="BI49">
        <v>1200</v>
      </c>
      <c r="BJ49" t="str">
        <f t="shared" si="24"/>
        <v>41</v>
      </c>
      <c r="BK49" t="str">
        <f t="shared" si="25"/>
        <v>VI</v>
      </c>
    </row>
    <row r="50" spans="1:63">
      <c r="A50" t="str">
        <f>"202302"</f>
        <v>202302</v>
      </c>
      <c r="B50" t="str">
        <f>"VALLOUREC DRILLING"</f>
        <v>VALLOUREC DRILLING</v>
      </c>
      <c r="C50" t="str">
        <f>"16166"</f>
        <v>16166</v>
      </c>
      <c r="D50" t="str">
        <f>"35011677 POSTE 30"</f>
        <v>35011677 POSTE 30</v>
      </c>
      <c r="E50" t="str">
        <f t="shared" si="14"/>
        <v xml:space="preserve"> </v>
      </c>
      <c r="F50" s="14">
        <v>42104</v>
      </c>
      <c r="G50" t="str">
        <f t="shared" si="26"/>
        <v xml:space="preserve"> </v>
      </c>
      <c r="H50" t="str">
        <f t="shared" si="26"/>
        <v xml:space="preserve"> </v>
      </c>
      <c r="J50" s="14">
        <v>42153</v>
      </c>
      <c r="K50" t="str">
        <f t="shared" si="1"/>
        <v xml:space="preserve"> </v>
      </c>
      <c r="L50">
        <v>2600</v>
      </c>
      <c r="M50" s="15">
        <v>0</v>
      </c>
      <c r="N50" s="16">
        <v>1</v>
      </c>
      <c r="O50" t="str">
        <f t="shared" si="2"/>
        <v>EUR</v>
      </c>
      <c r="P50" s="13" t="str">
        <f>"16166"</f>
        <v>16166</v>
      </c>
      <c r="Q50" t="str">
        <f t="shared" si="3"/>
        <v>01</v>
      </c>
      <c r="R50" s="15">
        <v>2600</v>
      </c>
      <c r="S50" t="str">
        <f t="shared" si="23"/>
        <v xml:space="preserve"> </v>
      </c>
      <c r="T50" t="str">
        <f t="shared" si="23"/>
        <v xml:space="preserve"> </v>
      </c>
      <c r="U50" t="str">
        <f t="shared" si="23"/>
        <v xml:space="preserve"> </v>
      </c>
      <c r="V50" s="15">
        <v>2600</v>
      </c>
      <c r="W50" s="13">
        <v>1</v>
      </c>
      <c r="X50" t="str">
        <f>"VALLOUREC DRILLING"</f>
        <v>VALLOUREC DRILLING</v>
      </c>
      <c r="Y50" t="str">
        <f>"MP"</f>
        <v>MP</v>
      </c>
      <c r="Z50" s="14">
        <v>42153</v>
      </c>
      <c r="AA50" t="str">
        <f t="shared" si="6"/>
        <v xml:space="preserve"> </v>
      </c>
      <c r="AB50" s="15">
        <v>0</v>
      </c>
      <c r="AC50" t="str">
        <f>"VALLOUREC DRILLING PRODUCTS FRANCE"</f>
        <v>VALLOUREC DRILLING PRODUCTS FRANCE</v>
      </c>
      <c r="AD50" t="str">
        <f t="shared" si="7"/>
        <v xml:space="preserve"> </v>
      </c>
      <c r="AE50" t="str">
        <f>"65000"</f>
        <v>65000</v>
      </c>
      <c r="AF50" t="str">
        <f>"TARBES"</f>
        <v>TARBES</v>
      </c>
      <c r="AG50" t="str">
        <f t="shared" si="8"/>
        <v xml:space="preserve"> </v>
      </c>
      <c r="AH50" t="str">
        <f t="shared" si="9"/>
        <v>F</v>
      </c>
      <c r="AI50" s="14">
        <v>42104</v>
      </c>
      <c r="AJ50">
        <v>0</v>
      </c>
      <c r="AL50">
        <v>0</v>
      </c>
      <c r="AN50" t="str">
        <f t="shared" si="19"/>
        <v>DEBARROS</v>
      </c>
      <c r="AO50" t="str">
        <f>"VALLOUREC DRILLING PRODUCTS FRANCE"</f>
        <v>VALLOUREC DRILLING PRODUCTS FRANCE</v>
      </c>
      <c r="AP50" t="str">
        <f t="shared" si="11"/>
        <v xml:space="preserve"> </v>
      </c>
      <c r="AQ50" s="15">
        <v>0</v>
      </c>
      <c r="AR50" s="16">
        <v>0</v>
      </c>
      <c r="AS50" s="16">
        <v>0</v>
      </c>
      <c r="AT50" s="16">
        <v>0</v>
      </c>
      <c r="AU50">
        <v>0</v>
      </c>
      <c r="AV50">
        <v>0</v>
      </c>
      <c r="AW50">
        <v>0</v>
      </c>
      <c r="AX50" s="16">
        <v>0</v>
      </c>
      <c r="AY50">
        <v>0</v>
      </c>
      <c r="AZ50">
        <v>2600</v>
      </c>
      <c r="BA50">
        <v>0</v>
      </c>
      <c r="BB50">
        <v>0</v>
      </c>
      <c r="BC50">
        <v>520</v>
      </c>
      <c r="BD50">
        <v>0</v>
      </c>
      <c r="BE50">
        <v>0</v>
      </c>
      <c r="BF50">
        <v>0</v>
      </c>
      <c r="BG50">
        <v>0</v>
      </c>
      <c r="BH50">
        <v>3120</v>
      </c>
      <c r="BI50">
        <v>2600</v>
      </c>
      <c r="BJ50" t="str">
        <f t="shared" si="24"/>
        <v>41</v>
      </c>
      <c r="BK50" t="str">
        <f t="shared" si="25"/>
        <v>VI</v>
      </c>
    </row>
    <row r="51" spans="1:63">
      <c r="A51" t="str">
        <f>"202302"</f>
        <v>202302</v>
      </c>
      <c r="B51" t="str">
        <f>"VALLOUREC DRILLING"</f>
        <v>VALLOUREC DRILLING</v>
      </c>
      <c r="C51" t="str">
        <f>"16165"</f>
        <v>16165</v>
      </c>
      <c r="D51" t="str">
        <f>"35011677 POSTE 20"</f>
        <v>35011677 POSTE 20</v>
      </c>
      <c r="E51" t="str">
        <f t="shared" si="14"/>
        <v xml:space="preserve"> </v>
      </c>
      <c r="F51" s="14">
        <v>42104</v>
      </c>
      <c r="G51" t="str">
        <f t="shared" si="26"/>
        <v xml:space="preserve"> </v>
      </c>
      <c r="H51" t="str">
        <f t="shared" si="26"/>
        <v xml:space="preserve"> </v>
      </c>
      <c r="J51" s="14">
        <v>42146</v>
      </c>
      <c r="K51" t="str">
        <f t="shared" si="1"/>
        <v xml:space="preserve"> </v>
      </c>
      <c r="L51">
        <v>3900</v>
      </c>
      <c r="M51" s="15">
        <v>0</v>
      </c>
      <c r="N51" s="16">
        <v>1</v>
      </c>
      <c r="O51" t="str">
        <f t="shared" si="2"/>
        <v>EUR</v>
      </c>
      <c r="P51" s="13" t="str">
        <f>"16165"</f>
        <v>16165</v>
      </c>
      <c r="Q51" t="str">
        <f t="shared" si="3"/>
        <v>01</v>
      </c>
      <c r="R51" s="15">
        <v>3900</v>
      </c>
      <c r="S51" t="str">
        <f t="shared" si="23"/>
        <v xml:space="preserve"> </v>
      </c>
      <c r="T51" t="str">
        <f t="shared" si="23"/>
        <v xml:space="preserve"> </v>
      </c>
      <c r="U51" t="str">
        <f t="shared" si="23"/>
        <v xml:space="preserve"> </v>
      </c>
      <c r="V51" s="15">
        <v>3900</v>
      </c>
      <c r="W51" s="13">
        <v>1</v>
      </c>
      <c r="X51" t="str">
        <f>"VALLOUREC DRILLING"</f>
        <v>VALLOUREC DRILLING</v>
      </c>
      <c r="Y51" t="str">
        <f>"MP"</f>
        <v>MP</v>
      </c>
      <c r="Z51" s="14">
        <v>42146</v>
      </c>
      <c r="AA51" t="str">
        <f t="shared" si="6"/>
        <v xml:space="preserve"> </v>
      </c>
      <c r="AB51" s="15">
        <v>0</v>
      </c>
      <c r="AC51" t="str">
        <f>"VALLOUREC DRILLING PRODUCTS FRANCE"</f>
        <v>VALLOUREC DRILLING PRODUCTS FRANCE</v>
      </c>
      <c r="AD51" t="str">
        <f t="shared" si="7"/>
        <v xml:space="preserve"> </v>
      </c>
      <c r="AE51" t="str">
        <f>"65000"</f>
        <v>65000</v>
      </c>
      <c r="AF51" t="str">
        <f>"TARBES"</f>
        <v>TARBES</v>
      </c>
      <c r="AG51" t="str">
        <f t="shared" si="8"/>
        <v xml:space="preserve"> </v>
      </c>
      <c r="AH51" t="str">
        <f t="shared" si="9"/>
        <v>F</v>
      </c>
      <c r="AI51" s="14">
        <v>42104</v>
      </c>
      <c r="AJ51">
        <v>0</v>
      </c>
      <c r="AL51">
        <v>0</v>
      </c>
      <c r="AN51" t="str">
        <f t="shared" si="19"/>
        <v>DEBARROS</v>
      </c>
      <c r="AO51" t="str">
        <f>"VALLOUREC DRILLING PRODUCTS FRANCE"</f>
        <v>VALLOUREC DRILLING PRODUCTS FRANCE</v>
      </c>
      <c r="AP51" t="str">
        <f t="shared" si="11"/>
        <v xml:space="preserve"> </v>
      </c>
      <c r="AQ51" s="15">
        <v>0</v>
      </c>
      <c r="AR51" s="16">
        <v>0</v>
      </c>
      <c r="AS51" s="16">
        <v>0</v>
      </c>
      <c r="AT51" s="16">
        <v>0</v>
      </c>
      <c r="AU51">
        <v>0</v>
      </c>
      <c r="AV51">
        <v>0</v>
      </c>
      <c r="AW51">
        <v>0</v>
      </c>
      <c r="AX51" s="16">
        <v>0</v>
      </c>
      <c r="AY51">
        <v>0</v>
      </c>
      <c r="AZ51">
        <v>3900</v>
      </c>
      <c r="BA51">
        <v>0</v>
      </c>
      <c r="BB51">
        <v>0</v>
      </c>
      <c r="BC51">
        <v>780</v>
      </c>
      <c r="BD51">
        <v>0</v>
      </c>
      <c r="BE51">
        <v>0</v>
      </c>
      <c r="BF51">
        <v>0</v>
      </c>
      <c r="BG51">
        <v>0</v>
      </c>
      <c r="BH51">
        <v>4680</v>
      </c>
      <c r="BI51">
        <v>3900</v>
      </c>
      <c r="BJ51" t="str">
        <f t="shared" si="24"/>
        <v>41</v>
      </c>
      <c r="BK51" t="str">
        <f t="shared" si="25"/>
        <v>VI</v>
      </c>
    </row>
    <row r="52" spans="1:63">
      <c r="A52" t="str">
        <f>"202302"</f>
        <v>202302</v>
      </c>
      <c r="B52" t="str">
        <f>"VALLOUREC DRILLING"</f>
        <v>VALLOUREC DRILLING</v>
      </c>
      <c r="C52" t="str">
        <f>"16164"</f>
        <v>16164</v>
      </c>
      <c r="D52" t="str">
        <f>"35011677 POSTE 10"</f>
        <v>35011677 POSTE 10</v>
      </c>
      <c r="E52" t="str">
        <f t="shared" si="14"/>
        <v xml:space="preserve"> </v>
      </c>
      <c r="F52" s="14">
        <v>42104</v>
      </c>
      <c r="G52" t="str">
        <f>"LT"</f>
        <v>LT</v>
      </c>
      <c r="H52" t="str">
        <f>"FT"</f>
        <v>FT</v>
      </c>
      <c r="I52" s="17">
        <v>42111</v>
      </c>
      <c r="J52" s="14">
        <v>42146</v>
      </c>
      <c r="K52" t="str">
        <f t="shared" si="1"/>
        <v xml:space="preserve"> </v>
      </c>
      <c r="L52">
        <v>280</v>
      </c>
      <c r="M52" s="15">
        <v>0</v>
      </c>
      <c r="N52" s="16">
        <v>1</v>
      </c>
      <c r="O52" t="str">
        <f t="shared" si="2"/>
        <v>EUR</v>
      </c>
      <c r="P52" s="13" t="str">
        <f>"16164"</f>
        <v>16164</v>
      </c>
      <c r="Q52" t="str">
        <f t="shared" si="3"/>
        <v>01</v>
      </c>
      <c r="R52" s="15">
        <v>280</v>
      </c>
      <c r="S52" t="str">
        <f t="shared" si="23"/>
        <v xml:space="preserve"> </v>
      </c>
      <c r="T52" t="str">
        <f t="shared" si="23"/>
        <v xml:space="preserve"> </v>
      </c>
      <c r="U52" t="str">
        <f t="shared" si="23"/>
        <v xml:space="preserve"> </v>
      </c>
      <c r="V52" s="15">
        <v>280</v>
      </c>
      <c r="W52" s="13">
        <v>1</v>
      </c>
      <c r="X52" t="str">
        <f>"VALLOUREC DRILLING"</f>
        <v>VALLOUREC DRILLING</v>
      </c>
      <c r="Y52" t="str">
        <f>"MP"</f>
        <v>MP</v>
      </c>
      <c r="Z52" s="14">
        <v>42146</v>
      </c>
      <c r="AA52" t="str">
        <f t="shared" si="6"/>
        <v xml:space="preserve"> </v>
      </c>
      <c r="AB52" s="15">
        <v>0</v>
      </c>
      <c r="AC52" t="str">
        <f>"VALLOUREC DRILLING PRODUCTS FRANCE"</f>
        <v>VALLOUREC DRILLING PRODUCTS FRANCE</v>
      </c>
      <c r="AD52" t="str">
        <f t="shared" si="7"/>
        <v xml:space="preserve"> </v>
      </c>
      <c r="AE52" t="str">
        <f>"65000"</f>
        <v>65000</v>
      </c>
      <c r="AF52" t="str">
        <f>"TARBES"</f>
        <v>TARBES</v>
      </c>
      <c r="AG52" t="str">
        <f t="shared" si="8"/>
        <v xml:space="preserve"> </v>
      </c>
      <c r="AH52" t="str">
        <f t="shared" si="9"/>
        <v>F</v>
      </c>
      <c r="AI52" s="14">
        <v>42104</v>
      </c>
      <c r="AJ52">
        <v>0</v>
      </c>
      <c r="AL52">
        <v>0</v>
      </c>
      <c r="AN52" t="str">
        <f t="shared" si="19"/>
        <v>DEBARROS</v>
      </c>
      <c r="AO52" t="str">
        <f>"VALLOUREC DRILLING PRODUCTS FRANCE"</f>
        <v>VALLOUREC DRILLING PRODUCTS FRANCE</v>
      </c>
      <c r="AP52" t="str">
        <f t="shared" si="11"/>
        <v xml:space="preserve"> </v>
      </c>
      <c r="AQ52" s="15">
        <v>0</v>
      </c>
      <c r="AR52" s="16">
        <v>0</v>
      </c>
      <c r="AS52" s="16">
        <v>0</v>
      </c>
      <c r="AT52" s="16">
        <v>0</v>
      </c>
      <c r="AU52">
        <v>0</v>
      </c>
      <c r="AV52">
        <v>0</v>
      </c>
      <c r="AW52">
        <v>0</v>
      </c>
      <c r="AX52" s="16">
        <v>0</v>
      </c>
      <c r="AY52">
        <v>0</v>
      </c>
      <c r="AZ52">
        <v>280</v>
      </c>
      <c r="BA52">
        <v>0</v>
      </c>
      <c r="BB52">
        <v>0</v>
      </c>
      <c r="BC52">
        <v>56</v>
      </c>
      <c r="BD52">
        <v>0</v>
      </c>
      <c r="BE52">
        <v>0</v>
      </c>
      <c r="BF52">
        <v>0</v>
      </c>
      <c r="BG52">
        <v>0</v>
      </c>
      <c r="BH52">
        <v>336</v>
      </c>
      <c r="BI52">
        <v>280</v>
      </c>
      <c r="BJ52" t="str">
        <f t="shared" si="24"/>
        <v>41</v>
      </c>
      <c r="BK52" t="str">
        <f t="shared" si="25"/>
        <v>VI</v>
      </c>
    </row>
    <row r="53" spans="1:63">
      <c r="A53" t="str">
        <f>"186100"</f>
        <v>186100</v>
      </c>
      <c r="B53" t="str">
        <f>"HERAKLES ( SME )"</f>
        <v>HERAKLES ( SME )</v>
      </c>
      <c r="C53" t="str">
        <f>"16163"</f>
        <v>16163</v>
      </c>
      <c r="D53" t="str">
        <f>"AST 0120066 1"</f>
        <v>AST 0120066 1</v>
      </c>
      <c r="E53" t="str">
        <f t="shared" si="14"/>
        <v xml:space="preserve"> </v>
      </c>
      <c r="F53" s="14">
        <v>42103</v>
      </c>
      <c r="G53" t="str">
        <f>"LT"</f>
        <v>LT</v>
      </c>
      <c r="H53" t="str">
        <f>"FT"</f>
        <v>FT</v>
      </c>
      <c r="I53" s="17">
        <v>42117</v>
      </c>
      <c r="J53" s="14">
        <v>42121</v>
      </c>
      <c r="K53" t="str">
        <f t="shared" si="1"/>
        <v xml:space="preserve"> </v>
      </c>
      <c r="L53">
        <v>2400</v>
      </c>
      <c r="M53" s="15">
        <v>0</v>
      </c>
      <c r="N53" s="16">
        <v>1</v>
      </c>
      <c r="O53" t="str">
        <f t="shared" si="2"/>
        <v>EUR</v>
      </c>
      <c r="P53" s="13" t="str">
        <f>"16163"</f>
        <v>16163</v>
      </c>
      <c r="Q53" t="str">
        <f t="shared" si="3"/>
        <v>01</v>
      </c>
      <c r="R53" s="15">
        <v>2400</v>
      </c>
      <c r="S53" t="str">
        <f t="shared" si="23"/>
        <v xml:space="preserve"> </v>
      </c>
      <c r="T53" t="str">
        <f t="shared" si="23"/>
        <v xml:space="preserve"> </v>
      </c>
      <c r="U53" t="str">
        <f t="shared" si="23"/>
        <v xml:space="preserve"> </v>
      </c>
      <c r="V53" s="15">
        <v>2400</v>
      </c>
      <c r="W53" s="13">
        <v>1</v>
      </c>
      <c r="X53" t="str">
        <f>"HERAKLES ( SME )"</f>
        <v>HERAKLES ( SME )</v>
      </c>
      <c r="Y53" t="str">
        <f>"TS"</f>
        <v>TS</v>
      </c>
      <c r="Z53" s="14">
        <v>42121</v>
      </c>
      <c r="AA53" t="str">
        <f t="shared" si="6"/>
        <v xml:space="preserve"> </v>
      </c>
      <c r="AB53" s="15">
        <v>0</v>
      </c>
      <c r="AC53" t="str">
        <f>"SAFRAN HERAKLES"</f>
        <v>SAFRAN HERAKLES</v>
      </c>
      <c r="AD53" t="str">
        <f t="shared" si="7"/>
        <v xml:space="preserve"> </v>
      </c>
      <c r="AE53" t="str">
        <f>"33160"</f>
        <v>33160</v>
      </c>
      <c r="AF53" t="str">
        <f>"Saint Médard en Jalles"</f>
        <v>Saint Médard en Jalles</v>
      </c>
      <c r="AG53" t="str">
        <f t="shared" si="8"/>
        <v xml:space="preserve"> </v>
      </c>
      <c r="AH53" t="str">
        <f t="shared" si="9"/>
        <v>F</v>
      </c>
      <c r="AI53" s="14">
        <v>42103</v>
      </c>
      <c r="AJ53">
        <v>0</v>
      </c>
      <c r="AL53">
        <v>0</v>
      </c>
      <c r="AN53" t="str">
        <f t="shared" si="19"/>
        <v>DEBARROS</v>
      </c>
      <c r="AO53" t="str">
        <f>"HERAKLES ( SME )"</f>
        <v>HERAKLES ( SME )</v>
      </c>
      <c r="AP53" t="str">
        <f t="shared" si="11"/>
        <v xml:space="preserve"> </v>
      </c>
      <c r="AQ53" s="15">
        <v>0</v>
      </c>
      <c r="AR53" s="16">
        <v>0</v>
      </c>
      <c r="AS53" s="16">
        <v>0</v>
      </c>
      <c r="AT53" s="16">
        <v>0</v>
      </c>
      <c r="AU53">
        <v>0</v>
      </c>
      <c r="AV53">
        <v>0</v>
      </c>
      <c r="AW53">
        <v>0</v>
      </c>
      <c r="AX53" s="16">
        <v>0</v>
      </c>
      <c r="AY53">
        <v>0</v>
      </c>
      <c r="AZ53">
        <v>2400</v>
      </c>
      <c r="BA53">
        <v>0</v>
      </c>
      <c r="BB53">
        <v>0</v>
      </c>
      <c r="BC53">
        <v>480</v>
      </c>
      <c r="BD53">
        <v>0</v>
      </c>
      <c r="BE53">
        <v>0</v>
      </c>
      <c r="BF53">
        <v>0</v>
      </c>
      <c r="BG53">
        <v>0</v>
      </c>
      <c r="BH53">
        <v>2880</v>
      </c>
      <c r="BI53">
        <v>2400</v>
      </c>
      <c r="BJ53" t="str">
        <f t="shared" si="24"/>
        <v>41</v>
      </c>
      <c r="BK53" t="str">
        <f t="shared" si="25"/>
        <v>VI</v>
      </c>
    </row>
    <row r="54" spans="1:63">
      <c r="A54" t="str">
        <f>"199962"</f>
        <v>199962</v>
      </c>
      <c r="B54" t="str">
        <f>"LAMARCHE"</f>
        <v>LAMARCHE</v>
      </c>
      <c r="C54" t="str">
        <f>"16162"</f>
        <v>16162</v>
      </c>
      <c r="D54" t="str">
        <f>"5862-01"</f>
        <v>5862-01</v>
      </c>
      <c r="E54" t="str">
        <f t="shared" si="14"/>
        <v xml:space="preserve"> </v>
      </c>
      <c r="F54" s="14">
        <v>42103</v>
      </c>
      <c r="G54" t="str">
        <f>" "</f>
        <v xml:space="preserve"> </v>
      </c>
      <c r="H54" t="str">
        <f>" "</f>
        <v xml:space="preserve"> </v>
      </c>
      <c r="J54" s="14">
        <v>42121</v>
      </c>
      <c r="K54" t="str">
        <f t="shared" si="1"/>
        <v xml:space="preserve"> </v>
      </c>
      <c r="L54">
        <v>3280</v>
      </c>
      <c r="M54" s="15">
        <v>0</v>
      </c>
      <c r="N54" s="16">
        <v>1</v>
      </c>
      <c r="O54" t="str">
        <f t="shared" si="2"/>
        <v>EUR</v>
      </c>
      <c r="P54" s="13" t="str">
        <f>"16162"</f>
        <v>16162</v>
      </c>
      <c r="Q54" t="str">
        <f t="shared" si="3"/>
        <v>01</v>
      </c>
      <c r="R54" s="15">
        <v>3280</v>
      </c>
      <c r="S54" t="str">
        <f t="shared" si="23"/>
        <v xml:space="preserve"> </v>
      </c>
      <c r="T54" t="str">
        <f t="shared" si="23"/>
        <v xml:space="preserve"> </v>
      </c>
      <c r="U54" t="str">
        <f t="shared" si="23"/>
        <v xml:space="preserve"> </v>
      </c>
      <c r="V54" s="15">
        <v>3280</v>
      </c>
      <c r="W54" s="13">
        <v>1</v>
      </c>
      <c r="X54" t="str">
        <f>"LAMARCHE"</f>
        <v>LAMARCHE</v>
      </c>
      <c r="Y54" t="str">
        <f>"MP"</f>
        <v>MP</v>
      </c>
      <c r="Z54" s="14">
        <v>42121</v>
      </c>
      <c r="AA54" t="str">
        <f t="shared" si="6"/>
        <v xml:space="preserve"> </v>
      </c>
      <c r="AB54" s="15">
        <v>0</v>
      </c>
      <c r="AC54" t="str">
        <f>"CABINET LAMARCHE"</f>
        <v>CABINET LAMARCHE</v>
      </c>
      <c r="AD54" t="str">
        <f t="shared" si="7"/>
        <v xml:space="preserve"> </v>
      </c>
      <c r="AE54" t="str">
        <f>"33160"</f>
        <v>33160</v>
      </c>
      <c r="AF54" t="str">
        <f>"Saint Aubin du Médoc"</f>
        <v>Saint Aubin du Médoc</v>
      </c>
      <c r="AG54" t="str">
        <f t="shared" si="8"/>
        <v xml:space="preserve"> </v>
      </c>
      <c r="AH54" t="str">
        <f t="shared" si="9"/>
        <v>F</v>
      </c>
      <c r="AI54" s="14">
        <v>42103</v>
      </c>
      <c r="AJ54">
        <v>0</v>
      </c>
      <c r="AL54">
        <v>0</v>
      </c>
      <c r="AN54" t="str">
        <f t="shared" si="19"/>
        <v>DEBARROS</v>
      </c>
      <c r="AO54" t="str">
        <f>"CABINET LAMARCHE"</f>
        <v>CABINET LAMARCHE</v>
      </c>
      <c r="AP54" t="str">
        <f t="shared" si="11"/>
        <v xml:space="preserve"> </v>
      </c>
      <c r="AQ54" s="15">
        <v>0</v>
      </c>
      <c r="AR54" s="16">
        <v>0</v>
      </c>
      <c r="AS54" s="16">
        <v>0</v>
      </c>
      <c r="AT54" s="16">
        <v>0</v>
      </c>
      <c r="AU54">
        <v>0</v>
      </c>
      <c r="AV54">
        <v>0</v>
      </c>
      <c r="AW54">
        <v>0</v>
      </c>
      <c r="AX54" s="16">
        <v>0</v>
      </c>
      <c r="AY54">
        <v>0</v>
      </c>
      <c r="AZ54">
        <v>3280</v>
      </c>
      <c r="BA54">
        <v>0</v>
      </c>
      <c r="BB54">
        <v>0</v>
      </c>
      <c r="BC54">
        <v>656</v>
      </c>
      <c r="BD54">
        <v>0</v>
      </c>
      <c r="BE54">
        <v>0</v>
      </c>
      <c r="BF54">
        <v>0</v>
      </c>
      <c r="BG54">
        <v>0</v>
      </c>
      <c r="BH54">
        <v>3936</v>
      </c>
      <c r="BI54">
        <v>3280</v>
      </c>
      <c r="BJ54" t="str">
        <f t="shared" si="24"/>
        <v>41</v>
      </c>
      <c r="BK54" t="str">
        <f>"CH"</f>
        <v>CH</v>
      </c>
    </row>
    <row r="55" spans="1:63">
      <c r="A55" t="str">
        <f>"135200"</f>
        <v>135200</v>
      </c>
      <c r="B55" t="str">
        <f>"YARA FRANCE"</f>
        <v>YARA FRANCE</v>
      </c>
      <c r="C55" t="str">
        <f>"16161"</f>
        <v>16161</v>
      </c>
      <c r="D55" t="str">
        <f>"4501671991"</f>
        <v>4501671991</v>
      </c>
      <c r="E55" t="str">
        <f t="shared" si="14"/>
        <v xml:space="preserve"> </v>
      </c>
      <c r="F55" s="14">
        <v>42103</v>
      </c>
      <c r="G55" t="str">
        <f>"LT"</f>
        <v>LT</v>
      </c>
      <c r="H55" t="str">
        <f>"FT"</f>
        <v>FT</v>
      </c>
      <c r="I55" s="17">
        <v>42103</v>
      </c>
      <c r="J55" s="14">
        <v>42104</v>
      </c>
      <c r="K55" t="str">
        <f t="shared" si="1"/>
        <v xml:space="preserve"> </v>
      </c>
      <c r="L55">
        <v>500</v>
      </c>
      <c r="M55" s="15">
        <v>0</v>
      </c>
      <c r="N55" s="16">
        <v>1</v>
      </c>
      <c r="O55" t="str">
        <f t="shared" si="2"/>
        <v>EUR</v>
      </c>
      <c r="P55" s="13" t="str">
        <f>"16161"</f>
        <v>16161</v>
      </c>
      <c r="Q55" t="str">
        <f t="shared" si="3"/>
        <v>01</v>
      </c>
      <c r="R55" s="15">
        <v>500</v>
      </c>
      <c r="S55" t="str">
        <f t="shared" si="23"/>
        <v xml:space="preserve"> </v>
      </c>
      <c r="T55" t="str">
        <f t="shared" si="23"/>
        <v xml:space="preserve"> </v>
      </c>
      <c r="U55" t="str">
        <f t="shared" si="23"/>
        <v xml:space="preserve"> </v>
      </c>
      <c r="V55" s="15">
        <v>500</v>
      </c>
      <c r="W55" s="13">
        <v>1</v>
      </c>
      <c r="X55" t="str">
        <f>"YARA FRANCE"</f>
        <v>YARA FRANCE</v>
      </c>
      <c r="Y55" t="str">
        <f>"MP"</f>
        <v>MP</v>
      </c>
      <c r="Z55" s="14">
        <v>42104</v>
      </c>
      <c r="AA55" t="str">
        <f t="shared" si="6"/>
        <v xml:space="preserve"> </v>
      </c>
      <c r="AB55" s="15">
        <v>0</v>
      </c>
      <c r="AC55" t="str">
        <f>"YARA FRANCE"</f>
        <v>YARA FRANCE</v>
      </c>
      <c r="AD55" t="str">
        <f t="shared" si="7"/>
        <v xml:space="preserve"> </v>
      </c>
      <c r="AE55" t="str">
        <f>"33810"</f>
        <v>33810</v>
      </c>
      <c r="AF55" t="str">
        <f>"AMBES"</f>
        <v>AMBES</v>
      </c>
      <c r="AG55" t="str">
        <f t="shared" si="8"/>
        <v xml:space="preserve"> </v>
      </c>
      <c r="AH55" t="str">
        <f t="shared" si="9"/>
        <v>F</v>
      </c>
      <c r="AI55" s="14">
        <v>42103</v>
      </c>
      <c r="AJ55">
        <v>0</v>
      </c>
      <c r="AL55">
        <v>0</v>
      </c>
      <c r="AN55" t="str">
        <f t="shared" si="19"/>
        <v>DEBARROS</v>
      </c>
      <c r="AO55" t="str">
        <f>"YARA FRANCE"</f>
        <v>YARA FRANCE</v>
      </c>
      <c r="AP55" t="str">
        <f t="shared" si="11"/>
        <v xml:space="preserve"> </v>
      </c>
      <c r="AQ55" s="15">
        <v>0</v>
      </c>
      <c r="AR55" s="16">
        <v>0</v>
      </c>
      <c r="AS55" s="16">
        <v>0</v>
      </c>
      <c r="AT55" s="16">
        <v>0</v>
      </c>
      <c r="AU55">
        <v>0</v>
      </c>
      <c r="AV55">
        <v>0</v>
      </c>
      <c r="AW55">
        <v>0</v>
      </c>
      <c r="AX55" s="16">
        <v>0</v>
      </c>
      <c r="AY55">
        <v>0</v>
      </c>
      <c r="AZ55">
        <v>500</v>
      </c>
      <c r="BA55">
        <v>0</v>
      </c>
      <c r="BB55">
        <v>0</v>
      </c>
      <c r="BC55">
        <v>100</v>
      </c>
      <c r="BD55">
        <v>0</v>
      </c>
      <c r="BE55">
        <v>0</v>
      </c>
      <c r="BF55">
        <v>0</v>
      </c>
      <c r="BG55">
        <v>0</v>
      </c>
      <c r="BH55">
        <v>600</v>
      </c>
      <c r="BI55">
        <v>500</v>
      </c>
      <c r="BJ55" t="str">
        <f t="shared" si="24"/>
        <v>41</v>
      </c>
      <c r="BK55" t="str">
        <f>"VI"</f>
        <v>VI</v>
      </c>
    </row>
    <row r="56" spans="1:63">
      <c r="A56" t="str">
        <f>"199962"</f>
        <v>199962</v>
      </c>
      <c r="B56" t="str">
        <f>"LAMARCHE"</f>
        <v>LAMARCHE</v>
      </c>
      <c r="C56" t="str">
        <f>"16160"</f>
        <v>16160</v>
      </c>
      <c r="D56" t="str">
        <f>"5856-01"</f>
        <v>5856-01</v>
      </c>
      <c r="E56" t="str">
        <f t="shared" si="14"/>
        <v xml:space="preserve"> </v>
      </c>
      <c r="F56" s="14">
        <v>42103</v>
      </c>
      <c r="G56" t="str">
        <f t="shared" ref="G56:H58" si="27">" "</f>
        <v xml:space="preserve"> </v>
      </c>
      <c r="H56" t="str">
        <f t="shared" si="27"/>
        <v xml:space="preserve"> </v>
      </c>
      <c r="J56" s="14">
        <v>42166</v>
      </c>
      <c r="K56" t="str">
        <f t="shared" si="1"/>
        <v xml:space="preserve"> </v>
      </c>
      <c r="L56">
        <v>9750</v>
      </c>
      <c r="M56" s="15">
        <v>0</v>
      </c>
      <c r="N56" s="16">
        <v>1</v>
      </c>
      <c r="O56" t="str">
        <f t="shared" si="2"/>
        <v>EUR</v>
      </c>
      <c r="P56" s="13" t="str">
        <f>"16160"</f>
        <v>16160</v>
      </c>
      <c r="Q56" t="str">
        <f t="shared" si="3"/>
        <v>01</v>
      </c>
      <c r="R56" s="15">
        <v>9750</v>
      </c>
      <c r="S56" t="str">
        <f t="shared" si="23"/>
        <v xml:space="preserve"> </v>
      </c>
      <c r="T56" t="str">
        <f t="shared" si="23"/>
        <v xml:space="preserve"> </v>
      </c>
      <c r="U56" t="str">
        <f t="shared" si="23"/>
        <v xml:space="preserve"> </v>
      </c>
      <c r="V56" s="15">
        <v>9750</v>
      </c>
      <c r="W56" s="13">
        <v>1</v>
      </c>
      <c r="X56" t="str">
        <f>"LAMARCHE"</f>
        <v>LAMARCHE</v>
      </c>
      <c r="Y56" t="str">
        <f>"MP"</f>
        <v>MP</v>
      </c>
      <c r="Z56" s="14">
        <v>42166</v>
      </c>
      <c r="AA56" t="str">
        <f t="shared" si="6"/>
        <v xml:space="preserve"> </v>
      </c>
      <c r="AB56" s="15">
        <v>0</v>
      </c>
      <c r="AC56" t="str">
        <f>"CABINET LAMARCHE"</f>
        <v>CABINET LAMARCHE</v>
      </c>
      <c r="AD56" t="str">
        <f t="shared" si="7"/>
        <v xml:space="preserve"> </v>
      </c>
      <c r="AE56" t="str">
        <f>"33160"</f>
        <v>33160</v>
      </c>
      <c r="AF56" t="str">
        <f>"Saint Aubin du Médoc"</f>
        <v>Saint Aubin du Médoc</v>
      </c>
      <c r="AG56" t="str">
        <f t="shared" si="8"/>
        <v xml:space="preserve"> </v>
      </c>
      <c r="AH56" t="str">
        <f t="shared" si="9"/>
        <v>F</v>
      </c>
      <c r="AI56" s="14">
        <v>42102</v>
      </c>
      <c r="AJ56">
        <v>0</v>
      </c>
      <c r="AL56">
        <v>0</v>
      </c>
      <c r="AN56" t="str">
        <f t="shared" si="19"/>
        <v>DEBARROS</v>
      </c>
      <c r="AO56" t="str">
        <f>"CABINET LAMARCHE"</f>
        <v>CABINET LAMARCHE</v>
      </c>
      <c r="AP56" t="str">
        <f t="shared" si="11"/>
        <v xml:space="preserve"> </v>
      </c>
      <c r="AQ56" s="15">
        <v>0</v>
      </c>
      <c r="AR56" s="16">
        <v>0</v>
      </c>
      <c r="AS56" s="16">
        <v>0</v>
      </c>
      <c r="AT56" s="16">
        <v>0</v>
      </c>
      <c r="AU56">
        <v>0</v>
      </c>
      <c r="AV56">
        <v>0</v>
      </c>
      <c r="AW56">
        <v>0</v>
      </c>
      <c r="AX56" s="16">
        <v>0</v>
      </c>
      <c r="AY56">
        <v>0</v>
      </c>
      <c r="AZ56">
        <v>9750</v>
      </c>
      <c r="BA56">
        <v>0</v>
      </c>
      <c r="BB56">
        <v>0</v>
      </c>
      <c r="BC56">
        <v>1950</v>
      </c>
      <c r="BD56">
        <v>0</v>
      </c>
      <c r="BE56">
        <v>0</v>
      </c>
      <c r="BF56">
        <v>0</v>
      </c>
      <c r="BG56">
        <v>0</v>
      </c>
      <c r="BH56">
        <v>11700</v>
      </c>
      <c r="BI56">
        <v>9750</v>
      </c>
      <c r="BJ56" t="str">
        <f t="shared" si="24"/>
        <v>41</v>
      </c>
      <c r="BK56" t="str">
        <f>"CH"</f>
        <v>CH</v>
      </c>
    </row>
    <row r="57" spans="1:63">
      <c r="A57" t="str">
        <f>"202313"</f>
        <v>202313</v>
      </c>
      <c r="B57" t="str">
        <f>"SERTA"</f>
        <v>SERTA</v>
      </c>
      <c r="C57" t="str">
        <f>"16159"</f>
        <v>16159</v>
      </c>
      <c r="D57" t="str">
        <f>"2015/998"</f>
        <v>2015/998</v>
      </c>
      <c r="E57" t="str">
        <f t="shared" si="14"/>
        <v xml:space="preserve"> </v>
      </c>
      <c r="F57" s="14">
        <v>42103</v>
      </c>
      <c r="G57" t="str">
        <f t="shared" si="27"/>
        <v xml:space="preserve"> </v>
      </c>
      <c r="H57" t="str">
        <f t="shared" si="27"/>
        <v xml:space="preserve"> </v>
      </c>
      <c r="J57" s="14">
        <v>42145</v>
      </c>
      <c r="K57" t="str">
        <f t="shared" si="1"/>
        <v xml:space="preserve"> </v>
      </c>
      <c r="L57">
        <v>5080</v>
      </c>
      <c r="M57" s="15">
        <v>0</v>
      </c>
      <c r="N57" s="16">
        <v>1</v>
      </c>
      <c r="O57" t="str">
        <f t="shared" si="2"/>
        <v>EUR</v>
      </c>
      <c r="P57" s="13" t="str">
        <f>"16159"</f>
        <v>16159</v>
      </c>
      <c r="Q57" t="str">
        <f t="shared" si="3"/>
        <v>01</v>
      </c>
      <c r="R57" s="15">
        <v>5080</v>
      </c>
      <c r="S57" t="str">
        <f t="shared" si="23"/>
        <v xml:space="preserve"> </v>
      </c>
      <c r="T57" t="str">
        <f t="shared" si="23"/>
        <v xml:space="preserve"> </v>
      </c>
      <c r="U57" t="str">
        <f t="shared" si="23"/>
        <v xml:space="preserve"> </v>
      </c>
      <c r="V57" s="15">
        <v>5080</v>
      </c>
      <c r="W57" s="13">
        <v>0</v>
      </c>
      <c r="X57" t="str">
        <f>"SERTA"</f>
        <v>SERTA</v>
      </c>
      <c r="Y57" t="str">
        <f>"MP"</f>
        <v>MP</v>
      </c>
      <c r="Z57" s="14">
        <v>42145</v>
      </c>
      <c r="AA57" t="str">
        <f t="shared" si="6"/>
        <v xml:space="preserve"> </v>
      </c>
      <c r="AB57" s="15">
        <v>0</v>
      </c>
      <c r="AC57" t="str">
        <f>"SERTA ASD"</f>
        <v>SERTA ASD</v>
      </c>
      <c r="AD57" t="str">
        <f t="shared" si="7"/>
        <v xml:space="preserve"> </v>
      </c>
      <c r="AE57" t="str">
        <f>"33127"</f>
        <v>33127</v>
      </c>
      <c r="AF57" t="str">
        <f>"Saint Jean d'illac"</f>
        <v>Saint Jean d'illac</v>
      </c>
      <c r="AG57" t="str">
        <f t="shared" si="8"/>
        <v xml:space="preserve"> </v>
      </c>
      <c r="AH57" t="str">
        <f t="shared" si="9"/>
        <v>F</v>
      </c>
      <c r="AI57" s="14">
        <v>42103</v>
      </c>
      <c r="AJ57">
        <v>0</v>
      </c>
      <c r="AL57">
        <v>0</v>
      </c>
      <c r="AN57" t="str">
        <f t="shared" si="19"/>
        <v>DEBARROS</v>
      </c>
      <c r="AO57" t="str">
        <f>"SERTA ASD"</f>
        <v>SERTA ASD</v>
      </c>
      <c r="AP57" t="str">
        <f t="shared" si="11"/>
        <v xml:space="preserve"> </v>
      </c>
      <c r="AQ57" s="15">
        <v>0</v>
      </c>
      <c r="AR57" s="16">
        <v>0</v>
      </c>
      <c r="AS57" s="16">
        <v>0</v>
      </c>
      <c r="AT57" s="16">
        <v>0</v>
      </c>
      <c r="AU57">
        <v>0</v>
      </c>
      <c r="AV57">
        <v>0</v>
      </c>
      <c r="AW57">
        <v>0</v>
      </c>
      <c r="AX57" s="16">
        <v>0</v>
      </c>
      <c r="AY57">
        <v>0</v>
      </c>
      <c r="AZ57">
        <v>5080</v>
      </c>
      <c r="BA57">
        <v>0</v>
      </c>
      <c r="BB57">
        <v>0</v>
      </c>
      <c r="BC57">
        <v>1016</v>
      </c>
      <c r="BD57">
        <v>0</v>
      </c>
      <c r="BE57">
        <v>0</v>
      </c>
      <c r="BF57">
        <v>0</v>
      </c>
      <c r="BG57">
        <v>0</v>
      </c>
      <c r="BH57">
        <v>6096</v>
      </c>
      <c r="BI57">
        <v>5080</v>
      </c>
      <c r="BJ57" t="str">
        <f t="shared" si="24"/>
        <v>41</v>
      </c>
      <c r="BK57" t="str">
        <f>"VI"</f>
        <v>VI</v>
      </c>
    </row>
    <row r="58" spans="1:63">
      <c r="A58" t="str">
        <f>"124000"</f>
        <v>124000</v>
      </c>
      <c r="B58" t="str">
        <f>"DIMETAL"</f>
        <v>DIMETAL</v>
      </c>
      <c r="C58" t="str">
        <f>"16158"</f>
        <v>16158</v>
      </c>
      <c r="D58" t="str">
        <f>" "</f>
        <v xml:space="preserve"> </v>
      </c>
      <c r="E58" t="str">
        <f t="shared" si="14"/>
        <v xml:space="preserve"> </v>
      </c>
      <c r="F58" s="14">
        <v>42103</v>
      </c>
      <c r="G58" t="str">
        <f t="shared" si="27"/>
        <v xml:space="preserve"> </v>
      </c>
      <c r="H58" t="str">
        <f t="shared" si="27"/>
        <v xml:space="preserve"> </v>
      </c>
      <c r="J58" s="14">
        <v>42124</v>
      </c>
      <c r="K58" t="str">
        <f t="shared" si="1"/>
        <v xml:space="preserve"> </v>
      </c>
      <c r="L58">
        <v>0</v>
      </c>
      <c r="M58" s="15">
        <v>0</v>
      </c>
      <c r="O58" t="str">
        <f t="shared" si="2"/>
        <v>EUR</v>
      </c>
      <c r="P58" s="13" t="str">
        <f>"16158"</f>
        <v>16158</v>
      </c>
      <c r="Q58" t="str">
        <f t="shared" si="3"/>
        <v>01</v>
      </c>
      <c r="R58" s="15">
        <v>0</v>
      </c>
      <c r="S58" t="str">
        <f t="shared" si="23"/>
        <v xml:space="preserve"> </v>
      </c>
      <c r="T58" t="str">
        <f t="shared" si="23"/>
        <v xml:space="preserve"> </v>
      </c>
      <c r="U58" t="str">
        <f t="shared" si="23"/>
        <v xml:space="preserve"> </v>
      </c>
      <c r="W58" s="13">
        <v>1</v>
      </c>
      <c r="X58" t="str">
        <f>"DIMETAL"</f>
        <v>DIMETAL</v>
      </c>
      <c r="Y58" t="str">
        <f>"TS"</f>
        <v>TS</v>
      </c>
      <c r="Z58" s="14">
        <v>42124</v>
      </c>
      <c r="AA58" t="str">
        <f t="shared" si="6"/>
        <v xml:space="preserve"> </v>
      </c>
      <c r="AB58" s="15">
        <v>0</v>
      </c>
      <c r="AC58" t="str">
        <f>"DIMETAL"</f>
        <v>DIMETAL</v>
      </c>
      <c r="AD58" t="str">
        <f t="shared" si="7"/>
        <v xml:space="preserve"> </v>
      </c>
      <c r="AE58" t="str">
        <f>"33700"</f>
        <v>33700</v>
      </c>
      <c r="AF58" t="str">
        <f>"MERIGNAC"</f>
        <v>MERIGNAC</v>
      </c>
      <c r="AG58" t="str">
        <f t="shared" si="8"/>
        <v xml:space="preserve"> </v>
      </c>
      <c r="AH58" t="str">
        <f t="shared" si="9"/>
        <v>F</v>
      </c>
      <c r="AI58" s="14">
        <v>42103</v>
      </c>
      <c r="AJ58">
        <v>0</v>
      </c>
      <c r="AL58">
        <v>0</v>
      </c>
      <c r="AN58" t="str">
        <f t="shared" si="19"/>
        <v>DEBARROS</v>
      </c>
      <c r="AO58" t="str">
        <f>"DIMETAL"</f>
        <v>DIMETAL</v>
      </c>
      <c r="AP58" t="str">
        <f t="shared" si="11"/>
        <v xml:space="preserve"> </v>
      </c>
      <c r="AQ58" s="15">
        <v>0</v>
      </c>
      <c r="AR58" s="16">
        <v>0</v>
      </c>
      <c r="AS58" s="16">
        <v>0</v>
      </c>
      <c r="AT58" s="16">
        <v>0</v>
      </c>
      <c r="AU58">
        <v>0</v>
      </c>
      <c r="AV58">
        <v>0</v>
      </c>
      <c r="AW58">
        <v>0</v>
      </c>
      <c r="AX58" s="16">
        <v>0</v>
      </c>
      <c r="AY58">
        <v>0</v>
      </c>
      <c r="AZ58">
        <v>0</v>
      </c>
      <c r="BA58">
        <v>0</v>
      </c>
      <c r="BB58">
        <v>0</v>
      </c>
      <c r="BC58">
        <v>0</v>
      </c>
      <c r="BD58">
        <v>0</v>
      </c>
      <c r="BE58">
        <v>0</v>
      </c>
      <c r="BF58">
        <v>0</v>
      </c>
      <c r="BG58">
        <v>0</v>
      </c>
      <c r="BH58">
        <v>0</v>
      </c>
      <c r="BI58">
        <v>0</v>
      </c>
      <c r="BJ58" t="str">
        <f>"10"</f>
        <v>10</v>
      </c>
      <c r="BK58" t="str">
        <f>"CH"</f>
        <v>CH</v>
      </c>
    </row>
    <row r="59" spans="1:63">
      <c r="A59" t="str">
        <f>"186100"</f>
        <v>186100</v>
      </c>
      <c r="B59" t="str">
        <f>"HERAKLES ( SME )"</f>
        <v>HERAKLES ( SME )</v>
      </c>
      <c r="C59" t="str">
        <f>"16157"</f>
        <v>16157</v>
      </c>
      <c r="D59" t="str">
        <f>"ANS 0738807 1"</f>
        <v>ANS 0738807 1</v>
      </c>
      <c r="E59" t="str">
        <f t="shared" si="14"/>
        <v xml:space="preserve"> </v>
      </c>
      <c r="F59" s="14">
        <v>42103</v>
      </c>
      <c r="G59" t="str">
        <f>"LT"</f>
        <v>LT</v>
      </c>
      <c r="H59" t="str">
        <f>"FT"</f>
        <v>FT</v>
      </c>
      <c r="I59" s="17">
        <v>42107</v>
      </c>
      <c r="J59" s="14">
        <v>42108</v>
      </c>
      <c r="K59" t="str">
        <f t="shared" si="1"/>
        <v xml:space="preserve"> </v>
      </c>
      <c r="L59">
        <v>450</v>
      </c>
      <c r="M59" s="15">
        <v>0</v>
      </c>
      <c r="N59" s="16">
        <v>1</v>
      </c>
      <c r="O59" t="str">
        <f t="shared" si="2"/>
        <v>EUR</v>
      </c>
      <c r="P59" s="13" t="str">
        <f>"16157"</f>
        <v>16157</v>
      </c>
      <c r="Q59" t="str">
        <f t="shared" si="3"/>
        <v>01</v>
      </c>
      <c r="R59" s="15">
        <v>450</v>
      </c>
      <c r="S59" t="str">
        <f t="shared" si="23"/>
        <v xml:space="preserve"> </v>
      </c>
      <c r="T59" t="str">
        <f t="shared" si="23"/>
        <v xml:space="preserve"> </v>
      </c>
      <c r="U59" t="str">
        <f t="shared" si="23"/>
        <v xml:space="preserve"> </v>
      </c>
      <c r="V59" s="15">
        <v>450</v>
      </c>
      <c r="W59" s="13">
        <v>1</v>
      </c>
      <c r="X59" t="str">
        <f>"HERAKLES ( SME )"</f>
        <v>HERAKLES ( SME )</v>
      </c>
      <c r="Y59" t="str">
        <f>"TS"</f>
        <v>TS</v>
      </c>
      <c r="Z59" s="14">
        <v>42108</v>
      </c>
      <c r="AA59" t="str">
        <f t="shared" si="6"/>
        <v xml:space="preserve"> </v>
      </c>
      <c r="AB59" s="15">
        <v>0</v>
      </c>
      <c r="AC59" t="str">
        <f>"SAFRAN HERAKLES"</f>
        <v>SAFRAN HERAKLES</v>
      </c>
      <c r="AD59" t="str">
        <f t="shared" si="7"/>
        <v xml:space="preserve"> </v>
      </c>
      <c r="AE59" t="str">
        <f>"33160"</f>
        <v>33160</v>
      </c>
      <c r="AF59" t="str">
        <f>"Saint Médard en Jalles"</f>
        <v>Saint Médard en Jalles</v>
      </c>
      <c r="AG59" t="str">
        <f t="shared" si="8"/>
        <v xml:space="preserve"> </v>
      </c>
      <c r="AH59" t="str">
        <f t="shared" si="9"/>
        <v>F</v>
      </c>
      <c r="AI59" s="14">
        <v>42103</v>
      </c>
      <c r="AJ59">
        <v>0</v>
      </c>
      <c r="AL59">
        <v>0</v>
      </c>
      <c r="AN59" t="str">
        <f t="shared" si="19"/>
        <v>DEBARROS</v>
      </c>
      <c r="AO59" t="str">
        <f>"HERAKLES ( SME )"</f>
        <v>HERAKLES ( SME )</v>
      </c>
      <c r="AP59" t="str">
        <f t="shared" si="11"/>
        <v xml:space="preserve"> </v>
      </c>
      <c r="AQ59" s="15">
        <v>0</v>
      </c>
      <c r="AR59" s="16">
        <v>0</v>
      </c>
      <c r="AS59" s="16">
        <v>0</v>
      </c>
      <c r="AT59" s="16">
        <v>0</v>
      </c>
      <c r="AU59">
        <v>0</v>
      </c>
      <c r="AV59">
        <v>0</v>
      </c>
      <c r="AW59">
        <v>0</v>
      </c>
      <c r="AX59" s="16">
        <v>0</v>
      </c>
      <c r="AY59">
        <v>0</v>
      </c>
      <c r="AZ59">
        <v>450</v>
      </c>
      <c r="BA59">
        <v>0</v>
      </c>
      <c r="BB59">
        <v>0</v>
      </c>
      <c r="BC59">
        <v>90</v>
      </c>
      <c r="BD59">
        <v>0</v>
      </c>
      <c r="BE59">
        <v>0</v>
      </c>
      <c r="BF59">
        <v>0</v>
      </c>
      <c r="BG59">
        <v>0</v>
      </c>
      <c r="BH59">
        <v>540</v>
      </c>
      <c r="BI59">
        <v>450</v>
      </c>
      <c r="BJ59" t="str">
        <f t="shared" ref="BJ59:BJ76" si="28">"41"</f>
        <v>41</v>
      </c>
      <c r="BK59" t="str">
        <f t="shared" ref="BK59:BK76" si="29">"VI"</f>
        <v>VI</v>
      </c>
    </row>
    <row r="60" spans="1:63">
      <c r="A60" t="str">
        <f>"199921"</f>
        <v>199921</v>
      </c>
      <c r="B60" t="str">
        <f>"BET"</f>
        <v>BET</v>
      </c>
      <c r="C60" t="str">
        <f>"16156"</f>
        <v>16156</v>
      </c>
      <c r="D60" t="str">
        <f>" "</f>
        <v xml:space="preserve"> </v>
      </c>
      <c r="E60" t="str">
        <f t="shared" si="14"/>
        <v xml:space="preserve"> </v>
      </c>
      <c r="F60" s="14">
        <v>42102</v>
      </c>
      <c r="G60" t="str">
        <f>" "</f>
        <v xml:space="preserve"> </v>
      </c>
      <c r="H60" t="str">
        <f>" "</f>
        <v xml:space="preserve"> </v>
      </c>
      <c r="J60" s="14">
        <v>42144</v>
      </c>
      <c r="K60" t="str">
        <f t="shared" si="1"/>
        <v xml:space="preserve"> </v>
      </c>
      <c r="L60">
        <v>78116</v>
      </c>
      <c r="M60" s="15">
        <v>0</v>
      </c>
      <c r="N60" s="16">
        <v>1</v>
      </c>
      <c r="O60" t="str">
        <f t="shared" si="2"/>
        <v>EUR</v>
      </c>
      <c r="P60" s="13" t="str">
        <f>"16156"</f>
        <v>16156</v>
      </c>
      <c r="Q60" t="str">
        <f t="shared" si="3"/>
        <v>01</v>
      </c>
      <c r="R60" s="15">
        <v>78116</v>
      </c>
      <c r="S60" t="str">
        <f t="shared" si="23"/>
        <v xml:space="preserve"> </v>
      </c>
      <c r="T60" t="str">
        <f t="shared" si="23"/>
        <v xml:space="preserve"> </v>
      </c>
      <c r="U60" t="str">
        <f t="shared" si="23"/>
        <v xml:space="preserve"> </v>
      </c>
      <c r="V60" s="15">
        <v>78116</v>
      </c>
      <c r="W60" s="13">
        <v>1</v>
      </c>
      <c r="X60" t="str">
        <f>"BET"</f>
        <v>BET</v>
      </c>
      <c r="Y60" t="str">
        <f t="shared" ref="Y60:Y68" si="30">"MP"</f>
        <v>MP</v>
      </c>
      <c r="Z60" s="14">
        <v>42144</v>
      </c>
      <c r="AA60" t="str">
        <f t="shared" si="6"/>
        <v xml:space="preserve"> </v>
      </c>
      <c r="AB60" s="15">
        <v>0</v>
      </c>
      <c r="AC60" t="str">
        <f>"BET"</f>
        <v>BET</v>
      </c>
      <c r="AD60" t="str">
        <f t="shared" si="7"/>
        <v xml:space="preserve"> </v>
      </c>
      <c r="AE60" t="str">
        <f>"97388"</f>
        <v>97388</v>
      </c>
      <c r="AF60" t="str">
        <f>"KOUROU Cedex"</f>
        <v>KOUROU Cedex</v>
      </c>
      <c r="AG60" t="str">
        <f t="shared" si="8"/>
        <v xml:space="preserve"> </v>
      </c>
      <c r="AH60" t="str">
        <f t="shared" si="9"/>
        <v>F</v>
      </c>
      <c r="AI60" s="14">
        <v>42102</v>
      </c>
      <c r="AJ60">
        <v>0</v>
      </c>
      <c r="AL60">
        <v>0</v>
      </c>
      <c r="AN60" t="str">
        <f t="shared" si="19"/>
        <v>DEBARROS</v>
      </c>
      <c r="AO60" t="str">
        <f>"BET Centre Spatial Guyanais"</f>
        <v>BET Centre Spatial Guyanais</v>
      </c>
      <c r="AP60" t="str">
        <f t="shared" si="11"/>
        <v xml:space="preserve"> </v>
      </c>
      <c r="AQ60" s="15">
        <v>0</v>
      </c>
      <c r="AR60" s="16">
        <v>0</v>
      </c>
      <c r="AS60" s="16">
        <v>0</v>
      </c>
      <c r="AT60" s="16">
        <v>0</v>
      </c>
      <c r="AU60">
        <v>0</v>
      </c>
      <c r="AV60">
        <v>0</v>
      </c>
      <c r="AW60">
        <v>0</v>
      </c>
      <c r="AX60" s="16">
        <v>0</v>
      </c>
      <c r="AY60">
        <v>0</v>
      </c>
      <c r="AZ60">
        <v>78116</v>
      </c>
      <c r="BA60">
        <v>0</v>
      </c>
      <c r="BB60">
        <v>0</v>
      </c>
      <c r="BC60">
        <v>15623.2</v>
      </c>
      <c r="BD60">
        <v>0</v>
      </c>
      <c r="BE60">
        <v>0</v>
      </c>
      <c r="BF60">
        <v>0</v>
      </c>
      <c r="BG60">
        <v>0</v>
      </c>
      <c r="BH60">
        <v>93739.199999999997</v>
      </c>
      <c r="BI60">
        <v>78116</v>
      </c>
      <c r="BJ60" t="str">
        <f t="shared" si="28"/>
        <v>41</v>
      </c>
      <c r="BK60" t="str">
        <f t="shared" si="29"/>
        <v>VI</v>
      </c>
    </row>
    <row r="61" spans="1:63">
      <c r="A61" t="str">
        <f>"199921"</f>
        <v>199921</v>
      </c>
      <c r="B61" t="str">
        <f>"BET"</f>
        <v>BET</v>
      </c>
      <c r="C61" t="str">
        <f>"16155"</f>
        <v>16155</v>
      </c>
      <c r="D61" t="str">
        <f>" "</f>
        <v xml:space="preserve"> </v>
      </c>
      <c r="E61" t="str">
        <f t="shared" si="14"/>
        <v xml:space="preserve"> </v>
      </c>
      <c r="F61" s="14">
        <v>42102</v>
      </c>
      <c r="G61" t="str">
        <f>" "</f>
        <v xml:space="preserve"> </v>
      </c>
      <c r="H61" t="str">
        <f>" "</f>
        <v xml:space="preserve"> </v>
      </c>
      <c r="J61" s="14">
        <v>42130</v>
      </c>
      <c r="K61" t="str">
        <f t="shared" si="1"/>
        <v xml:space="preserve"> </v>
      </c>
      <c r="L61">
        <v>24400</v>
      </c>
      <c r="M61" s="15">
        <v>0</v>
      </c>
      <c r="N61" s="16">
        <v>1</v>
      </c>
      <c r="O61" t="str">
        <f t="shared" si="2"/>
        <v>EUR</v>
      </c>
      <c r="P61" s="13" t="str">
        <f>"16155"</f>
        <v>16155</v>
      </c>
      <c r="Q61" t="str">
        <f t="shared" si="3"/>
        <v>01</v>
      </c>
      <c r="R61" s="15">
        <v>24400</v>
      </c>
      <c r="S61" t="str">
        <f t="shared" si="23"/>
        <v xml:space="preserve"> </v>
      </c>
      <c r="T61" t="str">
        <f t="shared" si="23"/>
        <v xml:space="preserve"> </v>
      </c>
      <c r="U61" t="str">
        <f t="shared" si="23"/>
        <v xml:space="preserve"> </v>
      </c>
      <c r="V61" s="15">
        <v>24400</v>
      </c>
      <c r="W61" s="13">
        <v>1</v>
      </c>
      <c r="X61" t="str">
        <f>"BET"</f>
        <v>BET</v>
      </c>
      <c r="Y61" t="str">
        <f t="shared" si="30"/>
        <v>MP</v>
      </c>
      <c r="Z61" s="14">
        <v>42130</v>
      </c>
      <c r="AA61" t="str">
        <f t="shared" si="6"/>
        <v xml:space="preserve"> </v>
      </c>
      <c r="AB61" s="15">
        <v>0</v>
      </c>
      <c r="AC61" t="str">
        <f>"BET"</f>
        <v>BET</v>
      </c>
      <c r="AD61" t="str">
        <f t="shared" si="7"/>
        <v xml:space="preserve"> </v>
      </c>
      <c r="AE61" t="str">
        <f>"97388"</f>
        <v>97388</v>
      </c>
      <c r="AF61" t="str">
        <f>"KOUROU Cedex"</f>
        <v>KOUROU Cedex</v>
      </c>
      <c r="AG61" t="str">
        <f t="shared" si="8"/>
        <v xml:space="preserve"> </v>
      </c>
      <c r="AH61" t="str">
        <f t="shared" si="9"/>
        <v>F</v>
      </c>
      <c r="AI61" s="14">
        <v>42102</v>
      </c>
      <c r="AJ61">
        <v>0</v>
      </c>
      <c r="AL61">
        <v>0</v>
      </c>
      <c r="AN61" t="str">
        <f t="shared" si="19"/>
        <v>DEBARROS</v>
      </c>
      <c r="AO61" t="str">
        <f>"BET Centre Spatial Guyanais"</f>
        <v>BET Centre Spatial Guyanais</v>
      </c>
      <c r="AP61" t="str">
        <f t="shared" si="11"/>
        <v xml:space="preserve"> </v>
      </c>
      <c r="AQ61" s="15">
        <v>0</v>
      </c>
      <c r="AR61" s="16">
        <v>0</v>
      </c>
      <c r="AS61" s="16">
        <v>0</v>
      </c>
      <c r="AT61" s="16">
        <v>0</v>
      </c>
      <c r="AU61">
        <v>0</v>
      </c>
      <c r="AV61">
        <v>0</v>
      </c>
      <c r="AW61">
        <v>0</v>
      </c>
      <c r="AX61" s="16">
        <v>0</v>
      </c>
      <c r="AY61">
        <v>0</v>
      </c>
      <c r="AZ61">
        <v>24400</v>
      </c>
      <c r="BA61">
        <v>0</v>
      </c>
      <c r="BB61">
        <v>0</v>
      </c>
      <c r="BC61">
        <v>4880</v>
      </c>
      <c r="BD61">
        <v>0</v>
      </c>
      <c r="BE61">
        <v>0</v>
      </c>
      <c r="BF61">
        <v>0</v>
      </c>
      <c r="BG61">
        <v>0</v>
      </c>
      <c r="BH61">
        <v>29280</v>
      </c>
      <c r="BI61">
        <v>24400</v>
      </c>
      <c r="BJ61" t="str">
        <f t="shared" si="28"/>
        <v>41</v>
      </c>
      <c r="BK61" t="str">
        <f t="shared" si="29"/>
        <v>VI</v>
      </c>
    </row>
    <row r="62" spans="1:63">
      <c r="A62" t="str">
        <f>"165300"</f>
        <v>165300</v>
      </c>
      <c r="B62" t="str">
        <f>"METAREG"</f>
        <v>METAREG</v>
      </c>
      <c r="C62" t="str">
        <f>"16154"</f>
        <v>16154</v>
      </c>
      <c r="D62" t="str">
        <f>"C150009962/1"</f>
        <v>C150009962/1</v>
      </c>
      <c r="E62" t="str">
        <f t="shared" si="14"/>
        <v xml:space="preserve"> </v>
      </c>
      <c r="F62" s="14">
        <v>42102</v>
      </c>
      <c r="G62" t="str">
        <f>"LT"</f>
        <v>LT</v>
      </c>
      <c r="H62" t="str">
        <f>"FT"</f>
        <v>FT</v>
      </c>
      <c r="I62" s="17">
        <v>42109</v>
      </c>
      <c r="J62" s="14">
        <v>42108</v>
      </c>
      <c r="K62" t="str">
        <f t="shared" si="1"/>
        <v xml:space="preserve"> </v>
      </c>
      <c r="L62">
        <v>300</v>
      </c>
      <c r="M62" s="15">
        <v>0</v>
      </c>
      <c r="N62" s="16">
        <v>1</v>
      </c>
      <c r="O62" t="str">
        <f t="shared" si="2"/>
        <v>EUR</v>
      </c>
      <c r="P62" s="13" t="str">
        <f>"16154"</f>
        <v>16154</v>
      </c>
      <c r="Q62" t="str">
        <f t="shared" si="3"/>
        <v>01</v>
      </c>
      <c r="R62" s="15">
        <v>300</v>
      </c>
      <c r="S62" t="str">
        <f t="shared" ref="S62:U79" si="31">" "</f>
        <v xml:space="preserve"> </v>
      </c>
      <c r="T62" t="str">
        <f t="shared" si="31"/>
        <v xml:space="preserve"> </v>
      </c>
      <c r="U62" t="str">
        <f t="shared" si="31"/>
        <v xml:space="preserve"> </v>
      </c>
      <c r="V62" s="15">
        <v>300</v>
      </c>
      <c r="W62" s="13">
        <v>1</v>
      </c>
      <c r="X62" t="str">
        <f>"METAREG"</f>
        <v>METAREG</v>
      </c>
      <c r="Y62" t="str">
        <f t="shared" si="30"/>
        <v>MP</v>
      </c>
      <c r="Z62" s="14">
        <v>42108</v>
      </c>
      <c r="AA62" t="str">
        <f t="shared" si="6"/>
        <v xml:space="preserve"> </v>
      </c>
      <c r="AB62" s="15">
        <v>0</v>
      </c>
      <c r="AC62" t="str">
        <f>"EIFFAGE CONTRUCTION METALLIQUE"</f>
        <v>EIFFAGE CONTRUCTION METALLIQUE</v>
      </c>
      <c r="AD62" t="str">
        <f t="shared" si="7"/>
        <v xml:space="preserve"> </v>
      </c>
      <c r="AE62" t="str">
        <f>"33600"</f>
        <v>33600</v>
      </c>
      <c r="AF62" t="str">
        <f>"PESSAC"</f>
        <v>PESSAC</v>
      </c>
      <c r="AG62" t="str">
        <f t="shared" si="8"/>
        <v xml:space="preserve"> </v>
      </c>
      <c r="AH62" t="str">
        <f t="shared" si="9"/>
        <v>F</v>
      </c>
      <c r="AI62" s="14">
        <v>42102</v>
      </c>
      <c r="AJ62">
        <v>0</v>
      </c>
      <c r="AL62">
        <v>0</v>
      </c>
      <c r="AN62" t="str">
        <f t="shared" si="19"/>
        <v>DEBARROS</v>
      </c>
      <c r="AO62" t="str">
        <f>"EIFFAGE CONSTRUCTION METALLIQUE"</f>
        <v>EIFFAGE CONSTRUCTION METALLIQUE</v>
      </c>
      <c r="AP62" t="str">
        <f t="shared" si="11"/>
        <v xml:space="preserve"> </v>
      </c>
      <c r="AQ62" s="15">
        <v>0</v>
      </c>
      <c r="AR62" s="16">
        <v>0</v>
      </c>
      <c r="AS62" s="16">
        <v>0</v>
      </c>
      <c r="AT62" s="16">
        <v>0</v>
      </c>
      <c r="AU62">
        <v>0</v>
      </c>
      <c r="AV62">
        <v>0</v>
      </c>
      <c r="AW62">
        <v>0</v>
      </c>
      <c r="AX62" s="16">
        <v>0</v>
      </c>
      <c r="AY62">
        <v>0</v>
      </c>
      <c r="AZ62">
        <v>300</v>
      </c>
      <c r="BA62">
        <v>0</v>
      </c>
      <c r="BB62">
        <v>0</v>
      </c>
      <c r="BC62">
        <v>60</v>
      </c>
      <c r="BD62">
        <v>0</v>
      </c>
      <c r="BE62">
        <v>0</v>
      </c>
      <c r="BF62">
        <v>0</v>
      </c>
      <c r="BG62">
        <v>0</v>
      </c>
      <c r="BH62">
        <v>360</v>
      </c>
      <c r="BI62">
        <v>300</v>
      </c>
      <c r="BJ62" t="str">
        <f t="shared" si="28"/>
        <v>41</v>
      </c>
      <c r="BK62" t="str">
        <f t="shared" si="29"/>
        <v>VI</v>
      </c>
    </row>
    <row r="63" spans="1:63">
      <c r="A63" t="str">
        <f>"165300"</f>
        <v>165300</v>
      </c>
      <c r="B63" t="str">
        <f>"METAREG"</f>
        <v>METAREG</v>
      </c>
      <c r="C63" t="str">
        <f>"16153"</f>
        <v>16153</v>
      </c>
      <c r="D63" t="str">
        <f>"C150009962/1"</f>
        <v>C150009962/1</v>
      </c>
      <c r="E63" t="str">
        <f t="shared" si="14"/>
        <v xml:space="preserve"> </v>
      </c>
      <c r="F63" s="14">
        <v>42102</v>
      </c>
      <c r="G63" t="str">
        <f>"LT"</f>
        <v>LT</v>
      </c>
      <c r="H63" t="str">
        <f>"FT"</f>
        <v>FT</v>
      </c>
      <c r="I63" s="17">
        <v>42109</v>
      </c>
      <c r="J63" s="14">
        <v>42108</v>
      </c>
      <c r="K63" t="str">
        <f t="shared" si="1"/>
        <v xml:space="preserve"> </v>
      </c>
      <c r="L63">
        <v>300</v>
      </c>
      <c r="M63" s="15">
        <v>0</v>
      </c>
      <c r="N63" s="16">
        <v>1</v>
      </c>
      <c r="O63" t="str">
        <f t="shared" si="2"/>
        <v>EUR</v>
      </c>
      <c r="P63" s="13" t="str">
        <f>"16153"</f>
        <v>16153</v>
      </c>
      <c r="Q63" t="str">
        <f t="shared" si="3"/>
        <v>01</v>
      </c>
      <c r="R63" s="15">
        <v>300</v>
      </c>
      <c r="S63" t="str">
        <f t="shared" si="31"/>
        <v xml:space="preserve"> </v>
      </c>
      <c r="T63" t="str">
        <f t="shared" si="31"/>
        <v xml:space="preserve"> </v>
      </c>
      <c r="U63" t="str">
        <f t="shared" si="31"/>
        <v xml:space="preserve"> </v>
      </c>
      <c r="V63" s="15">
        <v>300</v>
      </c>
      <c r="W63" s="13">
        <v>1</v>
      </c>
      <c r="X63" t="str">
        <f>"METAREG"</f>
        <v>METAREG</v>
      </c>
      <c r="Y63" t="str">
        <f t="shared" si="30"/>
        <v>MP</v>
      </c>
      <c r="Z63" s="14">
        <v>42108</v>
      </c>
      <c r="AA63" t="str">
        <f t="shared" si="6"/>
        <v xml:space="preserve"> </v>
      </c>
      <c r="AB63" s="15">
        <v>0</v>
      </c>
      <c r="AC63" t="str">
        <f>"EIFFAGE CONTRUCTION METALLIQUE"</f>
        <v>EIFFAGE CONTRUCTION METALLIQUE</v>
      </c>
      <c r="AD63" t="str">
        <f t="shared" si="7"/>
        <v xml:space="preserve"> </v>
      </c>
      <c r="AE63" t="str">
        <f>"33600"</f>
        <v>33600</v>
      </c>
      <c r="AF63" t="str">
        <f>"PESSAC"</f>
        <v>PESSAC</v>
      </c>
      <c r="AG63" t="str">
        <f t="shared" si="8"/>
        <v xml:space="preserve"> </v>
      </c>
      <c r="AH63" t="str">
        <f t="shared" si="9"/>
        <v>F</v>
      </c>
      <c r="AI63" s="14">
        <v>42102</v>
      </c>
      <c r="AJ63">
        <v>0</v>
      </c>
      <c r="AL63">
        <v>0</v>
      </c>
      <c r="AN63" t="str">
        <f t="shared" si="19"/>
        <v>DEBARROS</v>
      </c>
      <c r="AO63" t="str">
        <f>"EIFFAGE CONSTRUCTION METALLIQUE"</f>
        <v>EIFFAGE CONSTRUCTION METALLIQUE</v>
      </c>
      <c r="AP63" t="str">
        <f t="shared" si="11"/>
        <v xml:space="preserve"> </v>
      </c>
      <c r="AQ63" s="15">
        <v>0</v>
      </c>
      <c r="AR63" s="16">
        <v>0</v>
      </c>
      <c r="AS63" s="16">
        <v>0</v>
      </c>
      <c r="AT63" s="16">
        <v>0</v>
      </c>
      <c r="AU63">
        <v>0</v>
      </c>
      <c r="AV63">
        <v>0</v>
      </c>
      <c r="AW63">
        <v>0</v>
      </c>
      <c r="AX63" s="16">
        <v>0</v>
      </c>
      <c r="AY63">
        <v>0</v>
      </c>
      <c r="AZ63">
        <v>300</v>
      </c>
      <c r="BA63">
        <v>0</v>
      </c>
      <c r="BB63">
        <v>0</v>
      </c>
      <c r="BC63">
        <v>60</v>
      </c>
      <c r="BD63">
        <v>0</v>
      </c>
      <c r="BE63">
        <v>0</v>
      </c>
      <c r="BF63">
        <v>0</v>
      </c>
      <c r="BG63">
        <v>0</v>
      </c>
      <c r="BH63">
        <v>360</v>
      </c>
      <c r="BI63">
        <v>300</v>
      </c>
      <c r="BJ63" t="str">
        <f t="shared" si="28"/>
        <v>41</v>
      </c>
      <c r="BK63" t="str">
        <f t="shared" si="29"/>
        <v>VI</v>
      </c>
    </row>
    <row r="64" spans="1:63">
      <c r="A64" t="str">
        <f>"165300"</f>
        <v>165300</v>
      </c>
      <c r="B64" t="str">
        <f>"METAREG"</f>
        <v>METAREG</v>
      </c>
      <c r="C64" t="str">
        <f>"16152"</f>
        <v>16152</v>
      </c>
      <c r="D64" t="str">
        <f>"C150009962/1"</f>
        <v>C150009962/1</v>
      </c>
      <c r="E64" t="str">
        <f t="shared" si="14"/>
        <v xml:space="preserve"> </v>
      </c>
      <c r="F64" s="14">
        <v>42102</v>
      </c>
      <c r="G64" t="str">
        <f>"LT"</f>
        <v>LT</v>
      </c>
      <c r="H64" t="str">
        <f>"FT"</f>
        <v>FT</v>
      </c>
      <c r="I64" s="17">
        <v>42108</v>
      </c>
      <c r="J64" s="14">
        <v>42108</v>
      </c>
      <c r="K64" t="str">
        <f t="shared" si="1"/>
        <v xml:space="preserve"> </v>
      </c>
      <c r="L64">
        <v>275</v>
      </c>
      <c r="M64" s="15">
        <v>0</v>
      </c>
      <c r="N64" s="16">
        <v>1</v>
      </c>
      <c r="O64" t="str">
        <f t="shared" si="2"/>
        <v>EUR</v>
      </c>
      <c r="P64" s="13" t="str">
        <f>"16152"</f>
        <v>16152</v>
      </c>
      <c r="Q64" t="str">
        <f t="shared" si="3"/>
        <v>01</v>
      </c>
      <c r="R64" s="15">
        <v>275</v>
      </c>
      <c r="S64" t="str">
        <f t="shared" si="31"/>
        <v xml:space="preserve"> </v>
      </c>
      <c r="T64" t="str">
        <f t="shared" si="31"/>
        <v xml:space="preserve"> </v>
      </c>
      <c r="U64" t="str">
        <f t="shared" si="31"/>
        <v xml:space="preserve"> </v>
      </c>
      <c r="V64" s="15">
        <v>275</v>
      </c>
      <c r="W64" s="13">
        <v>1</v>
      </c>
      <c r="X64" t="str">
        <f>"METAREG"</f>
        <v>METAREG</v>
      </c>
      <c r="Y64" t="str">
        <f t="shared" si="30"/>
        <v>MP</v>
      </c>
      <c r="Z64" s="14">
        <v>42108</v>
      </c>
      <c r="AA64" t="str">
        <f t="shared" si="6"/>
        <v xml:space="preserve"> </v>
      </c>
      <c r="AB64" s="15">
        <v>0</v>
      </c>
      <c r="AC64" t="str">
        <f>"EIFFAGE CONTRUCTION METALLIQUE"</f>
        <v>EIFFAGE CONTRUCTION METALLIQUE</v>
      </c>
      <c r="AD64" t="str">
        <f t="shared" si="7"/>
        <v xml:space="preserve"> </v>
      </c>
      <c r="AE64" t="str">
        <f>"33600"</f>
        <v>33600</v>
      </c>
      <c r="AF64" t="str">
        <f>"PESSAC"</f>
        <v>PESSAC</v>
      </c>
      <c r="AG64" t="str">
        <f t="shared" si="8"/>
        <v xml:space="preserve"> </v>
      </c>
      <c r="AH64" t="str">
        <f t="shared" si="9"/>
        <v>F</v>
      </c>
      <c r="AI64" s="14">
        <v>42102</v>
      </c>
      <c r="AJ64">
        <v>0</v>
      </c>
      <c r="AL64">
        <v>0</v>
      </c>
      <c r="AN64" t="str">
        <f t="shared" si="19"/>
        <v>DEBARROS</v>
      </c>
      <c r="AO64" t="str">
        <f>"EIFFAGE CONSTRUCTION METALLIQUE"</f>
        <v>EIFFAGE CONSTRUCTION METALLIQUE</v>
      </c>
      <c r="AP64" t="str">
        <f t="shared" si="11"/>
        <v xml:space="preserve"> </v>
      </c>
      <c r="AQ64" s="15">
        <v>0</v>
      </c>
      <c r="AR64" s="16">
        <v>0</v>
      </c>
      <c r="AS64" s="16">
        <v>0</v>
      </c>
      <c r="AT64" s="16">
        <v>0</v>
      </c>
      <c r="AU64">
        <v>0</v>
      </c>
      <c r="AV64">
        <v>0</v>
      </c>
      <c r="AW64">
        <v>0</v>
      </c>
      <c r="AX64" s="16">
        <v>0</v>
      </c>
      <c r="AY64">
        <v>0</v>
      </c>
      <c r="AZ64">
        <v>275</v>
      </c>
      <c r="BA64">
        <v>0</v>
      </c>
      <c r="BB64">
        <v>0</v>
      </c>
      <c r="BC64">
        <v>55</v>
      </c>
      <c r="BD64">
        <v>0</v>
      </c>
      <c r="BE64">
        <v>0</v>
      </c>
      <c r="BF64">
        <v>0</v>
      </c>
      <c r="BG64">
        <v>0</v>
      </c>
      <c r="BH64">
        <v>330</v>
      </c>
      <c r="BI64">
        <v>275</v>
      </c>
      <c r="BJ64" t="str">
        <f t="shared" si="28"/>
        <v>41</v>
      </c>
      <c r="BK64" t="str">
        <f t="shared" si="29"/>
        <v>VI</v>
      </c>
    </row>
    <row r="65" spans="1:63">
      <c r="A65" t="str">
        <f>"202302"</f>
        <v>202302</v>
      </c>
      <c r="B65" t="str">
        <f>"VALLOUREC DRILLING"</f>
        <v>VALLOUREC DRILLING</v>
      </c>
      <c r="C65" t="str">
        <f>"16151"</f>
        <v>16151</v>
      </c>
      <c r="D65" t="str">
        <f>"35011619 POSTE 40"</f>
        <v>35011619 POSTE 40</v>
      </c>
      <c r="E65" t="str">
        <f t="shared" si="14"/>
        <v xml:space="preserve"> </v>
      </c>
      <c r="F65" s="14">
        <v>42102</v>
      </c>
      <c r="G65" t="str">
        <f t="shared" ref="G65:H68" si="32">" "</f>
        <v xml:space="preserve"> </v>
      </c>
      <c r="H65" t="str">
        <f t="shared" si="32"/>
        <v xml:space="preserve"> </v>
      </c>
      <c r="J65" s="14">
        <v>42146</v>
      </c>
      <c r="K65" t="str">
        <f t="shared" si="1"/>
        <v xml:space="preserve"> </v>
      </c>
      <c r="L65">
        <v>6150</v>
      </c>
      <c r="M65" s="15">
        <v>0</v>
      </c>
      <c r="N65" s="16">
        <v>1</v>
      </c>
      <c r="O65" t="str">
        <f t="shared" si="2"/>
        <v>EUR</v>
      </c>
      <c r="P65" s="13" t="str">
        <f>"16151"</f>
        <v>16151</v>
      </c>
      <c r="Q65" t="str">
        <f t="shared" si="3"/>
        <v>01</v>
      </c>
      <c r="R65" s="15">
        <v>6150</v>
      </c>
      <c r="S65" t="str">
        <f t="shared" si="31"/>
        <v xml:space="preserve"> </v>
      </c>
      <c r="T65" t="str">
        <f t="shared" si="31"/>
        <v xml:space="preserve"> </v>
      </c>
      <c r="U65" t="str">
        <f t="shared" si="31"/>
        <v xml:space="preserve"> </v>
      </c>
      <c r="V65" s="15">
        <v>6150</v>
      </c>
      <c r="W65" s="13">
        <v>1</v>
      </c>
      <c r="X65" t="str">
        <f>"VALLOUREC DRILLING"</f>
        <v>VALLOUREC DRILLING</v>
      </c>
      <c r="Y65" t="str">
        <f t="shared" si="30"/>
        <v>MP</v>
      </c>
      <c r="Z65" s="14">
        <v>42146</v>
      </c>
      <c r="AA65" t="str">
        <f t="shared" si="6"/>
        <v xml:space="preserve"> </v>
      </c>
      <c r="AB65" s="15">
        <v>0</v>
      </c>
      <c r="AC65" t="str">
        <f>"VALLOUREC DRILLING PRODUCTS FRANCE"</f>
        <v>VALLOUREC DRILLING PRODUCTS FRANCE</v>
      </c>
      <c r="AD65" t="str">
        <f t="shared" si="7"/>
        <v xml:space="preserve"> </v>
      </c>
      <c r="AE65" t="str">
        <f>"65000"</f>
        <v>65000</v>
      </c>
      <c r="AF65" t="str">
        <f>"TARBES"</f>
        <v>TARBES</v>
      </c>
      <c r="AG65" t="str">
        <f t="shared" si="8"/>
        <v xml:space="preserve"> </v>
      </c>
      <c r="AH65" t="str">
        <f t="shared" si="9"/>
        <v>F</v>
      </c>
      <c r="AI65" s="14">
        <v>42101</v>
      </c>
      <c r="AJ65">
        <v>0</v>
      </c>
      <c r="AL65">
        <v>0</v>
      </c>
      <c r="AN65" t="str">
        <f t="shared" si="19"/>
        <v>DEBARROS</v>
      </c>
      <c r="AO65" t="str">
        <f>"VALLOUREC DRILLING PRODUCTS FRANCE"</f>
        <v>VALLOUREC DRILLING PRODUCTS FRANCE</v>
      </c>
      <c r="AP65" t="str">
        <f t="shared" si="11"/>
        <v xml:space="preserve"> </v>
      </c>
      <c r="AQ65" s="15">
        <v>0</v>
      </c>
      <c r="AR65" s="16">
        <v>0</v>
      </c>
      <c r="AS65" s="16">
        <v>0</v>
      </c>
      <c r="AT65" s="16">
        <v>0</v>
      </c>
      <c r="AU65">
        <v>0</v>
      </c>
      <c r="AV65">
        <v>0</v>
      </c>
      <c r="AW65">
        <v>0</v>
      </c>
      <c r="AX65" s="16">
        <v>0</v>
      </c>
      <c r="AY65">
        <v>0</v>
      </c>
      <c r="AZ65">
        <v>6150</v>
      </c>
      <c r="BA65">
        <v>0</v>
      </c>
      <c r="BB65">
        <v>0</v>
      </c>
      <c r="BC65">
        <v>1230</v>
      </c>
      <c r="BD65">
        <v>0</v>
      </c>
      <c r="BE65">
        <v>0</v>
      </c>
      <c r="BF65">
        <v>0</v>
      </c>
      <c r="BG65">
        <v>0</v>
      </c>
      <c r="BH65">
        <v>7380</v>
      </c>
      <c r="BI65">
        <v>6150</v>
      </c>
      <c r="BJ65" t="str">
        <f t="shared" si="28"/>
        <v>41</v>
      </c>
      <c r="BK65" t="str">
        <f t="shared" si="29"/>
        <v>VI</v>
      </c>
    </row>
    <row r="66" spans="1:63">
      <c r="A66" t="str">
        <f>"202302"</f>
        <v>202302</v>
      </c>
      <c r="B66" t="str">
        <f>"VALLOUREC DRILLING"</f>
        <v>VALLOUREC DRILLING</v>
      </c>
      <c r="C66" t="str">
        <f>"16150"</f>
        <v>16150</v>
      </c>
      <c r="D66" t="str">
        <f>"35011619 POSTE 30"</f>
        <v>35011619 POSTE 30</v>
      </c>
      <c r="E66" t="str">
        <f t="shared" si="14"/>
        <v xml:space="preserve"> </v>
      </c>
      <c r="F66" s="14">
        <v>42102</v>
      </c>
      <c r="G66" t="str">
        <f t="shared" si="32"/>
        <v xml:space="preserve"> </v>
      </c>
      <c r="H66" t="str">
        <f t="shared" si="32"/>
        <v xml:space="preserve"> </v>
      </c>
      <c r="J66" s="14">
        <v>42146</v>
      </c>
      <c r="K66" t="str">
        <f t="shared" ref="K66:K79" si="33">" "</f>
        <v xml:space="preserve"> </v>
      </c>
      <c r="L66">
        <v>2000</v>
      </c>
      <c r="M66" s="15">
        <v>0</v>
      </c>
      <c r="N66" s="16">
        <v>1</v>
      </c>
      <c r="O66" t="str">
        <f t="shared" ref="O66:O79" si="34">"EUR"</f>
        <v>EUR</v>
      </c>
      <c r="P66" s="13" t="str">
        <f>"16150"</f>
        <v>16150</v>
      </c>
      <c r="Q66" t="str">
        <f t="shared" ref="Q66:Q79" si="35">"01"</f>
        <v>01</v>
      </c>
      <c r="R66" s="15">
        <v>2000</v>
      </c>
      <c r="S66" t="str">
        <f t="shared" si="31"/>
        <v xml:space="preserve"> </v>
      </c>
      <c r="T66" t="str">
        <f t="shared" si="31"/>
        <v xml:space="preserve"> </v>
      </c>
      <c r="U66" t="str">
        <f t="shared" si="31"/>
        <v xml:space="preserve"> </v>
      </c>
      <c r="V66" s="15">
        <v>2000</v>
      </c>
      <c r="W66" s="13">
        <v>1</v>
      </c>
      <c r="X66" t="str">
        <f>"VALLOUREC DRILLING"</f>
        <v>VALLOUREC DRILLING</v>
      </c>
      <c r="Y66" t="str">
        <f t="shared" si="30"/>
        <v>MP</v>
      </c>
      <c r="Z66" s="14">
        <v>42146</v>
      </c>
      <c r="AA66" t="str">
        <f t="shared" ref="AA66:AA79" si="36">" "</f>
        <v xml:space="preserve"> </v>
      </c>
      <c r="AB66" s="15">
        <v>0</v>
      </c>
      <c r="AC66" t="str">
        <f>"VALLOUREC DRILLING PRODUCTS FRANCE"</f>
        <v>VALLOUREC DRILLING PRODUCTS FRANCE</v>
      </c>
      <c r="AD66" t="str">
        <f t="shared" ref="AD66:AD79" si="37">" "</f>
        <v xml:space="preserve"> </v>
      </c>
      <c r="AE66" t="str">
        <f>"65000"</f>
        <v>65000</v>
      </c>
      <c r="AF66" t="str">
        <f>"TARBES"</f>
        <v>TARBES</v>
      </c>
      <c r="AG66" t="str">
        <f t="shared" ref="AG66:AG79" si="38">" "</f>
        <v xml:space="preserve"> </v>
      </c>
      <c r="AH66" t="str">
        <f t="shared" ref="AH66:AH79" si="39">"F"</f>
        <v>F</v>
      </c>
      <c r="AI66" s="14">
        <v>42101</v>
      </c>
      <c r="AJ66">
        <v>0</v>
      </c>
      <c r="AL66">
        <v>0</v>
      </c>
      <c r="AN66" t="str">
        <f t="shared" si="19"/>
        <v>DEBARROS</v>
      </c>
      <c r="AO66" t="str">
        <f>"VALLOUREC DRILLING PRODUCTS FRANCE"</f>
        <v>VALLOUREC DRILLING PRODUCTS FRANCE</v>
      </c>
      <c r="AP66" t="str">
        <f t="shared" ref="AP66:AP79" si="40">" "</f>
        <v xml:space="preserve"> </v>
      </c>
      <c r="AQ66" s="15">
        <v>0</v>
      </c>
      <c r="AR66" s="16">
        <v>0</v>
      </c>
      <c r="AS66" s="16">
        <v>0</v>
      </c>
      <c r="AT66" s="16">
        <v>0</v>
      </c>
      <c r="AU66">
        <v>0</v>
      </c>
      <c r="AV66">
        <v>0</v>
      </c>
      <c r="AW66">
        <v>0</v>
      </c>
      <c r="AX66" s="16">
        <v>0</v>
      </c>
      <c r="AY66">
        <v>0</v>
      </c>
      <c r="AZ66">
        <v>2000</v>
      </c>
      <c r="BA66">
        <v>0</v>
      </c>
      <c r="BB66">
        <v>0</v>
      </c>
      <c r="BC66">
        <v>400</v>
      </c>
      <c r="BD66">
        <v>0</v>
      </c>
      <c r="BE66">
        <v>0</v>
      </c>
      <c r="BF66">
        <v>0</v>
      </c>
      <c r="BG66">
        <v>0</v>
      </c>
      <c r="BH66">
        <v>2400</v>
      </c>
      <c r="BI66">
        <v>2000</v>
      </c>
      <c r="BJ66" t="str">
        <f t="shared" si="28"/>
        <v>41</v>
      </c>
      <c r="BK66" t="str">
        <f t="shared" si="29"/>
        <v>VI</v>
      </c>
    </row>
    <row r="67" spans="1:63">
      <c r="A67" t="str">
        <f>"202302"</f>
        <v>202302</v>
      </c>
      <c r="B67" t="str">
        <f>"VALLOUREC DRILLING"</f>
        <v>VALLOUREC DRILLING</v>
      </c>
      <c r="C67" t="str">
        <f>"16149"</f>
        <v>16149</v>
      </c>
      <c r="D67" t="str">
        <f>"35011619 POSTE 20"</f>
        <v>35011619 POSTE 20</v>
      </c>
      <c r="E67" t="str">
        <f t="shared" ref="E67:E79" si="41">" "</f>
        <v xml:space="preserve"> </v>
      </c>
      <c r="F67" s="14">
        <v>42102</v>
      </c>
      <c r="G67" t="str">
        <f t="shared" si="32"/>
        <v xml:space="preserve"> </v>
      </c>
      <c r="H67" t="str">
        <f t="shared" si="32"/>
        <v xml:space="preserve"> </v>
      </c>
      <c r="J67" s="14">
        <v>42146</v>
      </c>
      <c r="K67" t="str">
        <f t="shared" si="33"/>
        <v xml:space="preserve"> </v>
      </c>
      <c r="L67">
        <v>1980</v>
      </c>
      <c r="M67" s="15">
        <v>0</v>
      </c>
      <c r="N67" s="16">
        <v>1</v>
      </c>
      <c r="O67" t="str">
        <f t="shared" si="34"/>
        <v>EUR</v>
      </c>
      <c r="P67" s="13" t="str">
        <f>"16149"</f>
        <v>16149</v>
      </c>
      <c r="Q67" t="str">
        <f t="shared" si="35"/>
        <v>01</v>
      </c>
      <c r="R67" s="15">
        <v>1980</v>
      </c>
      <c r="S67" t="str">
        <f t="shared" si="31"/>
        <v xml:space="preserve"> </v>
      </c>
      <c r="T67" t="str">
        <f t="shared" si="31"/>
        <v xml:space="preserve"> </v>
      </c>
      <c r="U67" t="str">
        <f t="shared" si="31"/>
        <v xml:space="preserve"> </v>
      </c>
      <c r="V67" s="15">
        <v>1980</v>
      </c>
      <c r="W67" s="13">
        <v>1</v>
      </c>
      <c r="X67" t="str">
        <f>"VALLOUREC DRILLING"</f>
        <v>VALLOUREC DRILLING</v>
      </c>
      <c r="Y67" t="str">
        <f t="shared" si="30"/>
        <v>MP</v>
      </c>
      <c r="Z67" s="14">
        <v>42146</v>
      </c>
      <c r="AA67" t="str">
        <f t="shared" si="36"/>
        <v xml:space="preserve"> </v>
      </c>
      <c r="AB67" s="15">
        <v>0</v>
      </c>
      <c r="AC67" t="str">
        <f>"VALLOUREC DRILLING PRODUCTS FRANCE"</f>
        <v>VALLOUREC DRILLING PRODUCTS FRANCE</v>
      </c>
      <c r="AD67" t="str">
        <f t="shared" si="37"/>
        <v xml:space="preserve"> </v>
      </c>
      <c r="AE67" t="str">
        <f>"65000"</f>
        <v>65000</v>
      </c>
      <c r="AF67" t="str">
        <f>"TARBES"</f>
        <v>TARBES</v>
      </c>
      <c r="AG67" t="str">
        <f t="shared" si="38"/>
        <v xml:space="preserve"> </v>
      </c>
      <c r="AH67" t="str">
        <f t="shared" si="39"/>
        <v>F</v>
      </c>
      <c r="AI67" s="14">
        <v>42101</v>
      </c>
      <c r="AJ67">
        <v>0</v>
      </c>
      <c r="AL67">
        <v>0</v>
      </c>
      <c r="AN67" t="str">
        <f t="shared" si="19"/>
        <v>DEBARROS</v>
      </c>
      <c r="AO67" t="str">
        <f>"VALLOUREC DRILLING PRODUCTS FRANCE"</f>
        <v>VALLOUREC DRILLING PRODUCTS FRANCE</v>
      </c>
      <c r="AP67" t="str">
        <f t="shared" si="40"/>
        <v xml:space="preserve"> </v>
      </c>
      <c r="AQ67" s="15">
        <v>0</v>
      </c>
      <c r="AR67" s="16">
        <v>0</v>
      </c>
      <c r="AS67" s="16">
        <v>0</v>
      </c>
      <c r="AT67" s="16">
        <v>0</v>
      </c>
      <c r="AU67">
        <v>0</v>
      </c>
      <c r="AV67">
        <v>0</v>
      </c>
      <c r="AW67">
        <v>0</v>
      </c>
      <c r="AX67" s="16">
        <v>0</v>
      </c>
      <c r="AY67">
        <v>0</v>
      </c>
      <c r="AZ67">
        <v>1980</v>
      </c>
      <c r="BA67">
        <v>0</v>
      </c>
      <c r="BB67">
        <v>0</v>
      </c>
      <c r="BC67">
        <v>396</v>
      </c>
      <c r="BD67">
        <v>0</v>
      </c>
      <c r="BE67">
        <v>0</v>
      </c>
      <c r="BF67">
        <v>0</v>
      </c>
      <c r="BG67">
        <v>0</v>
      </c>
      <c r="BH67">
        <v>2376</v>
      </c>
      <c r="BI67">
        <v>1980</v>
      </c>
      <c r="BJ67" t="str">
        <f t="shared" si="28"/>
        <v>41</v>
      </c>
      <c r="BK67" t="str">
        <f t="shared" si="29"/>
        <v>VI</v>
      </c>
    </row>
    <row r="68" spans="1:63">
      <c r="A68" t="str">
        <f>"202302"</f>
        <v>202302</v>
      </c>
      <c r="B68" t="str">
        <f>"VALLOUREC DRILLING"</f>
        <v>VALLOUREC DRILLING</v>
      </c>
      <c r="C68" t="str">
        <f>"16148"</f>
        <v>16148</v>
      </c>
      <c r="D68" t="str">
        <f>"35011619 POSTE 10"</f>
        <v>35011619 POSTE 10</v>
      </c>
      <c r="E68" t="str">
        <f t="shared" si="41"/>
        <v xml:space="preserve"> </v>
      </c>
      <c r="F68" s="14">
        <v>42102</v>
      </c>
      <c r="G68" t="str">
        <f t="shared" si="32"/>
        <v xml:space="preserve"> </v>
      </c>
      <c r="H68" t="str">
        <f t="shared" si="32"/>
        <v xml:space="preserve"> </v>
      </c>
      <c r="J68" s="14">
        <v>42146</v>
      </c>
      <c r="K68" t="str">
        <f t="shared" si="33"/>
        <v xml:space="preserve"> </v>
      </c>
      <c r="L68">
        <v>1632</v>
      </c>
      <c r="M68" s="15">
        <v>0</v>
      </c>
      <c r="N68" s="16">
        <v>1</v>
      </c>
      <c r="O68" t="str">
        <f t="shared" si="34"/>
        <v>EUR</v>
      </c>
      <c r="P68" s="13" t="str">
        <f>"16148"</f>
        <v>16148</v>
      </c>
      <c r="Q68" t="str">
        <f t="shared" si="35"/>
        <v>01</v>
      </c>
      <c r="R68" s="15">
        <v>1632</v>
      </c>
      <c r="S68" t="str">
        <f t="shared" si="31"/>
        <v xml:space="preserve"> </v>
      </c>
      <c r="T68" t="str">
        <f t="shared" si="31"/>
        <v xml:space="preserve"> </v>
      </c>
      <c r="U68" t="str">
        <f t="shared" si="31"/>
        <v xml:space="preserve"> </v>
      </c>
      <c r="V68" s="15">
        <v>1632</v>
      </c>
      <c r="W68" s="13">
        <v>1</v>
      </c>
      <c r="X68" t="str">
        <f>"VALLOUREC DRILLING"</f>
        <v>VALLOUREC DRILLING</v>
      </c>
      <c r="Y68" t="str">
        <f t="shared" si="30"/>
        <v>MP</v>
      </c>
      <c r="Z68" s="14">
        <v>42146</v>
      </c>
      <c r="AA68" t="str">
        <f t="shared" si="36"/>
        <v xml:space="preserve"> </v>
      </c>
      <c r="AB68" s="15">
        <v>0</v>
      </c>
      <c r="AC68" t="str">
        <f>"VALLOUREC DRILLING PRODUCTS FRANCE"</f>
        <v>VALLOUREC DRILLING PRODUCTS FRANCE</v>
      </c>
      <c r="AD68" t="str">
        <f t="shared" si="37"/>
        <v xml:space="preserve"> </v>
      </c>
      <c r="AE68" t="str">
        <f>"65000"</f>
        <v>65000</v>
      </c>
      <c r="AF68" t="str">
        <f>"TARBES"</f>
        <v>TARBES</v>
      </c>
      <c r="AG68" t="str">
        <f t="shared" si="38"/>
        <v xml:space="preserve"> </v>
      </c>
      <c r="AH68" t="str">
        <f t="shared" si="39"/>
        <v>F</v>
      </c>
      <c r="AI68" s="14">
        <v>42101</v>
      </c>
      <c r="AJ68">
        <v>0</v>
      </c>
      <c r="AL68">
        <v>0</v>
      </c>
      <c r="AN68" t="str">
        <f t="shared" si="19"/>
        <v>DEBARROS</v>
      </c>
      <c r="AO68" t="str">
        <f>"VALLOUREC DRILLING PRODUCTS FRANCE"</f>
        <v>VALLOUREC DRILLING PRODUCTS FRANCE</v>
      </c>
      <c r="AP68" t="str">
        <f t="shared" si="40"/>
        <v xml:space="preserve"> </v>
      </c>
      <c r="AQ68" s="15">
        <v>0</v>
      </c>
      <c r="AR68" s="16">
        <v>0</v>
      </c>
      <c r="AS68" s="16">
        <v>0</v>
      </c>
      <c r="AT68" s="16">
        <v>0</v>
      </c>
      <c r="AU68">
        <v>0</v>
      </c>
      <c r="AV68">
        <v>0</v>
      </c>
      <c r="AW68">
        <v>0</v>
      </c>
      <c r="AX68" s="16">
        <v>0</v>
      </c>
      <c r="AY68">
        <v>0</v>
      </c>
      <c r="AZ68">
        <v>1632</v>
      </c>
      <c r="BA68">
        <v>0</v>
      </c>
      <c r="BB68">
        <v>0</v>
      </c>
      <c r="BC68">
        <v>326.39999999999998</v>
      </c>
      <c r="BD68">
        <v>0</v>
      </c>
      <c r="BE68">
        <v>0</v>
      </c>
      <c r="BF68">
        <v>0</v>
      </c>
      <c r="BG68">
        <v>0</v>
      </c>
      <c r="BH68">
        <v>1958.4</v>
      </c>
      <c r="BI68">
        <v>1632</v>
      </c>
      <c r="BJ68" t="str">
        <f t="shared" si="28"/>
        <v>41</v>
      </c>
      <c r="BK68" t="str">
        <f t="shared" si="29"/>
        <v>VI</v>
      </c>
    </row>
    <row r="69" spans="1:63">
      <c r="A69" t="str">
        <f>"186100"</f>
        <v>186100</v>
      </c>
      <c r="B69" t="str">
        <f>"HERAKLES ( SME )"</f>
        <v>HERAKLES ( SME )</v>
      </c>
      <c r="C69" t="str">
        <f>"16147"</f>
        <v>16147</v>
      </c>
      <c r="D69" t="str">
        <f>" "</f>
        <v xml:space="preserve"> </v>
      </c>
      <c r="E69" t="str">
        <f t="shared" si="41"/>
        <v xml:space="preserve"> </v>
      </c>
      <c r="F69" s="14">
        <v>42101</v>
      </c>
      <c r="G69" t="str">
        <f t="shared" ref="G69:G76" si="42">"LT"</f>
        <v>LT</v>
      </c>
      <c r="H69" t="str">
        <f t="shared" ref="H69:H76" si="43">"FT"</f>
        <v>FT</v>
      </c>
      <c r="I69" s="17">
        <v>42115</v>
      </c>
      <c r="J69" s="14">
        <v>42115</v>
      </c>
      <c r="K69" t="str">
        <f t="shared" si="33"/>
        <v xml:space="preserve"> </v>
      </c>
      <c r="L69">
        <v>480</v>
      </c>
      <c r="M69" s="15">
        <v>0</v>
      </c>
      <c r="N69" s="16">
        <v>1</v>
      </c>
      <c r="O69" t="str">
        <f t="shared" si="34"/>
        <v>EUR</v>
      </c>
      <c r="P69" s="13" t="str">
        <f>"16147"</f>
        <v>16147</v>
      </c>
      <c r="Q69" t="str">
        <f t="shared" si="35"/>
        <v>01</v>
      </c>
      <c r="R69" s="15">
        <v>480</v>
      </c>
      <c r="S69" t="str">
        <f t="shared" si="31"/>
        <v xml:space="preserve"> </v>
      </c>
      <c r="T69" t="str">
        <f t="shared" si="31"/>
        <v xml:space="preserve"> </v>
      </c>
      <c r="U69" t="str">
        <f t="shared" si="31"/>
        <v xml:space="preserve"> </v>
      </c>
      <c r="V69" s="15">
        <v>480</v>
      </c>
      <c r="W69" s="13">
        <v>1</v>
      </c>
      <c r="X69" t="str">
        <f>"HERAKLES ( SME )"</f>
        <v>HERAKLES ( SME )</v>
      </c>
      <c r="Y69" t="str">
        <f>"TS"</f>
        <v>TS</v>
      </c>
      <c r="Z69" s="14">
        <v>42115</v>
      </c>
      <c r="AA69" t="str">
        <f t="shared" si="36"/>
        <v xml:space="preserve"> </v>
      </c>
      <c r="AB69" s="15">
        <v>0</v>
      </c>
      <c r="AC69" t="str">
        <f>"SAFRAN HERAKLES"</f>
        <v>SAFRAN HERAKLES</v>
      </c>
      <c r="AD69" t="str">
        <f t="shared" si="37"/>
        <v xml:space="preserve"> </v>
      </c>
      <c r="AE69" t="str">
        <f>"33160"</f>
        <v>33160</v>
      </c>
      <c r="AF69" t="str">
        <f>"Saint Médard en Jalles"</f>
        <v>Saint Médard en Jalles</v>
      </c>
      <c r="AG69" t="str">
        <f t="shared" si="38"/>
        <v xml:space="preserve"> </v>
      </c>
      <c r="AH69" t="str">
        <f t="shared" si="39"/>
        <v>F</v>
      </c>
      <c r="AI69" s="14">
        <v>42101</v>
      </c>
      <c r="AJ69">
        <v>0</v>
      </c>
      <c r="AL69">
        <v>0</v>
      </c>
      <c r="AN69" t="str">
        <f t="shared" si="19"/>
        <v>DEBARROS</v>
      </c>
      <c r="AO69" t="str">
        <f>"HERAKLES ( SME )"</f>
        <v>HERAKLES ( SME )</v>
      </c>
      <c r="AP69" t="str">
        <f t="shared" si="40"/>
        <v xml:space="preserve"> </v>
      </c>
      <c r="AQ69" s="15">
        <v>0</v>
      </c>
      <c r="AR69" s="16">
        <v>0</v>
      </c>
      <c r="AS69" s="16">
        <v>0</v>
      </c>
      <c r="AT69" s="16">
        <v>0</v>
      </c>
      <c r="AU69">
        <v>0</v>
      </c>
      <c r="AV69">
        <v>0</v>
      </c>
      <c r="AW69">
        <v>0</v>
      </c>
      <c r="AX69" s="16">
        <v>0</v>
      </c>
      <c r="AY69">
        <v>0</v>
      </c>
      <c r="AZ69">
        <v>480</v>
      </c>
      <c r="BA69">
        <v>0</v>
      </c>
      <c r="BB69">
        <v>0</v>
      </c>
      <c r="BC69">
        <v>96</v>
      </c>
      <c r="BD69">
        <v>0</v>
      </c>
      <c r="BE69">
        <v>0</v>
      </c>
      <c r="BF69">
        <v>0</v>
      </c>
      <c r="BG69">
        <v>0</v>
      </c>
      <c r="BH69">
        <v>576</v>
      </c>
      <c r="BI69">
        <v>480</v>
      </c>
      <c r="BJ69" t="str">
        <f t="shared" si="28"/>
        <v>41</v>
      </c>
      <c r="BK69" t="str">
        <f t="shared" si="29"/>
        <v>VI</v>
      </c>
    </row>
    <row r="70" spans="1:63">
      <c r="A70" t="str">
        <f>"185900"</f>
        <v>185900</v>
      </c>
      <c r="B70" t="str">
        <f>"HERAKLES"</f>
        <v>HERAKLES</v>
      </c>
      <c r="C70" t="str">
        <f>"16146"</f>
        <v>16146</v>
      </c>
      <c r="D70" t="str">
        <f>"121 500089504"</f>
        <v>121 500089504</v>
      </c>
      <c r="E70" t="str">
        <f t="shared" si="41"/>
        <v xml:space="preserve"> </v>
      </c>
      <c r="F70" s="14">
        <v>42097</v>
      </c>
      <c r="G70" t="str">
        <f t="shared" si="42"/>
        <v>LT</v>
      </c>
      <c r="H70" t="str">
        <f t="shared" si="43"/>
        <v>FT</v>
      </c>
      <c r="I70" s="17">
        <v>42124</v>
      </c>
      <c r="J70" s="14">
        <v>42139</v>
      </c>
      <c r="K70" t="str">
        <f t="shared" si="33"/>
        <v xml:space="preserve"> </v>
      </c>
      <c r="L70">
        <v>5700</v>
      </c>
      <c r="M70" s="15">
        <v>0</v>
      </c>
      <c r="N70" s="16">
        <v>1</v>
      </c>
      <c r="O70" t="str">
        <f t="shared" si="34"/>
        <v>EUR</v>
      </c>
      <c r="P70" s="13" t="str">
        <f>"16146"</f>
        <v>16146</v>
      </c>
      <c r="Q70" t="str">
        <f t="shared" si="35"/>
        <v>01</v>
      </c>
      <c r="R70" s="15">
        <v>5700</v>
      </c>
      <c r="S70" t="str">
        <f t="shared" si="31"/>
        <v xml:space="preserve"> </v>
      </c>
      <c r="T70" t="str">
        <f t="shared" si="31"/>
        <v xml:space="preserve"> </v>
      </c>
      <c r="U70" t="str">
        <f t="shared" si="31"/>
        <v xml:space="preserve"> </v>
      </c>
      <c r="V70" s="15">
        <v>5700</v>
      </c>
      <c r="W70" s="13">
        <v>1</v>
      </c>
      <c r="X70" t="str">
        <f>"HERAKLES"</f>
        <v>HERAKLES</v>
      </c>
      <c r="Y70" t="str">
        <f>"MP"</f>
        <v>MP</v>
      </c>
      <c r="Z70" s="14">
        <v>42139</v>
      </c>
      <c r="AA70" t="str">
        <f t="shared" si="36"/>
        <v xml:space="preserve"> </v>
      </c>
      <c r="AB70" s="15">
        <v>0</v>
      </c>
      <c r="AC70" t="str">
        <f>"HERAKLES"</f>
        <v>HERAKLES</v>
      </c>
      <c r="AD70" t="str">
        <f t="shared" si="37"/>
        <v xml:space="preserve"> </v>
      </c>
      <c r="AE70" t="str">
        <f>"33187"</f>
        <v>33187</v>
      </c>
      <c r="AF70" t="str">
        <f>"LE HAILLAN CEDEX"</f>
        <v>LE HAILLAN CEDEX</v>
      </c>
      <c r="AG70" t="str">
        <f t="shared" si="38"/>
        <v xml:space="preserve"> </v>
      </c>
      <c r="AH70" t="str">
        <f t="shared" si="39"/>
        <v>F</v>
      </c>
      <c r="AI70" s="14">
        <v>42095</v>
      </c>
      <c r="AJ70">
        <v>0</v>
      </c>
      <c r="AL70">
        <v>0</v>
      </c>
      <c r="AN70" t="str">
        <f t="shared" si="19"/>
        <v>DEBARROS</v>
      </c>
      <c r="AO70" t="str">
        <f>"HERAKLES"</f>
        <v>HERAKLES</v>
      </c>
      <c r="AP70" t="str">
        <f t="shared" si="40"/>
        <v xml:space="preserve"> </v>
      </c>
      <c r="AQ70" s="15">
        <v>0</v>
      </c>
      <c r="AR70" s="16">
        <v>0</v>
      </c>
      <c r="AS70" s="16">
        <v>0</v>
      </c>
      <c r="AT70" s="16">
        <v>0</v>
      </c>
      <c r="AU70">
        <v>0</v>
      </c>
      <c r="AV70">
        <v>0</v>
      </c>
      <c r="AW70">
        <v>0</v>
      </c>
      <c r="AX70" s="16">
        <v>0</v>
      </c>
      <c r="AY70">
        <v>0</v>
      </c>
      <c r="AZ70">
        <v>5700</v>
      </c>
      <c r="BA70">
        <v>0</v>
      </c>
      <c r="BB70">
        <v>0</v>
      </c>
      <c r="BC70">
        <v>1140</v>
      </c>
      <c r="BD70">
        <v>0</v>
      </c>
      <c r="BE70">
        <v>0</v>
      </c>
      <c r="BF70">
        <v>0</v>
      </c>
      <c r="BG70">
        <v>0</v>
      </c>
      <c r="BH70">
        <v>6840</v>
      </c>
      <c r="BI70">
        <v>5700</v>
      </c>
      <c r="BJ70" t="str">
        <f t="shared" si="28"/>
        <v>41</v>
      </c>
      <c r="BK70" t="str">
        <f t="shared" si="29"/>
        <v>VI</v>
      </c>
    </row>
    <row r="71" spans="1:63">
      <c r="A71" t="str">
        <f>"185900"</f>
        <v>185900</v>
      </c>
      <c r="B71" t="str">
        <f>"HERAKLES"</f>
        <v>HERAKLES</v>
      </c>
      <c r="C71" t="str">
        <f>"16145"</f>
        <v>16145</v>
      </c>
      <c r="D71" t="str">
        <f>"121 500089507"</f>
        <v>121 500089507</v>
      </c>
      <c r="E71" t="str">
        <f t="shared" si="41"/>
        <v xml:space="preserve"> </v>
      </c>
      <c r="F71" s="14">
        <v>42097</v>
      </c>
      <c r="G71" t="str">
        <f t="shared" si="42"/>
        <v>LT</v>
      </c>
      <c r="H71" t="str">
        <f t="shared" si="43"/>
        <v>FT</v>
      </c>
      <c r="I71" s="17">
        <v>42124</v>
      </c>
      <c r="J71" s="14">
        <v>42139</v>
      </c>
      <c r="K71" t="str">
        <f t="shared" si="33"/>
        <v xml:space="preserve"> </v>
      </c>
      <c r="L71">
        <v>5700</v>
      </c>
      <c r="M71" s="15">
        <v>0</v>
      </c>
      <c r="N71" s="16">
        <v>1</v>
      </c>
      <c r="O71" t="str">
        <f t="shared" si="34"/>
        <v>EUR</v>
      </c>
      <c r="P71" s="13" t="str">
        <f>"16145"</f>
        <v>16145</v>
      </c>
      <c r="Q71" t="str">
        <f t="shared" si="35"/>
        <v>01</v>
      </c>
      <c r="R71" s="15">
        <v>5700</v>
      </c>
      <c r="S71" t="str">
        <f t="shared" si="31"/>
        <v xml:space="preserve"> </v>
      </c>
      <c r="T71" t="str">
        <f t="shared" si="31"/>
        <v xml:space="preserve"> </v>
      </c>
      <c r="U71" t="str">
        <f t="shared" si="31"/>
        <v xml:space="preserve"> </v>
      </c>
      <c r="V71" s="15">
        <v>5700</v>
      </c>
      <c r="W71" s="13">
        <v>1</v>
      </c>
      <c r="X71" t="str">
        <f>"HERAKLES"</f>
        <v>HERAKLES</v>
      </c>
      <c r="Y71" t="str">
        <f>"MP"</f>
        <v>MP</v>
      </c>
      <c r="Z71" s="14">
        <v>42139</v>
      </c>
      <c r="AA71" t="str">
        <f t="shared" si="36"/>
        <v xml:space="preserve"> </v>
      </c>
      <c r="AB71" s="15">
        <v>0</v>
      </c>
      <c r="AC71" t="str">
        <f>"HERAKLES"</f>
        <v>HERAKLES</v>
      </c>
      <c r="AD71" t="str">
        <f t="shared" si="37"/>
        <v xml:space="preserve"> </v>
      </c>
      <c r="AE71" t="str">
        <f>"33187"</f>
        <v>33187</v>
      </c>
      <c r="AF71" t="str">
        <f>"LE HAILLAN CEDEX"</f>
        <v>LE HAILLAN CEDEX</v>
      </c>
      <c r="AG71" t="str">
        <f t="shared" si="38"/>
        <v xml:space="preserve"> </v>
      </c>
      <c r="AH71" t="str">
        <f t="shared" si="39"/>
        <v>F</v>
      </c>
      <c r="AI71" s="14">
        <v>42095</v>
      </c>
      <c r="AJ71">
        <v>0</v>
      </c>
      <c r="AL71">
        <v>0</v>
      </c>
      <c r="AN71" t="str">
        <f t="shared" si="19"/>
        <v>DEBARROS</v>
      </c>
      <c r="AO71" t="str">
        <f>"HERAKLES"</f>
        <v>HERAKLES</v>
      </c>
      <c r="AP71" t="str">
        <f t="shared" si="40"/>
        <v xml:space="preserve"> </v>
      </c>
      <c r="AQ71" s="15">
        <v>0</v>
      </c>
      <c r="AR71" s="16">
        <v>0</v>
      </c>
      <c r="AS71" s="16">
        <v>0</v>
      </c>
      <c r="AT71" s="16">
        <v>0</v>
      </c>
      <c r="AU71">
        <v>0</v>
      </c>
      <c r="AV71">
        <v>0</v>
      </c>
      <c r="AW71">
        <v>0</v>
      </c>
      <c r="AX71" s="16">
        <v>0</v>
      </c>
      <c r="AY71">
        <v>0</v>
      </c>
      <c r="AZ71">
        <v>5700</v>
      </c>
      <c r="BA71">
        <v>0</v>
      </c>
      <c r="BB71">
        <v>0</v>
      </c>
      <c r="BC71">
        <v>1140</v>
      </c>
      <c r="BD71">
        <v>0</v>
      </c>
      <c r="BE71">
        <v>0</v>
      </c>
      <c r="BF71">
        <v>0</v>
      </c>
      <c r="BG71">
        <v>0</v>
      </c>
      <c r="BH71">
        <v>6840</v>
      </c>
      <c r="BI71">
        <v>5700</v>
      </c>
      <c r="BJ71" t="str">
        <f t="shared" si="28"/>
        <v>41</v>
      </c>
      <c r="BK71" t="str">
        <f t="shared" si="29"/>
        <v>VI</v>
      </c>
    </row>
    <row r="72" spans="1:63">
      <c r="A72" t="str">
        <f>"181600"</f>
        <v>181600</v>
      </c>
      <c r="B72" t="str">
        <f>"REDA"</f>
        <v>REDA</v>
      </c>
      <c r="C72" t="str">
        <f>"16144"</f>
        <v>16144</v>
      </c>
      <c r="D72" t="str">
        <f>" "</f>
        <v xml:space="preserve"> </v>
      </c>
      <c r="E72" t="str">
        <f t="shared" si="41"/>
        <v xml:space="preserve"> </v>
      </c>
      <c r="F72" s="14">
        <v>42097</v>
      </c>
      <c r="G72" t="str">
        <f t="shared" si="42"/>
        <v>LT</v>
      </c>
      <c r="H72" t="str">
        <f t="shared" si="43"/>
        <v>FT</v>
      </c>
      <c r="I72" s="17">
        <v>42103</v>
      </c>
      <c r="J72" s="14">
        <v>42104</v>
      </c>
      <c r="K72" t="str">
        <f t="shared" si="33"/>
        <v xml:space="preserve"> </v>
      </c>
      <c r="L72">
        <v>750</v>
      </c>
      <c r="M72" s="15">
        <v>0</v>
      </c>
      <c r="N72" s="16">
        <v>1</v>
      </c>
      <c r="O72" t="str">
        <f t="shared" si="34"/>
        <v>EUR</v>
      </c>
      <c r="P72" s="13" t="str">
        <f>"16144"</f>
        <v>16144</v>
      </c>
      <c r="Q72" t="str">
        <f t="shared" si="35"/>
        <v>01</v>
      </c>
      <c r="R72" s="15">
        <v>750</v>
      </c>
      <c r="S72" t="str">
        <f t="shared" si="31"/>
        <v xml:space="preserve"> </v>
      </c>
      <c r="T72" t="str">
        <f t="shared" si="31"/>
        <v xml:space="preserve"> </v>
      </c>
      <c r="U72" t="str">
        <f t="shared" si="31"/>
        <v xml:space="preserve"> </v>
      </c>
      <c r="V72" s="15">
        <v>750</v>
      </c>
      <c r="W72" s="13">
        <v>1</v>
      </c>
      <c r="X72" t="str">
        <f>"REDA"</f>
        <v>REDA</v>
      </c>
      <c r="Y72" t="str">
        <f>"TS"</f>
        <v>TS</v>
      </c>
      <c r="Z72" s="14">
        <v>42104</v>
      </c>
      <c r="AA72" t="str">
        <f t="shared" si="36"/>
        <v xml:space="preserve"> </v>
      </c>
      <c r="AB72" s="15">
        <v>0</v>
      </c>
      <c r="AC72" t="str">
        <f>"REDA"</f>
        <v>REDA</v>
      </c>
      <c r="AD72" t="str">
        <f t="shared" si="37"/>
        <v xml:space="preserve"> </v>
      </c>
      <c r="AE72" t="str">
        <f>"33700"</f>
        <v>33700</v>
      </c>
      <c r="AF72" t="str">
        <f>"MERIGNAC"</f>
        <v>MERIGNAC</v>
      </c>
      <c r="AG72" t="str">
        <f t="shared" si="38"/>
        <v xml:space="preserve"> </v>
      </c>
      <c r="AH72" t="str">
        <f t="shared" si="39"/>
        <v>F</v>
      </c>
      <c r="AI72" s="14">
        <v>42097</v>
      </c>
      <c r="AJ72">
        <v>0</v>
      </c>
      <c r="AL72">
        <v>0</v>
      </c>
      <c r="AN72" t="str">
        <f t="shared" si="19"/>
        <v>DEBARROS</v>
      </c>
      <c r="AO72" t="str">
        <f>"REDA"</f>
        <v>REDA</v>
      </c>
      <c r="AP72" t="str">
        <f t="shared" si="40"/>
        <v xml:space="preserve"> </v>
      </c>
      <c r="AQ72" s="15">
        <v>0</v>
      </c>
      <c r="AR72" s="16">
        <v>0</v>
      </c>
      <c r="AS72" s="16">
        <v>0</v>
      </c>
      <c r="AT72" s="16">
        <v>0</v>
      </c>
      <c r="AU72">
        <v>0</v>
      </c>
      <c r="AV72">
        <v>0</v>
      </c>
      <c r="AW72">
        <v>0</v>
      </c>
      <c r="AX72" s="16">
        <v>0</v>
      </c>
      <c r="AY72">
        <v>0</v>
      </c>
      <c r="AZ72">
        <v>750</v>
      </c>
      <c r="BA72">
        <v>0</v>
      </c>
      <c r="BB72">
        <v>0</v>
      </c>
      <c r="BC72">
        <v>150</v>
      </c>
      <c r="BD72">
        <v>0</v>
      </c>
      <c r="BE72">
        <v>0</v>
      </c>
      <c r="BF72">
        <v>0</v>
      </c>
      <c r="BG72">
        <v>0</v>
      </c>
      <c r="BH72">
        <v>900</v>
      </c>
      <c r="BI72">
        <v>750</v>
      </c>
      <c r="BJ72" t="str">
        <f t="shared" si="28"/>
        <v>41</v>
      </c>
      <c r="BK72" t="str">
        <f t="shared" si="29"/>
        <v>VI</v>
      </c>
    </row>
    <row r="73" spans="1:63">
      <c r="A73" t="str">
        <f>"650119"</f>
        <v>650119</v>
      </c>
      <c r="B73" t="str">
        <f>"AIR INDUSTRIE"</f>
        <v>AIR INDUSTRIE</v>
      </c>
      <c r="C73" t="str">
        <f>"16143"</f>
        <v>16143</v>
      </c>
      <c r="D73" t="str">
        <f>"582"</f>
        <v>582</v>
      </c>
      <c r="E73" t="str">
        <f t="shared" si="41"/>
        <v xml:space="preserve"> </v>
      </c>
      <c r="F73" s="14">
        <v>42097</v>
      </c>
      <c r="G73" t="str">
        <f t="shared" si="42"/>
        <v>LT</v>
      </c>
      <c r="H73" t="str">
        <f t="shared" si="43"/>
        <v>FT</v>
      </c>
      <c r="I73" s="17">
        <v>42102</v>
      </c>
      <c r="J73" s="14">
        <v>42102</v>
      </c>
      <c r="K73" t="str">
        <f t="shared" si="33"/>
        <v xml:space="preserve"> </v>
      </c>
      <c r="L73">
        <v>405</v>
      </c>
      <c r="M73" s="15">
        <v>0</v>
      </c>
      <c r="N73" s="16">
        <v>1</v>
      </c>
      <c r="O73" t="str">
        <f t="shared" si="34"/>
        <v>EUR</v>
      </c>
      <c r="P73" s="13" t="str">
        <f>"16143"</f>
        <v>16143</v>
      </c>
      <c r="Q73" t="str">
        <f t="shared" si="35"/>
        <v>01</v>
      </c>
      <c r="R73" s="15">
        <v>405</v>
      </c>
      <c r="S73" t="str">
        <f t="shared" si="31"/>
        <v xml:space="preserve"> </v>
      </c>
      <c r="T73" t="str">
        <f t="shared" si="31"/>
        <v xml:space="preserve"> </v>
      </c>
      <c r="U73" t="str">
        <f t="shared" si="31"/>
        <v xml:space="preserve"> </v>
      </c>
      <c r="V73" s="15">
        <v>405</v>
      </c>
      <c r="W73" s="13">
        <v>1</v>
      </c>
      <c r="X73" t="str">
        <f>"AIR INDUSTRIE"</f>
        <v>AIR INDUSTRIE</v>
      </c>
      <c r="Y73" t="str">
        <f>"MP"</f>
        <v>MP</v>
      </c>
      <c r="Z73" s="14">
        <v>42102</v>
      </c>
      <c r="AA73" t="str">
        <f t="shared" si="36"/>
        <v xml:space="preserve"> </v>
      </c>
      <c r="AB73" s="15">
        <v>0</v>
      </c>
      <c r="AC73" t="str">
        <f>"AIR INDUSTRIE"</f>
        <v>AIR INDUSTRIE</v>
      </c>
      <c r="AD73" t="str">
        <f t="shared" si="37"/>
        <v xml:space="preserve"> </v>
      </c>
      <c r="AE73" t="str">
        <f>"33700"</f>
        <v>33700</v>
      </c>
      <c r="AF73" t="str">
        <f>"MERIGNAC"</f>
        <v>MERIGNAC</v>
      </c>
      <c r="AG73" t="str">
        <f t="shared" si="38"/>
        <v xml:space="preserve"> </v>
      </c>
      <c r="AH73" t="str">
        <f t="shared" si="39"/>
        <v>F</v>
      </c>
      <c r="AI73" s="14">
        <v>42097</v>
      </c>
      <c r="AJ73">
        <v>0</v>
      </c>
      <c r="AL73">
        <v>0</v>
      </c>
      <c r="AN73" t="str">
        <f t="shared" si="19"/>
        <v>DEBARROS</v>
      </c>
      <c r="AO73" t="str">
        <f>"AIR INDUSTRIE"</f>
        <v>AIR INDUSTRIE</v>
      </c>
      <c r="AP73" t="str">
        <f t="shared" si="40"/>
        <v xml:space="preserve"> </v>
      </c>
      <c r="AQ73" s="15">
        <v>0</v>
      </c>
      <c r="AR73" s="16">
        <v>0</v>
      </c>
      <c r="AS73" s="16">
        <v>0</v>
      </c>
      <c r="AT73" s="16">
        <v>0</v>
      </c>
      <c r="AU73">
        <v>0</v>
      </c>
      <c r="AV73">
        <v>0</v>
      </c>
      <c r="AW73">
        <v>0</v>
      </c>
      <c r="AX73" s="16">
        <v>0</v>
      </c>
      <c r="AY73">
        <v>0</v>
      </c>
      <c r="AZ73">
        <v>405</v>
      </c>
      <c r="BA73">
        <v>0</v>
      </c>
      <c r="BB73">
        <v>0</v>
      </c>
      <c r="BC73">
        <v>81</v>
      </c>
      <c r="BD73">
        <v>0</v>
      </c>
      <c r="BE73">
        <v>0</v>
      </c>
      <c r="BF73">
        <v>0</v>
      </c>
      <c r="BG73">
        <v>0</v>
      </c>
      <c r="BH73">
        <v>486</v>
      </c>
      <c r="BI73">
        <v>405</v>
      </c>
      <c r="BJ73" t="str">
        <f t="shared" si="28"/>
        <v>41</v>
      </c>
      <c r="BK73" t="str">
        <f t="shared" si="29"/>
        <v>VI</v>
      </c>
    </row>
    <row r="74" spans="1:63">
      <c r="A74" t="str">
        <f>"165300"</f>
        <v>165300</v>
      </c>
      <c r="B74" t="str">
        <f>"METAREG"</f>
        <v>METAREG</v>
      </c>
      <c r="C74" t="str">
        <f>"16142"</f>
        <v>16142</v>
      </c>
      <c r="D74" t="str">
        <f>"C150009962"</f>
        <v>C150009962</v>
      </c>
      <c r="E74" t="str">
        <f t="shared" si="41"/>
        <v xml:space="preserve"> </v>
      </c>
      <c r="F74" s="14">
        <v>42097</v>
      </c>
      <c r="G74" t="str">
        <f t="shared" si="42"/>
        <v>LT</v>
      </c>
      <c r="H74" t="str">
        <f t="shared" si="43"/>
        <v>FT</v>
      </c>
      <c r="I74" s="17">
        <v>42118</v>
      </c>
      <c r="J74" s="14">
        <v>42103</v>
      </c>
      <c r="K74" t="str">
        <f t="shared" si="33"/>
        <v xml:space="preserve"> </v>
      </c>
      <c r="L74">
        <v>930</v>
      </c>
      <c r="M74" s="15">
        <v>0</v>
      </c>
      <c r="N74" s="16">
        <v>1</v>
      </c>
      <c r="O74" t="str">
        <f t="shared" si="34"/>
        <v>EUR</v>
      </c>
      <c r="P74" s="13" t="str">
        <f>"16142"</f>
        <v>16142</v>
      </c>
      <c r="Q74" t="str">
        <f t="shared" si="35"/>
        <v>01</v>
      </c>
      <c r="R74" s="15">
        <v>930</v>
      </c>
      <c r="S74" t="str">
        <f t="shared" si="31"/>
        <v xml:space="preserve"> </v>
      </c>
      <c r="T74" t="str">
        <f t="shared" si="31"/>
        <v xml:space="preserve"> </v>
      </c>
      <c r="U74" t="str">
        <f t="shared" si="31"/>
        <v xml:space="preserve"> </v>
      </c>
      <c r="V74" s="15">
        <v>930</v>
      </c>
      <c r="W74" s="13">
        <v>1</v>
      </c>
      <c r="X74" t="str">
        <f>"METAREG"</f>
        <v>METAREG</v>
      </c>
      <c r="Y74" t="str">
        <f>"MP"</f>
        <v>MP</v>
      </c>
      <c r="Z74" s="14">
        <v>42103</v>
      </c>
      <c r="AA74" t="str">
        <f t="shared" si="36"/>
        <v xml:space="preserve"> </v>
      </c>
      <c r="AB74" s="15">
        <v>0</v>
      </c>
      <c r="AC74" t="str">
        <f>"EIFFAGE CONTRUCTION METALLIQUE"</f>
        <v>EIFFAGE CONTRUCTION METALLIQUE</v>
      </c>
      <c r="AD74" t="str">
        <f t="shared" si="37"/>
        <v xml:space="preserve"> </v>
      </c>
      <c r="AE74" t="str">
        <f>"33600"</f>
        <v>33600</v>
      </c>
      <c r="AF74" t="str">
        <f>"PESSAC"</f>
        <v>PESSAC</v>
      </c>
      <c r="AG74" t="str">
        <f t="shared" si="38"/>
        <v xml:space="preserve"> </v>
      </c>
      <c r="AH74" t="str">
        <f t="shared" si="39"/>
        <v>F</v>
      </c>
      <c r="AI74" s="14">
        <v>42096</v>
      </c>
      <c r="AJ74">
        <v>0</v>
      </c>
      <c r="AL74">
        <v>0</v>
      </c>
      <c r="AN74" t="str">
        <f t="shared" si="19"/>
        <v>DEBARROS</v>
      </c>
      <c r="AO74" t="str">
        <f>"EIFFAGE CONSTRUCTION METALLIQUE"</f>
        <v>EIFFAGE CONSTRUCTION METALLIQUE</v>
      </c>
      <c r="AP74" t="str">
        <f t="shared" si="40"/>
        <v xml:space="preserve"> </v>
      </c>
      <c r="AQ74" s="15">
        <v>0</v>
      </c>
      <c r="AR74" s="16">
        <v>0</v>
      </c>
      <c r="AS74" s="16">
        <v>0</v>
      </c>
      <c r="AT74" s="16">
        <v>0</v>
      </c>
      <c r="AU74">
        <v>0</v>
      </c>
      <c r="AV74">
        <v>0</v>
      </c>
      <c r="AW74">
        <v>0</v>
      </c>
      <c r="AX74" s="16">
        <v>0</v>
      </c>
      <c r="AY74">
        <v>0</v>
      </c>
      <c r="AZ74">
        <v>930</v>
      </c>
      <c r="BA74">
        <v>0</v>
      </c>
      <c r="BB74">
        <v>0</v>
      </c>
      <c r="BC74">
        <v>186</v>
      </c>
      <c r="BD74">
        <v>0</v>
      </c>
      <c r="BE74">
        <v>0</v>
      </c>
      <c r="BF74">
        <v>0</v>
      </c>
      <c r="BG74">
        <v>0</v>
      </c>
      <c r="BH74">
        <v>1116</v>
      </c>
      <c r="BI74">
        <v>930</v>
      </c>
      <c r="BJ74" t="str">
        <f t="shared" si="28"/>
        <v>41</v>
      </c>
      <c r="BK74" t="str">
        <f t="shared" si="29"/>
        <v>VI</v>
      </c>
    </row>
    <row r="75" spans="1:63">
      <c r="A75" t="str">
        <f>"165300"</f>
        <v>165300</v>
      </c>
      <c r="B75" t="str">
        <f>"METAREG"</f>
        <v>METAREG</v>
      </c>
      <c r="C75" t="str">
        <f>"16141"</f>
        <v>16141</v>
      </c>
      <c r="D75" t="str">
        <f>"C150009824"</f>
        <v>C150009824</v>
      </c>
      <c r="E75" t="str">
        <f t="shared" si="41"/>
        <v xml:space="preserve"> </v>
      </c>
      <c r="F75" s="14">
        <v>42097</v>
      </c>
      <c r="G75" t="str">
        <f t="shared" si="42"/>
        <v>LT</v>
      </c>
      <c r="H75" t="str">
        <f t="shared" si="43"/>
        <v>FT</v>
      </c>
      <c r="I75" s="17">
        <v>42097</v>
      </c>
      <c r="J75" s="14">
        <v>42101</v>
      </c>
      <c r="K75" t="str">
        <f t="shared" si="33"/>
        <v xml:space="preserve"> </v>
      </c>
      <c r="L75">
        <v>100</v>
      </c>
      <c r="M75" s="15">
        <v>0</v>
      </c>
      <c r="N75" s="16">
        <v>1</v>
      </c>
      <c r="O75" t="str">
        <f t="shared" si="34"/>
        <v>EUR</v>
      </c>
      <c r="P75" s="13" t="str">
        <f>"16141"</f>
        <v>16141</v>
      </c>
      <c r="Q75" t="str">
        <f t="shared" si="35"/>
        <v>01</v>
      </c>
      <c r="R75" s="15">
        <v>100</v>
      </c>
      <c r="S75" t="str">
        <f t="shared" si="31"/>
        <v xml:space="preserve"> </v>
      </c>
      <c r="T75" t="str">
        <f t="shared" si="31"/>
        <v xml:space="preserve"> </v>
      </c>
      <c r="U75" t="str">
        <f t="shared" si="31"/>
        <v xml:space="preserve"> </v>
      </c>
      <c r="V75" s="15">
        <v>100</v>
      </c>
      <c r="W75" s="13">
        <v>1</v>
      </c>
      <c r="X75" t="str">
        <f>"METAREG"</f>
        <v>METAREG</v>
      </c>
      <c r="Y75" t="str">
        <f>"MP"</f>
        <v>MP</v>
      </c>
      <c r="Z75" s="14">
        <v>42101</v>
      </c>
      <c r="AA75" t="str">
        <f t="shared" si="36"/>
        <v xml:space="preserve"> </v>
      </c>
      <c r="AB75" s="15">
        <v>0</v>
      </c>
      <c r="AC75" t="str">
        <f>"EIFFAGE CONTRUCTION METALLIQUE"</f>
        <v>EIFFAGE CONTRUCTION METALLIQUE</v>
      </c>
      <c r="AD75" t="str">
        <f t="shared" si="37"/>
        <v xml:space="preserve"> </v>
      </c>
      <c r="AE75" t="str">
        <f>"33600"</f>
        <v>33600</v>
      </c>
      <c r="AF75" t="str">
        <f>"PESSAC"</f>
        <v>PESSAC</v>
      </c>
      <c r="AG75" t="str">
        <f t="shared" si="38"/>
        <v xml:space="preserve"> </v>
      </c>
      <c r="AH75" t="str">
        <f t="shared" si="39"/>
        <v>F</v>
      </c>
      <c r="AI75" s="14">
        <v>42097</v>
      </c>
      <c r="AJ75">
        <v>0</v>
      </c>
      <c r="AL75">
        <v>0</v>
      </c>
      <c r="AN75" t="str">
        <f t="shared" si="19"/>
        <v>DEBARROS</v>
      </c>
      <c r="AO75" t="str">
        <f>"EIFFAGE CONSTRUCTION METALLIQUE"</f>
        <v>EIFFAGE CONSTRUCTION METALLIQUE</v>
      </c>
      <c r="AP75" t="str">
        <f t="shared" si="40"/>
        <v xml:space="preserve"> </v>
      </c>
      <c r="AQ75" s="15">
        <v>0</v>
      </c>
      <c r="AR75" s="16">
        <v>0</v>
      </c>
      <c r="AS75" s="16">
        <v>0</v>
      </c>
      <c r="AT75" s="16">
        <v>0</v>
      </c>
      <c r="AU75">
        <v>0</v>
      </c>
      <c r="AV75">
        <v>0</v>
      </c>
      <c r="AW75">
        <v>0</v>
      </c>
      <c r="AX75" s="16">
        <v>0</v>
      </c>
      <c r="AY75">
        <v>0</v>
      </c>
      <c r="AZ75">
        <v>100</v>
      </c>
      <c r="BA75">
        <v>0</v>
      </c>
      <c r="BB75">
        <v>0</v>
      </c>
      <c r="BC75">
        <v>20</v>
      </c>
      <c r="BD75">
        <v>0</v>
      </c>
      <c r="BE75">
        <v>0</v>
      </c>
      <c r="BF75">
        <v>0</v>
      </c>
      <c r="BG75">
        <v>0</v>
      </c>
      <c r="BH75">
        <v>120</v>
      </c>
      <c r="BI75">
        <v>100</v>
      </c>
      <c r="BJ75" t="str">
        <f t="shared" si="28"/>
        <v>41</v>
      </c>
      <c r="BK75" t="str">
        <f t="shared" si="29"/>
        <v>VI</v>
      </c>
    </row>
    <row r="76" spans="1:63">
      <c r="A76" t="str">
        <f>"165300"</f>
        <v>165300</v>
      </c>
      <c r="B76" t="str">
        <f>"METAREG"</f>
        <v>METAREG</v>
      </c>
      <c r="C76" t="str">
        <f>"16140"</f>
        <v>16140</v>
      </c>
      <c r="D76" t="str">
        <f>"C150009886"</f>
        <v>C150009886</v>
      </c>
      <c r="E76" t="str">
        <f t="shared" si="41"/>
        <v xml:space="preserve"> </v>
      </c>
      <c r="F76" s="14">
        <v>42097</v>
      </c>
      <c r="G76" t="str">
        <f t="shared" si="42"/>
        <v>LT</v>
      </c>
      <c r="H76" t="str">
        <f t="shared" si="43"/>
        <v>FT</v>
      </c>
      <c r="I76" s="17">
        <v>42108</v>
      </c>
      <c r="J76" s="14">
        <v>42116</v>
      </c>
      <c r="K76" t="str">
        <f t="shared" si="33"/>
        <v xml:space="preserve"> </v>
      </c>
      <c r="L76">
        <v>1600</v>
      </c>
      <c r="M76" s="15">
        <v>0</v>
      </c>
      <c r="N76" s="16">
        <v>1</v>
      </c>
      <c r="O76" t="str">
        <f t="shared" si="34"/>
        <v>EUR</v>
      </c>
      <c r="P76" s="13" t="str">
        <f>"16140"</f>
        <v>16140</v>
      </c>
      <c r="Q76" t="str">
        <f t="shared" si="35"/>
        <v>01</v>
      </c>
      <c r="R76" s="15">
        <v>1600</v>
      </c>
      <c r="S76" t="str">
        <f t="shared" si="31"/>
        <v xml:space="preserve"> </v>
      </c>
      <c r="T76" t="str">
        <f t="shared" si="31"/>
        <v xml:space="preserve"> </v>
      </c>
      <c r="U76" t="str">
        <f t="shared" si="31"/>
        <v xml:space="preserve"> </v>
      </c>
      <c r="V76" s="15">
        <v>1600</v>
      </c>
      <c r="W76" s="13">
        <v>1</v>
      </c>
      <c r="X76" t="str">
        <f>"METAREG"</f>
        <v>METAREG</v>
      </c>
      <c r="Y76" t="str">
        <f>"MP"</f>
        <v>MP</v>
      </c>
      <c r="Z76" s="14">
        <v>42116</v>
      </c>
      <c r="AA76" t="str">
        <f t="shared" si="36"/>
        <v xml:space="preserve"> </v>
      </c>
      <c r="AB76" s="15">
        <v>0</v>
      </c>
      <c r="AC76" t="str">
        <f>"EIFFAGE CONTRUCTION METALLIQUE"</f>
        <v>EIFFAGE CONTRUCTION METALLIQUE</v>
      </c>
      <c r="AD76" t="str">
        <f t="shared" si="37"/>
        <v xml:space="preserve"> </v>
      </c>
      <c r="AE76" t="str">
        <f>"33600"</f>
        <v>33600</v>
      </c>
      <c r="AF76" t="str">
        <f>"PESSAC"</f>
        <v>PESSAC</v>
      </c>
      <c r="AG76" t="str">
        <f t="shared" si="38"/>
        <v xml:space="preserve"> </v>
      </c>
      <c r="AH76" t="str">
        <f t="shared" si="39"/>
        <v>F</v>
      </c>
      <c r="AJ76">
        <v>0</v>
      </c>
      <c r="AL76">
        <v>0</v>
      </c>
      <c r="AN76" t="str">
        <f t="shared" si="19"/>
        <v>DEBARROS</v>
      </c>
      <c r="AO76" t="str">
        <f>"EIFFAGE CONSTRUCTION METALLIQUE"</f>
        <v>EIFFAGE CONSTRUCTION METALLIQUE</v>
      </c>
      <c r="AP76" t="str">
        <f t="shared" si="40"/>
        <v xml:space="preserve"> </v>
      </c>
      <c r="AQ76" s="15">
        <v>0</v>
      </c>
      <c r="AR76" s="16">
        <v>0</v>
      </c>
      <c r="AS76" s="16">
        <v>0</v>
      </c>
      <c r="AT76" s="16">
        <v>0</v>
      </c>
      <c r="AU76">
        <v>0</v>
      </c>
      <c r="AV76">
        <v>0</v>
      </c>
      <c r="AW76">
        <v>0</v>
      </c>
      <c r="AX76" s="16">
        <v>0</v>
      </c>
      <c r="AY76">
        <v>0</v>
      </c>
      <c r="AZ76">
        <v>1600</v>
      </c>
      <c r="BA76">
        <v>0</v>
      </c>
      <c r="BB76">
        <v>0</v>
      </c>
      <c r="BC76">
        <v>320</v>
      </c>
      <c r="BD76">
        <v>0</v>
      </c>
      <c r="BE76">
        <v>0</v>
      </c>
      <c r="BF76">
        <v>0</v>
      </c>
      <c r="BG76">
        <v>0</v>
      </c>
      <c r="BH76">
        <v>1920</v>
      </c>
      <c r="BI76">
        <v>1600</v>
      </c>
      <c r="BJ76" t="str">
        <f t="shared" si="28"/>
        <v>41</v>
      </c>
      <c r="BK76" t="str">
        <f t="shared" si="29"/>
        <v>VI</v>
      </c>
    </row>
    <row r="77" spans="1:63">
      <c r="A77" t="str">
        <f>"220264"</f>
        <v>220264</v>
      </c>
      <c r="B77" t="str">
        <f>"S.U.S."</f>
        <v>S.U.S.</v>
      </c>
      <c r="C77" t="str">
        <f>"16139"</f>
        <v>16139</v>
      </c>
      <c r="D77" t="str">
        <f>"BCJRE15041304"</f>
        <v>BCJRE15041304</v>
      </c>
      <c r="E77" t="str">
        <f t="shared" si="41"/>
        <v xml:space="preserve"> </v>
      </c>
      <c r="F77" s="14">
        <v>42096</v>
      </c>
      <c r="G77" t="str">
        <f>"LP"</f>
        <v>LP</v>
      </c>
      <c r="H77" t="str">
        <f>"FP"</f>
        <v>FP</v>
      </c>
      <c r="I77" s="17">
        <v>42116</v>
      </c>
      <c r="J77" s="14">
        <v>42138</v>
      </c>
      <c r="K77" t="str">
        <f t="shared" si="33"/>
        <v xml:space="preserve"> </v>
      </c>
      <c r="L77">
        <v>23400</v>
      </c>
      <c r="M77" s="15">
        <v>0</v>
      </c>
      <c r="N77" s="16">
        <v>1</v>
      </c>
      <c r="O77" t="str">
        <f t="shared" si="34"/>
        <v>EUR</v>
      </c>
      <c r="P77" s="13" t="str">
        <f>"16139"</f>
        <v>16139</v>
      </c>
      <c r="Q77" t="str">
        <f t="shared" si="35"/>
        <v>01</v>
      </c>
      <c r="R77" s="15">
        <v>23400</v>
      </c>
      <c r="S77" t="str">
        <f t="shared" si="31"/>
        <v xml:space="preserve"> </v>
      </c>
      <c r="T77" t="str">
        <f t="shared" si="31"/>
        <v xml:space="preserve"> </v>
      </c>
      <c r="U77" t="str">
        <f t="shared" si="31"/>
        <v xml:space="preserve"> </v>
      </c>
      <c r="V77" s="15">
        <v>23400</v>
      </c>
      <c r="W77" s="13">
        <v>1</v>
      </c>
      <c r="X77" t="str">
        <f>"S.U.S."</f>
        <v>S.U.S.</v>
      </c>
      <c r="Y77" t="str">
        <f>"TS"</f>
        <v>TS</v>
      </c>
      <c r="Z77" s="14">
        <v>42138</v>
      </c>
      <c r="AA77" t="str">
        <f t="shared" si="36"/>
        <v xml:space="preserve"> </v>
      </c>
      <c r="AB77" s="15">
        <v>0</v>
      </c>
      <c r="AC77" t="str">
        <f>"Service Usinage Soudure"</f>
        <v>Service Usinage Soudure</v>
      </c>
      <c r="AD77" t="str">
        <f t="shared" si="37"/>
        <v xml:space="preserve"> </v>
      </c>
      <c r="AE77" t="str">
        <f>"33210"</f>
        <v>33210</v>
      </c>
      <c r="AF77" t="str">
        <f>"Fargues de Langon"</f>
        <v>Fargues de Langon</v>
      </c>
      <c r="AG77" t="str">
        <f t="shared" si="38"/>
        <v xml:space="preserve"> </v>
      </c>
      <c r="AH77" t="str">
        <f t="shared" si="39"/>
        <v>F</v>
      </c>
      <c r="AI77" s="14">
        <v>42096</v>
      </c>
      <c r="AJ77">
        <v>0</v>
      </c>
      <c r="AL77">
        <v>0</v>
      </c>
      <c r="AN77" t="str">
        <f t="shared" si="19"/>
        <v>DEBARROS</v>
      </c>
      <c r="AO77" t="str">
        <f>"Service Usinage Soudure"</f>
        <v>Service Usinage Soudure</v>
      </c>
      <c r="AP77" t="str">
        <f t="shared" si="40"/>
        <v xml:space="preserve"> </v>
      </c>
      <c r="AQ77" s="15">
        <v>0</v>
      </c>
      <c r="AR77" s="16">
        <v>0</v>
      </c>
      <c r="AS77" s="16">
        <v>0</v>
      </c>
      <c r="AT77" s="16">
        <v>0</v>
      </c>
      <c r="AU77">
        <v>0</v>
      </c>
      <c r="AV77">
        <v>0</v>
      </c>
      <c r="AW77">
        <v>0</v>
      </c>
      <c r="AX77" s="16">
        <v>0</v>
      </c>
      <c r="AY77">
        <v>0</v>
      </c>
      <c r="AZ77">
        <v>23400</v>
      </c>
      <c r="BA77">
        <v>0</v>
      </c>
      <c r="BB77">
        <v>0</v>
      </c>
      <c r="BC77">
        <v>4680</v>
      </c>
      <c r="BD77">
        <v>0</v>
      </c>
      <c r="BE77">
        <v>0</v>
      </c>
      <c r="BF77">
        <v>0</v>
      </c>
      <c r="BG77">
        <v>0</v>
      </c>
      <c r="BH77">
        <v>28080</v>
      </c>
      <c r="BI77">
        <v>23400</v>
      </c>
      <c r="BJ77" t="str">
        <f>"10"</f>
        <v>10</v>
      </c>
      <c r="BK77" t="str">
        <f>"CH"</f>
        <v>CH</v>
      </c>
    </row>
    <row r="78" spans="1:63">
      <c r="A78" t="str">
        <f>"101000"</f>
        <v>101000</v>
      </c>
      <c r="B78" t="str">
        <f>"AIRBUS"</f>
        <v>AIRBUS</v>
      </c>
      <c r="C78" t="str">
        <f>"16138"</f>
        <v>16138</v>
      </c>
      <c r="D78" t="str">
        <f>"4577006723"</f>
        <v>4577006723</v>
      </c>
      <c r="E78" t="str">
        <f t="shared" si="41"/>
        <v xml:space="preserve"> </v>
      </c>
      <c r="F78" s="14">
        <v>42096</v>
      </c>
      <c r="G78" t="str">
        <f>" "</f>
        <v xml:space="preserve"> </v>
      </c>
      <c r="H78" t="str">
        <f>" "</f>
        <v xml:space="preserve"> </v>
      </c>
      <c r="I78" s="17">
        <v>42086</v>
      </c>
      <c r="J78" s="14">
        <v>42160</v>
      </c>
      <c r="K78" t="str">
        <f t="shared" si="33"/>
        <v xml:space="preserve"> </v>
      </c>
      <c r="L78">
        <v>38250</v>
      </c>
      <c r="M78" s="15">
        <v>0</v>
      </c>
      <c r="N78" s="16">
        <v>1</v>
      </c>
      <c r="O78" t="str">
        <f t="shared" si="34"/>
        <v>EUR</v>
      </c>
      <c r="P78" s="13" t="str">
        <f>"16138"</f>
        <v>16138</v>
      </c>
      <c r="Q78" t="str">
        <f t="shared" si="35"/>
        <v>01</v>
      </c>
      <c r="R78" s="15">
        <v>38250</v>
      </c>
      <c r="S78" t="str">
        <f t="shared" si="31"/>
        <v xml:space="preserve"> </v>
      </c>
      <c r="T78" t="str">
        <f t="shared" si="31"/>
        <v xml:space="preserve"> </v>
      </c>
      <c r="U78" t="str">
        <f t="shared" si="31"/>
        <v xml:space="preserve"> </v>
      </c>
      <c r="V78" s="15">
        <v>38250</v>
      </c>
      <c r="W78" s="13">
        <v>1</v>
      </c>
      <c r="X78" t="str">
        <f>"AIRBUS"</f>
        <v>AIRBUS</v>
      </c>
      <c r="Y78" t="str">
        <f>"MP"</f>
        <v>MP</v>
      </c>
      <c r="Z78" s="14">
        <v>42160</v>
      </c>
      <c r="AA78" t="str">
        <f t="shared" si="36"/>
        <v xml:space="preserve"> </v>
      </c>
      <c r="AB78" s="15">
        <v>0</v>
      </c>
      <c r="AC78" t="str">
        <f>"Airbus D &amp; S "</f>
        <v xml:space="preserve">Airbus D &amp; S </v>
      </c>
      <c r="AD78" t="str">
        <f t="shared" si="37"/>
        <v xml:space="preserve"> </v>
      </c>
      <c r="AE78" t="str">
        <f>"33165"</f>
        <v>33165</v>
      </c>
      <c r="AF78" t="str">
        <f>"SAINT MEDARD EN JALLES"</f>
        <v>SAINT MEDARD EN JALLES</v>
      </c>
      <c r="AG78" t="str">
        <f t="shared" si="38"/>
        <v xml:space="preserve"> </v>
      </c>
      <c r="AH78" t="str">
        <f t="shared" si="39"/>
        <v>F</v>
      </c>
      <c r="AI78" s="14">
        <v>42093</v>
      </c>
      <c r="AJ78">
        <v>0</v>
      </c>
      <c r="AL78">
        <v>0</v>
      </c>
      <c r="AN78" t="str">
        <f t="shared" si="19"/>
        <v>DEBARROS</v>
      </c>
      <c r="AO78" t="str">
        <f>"Airbus D &amp; S"</f>
        <v>Airbus D &amp; S</v>
      </c>
      <c r="AP78" t="str">
        <f t="shared" si="40"/>
        <v xml:space="preserve"> </v>
      </c>
      <c r="AQ78" s="15">
        <v>0</v>
      </c>
      <c r="AR78" s="16">
        <v>0</v>
      </c>
      <c r="AS78" s="16">
        <v>0</v>
      </c>
      <c r="AT78" s="16">
        <v>0</v>
      </c>
      <c r="AU78">
        <v>0</v>
      </c>
      <c r="AV78">
        <v>0</v>
      </c>
      <c r="AW78">
        <v>0</v>
      </c>
      <c r="AX78" s="16">
        <v>0</v>
      </c>
      <c r="AY78">
        <v>0</v>
      </c>
      <c r="AZ78">
        <v>38250</v>
      </c>
      <c r="BA78">
        <v>0</v>
      </c>
      <c r="BB78">
        <v>0</v>
      </c>
      <c r="BC78">
        <v>7650</v>
      </c>
      <c r="BD78">
        <v>0</v>
      </c>
      <c r="BE78">
        <v>0</v>
      </c>
      <c r="BF78">
        <v>0</v>
      </c>
      <c r="BG78">
        <v>0</v>
      </c>
      <c r="BH78">
        <v>45900</v>
      </c>
      <c r="BI78">
        <v>38250</v>
      </c>
      <c r="BJ78" t="str">
        <f>"41"</f>
        <v>41</v>
      </c>
      <c r="BK78" t="str">
        <f>"VI"</f>
        <v>VI</v>
      </c>
    </row>
    <row r="79" spans="1:63">
      <c r="A79" t="str">
        <f>"165300"</f>
        <v>165300</v>
      </c>
      <c r="B79" t="str">
        <f>"METAREG"</f>
        <v>METAREG</v>
      </c>
      <c r="C79" t="str">
        <f>"16137"</f>
        <v>16137</v>
      </c>
      <c r="D79" t="str">
        <f>"C150009824"</f>
        <v>C150009824</v>
      </c>
      <c r="E79" t="str">
        <f t="shared" si="41"/>
        <v xml:space="preserve"> </v>
      </c>
      <c r="F79" s="14">
        <v>42095</v>
      </c>
      <c r="G79" t="str">
        <f>"LT"</f>
        <v>LT</v>
      </c>
      <c r="H79" t="str">
        <f>"FT"</f>
        <v>FT</v>
      </c>
      <c r="I79" s="17">
        <v>42101</v>
      </c>
      <c r="J79" s="14">
        <v>42095</v>
      </c>
      <c r="K79" t="str">
        <f t="shared" si="33"/>
        <v xml:space="preserve"> </v>
      </c>
      <c r="L79">
        <v>500</v>
      </c>
      <c r="M79" s="15">
        <v>0</v>
      </c>
      <c r="N79" s="16">
        <v>1</v>
      </c>
      <c r="O79" t="str">
        <f t="shared" si="34"/>
        <v>EUR</v>
      </c>
      <c r="P79" s="13" t="str">
        <f>"16137"</f>
        <v>16137</v>
      </c>
      <c r="Q79" t="str">
        <f t="shared" si="35"/>
        <v>01</v>
      </c>
      <c r="R79" s="15">
        <v>500</v>
      </c>
      <c r="S79" t="str">
        <f t="shared" si="31"/>
        <v xml:space="preserve"> </v>
      </c>
      <c r="T79" t="str">
        <f t="shared" si="31"/>
        <v xml:space="preserve"> </v>
      </c>
      <c r="U79" t="str">
        <f t="shared" si="31"/>
        <v xml:space="preserve"> </v>
      </c>
      <c r="V79" s="15">
        <v>500</v>
      </c>
      <c r="W79" s="13">
        <v>1</v>
      </c>
      <c r="X79" t="str">
        <f>"METAREG"</f>
        <v>METAREG</v>
      </c>
      <c r="Y79" t="str">
        <f>"MP"</f>
        <v>MP</v>
      </c>
      <c r="Z79" s="14">
        <v>42095</v>
      </c>
      <c r="AA79" t="str">
        <f t="shared" si="36"/>
        <v xml:space="preserve"> </v>
      </c>
      <c r="AB79" s="15">
        <v>0</v>
      </c>
      <c r="AC79" t="str">
        <f>"EIFFAGE CONTRUCTION METALLIQUE"</f>
        <v>EIFFAGE CONTRUCTION METALLIQUE</v>
      </c>
      <c r="AD79" t="str">
        <f t="shared" si="37"/>
        <v xml:space="preserve"> </v>
      </c>
      <c r="AE79" t="str">
        <f>"33600"</f>
        <v>33600</v>
      </c>
      <c r="AF79" t="str">
        <f>"PESSAC"</f>
        <v>PESSAC</v>
      </c>
      <c r="AG79" t="str">
        <f t="shared" si="38"/>
        <v xml:space="preserve"> </v>
      </c>
      <c r="AH79" t="str">
        <f t="shared" si="39"/>
        <v>F</v>
      </c>
      <c r="AI79" s="14">
        <v>42094</v>
      </c>
      <c r="AJ79">
        <v>0</v>
      </c>
      <c r="AL79">
        <v>0</v>
      </c>
      <c r="AN79" t="str">
        <f t="shared" si="19"/>
        <v>DEBARROS</v>
      </c>
      <c r="AO79" t="str">
        <f>"EIFFAGE CONSTRUCTION METALLIQUE"</f>
        <v>EIFFAGE CONSTRUCTION METALLIQUE</v>
      </c>
      <c r="AP79" t="str">
        <f t="shared" si="40"/>
        <v xml:space="preserve"> </v>
      </c>
      <c r="AQ79" s="15">
        <v>0</v>
      </c>
      <c r="AR79" s="16">
        <v>0</v>
      </c>
      <c r="AS79" s="16">
        <v>0</v>
      </c>
      <c r="AT79" s="16">
        <v>0</v>
      </c>
      <c r="AU79">
        <v>0</v>
      </c>
      <c r="AV79">
        <v>0</v>
      </c>
      <c r="AW79">
        <v>0</v>
      </c>
      <c r="AX79" s="16">
        <v>0</v>
      </c>
      <c r="AY79">
        <v>0</v>
      </c>
      <c r="AZ79">
        <v>500</v>
      </c>
      <c r="BA79">
        <v>0</v>
      </c>
      <c r="BB79">
        <v>0</v>
      </c>
      <c r="BC79">
        <v>100</v>
      </c>
      <c r="BD79">
        <v>0</v>
      </c>
      <c r="BE79">
        <v>0</v>
      </c>
      <c r="BF79">
        <v>0</v>
      </c>
      <c r="BG79">
        <v>0</v>
      </c>
      <c r="BH79">
        <v>600</v>
      </c>
      <c r="BI79">
        <v>500</v>
      </c>
      <c r="BJ79" t="str">
        <f>"41"</f>
        <v>41</v>
      </c>
      <c r="BK79" t="str">
        <f>"VI"</f>
        <v>VI</v>
      </c>
    </row>
    <row r="80" spans="1:63">
      <c r="A80" t="str">
        <f>""</f>
        <v/>
      </c>
      <c r="B80" t="str">
        <f>""</f>
        <v/>
      </c>
      <c r="C80" t="str">
        <f>""</f>
        <v/>
      </c>
      <c r="D80" t="str">
        <f>""</f>
        <v/>
      </c>
      <c r="E80" t="str">
        <f>""</f>
        <v/>
      </c>
      <c r="G80" t="str">
        <f>""</f>
        <v/>
      </c>
      <c r="H80" t="str">
        <f>""</f>
        <v/>
      </c>
      <c r="K80" t="str">
        <f>""</f>
        <v/>
      </c>
      <c r="L80">
        <v>407299</v>
      </c>
      <c r="M80" s="15">
        <v>0</v>
      </c>
      <c r="N80" s="16">
        <v>1</v>
      </c>
      <c r="O80" t="str">
        <f>""</f>
        <v/>
      </c>
      <c r="P80" s="13" t="str">
        <f>""</f>
        <v/>
      </c>
      <c r="Q80" t="str">
        <f>""</f>
        <v/>
      </c>
      <c r="R80" s="15">
        <v>407299</v>
      </c>
      <c r="S80" t="str">
        <f>""</f>
        <v/>
      </c>
      <c r="T80" t="str">
        <f>""</f>
        <v/>
      </c>
      <c r="U80" t="str">
        <f>""</f>
        <v/>
      </c>
      <c r="V80" s="15">
        <v>407299</v>
      </c>
      <c r="X80" t="str">
        <f>""</f>
        <v/>
      </c>
      <c r="Y80" t="str">
        <f>""</f>
        <v/>
      </c>
      <c r="AA80" t="str">
        <f>""</f>
        <v/>
      </c>
      <c r="AB80" s="15">
        <v>0</v>
      </c>
      <c r="AC80" t="str">
        <f>""</f>
        <v/>
      </c>
      <c r="AD80" t="str">
        <f>""</f>
        <v/>
      </c>
      <c r="AE80" t="str">
        <f>""</f>
        <v/>
      </c>
      <c r="AF80" t="str">
        <f>""</f>
        <v/>
      </c>
      <c r="AG80" t="str">
        <f>""</f>
        <v/>
      </c>
      <c r="AH80" t="str">
        <f>""</f>
        <v/>
      </c>
      <c r="AJ80">
        <v>0</v>
      </c>
      <c r="AN80" t="str">
        <f>""</f>
        <v/>
      </c>
      <c r="AO80" t="str">
        <f>""</f>
        <v/>
      </c>
      <c r="AP80" t="str">
        <f>""</f>
        <v/>
      </c>
      <c r="AQ80" s="15">
        <v>0</v>
      </c>
      <c r="AU80">
        <v>0</v>
      </c>
      <c r="AV80">
        <v>0</v>
      </c>
      <c r="AW80">
        <v>0</v>
      </c>
      <c r="AY80">
        <v>0</v>
      </c>
      <c r="BC80">
        <v>81459.8</v>
      </c>
      <c r="BD80">
        <v>0</v>
      </c>
      <c r="BE80">
        <v>0</v>
      </c>
      <c r="BF80">
        <v>0</v>
      </c>
      <c r="BG80">
        <v>0</v>
      </c>
      <c r="BH80">
        <v>488758.8</v>
      </c>
      <c r="BI80">
        <v>407299</v>
      </c>
      <c r="BJ80" t="str">
        <f>""</f>
        <v/>
      </c>
      <c r="BK80" t="str">
        <f>""</f>
        <v/>
      </c>
    </row>
  </sheetData>
  <pageMargins left="0.78740157499999996" right="0.78740157499999996" top="0.984251969" bottom="0.984251969" header="0.4921259845" footer="0.4921259845"/>
  <pageSetup paperSize="9"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F61"/>
  <sheetViews>
    <sheetView tabSelected="1" zoomScale="80" zoomScaleNormal="80" workbookViewId="0">
      <selection activeCell="D2" sqref="D2:F2"/>
    </sheetView>
  </sheetViews>
  <sheetFormatPr baseColWidth="10" defaultColWidth="11.42578125" defaultRowHeight="15"/>
  <cols>
    <col min="1" max="2" width="13.28515625" style="1" customWidth="1"/>
    <col min="3" max="3" width="22.140625" style="1" bestFit="1" customWidth="1"/>
    <col min="4" max="16384" width="11.42578125" style="1"/>
  </cols>
  <sheetData>
    <row r="1" spans="1:6" ht="15.75" thickBot="1"/>
    <row r="2" spans="1:6" ht="15.75" thickBot="1">
      <c r="B2" s="3" t="s">
        <v>63</v>
      </c>
      <c r="D2" s="10" t="s">
        <v>61</v>
      </c>
      <c r="E2" s="11"/>
      <c r="F2" s="12"/>
    </row>
    <row r="3" spans="1:6" ht="15.75" thickBot="1">
      <c r="A3" s="4" t="s">
        <v>64</v>
      </c>
      <c r="B3" s="9">
        <v>42095</v>
      </c>
      <c r="D3" s="6" t="s">
        <v>3</v>
      </c>
      <c r="E3" s="6" t="s">
        <v>3</v>
      </c>
      <c r="F3" s="8" t="s">
        <v>60</v>
      </c>
    </row>
    <row r="4" spans="1:6" ht="15.75" thickBot="1">
      <c r="A4" s="4" t="s">
        <v>65</v>
      </c>
      <c r="B4" s="9">
        <v>42114</v>
      </c>
      <c r="D4" s="7" t="str">
        <f>"&gt;="&amp;B3</f>
        <v>&gt;=42095</v>
      </c>
      <c r="E4" s="7" t="str">
        <f>"&lt;="&amp;B4</f>
        <v>&lt;=42114</v>
      </c>
      <c r="F4" s="7" t="s">
        <v>62</v>
      </c>
    </row>
    <row r="5" spans="1:6" ht="15.75" thickBot="1"/>
    <row r="6" spans="1:6" ht="15.75" thickBot="1">
      <c r="B6" s="5" t="s">
        <v>66</v>
      </c>
      <c r="C6" s="5" t="s">
        <v>67</v>
      </c>
      <c r="D6" s="5" t="s">
        <v>3</v>
      </c>
      <c r="E6" s="2"/>
      <c r="F6" s="2"/>
    </row>
    <row r="7" spans="1:6">
      <c r="B7"/>
      <c r="C7"/>
      <c r="D7" s="14"/>
    </row>
    <row r="8" spans="1:6">
      <c r="B8"/>
      <c r="C8"/>
      <c r="D8" s="14"/>
    </row>
    <row r="9" spans="1:6">
      <c r="B9"/>
      <c r="C9"/>
      <c r="D9" s="14"/>
    </row>
    <row r="10" spans="1:6">
      <c r="B10"/>
      <c r="C10"/>
      <c r="D10" s="14"/>
    </row>
    <row r="11" spans="1:6">
      <c r="B11"/>
      <c r="C11"/>
      <c r="D11" s="14"/>
    </row>
    <row r="12" spans="1:6">
      <c r="B12"/>
      <c r="C12"/>
      <c r="D12" s="14"/>
    </row>
    <row r="13" spans="1:6">
      <c r="B13"/>
      <c r="C13"/>
      <c r="D13" s="14"/>
    </row>
    <row r="14" spans="1:6">
      <c r="B14"/>
      <c r="C14"/>
      <c r="D14" s="14"/>
    </row>
    <row r="15" spans="1:6">
      <c r="B15"/>
      <c r="C15"/>
      <c r="D15" s="14"/>
    </row>
    <row r="16" spans="1:6">
      <c r="B16"/>
      <c r="C16"/>
      <c r="D16" s="14"/>
    </row>
    <row r="17" spans="2:4">
      <c r="B17"/>
      <c r="C17"/>
      <c r="D17" s="14"/>
    </row>
    <row r="18" spans="2:4">
      <c r="B18"/>
      <c r="C18"/>
      <c r="D18" s="14"/>
    </row>
    <row r="19" spans="2:4">
      <c r="B19"/>
      <c r="C19"/>
      <c r="D19" s="14"/>
    </row>
    <row r="20" spans="2:4">
      <c r="B20"/>
      <c r="C20"/>
      <c r="D20" s="14"/>
    </row>
    <row r="21" spans="2:4">
      <c r="B21"/>
      <c r="C21"/>
      <c r="D21" s="14"/>
    </row>
    <row r="22" spans="2:4">
      <c r="B22"/>
      <c r="C22"/>
      <c r="D22" s="14"/>
    </row>
    <row r="23" spans="2:4">
      <c r="B23"/>
      <c r="C23"/>
      <c r="D23" s="14"/>
    </row>
    <row r="24" spans="2:4">
      <c r="B24"/>
      <c r="C24"/>
      <c r="D24" s="14"/>
    </row>
    <row r="25" spans="2:4">
      <c r="B25"/>
      <c r="C25"/>
      <c r="D25" s="14"/>
    </row>
    <row r="26" spans="2:4">
      <c r="B26"/>
      <c r="C26"/>
      <c r="D26" s="14"/>
    </row>
    <row r="27" spans="2:4">
      <c r="B27"/>
      <c r="C27"/>
      <c r="D27" s="14"/>
    </row>
    <row r="28" spans="2:4">
      <c r="B28"/>
      <c r="C28"/>
      <c r="D28" s="14"/>
    </row>
    <row r="29" spans="2:4">
      <c r="B29"/>
      <c r="C29"/>
      <c r="D29" s="14"/>
    </row>
    <row r="30" spans="2:4">
      <c r="B30"/>
      <c r="C30"/>
      <c r="D30" s="14"/>
    </row>
    <row r="31" spans="2:4">
      <c r="B31"/>
      <c r="C31"/>
      <c r="D31" s="14"/>
    </row>
    <row r="32" spans="2:4">
      <c r="B32"/>
      <c r="C32"/>
      <c r="D32" s="14"/>
    </row>
    <row r="33" spans="2:4">
      <c r="B33"/>
      <c r="C33"/>
      <c r="D33" s="14"/>
    </row>
    <row r="34" spans="2:4">
      <c r="B34"/>
      <c r="C34"/>
      <c r="D34" s="14"/>
    </row>
    <row r="35" spans="2:4">
      <c r="B35"/>
      <c r="C35"/>
      <c r="D35" s="14"/>
    </row>
    <row r="36" spans="2:4">
      <c r="B36"/>
      <c r="C36"/>
      <c r="D36" s="14"/>
    </row>
    <row r="37" spans="2:4">
      <c r="B37"/>
      <c r="C37"/>
      <c r="D37" s="14"/>
    </row>
    <row r="38" spans="2:4">
      <c r="B38"/>
      <c r="C38"/>
      <c r="D38" s="14"/>
    </row>
    <row r="39" spans="2:4">
      <c r="B39"/>
      <c r="C39"/>
      <c r="D39" s="14"/>
    </row>
    <row r="40" spans="2:4">
      <c r="B40"/>
      <c r="C40"/>
      <c r="D40" s="14"/>
    </row>
    <row r="41" spans="2:4">
      <c r="B41"/>
      <c r="C41"/>
      <c r="D41" s="14"/>
    </row>
    <row r="42" spans="2:4">
      <c r="B42"/>
      <c r="C42"/>
      <c r="D42" s="14"/>
    </row>
    <row r="43" spans="2:4">
      <c r="B43"/>
      <c r="C43"/>
      <c r="D43" s="14"/>
    </row>
    <row r="44" spans="2:4">
      <c r="B44"/>
      <c r="C44"/>
      <c r="D44" s="14"/>
    </row>
    <row r="45" spans="2:4">
      <c r="B45"/>
      <c r="C45"/>
      <c r="D45" s="14"/>
    </row>
    <row r="46" spans="2:4">
      <c r="B46"/>
      <c r="C46"/>
      <c r="D46" s="14"/>
    </row>
    <row r="47" spans="2:4">
      <c r="B47"/>
      <c r="C47"/>
      <c r="D47" s="14"/>
    </row>
    <row r="48" spans="2:4">
      <c r="B48"/>
      <c r="C48"/>
      <c r="D48" s="14"/>
    </row>
    <row r="49" spans="2:4">
      <c r="B49"/>
      <c r="C49"/>
      <c r="D49" s="14"/>
    </row>
    <row r="50" spans="2:4">
      <c r="B50"/>
      <c r="C50"/>
      <c r="D50" s="14"/>
    </row>
    <row r="51" spans="2:4">
      <c r="B51"/>
      <c r="C51"/>
      <c r="D51" s="14"/>
    </row>
    <row r="52" spans="2:4">
      <c r="B52"/>
      <c r="C52"/>
      <c r="D52" s="14"/>
    </row>
    <row r="53" spans="2:4">
      <c r="B53"/>
      <c r="C53"/>
      <c r="D53" s="14"/>
    </row>
    <row r="54" spans="2:4">
      <c r="B54"/>
      <c r="C54"/>
      <c r="D54" s="14"/>
    </row>
    <row r="55" spans="2:4">
      <c r="B55"/>
      <c r="C55"/>
      <c r="D55" s="14"/>
    </row>
    <row r="56" spans="2:4">
      <c r="B56"/>
      <c r="C56"/>
      <c r="D56" s="14"/>
    </row>
    <row r="57" spans="2:4">
      <c r="B57"/>
      <c r="C57"/>
      <c r="D57" s="14"/>
    </row>
    <row r="58" spans="2:4">
      <c r="B58"/>
      <c r="C58"/>
      <c r="D58" s="14"/>
    </row>
    <row r="59" spans="2:4">
      <c r="B59"/>
      <c r="C59"/>
      <c r="D59" s="14"/>
    </row>
    <row r="60" spans="2:4">
      <c r="B60"/>
      <c r="C60"/>
      <c r="D60" s="14"/>
    </row>
    <row r="61" spans="2:4">
      <c r="B61"/>
      <c r="C61"/>
      <c r="D61" s="14"/>
    </row>
  </sheetData>
  <sortState ref="B7:D14">
    <sortCondition ref="B6"/>
  </sortState>
  <mergeCells count="1">
    <mergeCell ref="D2:F2"/>
  </mergeCells>
  <pageMargins left="0.7" right="0.7" top="0.75" bottom="0.75" header="0.3" footer="0.3"/>
  <pageSetup paperSize="9" orientation="portrait" verticalDpi="30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DONNEES TOLTECH</vt:lpstr>
      <vt:lpstr>Bilan</vt:lpstr>
      <vt:lpstr>Bilan!Criteres</vt:lpstr>
      <vt:lpstr>Bilan!Extraire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</dc:creator>
  <cp:lastModifiedBy>Pierre</cp:lastModifiedBy>
  <dcterms:created xsi:type="dcterms:W3CDTF">2015-05-05T06:54:45Z</dcterms:created>
  <dcterms:modified xsi:type="dcterms:W3CDTF">2015-05-07T06:22:38Z</dcterms:modified>
</cp:coreProperties>
</file>