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-285" yWindow="285" windowWidth="19320" windowHeight="15480" tabRatio="500"/>
  </bookViews>
  <sheets>
    <sheet name="MENU" sheetId="3" r:id="rId1"/>
    <sheet name="PARCELLAIRE" sheetId="2" r:id="rId2"/>
  </sheets>
  <externalReferences>
    <externalReference r:id="rId3"/>
  </externalReferences>
  <definedNames>
    <definedName name="Col_Annee">Tableau1[ANNEE]</definedName>
    <definedName name="Col_Categorie">Tableau1[CATEGORIE]</definedName>
    <definedName name="Col_Culture">Tableau1[CULTURE]</definedName>
    <definedName name="Col_Date">Tableau1[DATE]</definedName>
    <definedName name="Col_Parcelle">Tableau1[PARCELLE]</definedName>
    <definedName name="Col_Prix">Tableau1[PRIX UNITAIRE]</definedName>
    <definedName name="Col_Produit">Tableau1[PRODUIT]</definedName>
    <definedName name="Col_Quantite">Tableau1[QTE / HA]</definedName>
    <definedName name="Col_Societe">Tableau1[SOCIETE]</definedName>
    <definedName name="Col_Surface">Tableau1[NB / HA]</definedName>
    <definedName name="Col_Vart">Tableau1[VARIETE]</definedName>
    <definedName name="Liste_Annee">OFFSET(MENU!$N$5,,,COUNT(MENU!$N$5:$N$15))</definedName>
    <definedName name="Liste_Culture">OFFSET(MENU!$P$5,,,COUNTIF(MENU!$P$5:$P$15,"?*"))</definedName>
    <definedName name="Liste_Parcelle">OFFSET(MENU!$R$5,,,COUNTIF(MENU!$R$5:$R$25,"?*"))</definedName>
    <definedName name="Liste_Societe">OFFSET(MENU!$O$5,,,COUNTIF(MENU!$O$5:$O$15,"?*"))</definedName>
    <definedName name="Liste_Vart">OFFSET(MENU!$Q$5,,,COUNTIF(MENU!$Q$5:$Q$15,"?*"))</definedName>
    <definedName name="STADE">[1]STADE!$A$1:$J$1</definedName>
    <definedName name="WHEN">'[1]FOCUS PARCELLE'!$G$7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3" l="1"/>
  <c r="O5" i="3" a="1"/>
  <c r="O5" i="3" s="1"/>
  <c r="O14" i="3" l="1"/>
  <c r="O12" i="3"/>
  <c r="O10" i="3"/>
  <c r="O8" i="3"/>
  <c r="O6" i="3"/>
  <c r="O15" i="3"/>
  <c r="O13" i="3"/>
  <c r="O11" i="3"/>
  <c r="O9" i="3"/>
  <c r="O7" i="3"/>
  <c r="D6" i="3" l="1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L2" i="2"/>
  <c r="M2" i="2"/>
  <c r="L3" i="2"/>
  <c r="M3" i="2"/>
  <c r="L4" i="2"/>
  <c r="M4" i="2"/>
  <c r="L5" i="2"/>
  <c r="M5" i="2"/>
  <c r="L6" i="2"/>
  <c r="M6" i="2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7" i="2"/>
  <c r="M17" i="2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0" i="2"/>
  <c r="M50" i="2" s="1"/>
  <c r="L51" i="2"/>
  <c r="M51" i="2" s="1"/>
  <c r="L52" i="2"/>
  <c r="M52" i="2" s="1"/>
  <c r="L53" i="2"/>
  <c r="M53" i="2" s="1"/>
  <c r="L54" i="2"/>
  <c r="M54" i="2" s="1"/>
  <c r="L55" i="2"/>
  <c r="M55" i="2" s="1"/>
  <c r="L56" i="2"/>
  <c r="M56" i="2" s="1"/>
  <c r="M57" i="2"/>
  <c r="L58" i="2"/>
  <c r="M58" i="2" s="1"/>
  <c r="M59" i="2"/>
  <c r="L60" i="2"/>
  <c r="M60" i="2" s="1"/>
  <c r="L61" i="2"/>
  <c r="M61" i="2" s="1"/>
  <c r="L62" i="2"/>
  <c r="M62" i="2" s="1"/>
  <c r="M63" i="2"/>
  <c r="M64" i="2"/>
  <c r="L65" i="2"/>
  <c r="M65" i="2" s="1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M81" i="2"/>
  <c r="M82" i="2"/>
  <c r="L83" i="2"/>
  <c r="M83" i="2" s="1"/>
  <c r="L84" i="2"/>
  <c r="M84" i="2" s="1"/>
  <c r="L85" i="2"/>
  <c r="M85" i="2" s="1"/>
  <c r="L86" i="2"/>
  <c r="M86" i="2" s="1"/>
  <c r="M87" i="2"/>
  <c r="M88" i="2"/>
  <c r="L89" i="2"/>
  <c r="M89" i="2" s="1"/>
  <c r="L90" i="2"/>
  <c r="M90" i="2" s="1"/>
  <c r="L91" i="2"/>
  <c r="M91" i="2" s="1"/>
  <c r="L92" i="2"/>
  <c r="M92" i="2" s="1"/>
  <c r="M93" i="2"/>
  <c r="L94" i="2"/>
  <c r="M94" i="2" s="1"/>
  <c r="L95" i="2"/>
  <c r="M95" i="2" s="1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 s="1"/>
  <c r="L102" i="2"/>
  <c r="M102" i="2" s="1"/>
  <c r="L103" i="2"/>
  <c r="M103" i="2" s="1"/>
  <c r="L104" i="2"/>
  <c r="M104" i="2" s="1"/>
  <c r="L105" i="2"/>
  <c r="M105" i="2" s="1"/>
  <c r="L106" i="2"/>
  <c r="M106" i="2" s="1"/>
  <c r="L107" i="2"/>
  <c r="M107" i="2" s="1"/>
  <c r="L108" i="2"/>
  <c r="M108" i="2" s="1"/>
  <c r="L109" i="2"/>
  <c r="M109" i="2" s="1"/>
  <c r="L110" i="2"/>
  <c r="M110" i="2" s="1"/>
  <c r="L111" i="2"/>
  <c r="M111" i="2" s="1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M118" i="2" s="1"/>
  <c r="L119" i="2"/>
  <c r="M119" i="2" s="1"/>
  <c r="L120" i="2"/>
  <c r="M120" i="2" s="1"/>
  <c r="L121" i="2"/>
  <c r="M121" i="2" s="1"/>
  <c r="L122" i="2"/>
  <c r="M122" i="2" s="1"/>
  <c r="L123" i="2"/>
  <c r="M123" i="2" s="1"/>
  <c r="L124" i="2"/>
  <c r="M124" i="2" s="1"/>
  <c r="L125" i="2"/>
  <c r="M125" i="2" s="1"/>
  <c r="L126" i="2"/>
  <c r="M126" i="2" s="1"/>
  <c r="L127" i="2"/>
  <c r="M127" i="2" s="1"/>
  <c r="L128" i="2"/>
  <c r="M128" i="2" s="1"/>
  <c r="L129" i="2"/>
  <c r="M129" i="2" s="1"/>
  <c r="L130" i="2"/>
  <c r="M130" i="2" s="1"/>
  <c r="L131" i="2"/>
  <c r="M131" i="2" s="1"/>
  <c r="L132" i="2"/>
  <c r="M132" i="2" s="1"/>
  <c r="L133" i="2"/>
  <c r="M133" i="2" s="1"/>
  <c r="L134" i="2"/>
  <c r="M134" i="2" s="1"/>
  <c r="L135" i="2"/>
  <c r="M135" i="2" s="1"/>
  <c r="L136" i="2"/>
  <c r="M136" i="2" s="1"/>
  <c r="L137" i="2"/>
  <c r="M137" i="2" s="1"/>
  <c r="L138" i="2"/>
  <c r="M138" i="2" s="1"/>
  <c r="L139" i="2"/>
  <c r="M139" i="2" s="1"/>
  <c r="L140" i="2"/>
  <c r="M140" i="2" s="1"/>
  <c r="L141" i="2"/>
  <c r="M141" i="2" s="1"/>
  <c r="L142" i="2"/>
  <c r="M142" i="2" s="1"/>
  <c r="L143" i="2"/>
  <c r="M143" i="2" s="1"/>
  <c r="L144" i="2"/>
  <c r="M144" i="2" s="1"/>
  <c r="L145" i="2"/>
  <c r="M145" i="2" s="1"/>
  <c r="L146" i="2"/>
  <c r="M146" i="2" s="1"/>
  <c r="L147" i="2"/>
  <c r="M147" i="2" s="1"/>
  <c r="L148" i="2"/>
  <c r="M148" i="2" s="1"/>
  <c r="L149" i="2"/>
  <c r="M149" i="2" s="1"/>
  <c r="L150" i="2"/>
  <c r="M150" i="2" s="1"/>
  <c r="L151" i="2"/>
  <c r="M151" i="2" s="1"/>
  <c r="L152" i="2"/>
  <c r="M152" i="2" s="1"/>
  <c r="L153" i="2"/>
  <c r="M153" i="2" s="1"/>
  <c r="L154" i="2"/>
  <c r="M154" i="2" s="1"/>
  <c r="L155" i="2"/>
  <c r="M155" i="2" s="1"/>
  <c r="L156" i="2"/>
  <c r="M156" i="2" s="1"/>
  <c r="L157" i="2"/>
  <c r="M157" i="2" s="1"/>
  <c r="L158" i="2"/>
  <c r="M158" i="2" s="1"/>
  <c r="L159" i="2"/>
  <c r="M159" i="2" s="1"/>
  <c r="L160" i="2"/>
  <c r="M160" i="2" s="1"/>
  <c r="L161" i="2"/>
  <c r="M161" i="2" s="1"/>
  <c r="L162" i="2"/>
  <c r="M162" i="2" s="1"/>
  <c r="L163" i="2"/>
  <c r="M163" i="2" s="1"/>
  <c r="L164" i="2"/>
  <c r="M164" i="2" s="1"/>
  <c r="L165" i="2"/>
  <c r="M165" i="2" s="1"/>
  <c r="L166" i="2"/>
  <c r="M166" i="2" s="1"/>
  <c r="L167" i="2"/>
  <c r="M167" i="2" s="1"/>
  <c r="L168" i="2"/>
  <c r="M168" i="2" s="1"/>
  <c r="L169" i="2"/>
  <c r="M169" i="2" s="1"/>
  <c r="L170" i="2"/>
  <c r="M170" i="2" s="1"/>
  <c r="L171" i="2"/>
  <c r="M171" i="2" s="1"/>
  <c r="L172" i="2"/>
  <c r="M172" i="2" s="1"/>
  <c r="L173" i="2"/>
  <c r="M173" i="2" s="1"/>
  <c r="L174" i="2"/>
  <c r="M174" i="2" s="1"/>
  <c r="L175" i="2"/>
  <c r="M175" i="2" s="1"/>
  <c r="L176" i="2"/>
  <c r="M176" i="2" s="1"/>
  <c r="L177" i="2"/>
  <c r="M177" i="2" s="1"/>
  <c r="L178" i="2"/>
  <c r="M178" i="2" s="1"/>
  <c r="L179" i="2"/>
  <c r="M179" i="2" s="1"/>
  <c r="L180" i="2"/>
  <c r="M180" i="2" s="1"/>
  <c r="L181" i="2"/>
  <c r="M181" i="2" s="1"/>
  <c r="L182" i="2"/>
  <c r="M182" i="2" s="1"/>
  <c r="L183" i="2"/>
  <c r="M183" i="2" s="1"/>
  <c r="L184" i="2"/>
  <c r="M184" i="2" s="1"/>
  <c r="L185" i="2"/>
  <c r="M185" i="2" s="1"/>
  <c r="L186" i="2"/>
  <c r="M186" i="2" s="1"/>
  <c r="L187" i="2"/>
  <c r="M187" i="2" s="1"/>
  <c r="L188" i="2"/>
  <c r="M188" i="2" s="1"/>
  <c r="L189" i="2"/>
  <c r="M189" i="2" s="1"/>
  <c r="L190" i="2"/>
  <c r="M190" i="2" s="1"/>
  <c r="L191" i="2"/>
  <c r="M191" i="2" s="1"/>
  <c r="L192" i="2"/>
  <c r="M192" i="2" s="1"/>
  <c r="L193" i="2"/>
  <c r="M193" i="2" s="1"/>
  <c r="L194" i="2"/>
  <c r="M194" i="2" s="1"/>
  <c r="L195" i="2"/>
  <c r="M195" i="2" s="1"/>
  <c r="L196" i="2"/>
  <c r="M196" i="2" s="1"/>
  <c r="L197" i="2"/>
  <c r="M197" i="2" s="1"/>
  <c r="L198" i="2"/>
  <c r="M198" i="2" s="1"/>
  <c r="L199" i="2"/>
  <c r="M199" i="2" s="1"/>
  <c r="L200" i="2"/>
  <c r="M200" i="2" s="1"/>
  <c r="L201" i="2"/>
  <c r="M201" i="2" s="1"/>
  <c r="L202" i="2"/>
  <c r="M202" i="2" s="1"/>
  <c r="L203" i="2"/>
  <c r="M203" i="2" s="1"/>
  <c r="L204" i="2"/>
  <c r="M204" i="2" s="1"/>
  <c r="L205" i="2"/>
  <c r="M205" i="2" s="1"/>
  <c r="L206" i="2"/>
  <c r="M206" i="2" s="1"/>
  <c r="L207" i="2"/>
  <c r="M207" i="2" s="1"/>
  <c r="L208" i="2"/>
  <c r="M208" i="2" s="1"/>
  <c r="L209" i="2"/>
  <c r="M209" i="2" s="1"/>
  <c r="L210" i="2"/>
  <c r="M210" i="2" s="1"/>
  <c r="L211" i="2"/>
  <c r="M211" i="2" s="1"/>
  <c r="L212" i="2"/>
  <c r="M212" i="2" s="1"/>
  <c r="L213" i="2"/>
  <c r="M213" i="2" s="1"/>
  <c r="L214" i="2"/>
  <c r="M214" i="2" s="1"/>
  <c r="L215" i="2"/>
  <c r="M215" i="2" s="1"/>
  <c r="L216" i="2"/>
  <c r="M216" i="2" s="1"/>
  <c r="L217" i="2"/>
  <c r="M217" i="2" s="1"/>
  <c r="L218" i="2"/>
  <c r="M218" i="2" s="1"/>
  <c r="L219" i="2"/>
  <c r="M219" i="2" s="1"/>
  <c r="L220" i="2"/>
  <c r="M220" i="2" s="1"/>
  <c r="L221" i="2"/>
  <c r="M221" i="2" s="1"/>
  <c r="L222" i="2"/>
  <c r="M222" i="2" s="1"/>
  <c r="L223" i="2"/>
  <c r="M223" i="2" s="1"/>
  <c r="L224" i="2"/>
  <c r="M224" i="2" s="1"/>
  <c r="L225" i="2"/>
  <c r="M225" i="2" s="1"/>
  <c r="L226" i="2"/>
  <c r="M226" i="2" s="1"/>
  <c r="L227" i="2"/>
  <c r="M227" i="2" s="1"/>
  <c r="L228" i="2"/>
  <c r="M228" i="2" s="1"/>
  <c r="L229" i="2"/>
  <c r="M229" i="2" s="1"/>
  <c r="L230" i="2"/>
  <c r="M230" i="2" s="1"/>
  <c r="L231" i="2"/>
  <c r="M231" i="2" s="1"/>
  <c r="L232" i="2"/>
  <c r="M232" i="2" s="1"/>
  <c r="L233" i="2"/>
  <c r="M233" i="2" s="1"/>
  <c r="L234" i="2"/>
  <c r="M234" i="2" s="1"/>
  <c r="L235" i="2"/>
  <c r="M235" i="2" s="1"/>
  <c r="L236" i="2"/>
  <c r="M236" i="2" s="1"/>
  <c r="L237" i="2"/>
  <c r="M237" i="2" s="1"/>
  <c r="L238" i="2"/>
  <c r="M238" i="2" s="1"/>
  <c r="L239" i="2"/>
  <c r="M239" i="2" s="1"/>
  <c r="L240" i="2"/>
  <c r="M240" i="2" s="1"/>
  <c r="L241" i="2"/>
  <c r="M241" i="2" s="1"/>
  <c r="L242" i="2"/>
  <c r="M242" i="2" s="1"/>
  <c r="L243" i="2"/>
  <c r="M243" i="2" s="1"/>
  <c r="L244" i="2"/>
  <c r="M244" i="2" s="1"/>
  <c r="L245" i="2"/>
  <c r="M245" i="2" s="1"/>
  <c r="L246" i="2"/>
  <c r="M246" i="2" s="1"/>
  <c r="L247" i="2"/>
  <c r="M247" i="2" s="1"/>
  <c r="L248" i="2"/>
  <c r="M248" i="2" s="1"/>
  <c r="L249" i="2"/>
  <c r="M249" i="2" s="1"/>
  <c r="L250" i="2"/>
  <c r="M250" i="2" s="1"/>
  <c r="L251" i="2"/>
  <c r="M251" i="2" s="1"/>
  <c r="L252" i="2"/>
  <c r="M252" i="2" s="1"/>
  <c r="L253" i="2"/>
  <c r="M253" i="2" s="1"/>
  <c r="L254" i="2"/>
  <c r="M254" i="2" s="1"/>
  <c r="L255" i="2"/>
  <c r="M255" i="2" s="1"/>
  <c r="L256" i="2"/>
  <c r="M256" i="2" s="1"/>
  <c r="L257" i="2"/>
  <c r="M257" i="2" s="1"/>
  <c r="L258" i="2"/>
  <c r="M258" i="2" s="1"/>
  <c r="L259" i="2"/>
  <c r="M259" i="2" s="1"/>
  <c r="L260" i="2"/>
  <c r="M260" i="2" s="1"/>
  <c r="L261" i="2"/>
  <c r="M261" i="2" s="1"/>
  <c r="L262" i="2"/>
  <c r="M262" i="2" s="1"/>
  <c r="L263" i="2"/>
  <c r="M263" i="2" s="1"/>
  <c r="L264" i="2"/>
  <c r="M264" i="2" s="1"/>
  <c r="L265" i="2"/>
  <c r="M265" i="2" s="1"/>
  <c r="L266" i="2"/>
  <c r="M266" i="2" s="1"/>
  <c r="L267" i="2"/>
  <c r="M267" i="2" s="1"/>
  <c r="L268" i="2"/>
  <c r="M268" i="2" s="1"/>
  <c r="L269" i="2"/>
  <c r="M269" i="2" s="1"/>
  <c r="L270" i="2"/>
  <c r="M270" i="2" s="1"/>
  <c r="L271" i="2"/>
  <c r="M271" i="2" s="1"/>
  <c r="L272" i="2"/>
  <c r="M272" i="2" s="1"/>
  <c r="L273" i="2"/>
  <c r="M273" i="2" s="1"/>
  <c r="L274" i="2"/>
  <c r="M274" i="2" s="1"/>
  <c r="L275" i="2"/>
  <c r="M275" i="2" s="1"/>
  <c r="L276" i="2"/>
  <c r="M276" i="2" s="1"/>
  <c r="L277" i="2"/>
  <c r="M277" i="2" s="1"/>
  <c r="L278" i="2"/>
  <c r="M278" i="2" s="1"/>
  <c r="L279" i="2"/>
  <c r="M279" i="2" s="1"/>
  <c r="L280" i="2"/>
  <c r="M280" i="2" s="1"/>
  <c r="L281" i="2"/>
  <c r="M281" i="2" s="1"/>
  <c r="L282" i="2"/>
  <c r="M282" i="2" s="1"/>
  <c r="L283" i="2"/>
  <c r="M283" i="2" s="1"/>
  <c r="L284" i="2"/>
  <c r="M284" i="2" s="1"/>
  <c r="L285" i="2"/>
  <c r="M285" i="2" s="1"/>
  <c r="L286" i="2"/>
  <c r="M286" i="2" s="1"/>
  <c r="L287" i="2"/>
  <c r="M287" i="2" s="1"/>
  <c r="L288" i="2"/>
  <c r="M288" i="2" s="1"/>
  <c r="L289" i="2"/>
  <c r="M289" i="2" s="1"/>
  <c r="L290" i="2"/>
  <c r="M290" i="2" s="1"/>
  <c r="L291" i="2"/>
  <c r="M291" i="2" s="1"/>
  <c r="L292" i="2"/>
  <c r="M292" i="2" s="1"/>
  <c r="L293" i="2"/>
  <c r="M293" i="2" s="1"/>
  <c r="L294" i="2"/>
  <c r="M294" i="2" s="1"/>
  <c r="L295" i="2"/>
  <c r="M295" i="2" s="1"/>
  <c r="L296" i="2"/>
  <c r="M296" i="2" s="1"/>
  <c r="L297" i="2"/>
  <c r="M297" i="2" s="1"/>
  <c r="L298" i="2"/>
  <c r="M298" i="2" s="1"/>
  <c r="M299" i="2"/>
  <c r="L300" i="2"/>
  <c r="M300" i="2" s="1"/>
  <c r="L301" i="2"/>
  <c r="M301" i="2" s="1"/>
  <c r="L302" i="2"/>
  <c r="M302" i="2" s="1"/>
  <c r="L303" i="2"/>
  <c r="M303" i="2" s="1"/>
  <c r="L304" i="2"/>
  <c r="M304" i="2" s="1"/>
  <c r="L305" i="2"/>
  <c r="M305" i="2" s="1"/>
  <c r="L306" i="2"/>
  <c r="M306" i="2" s="1"/>
  <c r="L307" i="2"/>
  <c r="M307" i="2" s="1"/>
  <c r="L308" i="2"/>
  <c r="M308" i="2" s="1"/>
  <c r="L309" i="2"/>
  <c r="M309" i="2" s="1"/>
  <c r="L310" i="2"/>
  <c r="M310" i="2" s="1"/>
  <c r="L311" i="2"/>
  <c r="M311" i="2" s="1"/>
  <c r="L312" i="2"/>
  <c r="M312" i="2" s="1"/>
  <c r="L313" i="2"/>
  <c r="M313" i="2" s="1"/>
  <c r="L314" i="2"/>
  <c r="M314" i="2" s="1"/>
  <c r="L315" i="2"/>
  <c r="M315" i="2" s="1"/>
  <c r="L316" i="2"/>
  <c r="M316" i="2" s="1"/>
  <c r="L317" i="2"/>
  <c r="M317" i="2" s="1"/>
  <c r="L318" i="2"/>
  <c r="M318" i="2" s="1"/>
  <c r="L319" i="2"/>
  <c r="M319" i="2" s="1"/>
  <c r="L320" i="2"/>
  <c r="M320" i="2" s="1"/>
  <c r="L321" i="2"/>
  <c r="M321" i="2" s="1"/>
  <c r="L322" i="2"/>
  <c r="M322" i="2" s="1"/>
  <c r="L323" i="2"/>
  <c r="M323" i="2" s="1"/>
  <c r="L324" i="2"/>
  <c r="M324" i="2" s="1"/>
  <c r="L325" i="2"/>
  <c r="M325" i="2" s="1"/>
  <c r="L326" i="2"/>
  <c r="M326" i="2" s="1"/>
  <c r="L327" i="2"/>
  <c r="M327" i="2" s="1"/>
  <c r="L328" i="2"/>
  <c r="M328" i="2" s="1"/>
  <c r="L329" i="2"/>
  <c r="M329" i="2" s="1"/>
  <c r="L330" i="2"/>
  <c r="M330" i="2" s="1"/>
  <c r="L331" i="2"/>
  <c r="M331" i="2" s="1"/>
  <c r="L332" i="2"/>
  <c r="M332" i="2" s="1"/>
  <c r="L333" i="2"/>
  <c r="M333" i="2" s="1"/>
  <c r="L334" i="2"/>
  <c r="M334" i="2" s="1"/>
  <c r="L335" i="2"/>
  <c r="M335" i="2" s="1"/>
  <c r="L336" i="2"/>
  <c r="M336" i="2" s="1"/>
  <c r="L337" i="2"/>
  <c r="M337" i="2" s="1"/>
  <c r="L338" i="2"/>
  <c r="M338" i="2" s="1"/>
  <c r="L339" i="2"/>
  <c r="M339" i="2" s="1"/>
  <c r="L340" i="2"/>
  <c r="M340" i="2" s="1"/>
  <c r="L341" i="2"/>
  <c r="M341" i="2" s="1"/>
  <c r="L342" i="2"/>
  <c r="M342" i="2" s="1"/>
  <c r="L343" i="2"/>
  <c r="M343" i="2" s="1"/>
  <c r="L344" i="2"/>
  <c r="M344" i="2" s="1"/>
  <c r="L345" i="2"/>
  <c r="M345" i="2" s="1"/>
  <c r="L346" i="2"/>
  <c r="M346" i="2" s="1"/>
  <c r="L347" i="2"/>
  <c r="M347" i="2" s="1"/>
  <c r="L348" i="2"/>
  <c r="M348" i="2" s="1"/>
  <c r="L349" i="2"/>
  <c r="M349" i="2" s="1"/>
  <c r="L350" i="2"/>
  <c r="M350" i="2" s="1"/>
  <c r="L351" i="2"/>
  <c r="M351" i="2" s="1"/>
  <c r="L352" i="2"/>
  <c r="M352" i="2" s="1"/>
  <c r="L353" i="2"/>
  <c r="M353" i="2" s="1"/>
  <c r="L354" i="2"/>
  <c r="M354" i="2" s="1"/>
  <c r="L355" i="2"/>
  <c r="M355" i="2" s="1"/>
  <c r="L356" i="2"/>
  <c r="M356" i="2" s="1"/>
  <c r="L357" i="2"/>
  <c r="M357" i="2" s="1"/>
  <c r="L358" i="2"/>
  <c r="K358" i="2"/>
  <c r="L359" i="2"/>
  <c r="K359" i="2"/>
  <c r="M359" i="2"/>
  <c r="L360" i="2"/>
  <c r="K360" i="2"/>
  <c r="L361" i="2"/>
  <c r="K361" i="2"/>
  <c r="M361" i="2"/>
  <c r="L362" i="2"/>
  <c r="K362" i="2"/>
  <c r="L363" i="2"/>
  <c r="K363" i="2"/>
  <c r="M363" i="2"/>
  <c r="L364" i="2"/>
  <c r="K364" i="2"/>
  <c r="L365" i="2"/>
  <c r="K365" i="2"/>
  <c r="M365" i="2"/>
  <c r="L366" i="2"/>
  <c r="K366" i="2"/>
  <c r="L367" i="2"/>
  <c r="K367" i="2"/>
  <c r="M367" i="2"/>
  <c r="L368" i="2"/>
  <c r="K368" i="2"/>
  <c r="L369" i="2"/>
  <c r="K369" i="2"/>
  <c r="M369" i="2"/>
  <c r="L370" i="2"/>
  <c r="M370" i="2" s="1"/>
  <c r="L371" i="2"/>
  <c r="M371" i="2" s="1"/>
  <c r="L372" i="2"/>
  <c r="M372" i="2" s="1"/>
  <c r="L373" i="2"/>
  <c r="M373" i="2" s="1"/>
  <c r="L374" i="2"/>
  <c r="M374" i="2" s="1"/>
  <c r="L375" i="2"/>
  <c r="M375" i="2" s="1"/>
  <c r="L376" i="2"/>
  <c r="M376" i="2" s="1"/>
  <c r="L377" i="2"/>
  <c r="M377" i="2" s="1"/>
  <c r="L378" i="2"/>
  <c r="M378" i="2" s="1"/>
  <c r="L379" i="2"/>
  <c r="M379" i="2" s="1"/>
  <c r="L380" i="2"/>
  <c r="M380" i="2" s="1"/>
  <c r="L381" i="2"/>
  <c r="M381" i="2" s="1"/>
  <c r="L382" i="2"/>
  <c r="M382" i="2" s="1"/>
  <c r="L383" i="2"/>
  <c r="M383" i="2" s="1"/>
  <c r="L384" i="2"/>
  <c r="M384" i="2" s="1"/>
  <c r="L385" i="2"/>
  <c r="M385" i="2" s="1"/>
  <c r="L386" i="2"/>
  <c r="M386" i="2" s="1"/>
  <c r="L387" i="2"/>
  <c r="M387" i="2" s="1"/>
  <c r="L388" i="2"/>
  <c r="M388" i="2" s="1"/>
  <c r="M389" i="2"/>
  <c r="L390" i="2"/>
  <c r="M390" i="2" s="1"/>
  <c r="L391" i="2"/>
  <c r="M391" i="2" s="1"/>
  <c r="L392" i="2"/>
  <c r="M392" i="2" s="1"/>
  <c r="L393" i="2"/>
  <c r="M393" i="2" s="1"/>
  <c r="L394" i="2"/>
  <c r="M394" i="2" s="1"/>
  <c r="L395" i="2"/>
  <c r="M395" i="2" s="1"/>
  <c r="L396" i="2"/>
  <c r="M396" i="2" s="1"/>
  <c r="L397" i="2"/>
  <c r="M397" i="2" s="1"/>
  <c r="L398" i="2"/>
  <c r="M398" i="2" s="1"/>
  <c r="L399" i="2"/>
  <c r="M399" i="2" s="1"/>
  <c r="L400" i="2"/>
  <c r="M400" i="2" s="1"/>
  <c r="M401" i="2"/>
  <c r="L402" i="2"/>
  <c r="M402" i="2" s="1"/>
  <c r="O402" i="2" s="1"/>
  <c r="L403" i="2"/>
  <c r="M403" i="2" s="1"/>
  <c r="O403" i="2" s="1"/>
  <c r="L404" i="2"/>
  <c r="M404" i="2" s="1"/>
  <c r="O404" i="2" s="1"/>
  <c r="L405" i="2"/>
  <c r="M405" i="2" s="1"/>
  <c r="O405" i="2" s="1"/>
  <c r="L406" i="2"/>
  <c r="M406" i="2" s="1"/>
  <c r="O406" i="2" s="1"/>
  <c r="L407" i="2"/>
  <c r="M407" i="2" s="1"/>
  <c r="O407" i="2" s="1"/>
  <c r="L408" i="2"/>
  <c r="M408" i="2" s="1"/>
  <c r="O408" i="2" s="1"/>
  <c r="L409" i="2"/>
  <c r="M409" i="2" s="1"/>
  <c r="L410" i="2"/>
  <c r="M410" i="2" s="1"/>
  <c r="L411" i="2"/>
  <c r="M411" i="2" s="1"/>
  <c r="L412" i="2"/>
  <c r="M412" i="2" s="1"/>
  <c r="L413" i="2"/>
  <c r="M413" i="2" s="1"/>
  <c r="L414" i="2"/>
  <c r="M414" i="2" s="1"/>
  <c r="L415" i="2"/>
  <c r="M415" i="2" s="1"/>
  <c r="L416" i="2"/>
  <c r="M416" i="2" s="1"/>
  <c r="L417" i="2"/>
  <c r="M417" i="2" s="1"/>
  <c r="L418" i="2"/>
  <c r="M418" i="2" s="1"/>
  <c r="L419" i="2"/>
  <c r="M419" i="2" s="1"/>
  <c r="L420" i="2"/>
  <c r="M420" i="2" s="1"/>
  <c r="L421" i="2"/>
  <c r="M421" i="2" s="1"/>
  <c r="L422" i="2"/>
  <c r="M422" i="2" s="1"/>
  <c r="L423" i="2"/>
  <c r="M423" i="2" s="1"/>
  <c r="L424" i="2"/>
  <c r="M424" i="2" s="1"/>
  <c r="L425" i="2"/>
  <c r="M425" i="2" s="1"/>
  <c r="L426" i="2"/>
  <c r="M426" i="2" s="1"/>
  <c r="L427" i="2"/>
  <c r="M427" i="2" s="1"/>
  <c r="L428" i="2"/>
  <c r="M428" i="2" s="1"/>
  <c r="L429" i="2"/>
  <c r="M429" i="2" s="1"/>
  <c r="L430" i="2"/>
  <c r="M430" i="2" s="1"/>
  <c r="L431" i="2"/>
  <c r="M431" i="2" s="1"/>
  <c r="L432" i="2"/>
  <c r="M432" i="2" s="1"/>
  <c r="L433" i="2"/>
  <c r="M433" i="2" s="1"/>
  <c r="L434" i="2"/>
  <c r="M434" i="2" s="1"/>
  <c r="L435" i="2"/>
  <c r="M435" i="2" s="1"/>
  <c r="L436" i="2"/>
  <c r="M436" i="2" s="1"/>
  <c r="L437" i="2"/>
  <c r="M437" i="2" s="1"/>
  <c r="L438" i="2"/>
  <c r="M438" i="2" s="1"/>
  <c r="L439" i="2"/>
  <c r="M439" i="2" s="1"/>
  <c r="M440" i="2"/>
  <c r="L441" i="2"/>
  <c r="M441" i="2" s="1"/>
  <c r="M442" i="2"/>
  <c r="L443" i="2"/>
  <c r="M443" i="2" s="1"/>
  <c r="M444" i="2"/>
  <c r="L445" i="2"/>
  <c r="M445" i="2" s="1"/>
  <c r="L446" i="2"/>
  <c r="M446" i="2" s="1"/>
  <c r="L447" i="2"/>
  <c r="M447" i="2" s="1"/>
  <c r="L448" i="2"/>
  <c r="M448" i="2" s="1"/>
  <c r="L449" i="2"/>
  <c r="M449" i="2" s="1"/>
  <c r="L450" i="2"/>
  <c r="M450" i="2" s="1"/>
  <c r="L451" i="2"/>
  <c r="M451" i="2" s="1"/>
  <c r="L452" i="2"/>
  <c r="M452" i="2" s="1"/>
  <c r="M453" i="2"/>
  <c r="M454" i="2"/>
  <c r="L455" i="2"/>
  <c r="M455" i="2" s="1"/>
  <c r="L456" i="2"/>
  <c r="M456" i="2" s="1"/>
  <c r="L457" i="2"/>
  <c r="M457" i="2" s="1"/>
  <c r="L458" i="2"/>
  <c r="M458" i="2" s="1"/>
  <c r="L459" i="2"/>
  <c r="M459" i="2" s="1"/>
  <c r="L460" i="2"/>
  <c r="M460" i="2" s="1"/>
  <c r="L461" i="2"/>
  <c r="M461" i="2" s="1"/>
  <c r="L462" i="2"/>
  <c r="M462" i="2" s="1"/>
  <c r="L463" i="2"/>
  <c r="M463" i="2" s="1"/>
  <c r="L464" i="2"/>
  <c r="M464" i="2" s="1"/>
  <c r="L465" i="2"/>
  <c r="M465" i="2" s="1"/>
  <c r="L466" i="2"/>
  <c r="M466" i="2" s="1"/>
  <c r="L467" i="2"/>
  <c r="M467" i="2" s="1"/>
  <c r="L468" i="2"/>
  <c r="M468" i="2" s="1"/>
  <c r="L469" i="2"/>
  <c r="M469" i="2" s="1"/>
  <c r="L470" i="2"/>
  <c r="M470" i="2" s="1"/>
  <c r="L471" i="2"/>
  <c r="M471" i="2" s="1"/>
  <c r="L472" i="2"/>
  <c r="M472" i="2" s="1"/>
  <c r="L473" i="2"/>
  <c r="M473" i="2" s="1"/>
  <c r="L474" i="2"/>
  <c r="M474" i="2" s="1"/>
  <c r="L475" i="2"/>
  <c r="M475" i="2" s="1"/>
  <c r="L476" i="2"/>
  <c r="M476" i="2" s="1"/>
  <c r="L477" i="2"/>
  <c r="M477" i="2" s="1"/>
  <c r="L478" i="2"/>
  <c r="M478" i="2" s="1"/>
  <c r="L479" i="2"/>
  <c r="M479" i="2" s="1"/>
  <c r="M480" i="2"/>
  <c r="L481" i="2"/>
  <c r="M481" i="2" s="1"/>
  <c r="L482" i="2"/>
  <c r="M482" i="2" s="1"/>
  <c r="L483" i="2"/>
  <c r="M483" i="2" s="1"/>
  <c r="L484" i="2"/>
  <c r="M484" i="2" s="1"/>
  <c r="L485" i="2"/>
  <c r="M485" i="2" s="1"/>
  <c r="L486" i="2"/>
  <c r="M486" i="2" s="1"/>
  <c r="L487" i="2"/>
  <c r="M487" i="2" s="1"/>
  <c r="L488" i="2"/>
  <c r="M488" i="2" s="1"/>
  <c r="L489" i="2"/>
  <c r="M489" i="2" s="1"/>
  <c r="L490" i="2"/>
  <c r="M490" i="2" s="1"/>
  <c r="L491" i="2"/>
  <c r="M491" i="2" s="1"/>
  <c r="L492" i="2"/>
  <c r="M492" i="2" s="1"/>
  <c r="L493" i="2"/>
  <c r="M493" i="2" s="1"/>
  <c r="L494" i="2"/>
  <c r="M494" i="2" s="1"/>
  <c r="L495" i="2"/>
  <c r="M495" i="2" s="1"/>
  <c r="L496" i="2"/>
  <c r="M496" i="2" s="1"/>
  <c r="L497" i="2"/>
  <c r="M497" i="2" s="1"/>
  <c r="L498" i="2"/>
  <c r="M498" i="2" s="1"/>
  <c r="L499" i="2"/>
  <c r="M499" i="2" s="1"/>
  <c r="L500" i="2"/>
  <c r="M500" i="2" s="1"/>
  <c r="L501" i="2"/>
  <c r="M501" i="2" s="1"/>
  <c r="L502" i="2"/>
  <c r="M502" i="2" s="1"/>
  <c r="L503" i="2"/>
  <c r="M503" i="2" s="1"/>
  <c r="L504" i="2"/>
  <c r="M504" i="2" s="1"/>
  <c r="L505" i="2"/>
  <c r="M505" i="2" s="1"/>
  <c r="L506" i="2"/>
  <c r="M506" i="2" s="1"/>
  <c r="M507" i="2"/>
  <c r="L508" i="2"/>
  <c r="M508" i="2" s="1"/>
  <c r="L509" i="2"/>
  <c r="M509" i="2" s="1"/>
  <c r="L510" i="2"/>
  <c r="M510" i="2" s="1"/>
  <c r="L511" i="2"/>
  <c r="M511" i="2" s="1"/>
  <c r="L512" i="2"/>
  <c r="M512" i="2" s="1"/>
  <c r="L513" i="2"/>
  <c r="M513" i="2" s="1"/>
  <c r="L514" i="2"/>
  <c r="M514" i="2" s="1"/>
  <c r="L515" i="2"/>
  <c r="M515" i="2" s="1"/>
  <c r="L516" i="2"/>
  <c r="M516" i="2" s="1"/>
  <c r="L517" i="2"/>
  <c r="M517" i="2" s="1"/>
  <c r="L518" i="2"/>
  <c r="M518" i="2" s="1"/>
  <c r="L519" i="2"/>
  <c r="M519" i="2" s="1"/>
  <c r="L520" i="2"/>
  <c r="M520" i="2" s="1"/>
  <c r="L521" i="2"/>
  <c r="M521" i="2" s="1"/>
  <c r="L522" i="2"/>
  <c r="M522" i="2" s="1"/>
  <c r="L523" i="2"/>
  <c r="M523" i="2" s="1"/>
  <c r="N2" i="2" a="1"/>
  <c r="N2" i="2" s="1"/>
  <c r="N3" i="2" a="1"/>
  <c r="N3" i="2" s="1"/>
  <c r="N4" i="2" a="1"/>
  <c r="N4" i="2" s="1"/>
  <c r="N5" i="2" a="1"/>
  <c r="N5" i="2" s="1"/>
  <c r="N6" i="2" a="1"/>
  <c r="N6" i="2" s="1"/>
  <c r="N7" i="2" a="1"/>
  <c r="N7" i="2" s="1"/>
  <c r="N8" i="2" a="1"/>
  <c r="N8" i="2" s="1"/>
  <c r="N9" i="2" a="1"/>
  <c r="N9" i="2" s="1"/>
  <c r="N10" i="2" a="1"/>
  <c r="N10" i="2" s="1"/>
  <c r="N11" i="2" a="1"/>
  <c r="N11" i="2" s="1"/>
  <c r="N12" i="2" a="1"/>
  <c r="N12" i="2" s="1"/>
  <c r="N13" i="2" a="1"/>
  <c r="N13" i="2" s="1"/>
  <c r="N14" i="2" a="1"/>
  <c r="N14" i="2" s="1"/>
  <c r="N15" i="2" a="1"/>
  <c r="N15" i="2" s="1"/>
  <c r="N16" i="2" a="1"/>
  <c r="N16" i="2" s="1"/>
  <c r="N17" i="2" a="1"/>
  <c r="N17" i="2" s="1"/>
  <c r="N18" i="2" a="1"/>
  <c r="N18" i="2" s="1"/>
  <c r="N19" i="2" a="1"/>
  <c r="N19" i="2" s="1"/>
  <c r="N20" i="2" a="1"/>
  <c r="N20" i="2" s="1"/>
  <c r="N21" i="2" a="1"/>
  <c r="N21" i="2" s="1"/>
  <c r="N22" i="2" a="1"/>
  <c r="N22" i="2" s="1"/>
  <c r="N23" i="2" a="1"/>
  <c r="N23" i="2" s="1"/>
  <c r="N24" i="2" a="1"/>
  <c r="N24" i="2" s="1"/>
  <c r="N25" i="2" a="1"/>
  <c r="N25" i="2" s="1"/>
  <c r="N26" i="2" a="1"/>
  <c r="N26" i="2" s="1"/>
  <c r="N27" i="2" a="1"/>
  <c r="N27" i="2" s="1"/>
  <c r="N28" i="2" a="1"/>
  <c r="N28" i="2" s="1"/>
  <c r="N29" i="2" a="1"/>
  <c r="N29" i="2" s="1"/>
  <c r="N30" i="2" a="1"/>
  <c r="N30" i="2" s="1"/>
  <c r="N31" i="2" a="1"/>
  <c r="N31" i="2" s="1"/>
  <c r="N32" i="2" a="1"/>
  <c r="N32" i="2" s="1"/>
  <c r="N33" i="2" a="1"/>
  <c r="N33" i="2" s="1"/>
  <c r="N34" i="2" a="1"/>
  <c r="N34" i="2" s="1"/>
  <c r="N35" i="2" a="1"/>
  <c r="N35" i="2" s="1"/>
  <c r="N36" i="2" a="1"/>
  <c r="N36" i="2" s="1"/>
  <c r="N37" i="2" a="1"/>
  <c r="N37" i="2" s="1"/>
  <c r="N38" i="2" a="1"/>
  <c r="N38" i="2" s="1"/>
  <c r="N39" i="2" a="1"/>
  <c r="N39" i="2" s="1"/>
  <c r="N40" i="2" a="1"/>
  <c r="N40" i="2" s="1"/>
  <c r="N41" i="2" a="1"/>
  <c r="N41" i="2" s="1"/>
  <c r="N42" i="2" a="1"/>
  <c r="N42" i="2" s="1"/>
  <c r="N43" i="2" a="1"/>
  <c r="N43" i="2" s="1"/>
  <c r="N44" i="2" a="1"/>
  <c r="N44" i="2" s="1"/>
  <c r="N45" i="2" a="1"/>
  <c r="N45" i="2" s="1"/>
  <c r="N46" i="2" a="1"/>
  <c r="N46" i="2" s="1"/>
  <c r="N47" i="2" a="1"/>
  <c r="N47" i="2" s="1"/>
  <c r="N48" i="2" a="1"/>
  <c r="N48" i="2" s="1"/>
  <c r="N49" i="2" a="1"/>
  <c r="N49" i="2" s="1"/>
  <c r="N50" i="2" a="1"/>
  <c r="N50" i="2" s="1"/>
  <c r="N51" i="2" a="1"/>
  <c r="N51" i="2" s="1"/>
  <c r="N52" i="2" a="1"/>
  <c r="N52" i="2" s="1"/>
  <c r="N53" i="2" a="1"/>
  <c r="N53" i="2" s="1"/>
  <c r="N54" i="2" a="1"/>
  <c r="N54" i="2" s="1"/>
  <c r="N55" i="2" a="1"/>
  <c r="N55" i="2" s="1"/>
  <c r="N56" i="2" a="1"/>
  <c r="N56" i="2" s="1"/>
  <c r="N57" i="2" a="1"/>
  <c r="N57" i="2" s="1"/>
  <c r="N58" i="2" a="1"/>
  <c r="N58" i="2" s="1"/>
  <c r="N59" i="2" a="1"/>
  <c r="N59" i="2" s="1"/>
  <c r="N60" i="2" a="1"/>
  <c r="N60" i="2" s="1"/>
  <c r="N61" i="2" a="1"/>
  <c r="N61" i="2" s="1"/>
  <c r="N62" i="2" a="1"/>
  <c r="N62" i="2" s="1"/>
  <c r="N63" i="2" a="1"/>
  <c r="N63" i="2" s="1"/>
  <c r="N64" i="2" a="1"/>
  <c r="N64" i="2" s="1"/>
  <c r="N65" i="2" a="1"/>
  <c r="N65" i="2" s="1"/>
  <c r="N66" i="2" a="1"/>
  <c r="N66" i="2" s="1"/>
  <c r="O66" i="2" s="1"/>
  <c r="N67" i="2" a="1"/>
  <c r="N67" i="2" s="1"/>
  <c r="N68" i="2" a="1"/>
  <c r="N68" i="2" s="1"/>
  <c r="N69" i="2" a="1"/>
  <c r="N69" i="2" s="1"/>
  <c r="N70" i="2" a="1"/>
  <c r="N70" i="2" s="1"/>
  <c r="N71" i="2" a="1"/>
  <c r="N71" i="2" s="1"/>
  <c r="N72" i="2" a="1"/>
  <c r="N72" i="2" s="1"/>
  <c r="N73" i="2" a="1"/>
  <c r="N73" i="2" s="1"/>
  <c r="N74" i="2" a="1"/>
  <c r="N74" i="2" s="1"/>
  <c r="N75" i="2" a="1"/>
  <c r="N75" i="2" s="1"/>
  <c r="N76" i="2" a="1"/>
  <c r="N76" i="2" s="1"/>
  <c r="N77" i="2" a="1"/>
  <c r="N77" i="2" s="1"/>
  <c r="N78" i="2" a="1"/>
  <c r="N78" i="2" s="1"/>
  <c r="N79" i="2" a="1"/>
  <c r="N79" i="2" s="1"/>
  <c r="N80" i="2" a="1"/>
  <c r="N80" i="2" s="1"/>
  <c r="N81" i="2" a="1"/>
  <c r="N81" i="2" s="1"/>
  <c r="N82" i="2" a="1"/>
  <c r="N82" i="2" s="1"/>
  <c r="N83" i="2" a="1"/>
  <c r="N83" i="2" s="1"/>
  <c r="N84" i="2" a="1"/>
  <c r="N84" i="2" s="1"/>
  <c r="N85" i="2" a="1"/>
  <c r="N85" i="2" s="1"/>
  <c r="N86" i="2" a="1"/>
  <c r="N86" i="2" s="1"/>
  <c r="N87" i="2" a="1"/>
  <c r="N87" i="2" s="1"/>
  <c r="N88" i="2" a="1"/>
  <c r="N88" i="2" s="1"/>
  <c r="N89" i="2" a="1"/>
  <c r="N89" i="2" s="1"/>
  <c r="N90" i="2" a="1"/>
  <c r="N90" i="2" s="1"/>
  <c r="N91" i="2" a="1"/>
  <c r="N91" i="2" s="1"/>
  <c r="N92" i="2" a="1"/>
  <c r="N92" i="2" s="1"/>
  <c r="N93" i="2" a="1"/>
  <c r="N93" i="2" s="1"/>
  <c r="N94" i="2" a="1"/>
  <c r="N94" i="2" s="1"/>
  <c r="N95" i="2" a="1"/>
  <c r="N95" i="2" s="1"/>
  <c r="N96" i="2" a="1"/>
  <c r="N96" i="2" s="1"/>
  <c r="N97" i="2" a="1"/>
  <c r="N97" i="2" s="1"/>
  <c r="N98" i="2" a="1"/>
  <c r="N98" i="2" s="1"/>
  <c r="N99" i="2" a="1"/>
  <c r="N99" i="2" s="1"/>
  <c r="N100" i="2" a="1"/>
  <c r="N100" i="2" s="1"/>
  <c r="N101" i="2" a="1"/>
  <c r="N101" i="2" s="1"/>
  <c r="N102" i="2" a="1"/>
  <c r="N102" i="2" s="1"/>
  <c r="N103" i="2" a="1"/>
  <c r="N103" i="2" s="1"/>
  <c r="N104" i="2" a="1"/>
  <c r="N104" i="2" s="1"/>
  <c r="N105" i="2" a="1"/>
  <c r="N105" i="2" s="1"/>
  <c r="N106" i="2" a="1"/>
  <c r="N106" i="2" s="1"/>
  <c r="N107" i="2" a="1"/>
  <c r="N107" i="2" s="1"/>
  <c r="N108" i="2" a="1"/>
  <c r="N108" i="2" s="1"/>
  <c r="N109" i="2" a="1"/>
  <c r="N109" i="2" s="1"/>
  <c r="N110" i="2" a="1"/>
  <c r="N110" i="2" s="1"/>
  <c r="N111" i="2" a="1"/>
  <c r="N111" i="2" s="1"/>
  <c r="N112" i="2" a="1"/>
  <c r="N112" i="2" s="1"/>
  <c r="N113" i="2" a="1"/>
  <c r="N113" i="2" s="1"/>
  <c r="N114" i="2" a="1"/>
  <c r="N114" i="2" s="1"/>
  <c r="N115" i="2" a="1"/>
  <c r="N115" i="2" s="1"/>
  <c r="N116" i="2" a="1"/>
  <c r="N116" i="2" s="1"/>
  <c r="N117" i="2" a="1"/>
  <c r="N117" i="2" s="1"/>
  <c r="N118" i="2" a="1"/>
  <c r="N118" i="2" s="1"/>
  <c r="N119" i="2" a="1"/>
  <c r="N119" i="2" s="1"/>
  <c r="N120" i="2" a="1"/>
  <c r="N120" i="2" s="1"/>
  <c r="N121" i="2" a="1"/>
  <c r="N121" i="2" s="1"/>
  <c r="N122" i="2" a="1"/>
  <c r="N122" i="2" s="1"/>
  <c r="N123" i="2" a="1"/>
  <c r="N123" i="2" s="1"/>
  <c r="N124" i="2" a="1"/>
  <c r="N124" i="2" s="1"/>
  <c r="N125" i="2" a="1"/>
  <c r="N125" i="2" s="1"/>
  <c r="N126" i="2" a="1"/>
  <c r="N126" i="2" s="1"/>
  <c r="N127" i="2" a="1"/>
  <c r="N127" i="2" s="1"/>
  <c r="N128" i="2" a="1"/>
  <c r="N128" i="2" s="1"/>
  <c r="N129" i="2" a="1"/>
  <c r="N129" i="2" s="1"/>
  <c r="N130" i="2" a="1"/>
  <c r="N130" i="2" s="1"/>
  <c r="N131" i="2" a="1"/>
  <c r="N131" i="2" s="1"/>
  <c r="N132" i="2" a="1"/>
  <c r="N132" i="2" s="1"/>
  <c r="N133" i="2" a="1"/>
  <c r="N133" i="2" s="1"/>
  <c r="N134" i="2" a="1"/>
  <c r="N134" i="2" s="1"/>
  <c r="N135" i="2" a="1"/>
  <c r="N135" i="2" s="1"/>
  <c r="N136" i="2" a="1"/>
  <c r="N136" i="2" s="1"/>
  <c r="N137" i="2" a="1"/>
  <c r="N137" i="2" s="1"/>
  <c r="N138" i="2" a="1"/>
  <c r="N138" i="2" s="1"/>
  <c r="N139" i="2" a="1"/>
  <c r="N139" i="2" s="1"/>
  <c r="N140" i="2" a="1"/>
  <c r="N140" i="2" s="1"/>
  <c r="N141" i="2" a="1"/>
  <c r="N141" i="2" s="1"/>
  <c r="N142" i="2" a="1"/>
  <c r="N142" i="2" s="1"/>
  <c r="N143" i="2" a="1"/>
  <c r="N143" i="2" s="1"/>
  <c r="N144" i="2" a="1"/>
  <c r="N144" i="2" s="1"/>
  <c r="N145" i="2" a="1"/>
  <c r="N145" i="2" s="1"/>
  <c r="N146" i="2" a="1"/>
  <c r="N146" i="2" s="1"/>
  <c r="N147" i="2" a="1"/>
  <c r="N147" i="2" s="1"/>
  <c r="N148" i="2" a="1"/>
  <c r="N148" i="2" s="1"/>
  <c r="N149" i="2" a="1"/>
  <c r="N149" i="2" s="1"/>
  <c r="N150" i="2" a="1"/>
  <c r="N150" i="2" s="1"/>
  <c r="N151" i="2" a="1"/>
  <c r="N151" i="2" s="1"/>
  <c r="N152" i="2" a="1"/>
  <c r="N152" i="2" s="1"/>
  <c r="N153" i="2" a="1"/>
  <c r="N153" i="2" s="1"/>
  <c r="N154" i="2" a="1"/>
  <c r="N154" i="2" s="1"/>
  <c r="N155" i="2" a="1"/>
  <c r="N155" i="2" s="1"/>
  <c r="N156" i="2" a="1"/>
  <c r="N156" i="2" s="1"/>
  <c r="N157" i="2" a="1"/>
  <c r="N157" i="2" s="1"/>
  <c r="N158" i="2" a="1"/>
  <c r="N158" i="2" s="1"/>
  <c r="N159" i="2" a="1"/>
  <c r="N159" i="2" s="1"/>
  <c r="N160" i="2" a="1"/>
  <c r="N160" i="2" s="1"/>
  <c r="N161" i="2" a="1"/>
  <c r="N161" i="2" s="1"/>
  <c r="N162" i="2" a="1"/>
  <c r="N162" i="2" s="1"/>
  <c r="N163" i="2" a="1"/>
  <c r="N163" i="2" s="1"/>
  <c r="N164" i="2" a="1"/>
  <c r="N164" i="2" s="1"/>
  <c r="N165" i="2" a="1"/>
  <c r="N165" i="2" s="1"/>
  <c r="N166" i="2" a="1"/>
  <c r="N166" i="2" s="1"/>
  <c r="N167" i="2" a="1"/>
  <c r="N167" i="2" s="1"/>
  <c r="N168" i="2" a="1"/>
  <c r="N168" i="2" s="1"/>
  <c r="N169" i="2" a="1"/>
  <c r="N169" i="2" s="1"/>
  <c r="N170" i="2" a="1"/>
  <c r="N170" i="2" s="1"/>
  <c r="N171" i="2" a="1"/>
  <c r="N171" i="2" s="1"/>
  <c r="N172" i="2" a="1"/>
  <c r="N172" i="2" s="1"/>
  <c r="N173" i="2" a="1"/>
  <c r="N173" i="2" s="1"/>
  <c r="N174" i="2" a="1"/>
  <c r="N174" i="2" s="1"/>
  <c r="N175" i="2" a="1"/>
  <c r="N175" i="2" s="1"/>
  <c r="N176" i="2" a="1"/>
  <c r="N176" i="2" s="1"/>
  <c r="N177" i="2" a="1"/>
  <c r="N177" i="2" s="1"/>
  <c r="N178" i="2" a="1"/>
  <c r="N178" i="2" s="1"/>
  <c r="N179" i="2" a="1"/>
  <c r="N179" i="2" s="1"/>
  <c r="N180" i="2" a="1"/>
  <c r="N180" i="2" s="1"/>
  <c r="N181" i="2" a="1"/>
  <c r="N181" i="2" s="1"/>
  <c r="N182" i="2" a="1"/>
  <c r="N182" i="2" s="1"/>
  <c r="N183" i="2" a="1"/>
  <c r="N183" i="2" s="1"/>
  <c r="N184" i="2" a="1"/>
  <c r="N184" i="2" s="1"/>
  <c r="N185" i="2" a="1"/>
  <c r="N185" i="2" s="1"/>
  <c r="N186" i="2" a="1"/>
  <c r="N186" i="2" s="1"/>
  <c r="N187" i="2" a="1"/>
  <c r="N187" i="2" s="1"/>
  <c r="N188" i="2" a="1"/>
  <c r="N188" i="2" s="1"/>
  <c r="N189" i="2" a="1"/>
  <c r="N189" i="2" s="1"/>
  <c r="N190" i="2" a="1"/>
  <c r="N190" i="2" s="1"/>
  <c r="N191" i="2" a="1"/>
  <c r="N191" i="2" s="1"/>
  <c r="N192" i="2" a="1"/>
  <c r="N192" i="2" s="1"/>
  <c r="N193" i="2" a="1"/>
  <c r="N193" i="2" s="1"/>
  <c r="N194" i="2" a="1"/>
  <c r="N194" i="2" s="1"/>
  <c r="N195" i="2" a="1"/>
  <c r="N195" i="2" s="1"/>
  <c r="N196" i="2" a="1"/>
  <c r="N196" i="2" s="1"/>
  <c r="N197" i="2" a="1"/>
  <c r="N197" i="2" s="1"/>
  <c r="N198" i="2" a="1"/>
  <c r="N198" i="2" s="1"/>
  <c r="N199" i="2" a="1"/>
  <c r="N199" i="2" s="1"/>
  <c r="N200" i="2" a="1"/>
  <c r="N200" i="2" s="1"/>
  <c r="N201" i="2" a="1"/>
  <c r="N201" i="2" s="1"/>
  <c r="N202" i="2" a="1"/>
  <c r="N202" i="2" s="1"/>
  <c r="N203" i="2" a="1"/>
  <c r="N203" i="2" s="1"/>
  <c r="N204" i="2" a="1"/>
  <c r="N204" i="2" s="1"/>
  <c r="N205" i="2" a="1"/>
  <c r="N205" i="2" s="1"/>
  <c r="N206" i="2" a="1"/>
  <c r="N206" i="2" s="1"/>
  <c r="N207" i="2" a="1"/>
  <c r="N207" i="2" s="1"/>
  <c r="N208" i="2" a="1"/>
  <c r="N208" i="2" s="1"/>
  <c r="N209" i="2" a="1"/>
  <c r="N209" i="2" s="1"/>
  <c r="N210" i="2" a="1"/>
  <c r="N210" i="2" s="1"/>
  <c r="N211" i="2" a="1"/>
  <c r="N211" i="2" s="1"/>
  <c r="N212" i="2" a="1"/>
  <c r="N212" i="2" s="1"/>
  <c r="N213" i="2" a="1"/>
  <c r="N213" i="2" s="1"/>
  <c r="N214" i="2" a="1"/>
  <c r="N214" i="2" s="1"/>
  <c r="N215" i="2" a="1"/>
  <c r="N215" i="2" s="1"/>
  <c r="N216" i="2" a="1"/>
  <c r="N216" i="2" s="1"/>
  <c r="N217" i="2" a="1"/>
  <c r="N217" i="2" s="1"/>
  <c r="N218" i="2" a="1"/>
  <c r="N218" i="2" s="1"/>
  <c r="N219" i="2" a="1"/>
  <c r="N219" i="2" s="1"/>
  <c r="N220" i="2" a="1"/>
  <c r="N220" i="2" s="1"/>
  <c r="N221" i="2" a="1"/>
  <c r="N221" i="2" s="1"/>
  <c r="N222" i="2" a="1"/>
  <c r="N222" i="2" s="1"/>
  <c r="N223" i="2" a="1"/>
  <c r="N223" i="2" s="1"/>
  <c r="N224" i="2" a="1"/>
  <c r="N224" i="2" s="1"/>
  <c r="N225" i="2" a="1"/>
  <c r="N225" i="2" s="1"/>
  <c r="N226" i="2" a="1"/>
  <c r="N226" i="2" s="1"/>
  <c r="N227" i="2" a="1"/>
  <c r="N227" i="2" s="1"/>
  <c r="N228" i="2" a="1"/>
  <c r="N228" i="2" s="1"/>
  <c r="N229" i="2" a="1"/>
  <c r="N229" i="2" s="1"/>
  <c r="N230" i="2" a="1"/>
  <c r="N230" i="2" s="1"/>
  <c r="N231" i="2" a="1"/>
  <c r="N231" i="2" s="1"/>
  <c r="N232" i="2" a="1"/>
  <c r="N232" i="2" s="1"/>
  <c r="N233" i="2" a="1"/>
  <c r="N233" i="2" s="1"/>
  <c r="N234" i="2" a="1"/>
  <c r="N234" i="2" s="1"/>
  <c r="N235" i="2" a="1"/>
  <c r="N235" i="2" s="1"/>
  <c r="N236" i="2" a="1"/>
  <c r="N236" i="2" s="1"/>
  <c r="N237" i="2" a="1"/>
  <c r="N237" i="2" s="1"/>
  <c r="N238" i="2" a="1"/>
  <c r="N238" i="2" s="1"/>
  <c r="N239" i="2" a="1"/>
  <c r="N239" i="2" s="1"/>
  <c r="N240" i="2" a="1"/>
  <c r="N240" i="2" s="1"/>
  <c r="N241" i="2" a="1"/>
  <c r="N241" i="2" s="1"/>
  <c r="N242" i="2" a="1"/>
  <c r="N242" i="2" s="1"/>
  <c r="N243" i="2" a="1"/>
  <c r="N243" i="2" s="1"/>
  <c r="N244" i="2" a="1"/>
  <c r="N244" i="2" s="1"/>
  <c r="N245" i="2" a="1"/>
  <c r="N245" i="2" s="1"/>
  <c r="N246" i="2" a="1"/>
  <c r="N246" i="2" s="1"/>
  <c r="N247" i="2" a="1"/>
  <c r="N247" i="2" s="1"/>
  <c r="N248" i="2" a="1"/>
  <c r="N248" i="2" s="1"/>
  <c r="N249" i="2" a="1"/>
  <c r="N249" i="2" s="1"/>
  <c r="N250" i="2" a="1"/>
  <c r="N250" i="2" s="1"/>
  <c r="N251" i="2" a="1"/>
  <c r="N251" i="2" s="1"/>
  <c r="N252" i="2" a="1"/>
  <c r="N252" i="2" s="1"/>
  <c r="N253" i="2" a="1"/>
  <c r="N253" i="2" s="1"/>
  <c r="N254" i="2" a="1"/>
  <c r="N254" i="2" s="1"/>
  <c r="N255" i="2" a="1"/>
  <c r="N255" i="2" s="1"/>
  <c r="N256" i="2" a="1"/>
  <c r="N256" i="2" s="1"/>
  <c r="N257" i="2" a="1"/>
  <c r="N257" i="2" s="1"/>
  <c r="N258" i="2" a="1"/>
  <c r="N258" i="2" s="1"/>
  <c r="N259" i="2" a="1"/>
  <c r="N259" i="2" s="1"/>
  <c r="N260" i="2" a="1"/>
  <c r="N260" i="2" s="1"/>
  <c r="N261" i="2" a="1"/>
  <c r="N261" i="2" s="1"/>
  <c r="N262" i="2" a="1"/>
  <c r="N262" i="2" s="1"/>
  <c r="N263" i="2" a="1"/>
  <c r="N263" i="2" s="1"/>
  <c r="N264" i="2" a="1"/>
  <c r="N264" i="2" s="1"/>
  <c r="N265" i="2" a="1"/>
  <c r="N265" i="2" s="1"/>
  <c r="N266" i="2" a="1"/>
  <c r="N266" i="2" s="1"/>
  <c r="N267" i="2" a="1"/>
  <c r="N267" i="2" s="1"/>
  <c r="N268" i="2" a="1"/>
  <c r="N268" i="2" s="1"/>
  <c r="N269" i="2" a="1"/>
  <c r="N269" i="2" s="1"/>
  <c r="N270" i="2" a="1"/>
  <c r="N270" i="2" s="1"/>
  <c r="N271" i="2" a="1"/>
  <c r="N271" i="2" s="1"/>
  <c r="N272" i="2" a="1"/>
  <c r="N272" i="2" s="1"/>
  <c r="N273" i="2" a="1"/>
  <c r="N273" i="2" s="1"/>
  <c r="N274" i="2" a="1"/>
  <c r="N274" i="2" s="1"/>
  <c r="N275" i="2" a="1"/>
  <c r="N275" i="2" s="1"/>
  <c r="N276" i="2" a="1"/>
  <c r="N276" i="2" s="1"/>
  <c r="N277" i="2" a="1"/>
  <c r="N277" i="2" s="1"/>
  <c r="N278" i="2" a="1"/>
  <c r="N278" i="2" s="1"/>
  <c r="N279" i="2" a="1"/>
  <c r="N279" i="2" s="1"/>
  <c r="N280" i="2" a="1"/>
  <c r="N280" i="2" s="1"/>
  <c r="N281" i="2" a="1"/>
  <c r="N281" i="2" s="1"/>
  <c r="N282" i="2" a="1"/>
  <c r="N282" i="2" s="1"/>
  <c r="N283" i="2" a="1"/>
  <c r="N283" i="2" s="1"/>
  <c r="N284" i="2" a="1"/>
  <c r="N284" i="2" s="1"/>
  <c r="N285" i="2" a="1"/>
  <c r="N285" i="2" s="1"/>
  <c r="N286" i="2" a="1"/>
  <c r="N286" i="2" s="1"/>
  <c r="N287" i="2" a="1"/>
  <c r="N287" i="2" s="1"/>
  <c r="N288" i="2" a="1"/>
  <c r="N288" i="2" s="1"/>
  <c r="N289" i="2" a="1"/>
  <c r="N289" i="2" s="1"/>
  <c r="N290" i="2" a="1"/>
  <c r="N290" i="2" s="1"/>
  <c r="N291" i="2" a="1"/>
  <c r="N291" i="2" s="1"/>
  <c r="N292" i="2" a="1"/>
  <c r="N292" i="2" s="1"/>
  <c r="N293" i="2" a="1"/>
  <c r="N293" i="2" s="1"/>
  <c r="N294" i="2" a="1"/>
  <c r="N294" i="2" s="1"/>
  <c r="N295" i="2" a="1"/>
  <c r="N295" i="2" s="1"/>
  <c r="N296" i="2" a="1"/>
  <c r="N296" i="2" s="1"/>
  <c r="N297" i="2" a="1"/>
  <c r="N297" i="2" s="1"/>
  <c r="N298" i="2" a="1"/>
  <c r="N298" i="2" s="1"/>
  <c r="N299" i="2" a="1"/>
  <c r="N299" i="2" s="1"/>
  <c r="N300" i="2" a="1"/>
  <c r="N300" i="2" s="1"/>
  <c r="N301" i="2" a="1"/>
  <c r="N301" i="2" s="1"/>
  <c r="N302" i="2" a="1"/>
  <c r="N302" i="2" s="1"/>
  <c r="N303" i="2" a="1"/>
  <c r="N303" i="2" s="1"/>
  <c r="N304" i="2" a="1"/>
  <c r="N304" i="2" s="1"/>
  <c r="N305" i="2" a="1"/>
  <c r="N305" i="2" s="1"/>
  <c r="N306" i="2" a="1"/>
  <c r="N306" i="2" s="1"/>
  <c r="N307" i="2" a="1"/>
  <c r="N307" i="2" s="1"/>
  <c r="N308" i="2" a="1"/>
  <c r="N308" i="2" s="1"/>
  <c r="N309" i="2" a="1"/>
  <c r="N309" i="2" s="1"/>
  <c r="N310" i="2" a="1"/>
  <c r="N310" i="2" s="1"/>
  <c r="N311" i="2" a="1"/>
  <c r="N311" i="2" s="1"/>
  <c r="N312" i="2" a="1"/>
  <c r="N312" i="2" s="1"/>
  <c r="N313" i="2" a="1"/>
  <c r="N313" i="2" s="1"/>
  <c r="N314" i="2" a="1"/>
  <c r="N314" i="2" s="1"/>
  <c r="N315" i="2" a="1"/>
  <c r="N315" i="2" s="1"/>
  <c r="N316" i="2" a="1"/>
  <c r="N316" i="2" s="1"/>
  <c r="N317" i="2" a="1"/>
  <c r="N317" i="2" s="1"/>
  <c r="N318" i="2" a="1"/>
  <c r="N318" i="2" s="1"/>
  <c r="N319" i="2" a="1"/>
  <c r="N319" i="2" s="1"/>
  <c r="N320" i="2" a="1"/>
  <c r="N320" i="2" s="1"/>
  <c r="N321" i="2" a="1"/>
  <c r="N321" i="2" s="1"/>
  <c r="N322" i="2" a="1"/>
  <c r="N322" i="2" s="1"/>
  <c r="N323" i="2" a="1"/>
  <c r="N323" i="2" s="1"/>
  <c r="N324" i="2" a="1"/>
  <c r="N324" i="2" s="1"/>
  <c r="N325" i="2" a="1"/>
  <c r="N325" i="2" s="1"/>
  <c r="N326" i="2" a="1"/>
  <c r="N326" i="2" s="1"/>
  <c r="N327" i="2" a="1"/>
  <c r="N327" i="2" s="1"/>
  <c r="N328" i="2" a="1"/>
  <c r="N328" i="2" s="1"/>
  <c r="N329" i="2" a="1"/>
  <c r="N329" i="2" s="1"/>
  <c r="N330" i="2" a="1"/>
  <c r="N330" i="2" s="1"/>
  <c r="N331" i="2" a="1"/>
  <c r="N331" i="2" s="1"/>
  <c r="N332" i="2" a="1"/>
  <c r="N332" i="2" s="1"/>
  <c r="N333" i="2" a="1"/>
  <c r="N333" i="2" s="1"/>
  <c r="N334" i="2" a="1"/>
  <c r="N334" i="2" s="1"/>
  <c r="N335" i="2" a="1"/>
  <c r="N335" i="2" s="1"/>
  <c r="N336" i="2" a="1"/>
  <c r="N336" i="2" s="1"/>
  <c r="N337" i="2" a="1"/>
  <c r="N337" i="2" s="1"/>
  <c r="N338" i="2" a="1"/>
  <c r="N338" i="2" s="1"/>
  <c r="N339" i="2" a="1"/>
  <c r="N339" i="2" s="1"/>
  <c r="N340" i="2" a="1"/>
  <c r="N340" i="2" s="1"/>
  <c r="N341" i="2" a="1"/>
  <c r="N341" i="2" s="1"/>
  <c r="N342" i="2" a="1"/>
  <c r="N342" i="2" s="1"/>
  <c r="N343" i="2" a="1"/>
  <c r="N343" i="2" s="1"/>
  <c r="N344" i="2" a="1"/>
  <c r="N344" i="2" s="1"/>
  <c r="N345" i="2" a="1"/>
  <c r="N345" i="2" s="1"/>
  <c r="N346" i="2" a="1"/>
  <c r="N346" i="2" s="1"/>
  <c r="N347" i="2" a="1"/>
  <c r="N347" i="2" s="1"/>
  <c r="N348" i="2" a="1"/>
  <c r="N348" i="2" s="1"/>
  <c r="N349" i="2" a="1"/>
  <c r="N349" i="2" s="1"/>
  <c r="N350" i="2" a="1"/>
  <c r="N350" i="2" s="1"/>
  <c r="N351" i="2" a="1"/>
  <c r="N351" i="2" s="1"/>
  <c r="N352" i="2" a="1"/>
  <c r="N352" i="2" s="1"/>
  <c r="N353" i="2" a="1"/>
  <c r="N353" i="2" s="1"/>
  <c r="N354" i="2" a="1"/>
  <c r="N354" i="2" s="1"/>
  <c r="N355" i="2" a="1"/>
  <c r="N355" i="2" s="1"/>
  <c r="N356" i="2" a="1"/>
  <c r="N356" i="2" s="1"/>
  <c r="N357" i="2" a="1"/>
  <c r="N357" i="2" s="1"/>
  <c r="N358" i="2" a="1"/>
  <c r="N358" i="2" s="1"/>
  <c r="N359" i="2" a="1"/>
  <c r="N359" i="2" s="1"/>
  <c r="N360" i="2" a="1"/>
  <c r="N360" i="2" s="1"/>
  <c r="N361" i="2" a="1"/>
  <c r="N361" i="2" s="1"/>
  <c r="N362" i="2" a="1"/>
  <c r="N362" i="2" s="1"/>
  <c r="N363" i="2" a="1"/>
  <c r="N363" i="2" s="1"/>
  <c r="N364" i="2" a="1"/>
  <c r="N364" i="2" s="1"/>
  <c r="N365" i="2" a="1"/>
  <c r="N365" i="2" s="1"/>
  <c r="N366" i="2" a="1"/>
  <c r="N366" i="2" s="1"/>
  <c r="N367" i="2" a="1"/>
  <c r="N367" i="2" s="1"/>
  <c r="N368" i="2" a="1"/>
  <c r="N368" i="2" s="1"/>
  <c r="N369" i="2" a="1"/>
  <c r="N369" i="2" s="1"/>
  <c r="N370" i="2" a="1"/>
  <c r="N370" i="2" s="1"/>
  <c r="N371" i="2" a="1"/>
  <c r="N371" i="2" s="1"/>
  <c r="N372" i="2" a="1"/>
  <c r="N372" i="2" s="1"/>
  <c r="N373" i="2" a="1"/>
  <c r="N373" i="2" s="1"/>
  <c r="N374" i="2" a="1"/>
  <c r="N374" i="2" s="1"/>
  <c r="N375" i="2" a="1"/>
  <c r="N375" i="2" s="1"/>
  <c r="N376" i="2" a="1"/>
  <c r="N376" i="2" s="1"/>
  <c r="N377" i="2" a="1"/>
  <c r="N377" i="2" s="1"/>
  <c r="N378" i="2" a="1"/>
  <c r="N378" i="2" s="1"/>
  <c r="N379" i="2" a="1"/>
  <c r="N379" i="2" s="1"/>
  <c r="N380" i="2" a="1"/>
  <c r="N380" i="2" s="1"/>
  <c r="N381" i="2" a="1"/>
  <c r="N381" i="2" s="1"/>
  <c r="N382" i="2" a="1"/>
  <c r="N382" i="2" s="1"/>
  <c r="N383" i="2" a="1"/>
  <c r="N383" i="2" s="1"/>
  <c r="N384" i="2" a="1"/>
  <c r="N384" i="2" s="1"/>
  <c r="N385" i="2" a="1"/>
  <c r="N385" i="2" s="1"/>
  <c r="N386" i="2" a="1"/>
  <c r="N386" i="2" s="1"/>
  <c r="N387" i="2" a="1"/>
  <c r="N387" i="2" s="1"/>
  <c r="N388" i="2" a="1"/>
  <c r="N388" i="2" s="1"/>
  <c r="N389" i="2" a="1"/>
  <c r="N389" i="2" s="1"/>
  <c r="N390" i="2" a="1"/>
  <c r="N390" i="2" s="1"/>
  <c r="N391" i="2" a="1"/>
  <c r="N391" i="2" s="1"/>
  <c r="N392" i="2" a="1"/>
  <c r="N392" i="2" s="1"/>
  <c r="N393" i="2" a="1"/>
  <c r="N393" i="2" s="1"/>
  <c r="N394" i="2" a="1"/>
  <c r="N394" i="2" s="1"/>
  <c r="N395" i="2" a="1"/>
  <c r="N395" i="2" s="1"/>
  <c r="N396" i="2" a="1"/>
  <c r="N396" i="2" s="1"/>
  <c r="N397" i="2" a="1"/>
  <c r="N397" i="2" s="1"/>
  <c r="N398" i="2" a="1"/>
  <c r="N398" i="2" s="1"/>
  <c r="N399" i="2" a="1"/>
  <c r="N399" i="2" s="1"/>
  <c r="N400" i="2" a="1"/>
  <c r="N400" i="2" s="1"/>
  <c r="N401" i="2" a="1"/>
  <c r="N401" i="2" s="1"/>
  <c r="N402" i="2" a="1"/>
  <c r="N402" i="2" s="1"/>
  <c r="N403" i="2" a="1"/>
  <c r="N403" i="2" s="1"/>
  <c r="N404" i="2" a="1"/>
  <c r="N404" i="2" s="1"/>
  <c r="N405" i="2" a="1"/>
  <c r="N405" i="2" s="1"/>
  <c r="N406" i="2" a="1"/>
  <c r="N406" i="2" s="1"/>
  <c r="N407" i="2" a="1"/>
  <c r="N407" i="2" s="1"/>
  <c r="N408" i="2" a="1"/>
  <c r="N408" i="2" s="1"/>
  <c r="N409" i="2" a="1"/>
  <c r="N409" i="2" s="1"/>
  <c r="N410" i="2" a="1"/>
  <c r="N410" i="2" s="1"/>
  <c r="N411" i="2" a="1"/>
  <c r="N411" i="2" s="1"/>
  <c r="N412" i="2" a="1"/>
  <c r="N412" i="2" s="1"/>
  <c r="N413" i="2" a="1"/>
  <c r="N413" i="2" s="1"/>
  <c r="N414" i="2" a="1"/>
  <c r="N414" i="2" s="1"/>
  <c r="N415" i="2" a="1"/>
  <c r="N415" i="2" s="1"/>
  <c r="N416" i="2" a="1"/>
  <c r="N416" i="2" s="1"/>
  <c r="N417" i="2" a="1"/>
  <c r="N417" i="2" s="1"/>
  <c r="N418" i="2" a="1"/>
  <c r="N418" i="2" s="1"/>
  <c r="N419" i="2" a="1"/>
  <c r="N419" i="2" s="1"/>
  <c r="N420" i="2" a="1"/>
  <c r="N420" i="2" s="1"/>
  <c r="N421" i="2" a="1"/>
  <c r="N421" i="2" s="1"/>
  <c r="N422" i="2" a="1"/>
  <c r="N422" i="2" s="1"/>
  <c r="N423" i="2" a="1"/>
  <c r="N423" i="2" s="1"/>
  <c r="N424" i="2" a="1"/>
  <c r="N424" i="2" s="1"/>
  <c r="N425" i="2" a="1"/>
  <c r="N425" i="2" s="1"/>
  <c r="N426" i="2" a="1"/>
  <c r="N426" i="2" s="1"/>
  <c r="N427" i="2" a="1"/>
  <c r="N427" i="2" s="1"/>
  <c r="N428" i="2" a="1"/>
  <c r="N428" i="2" s="1"/>
  <c r="N429" i="2" a="1"/>
  <c r="N429" i="2" s="1"/>
  <c r="N430" i="2" a="1"/>
  <c r="N430" i="2" s="1"/>
  <c r="N431" i="2" a="1"/>
  <c r="N431" i="2" s="1"/>
  <c r="N432" i="2" a="1"/>
  <c r="N432" i="2" s="1"/>
  <c r="N433" i="2" a="1"/>
  <c r="N433" i="2" s="1"/>
  <c r="N434" i="2" a="1"/>
  <c r="N434" i="2" s="1"/>
  <c r="N435" i="2" a="1"/>
  <c r="N435" i="2" s="1"/>
  <c r="N436" i="2" a="1"/>
  <c r="N436" i="2" s="1"/>
  <c r="N437" i="2" a="1"/>
  <c r="N437" i="2" s="1"/>
  <c r="N438" i="2" a="1"/>
  <c r="N438" i="2" s="1"/>
  <c r="N439" i="2" a="1"/>
  <c r="N439" i="2" s="1"/>
  <c r="N440" i="2" a="1"/>
  <c r="N440" i="2" s="1"/>
  <c r="N441" i="2" a="1"/>
  <c r="N441" i="2" s="1"/>
  <c r="N442" i="2" a="1"/>
  <c r="N442" i="2" s="1"/>
  <c r="N443" i="2" a="1"/>
  <c r="N443" i="2" s="1"/>
  <c r="N444" i="2" a="1"/>
  <c r="N444" i="2" s="1"/>
  <c r="N445" i="2" a="1"/>
  <c r="N445" i="2" s="1"/>
  <c r="N446" i="2" a="1"/>
  <c r="N446" i="2" s="1"/>
  <c r="N447" i="2" a="1"/>
  <c r="N447" i="2" s="1"/>
  <c r="N448" i="2" a="1"/>
  <c r="N448" i="2" s="1"/>
  <c r="N449" i="2" a="1"/>
  <c r="N449" i="2" s="1"/>
  <c r="N450" i="2" a="1"/>
  <c r="N450" i="2" s="1"/>
  <c r="N451" i="2" a="1"/>
  <c r="N451" i="2" s="1"/>
  <c r="N452" i="2" a="1"/>
  <c r="N452" i="2" s="1"/>
  <c r="N453" i="2" a="1"/>
  <c r="N453" i="2" s="1"/>
  <c r="N454" i="2" a="1"/>
  <c r="N454" i="2" s="1"/>
  <c r="N455" i="2" a="1"/>
  <c r="N455" i="2" s="1"/>
  <c r="N456" i="2" a="1"/>
  <c r="N456" i="2" s="1"/>
  <c r="N457" i="2" a="1"/>
  <c r="N457" i="2" s="1"/>
  <c r="N458" i="2" a="1"/>
  <c r="N458" i="2" s="1"/>
  <c r="N459" i="2" a="1"/>
  <c r="N459" i="2" s="1"/>
  <c r="N460" i="2" a="1"/>
  <c r="N460" i="2" s="1"/>
  <c r="N461" i="2" a="1"/>
  <c r="N461" i="2" s="1"/>
  <c r="N462" i="2" a="1"/>
  <c r="N462" i="2" s="1"/>
  <c r="N463" i="2" a="1"/>
  <c r="N463" i="2" s="1"/>
  <c r="N464" i="2" a="1"/>
  <c r="N464" i="2" s="1"/>
  <c r="N465" i="2" a="1"/>
  <c r="N465" i="2" s="1"/>
  <c r="N466" i="2" a="1"/>
  <c r="N466" i="2" s="1"/>
  <c r="N467" i="2" a="1"/>
  <c r="N467" i="2" s="1"/>
  <c r="N468" i="2" a="1"/>
  <c r="N468" i="2" s="1"/>
  <c r="N469" i="2" a="1"/>
  <c r="N469" i="2" s="1"/>
  <c r="N470" i="2" a="1"/>
  <c r="N470" i="2" s="1"/>
  <c r="N471" i="2" a="1"/>
  <c r="N471" i="2" s="1"/>
  <c r="N472" i="2" a="1"/>
  <c r="N472" i="2" s="1"/>
  <c r="N473" i="2" a="1"/>
  <c r="N473" i="2" s="1"/>
  <c r="N474" i="2" a="1"/>
  <c r="N474" i="2" s="1"/>
  <c r="N475" i="2" a="1"/>
  <c r="N475" i="2" s="1"/>
  <c r="N476" i="2" a="1"/>
  <c r="N476" i="2" s="1"/>
  <c r="N477" i="2" a="1"/>
  <c r="N477" i="2" s="1"/>
  <c r="N478" i="2" a="1"/>
  <c r="N478" i="2" s="1"/>
  <c r="N479" i="2" a="1"/>
  <c r="N479" i="2" s="1"/>
  <c r="N480" i="2" a="1"/>
  <c r="N480" i="2" s="1"/>
  <c r="N481" i="2" a="1"/>
  <c r="N481" i="2" s="1"/>
  <c r="N482" i="2" a="1"/>
  <c r="N482" i="2" s="1"/>
  <c r="N483" i="2" a="1"/>
  <c r="N483" i="2" s="1"/>
  <c r="N484" i="2" a="1"/>
  <c r="N484" i="2" s="1"/>
  <c r="N485" i="2" a="1"/>
  <c r="N485" i="2" s="1"/>
  <c r="N486" i="2" a="1"/>
  <c r="N486" i="2" s="1"/>
  <c r="N487" i="2" a="1"/>
  <c r="N487" i="2" s="1"/>
  <c r="N488" i="2" a="1"/>
  <c r="N488" i="2" s="1"/>
  <c r="N489" i="2" a="1"/>
  <c r="N489" i="2" s="1"/>
  <c r="N490" i="2" a="1"/>
  <c r="N490" i="2" s="1"/>
  <c r="N491" i="2" a="1"/>
  <c r="N491" i="2" s="1"/>
  <c r="N492" i="2" a="1"/>
  <c r="N492" i="2" s="1"/>
  <c r="N493" i="2" a="1"/>
  <c r="N493" i="2" s="1"/>
  <c r="O493" i="2" s="1"/>
  <c r="N494" i="2" a="1"/>
  <c r="N494" i="2" s="1"/>
  <c r="N495" i="2" a="1"/>
  <c r="N495" i="2" s="1"/>
  <c r="O495" i="2" s="1"/>
  <c r="N496" i="2" a="1"/>
  <c r="N496" i="2" s="1"/>
  <c r="N497" i="2" a="1"/>
  <c r="N497" i="2" s="1"/>
  <c r="O497" i="2" s="1"/>
  <c r="N498" i="2" a="1"/>
  <c r="N498" i="2" s="1"/>
  <c r="N499" i="2" a="1"/>
  <c r="N499" i="2" s="1"/>
  <c r="O499" i="2" s="1"/>
  <c r="N500" i="2" a="1"/>
  <c r="N500" i="2" s="1"/>
  <c r="N501" i="2" a="1"/>
  <c r="N501" i="2" s="1"/>
  <c r="O501" i="2" s="1"/>
  <c r="N502" i="2" a="1"/>
  <c r="N502" i="2" s="1"/>
  <c r="N503" i="2" a="1"/>
  <c r="N503" i="2" s="1"/>
  <c r="O503" i="2" s="1"/>
  <c r="N504" i="2" a="1"/>
  <c r="N504" i="2" s="1"/>
  <c r="N505" i="2" a="1"/>
  <c r="N505" i="2" s="1"/>
  <c r="O505" i="2" s="1"/>
  <c r="N506" i="2" a="1"/>
  <c r="N506" i="2" s="1"/>
  <c r="N507" i="2" a="1"/>
  <c r="N507" i="2" s="1"/>
  <c r="O507" i="2" s="1"/>
  <c r="N508" i="2" a="1"/>
  <c r="N508" i="2" s="1"/>
  <c r="N509" i="2" a="1"/>
  <c r="N509" i="2" s="1"/>
  <c r="O509" i="2" s="1"/>
  <c r="N510" i="2" a="1"/>
  <c r="N510" i="2" s="1"/>
  <c r="N511" i="2" a="1"/>
  <c r="N511" i="2" s="1"/>
  <c r="O511" i="2" s="1"/>
  <c r="N512" i="2" a="1"/>
  <c r="N512" i="2" s="1"/>
  <c r="N513" i="2" a="1"/>
  <c r="N513" i="2" s="1"/>
  <c r="O513" i="2" s="1"/>
  <c r="N514" i="2" a="1"/>
  <c r="N514" i="2" s="1"/>
  <c r="N515" i="2" a="1"/>
  <c r="N515" i="2" s="1"/>
  <c r="O515" i="2" s="1"/>
  <c r="N516" i="2" a="1"/>
  <c r="N516" i="2" s="1"/>
  <c r="N517" i="2" a="1"/>
  <c r="N517" i="2" s="1"/>
  <c r="N518" i="2" a="1"/>
  <c r="N518" i="2" s="1"/>
  <c r="N519" i="2" a="1"/>
  <c r="N519" i="2" s="1"/>
  <c r="N520" i="2" a="1"/>
  <c r="N520" i="2" s="1"/>
  <c r="N521" i="2" a="1"/>
  <c r="N521" i="2" s="1"/>
  <c r="N522" i="2" a="1"/>
  <c r="N522" i="2" s="1"/>
  <c r="O522" i="2" s="1"/>
  <c r="N523" i="2" a="1"/>
  <c r="N523" i="2" s="1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32" i="2"/>
  <c r="O34" i="2"/>
  <c r="O36" i="2"/>
  <c r="O38" i="2"/>
  <c r="O40" i="2"/>
  <c r="O42" i="2"/>
  <c r="O44" i="2"/>
  <c r="O46" i="2"/>
  <c r="O48" i="2"/>
  <c r="O49" i="2"/>
  <c r="O50" i="2"/>
  <c r="O51" i="2"/>
  <c r="O52" i="2"/>
  <c r="O53" i="2"/>
  <c r="O54" i="2"/>
  <c r="O55" i="2"/>
  <c r="O56" i="2"/>
  <c r="O57" i="2"/>
  <c r="O59" i="2"/>
  <c r="O60" i="2"/>
  <c r="O61" i="2"/>
  <c r="O62" i="2"/>
  <c r="O63" i="2"/>
  <c r="O64" i="2"/>
  <c r="O65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6" i="2"/>
  <c r="O98" i="2"/>
  <c r="O100" i="2"/>
  <c r="O102" i="2"/>
  <c r="O104" i="2"/>
  <c r="O106" i="2"/>
  <c r="O108" i="2"/>
  <c r="O110" i="2"/>
  <c r="O112" i="2"/>
  <c r="O114" i="2"/>
  <c r="O116" i="2"/>
  <c r="O118" i="2"/>
  <c r="O120" i="2"/>
  <c r="O122" i="2"/>
  <c r="O124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8" i="2"/>
  <c r="O349" i="2"/>
  <c r="O350" i="2"/>
  <c r="O351" i="2"/>
  <c r="O352" i="2"/>
  <c r="O353" i="2"/>
  <c r="O354" i="2"/>
  <c r="O355" i="2"/>
  <c r="O356" i="2"/>
  <c r="O357" i="2"/>
  <c r="O359" i="2"/>
  <c r="O361" i="2"/>
  <c r="O363" i="2"/>
  <c r="O365" i="2"/>
  <c r="O367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4" i="2"/>
  <c r="O496" i="2"/>
  <c r="O498" i="2"/>
  <c r="O500" i="2"/>
  <c r="O502" i="2"/>
  <c r="O504" i="2"/>
  <c r="O506" i="2"/>
  <c r="O508" i="2"/>
  <c r="O510" i="2"/>
  <c r="O512" i="2"/>
  <c r="O514" i="2"/>
  <c r="P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D523" i="2" a="1"/>
  <c r="D523" i="2" s="1"/>
  <c r="D522" i="2" a="1"/>
  <c r="D522" i="2" s="1"/>
  <c r="D521" i="2" a="1"/>
  <c r="D521" i="2" s="1"/>
  <c r="D520" i="2" a="1"/>
  <c r="D520" i="2" s="1"/>
  <c r="D519" i="2" a="1"/>
  <c r="D519" i="2" s="1"/>
  <c r="D518" i="2" a="1"/>
  <c r="D518" i="2" s="1"/>
  <c r="D517" i="2" a="1"/>
  <c r="D517" i="2" s="1"/>
  <c r="D516" i="2" a="1"/>
  <c r="D516" i="2" s="1"/>
  <c r="D515" i="2" a="1"/>
  <c r="D515" i="2" s="1"/>
  <c r="D514" i="2" a="1"/>
  <c r="D514" i="2" s="1"/>
  <c r="D513" i="2" a="1"/>
  <c r="D513" i="2" s="1"/>
  <c r="D512" i="2" a="1"/>
  <c r="D512" i="2" s="1"/>
  <c r="D511" i="2" a="1"/>
  <c r="D511" i="2" s="1"/>
  <c r="D510" i="2" a="1"/>
  <c r="D510" i="2" s="1"/>
  <c r="D509" i="2" a="1"/>
  <c r="D509" i="2" s="1"/>
  <c r="D508" i="2" a="1"/>
  <c r="D508" i="2" s="1"/>
  <c r="D507" i="2" a="1"/>
  <c r="D507" i="2" s="1"/>
  <c r="D506" i="2" a="1"/>
  <c r="D506" i="2" s="1"/>
  <c r="D505" i="2" a="1"/>
  <c r="D505" i="2" s="1"/>
  <c r="D504" i="2" a="1"/>
  <c r="D504" i="2" s="1"/>
  <c r="D503" i="2" a="1"/>
  <c r="D503" i="2" s="1"/>
  <c r="D502" i="2" a="1"/>
  <c r="D502" i="2" s="1"/>
  <c r="D501" i="2" a="1"/>
  <c r="D501" i="2" s="1"/>
  <c r="D500" i="2" a="1"/>
  <c r="D500" i="2" s="1"/>
  <c r="D499" i="2" a="1"/>
  <c r="D499" i="2" s="1"/>
  <c r="D498" i="2" a="1"/>
  <c r="D498" i="2" s="1"/>
  <c r="D497" i="2" a="1"/>
  <c r="D497" i="2" s="1"/>
  <c r="D496" i="2" a="1"/>
  <c r="D496" i="2" s="1"/>
  <c r="D495" i="2" a="1"/>
  <c r="D495" i="2" s="1"/>
  <c r="D494" i="2" a="1"/>
  <c r="D494" i="2" s="1"/>
  <c r="D493" i="2" a="1"/>
  <c r="D493" i="2" s="1"/>
  <c r="D492" i="2" a="1"/>
  <c r="D492" i="2" s="1"/>
  <c r="D491" i="2" a="1"/>
  <c r="D491" i="2" s="1"/>
  <c r="D490" i="2" a="1"/>
  <c r="D490" i="2" s="1"/>
  <c r="D489" i="2" a="1"/>
  <c r="D489" i="2" s="1"/>
  <c r="D488" i="2" a="1"/>
  <c r="D488" i="2" s="1"/>
  <c r="D487" i="2" a="1"/>
  <c r="D487" i="2" s="1"/>
  <c r="D486" i="2" a="1"/>
  <c r="D486" i="2" s="1"/>
  <c r="D485" i="2" a="1"/>
  <c r="D485" i="2" s="1"/>
  <c r="D484" i="2" a="1"/>
  <c r="D484" i="2" s="1"/>
  <c r="D483" i="2" a="1"/>
  <c r="D483" i="2" s="1"/>
  <c r="D482" i="2" a="1"/>
  <c r="D482" i="2" s="1"/>
  <c r="D481" i="2" a="1"/>
  <c r="D481" i="2" s="1"/>
  <c r="D480" i="2" a="1"/>
  <c r="D480" i="2" s="1"/>
  <c r="D479" i="2" a="1"/>
  <c r="D479" i="2" s="1"/>
  <c r="D478" i="2" a="1"/>
  <c r="D478" i="2" s="1"/>
  <c r="D477" i="2" a="1"/>
  <c r="D477" i="2" s="1"/>
  <c r="D476" i="2" a="1"/>
  <c r="D476" i="2" s="1"/>
  <c r="D475" i="2" a="1"/>
  <c r="D475" i="2" s="1"/>
  <c r="D474" i="2" a="1"/>
  <c r="D474" i="2" s="1"/>
  <c r="D473" i="2" a="1"/>
  <c r="D473" i="2" s="1"/>
  <c r="D472" i="2" a="1"/>
  <c r="D472" i="2" s="1"/>
  <c r="D471" i="2" a="1"/>
  <c r="D471" i="2" s="1"/>
  <c r="D470" i="2" a="1"/>
  <c r="D470" i="2" s="1"/>
  <c r="D469" i="2" a="1"/>
  <c r="D469" i="2" s="1"/>
  <c r="D468" i="2" a="1"/>
  <c r="D468" i="2" s="1"/>
  <c r="D467" i="2" a="1"/>
  <c r="D467" i="2" s="1"/>
  <c r="D466" i="2" a="1"/>
  <c r="D466" i="2" s="1"/>
  <c r="D465" i="2" a="1"/>
  <c r="D465" i="2" s="1"/>
  <c r="D464" i="2" a="1"/>
  <c r="D464" i="2" s="1"/>
  <c r="D463" i="2" a="1"/>
  <c r="D463" i="2" s="1"/>
  <c r="D462" i="2" a="1"/>
  <c r="D462" i="2" s="1"/>
  <c r="D461" i="2" a="1"/>
  <c r="D461" i="2" s="1"/>
  <c r="D460" i="2" a="1"/>
  <c r="D460" i="2" s="1"/>
  <c r="D459" i="2" a="1"/>
  <c r="D459" i="2" s="1"/>
  <c r="D458" i="2" a="1"/>
  <c r="D458" i="2" s="1"/>
  <c r="D457" i="2" a="1"/>
  <c r="D457" i="2" s="1"/>
  <c r="D456" i="2" a="1"/>
  <c r="D456" i="2" s="1"/>
  <c r="D455" i="2" a="1"/>
  <c r="D455" i="2" s="1"/>
  <c r="D454" i="2" a="1"/>
  <c r="D454" i="2" s="1"/>
  <c r="D453" i="2" a="1"/>
  <c r="D453" i="2" s="1"/>
  <c r="D452" i="2" a="1"/>
  <c r="D452" i="2" s="1"/>
  <c r="D451" i="2" a="1"/>
  <c r="D451" i="2" s="1"/>
  <c r="D450" i="2" a="1"/>
  <c r="D450" i="2" s="1"/>
  <c r="D449" i="2" a="1"/>
  <c r="D449" i="2" s="1"/>
  <c r="D448" i="2" a="1"/>
  <c r="D448" i="2" s="1"/>
  <c r="D447" i="2" a="1"/>
  <c r="D447" i="2" s="1"/>
  <c r="D446" i="2" a="1"/>
  <c r="D446" i="2" s="1"/>
  <c r="D445" i="2" a="1"/>
  <c r="D445" i="2" s="1"/>
  <c r="D444" i="2" a="1"/>
  <c r="D444" i="2" s="1"/>
  <c r="D443" i="2" a="1"/>
  <c r="D443" i="2" s="1"/>
  <c r="D442" i="2" a="1"/>
  <c r="D442" i="2" s="1"/>
  <c r="D441" i="2" a="1"/>
  <c r="D441" i="2" s="1"/>
  <c r="D440" i="2" a="1"/>
  <c r="D440" i="2" s="1"/>
  <c r="D439" i="2" a="1"/>
  <c r="D439" i="2" s="1"/>
  <c r="D438" i="2" a="1"/>
  <c r="D438" i="2" s="1"/>
  <c r="D437" i="2" a="1"/>
  <c r="D437" i="2" s="1"/>
  <c r="D436" i="2" a="1"/>
  <c r="D436" i="2" s="1"/>
  <c r="D435" i="2" a="1"/>
  <c r="D435" i="2" s="1"/>
  <c r="D434" i="2" a="1"/>
  <c r="D434" i="2" s="1"/>
  <c r="D433" i="2" a="1"/>
  <c r="D433" i="2" s="1"/>
  <c r="D432" i="2" a="1"/>
  <c r="D432" i="2" s="1"/>
  <c r="D431" i="2" a="1"/>
  <c r="D431" i="2" s="1"/>
  <c r="D430" i="2" a="1"/>
  <c r="D430" i="2" s="1"/>
  <c r="D429" i="2" a="1"/>
  <c r="D429" i="2" s="1"/>
  <c r="D428" i="2" a="1"/>
  <c r="D428" i="2" s="1"/>
  <c r="D427" i="2" a="1"/>
  <c r="D427" i="2" s="1"/>
  <c r="D426" i="2" a="1"/>
  <c r="D426" i="2" s="1"/>
  <c r="D425" i="2" a="1"/>
  <c r="D425" i="2" s="1"/>
  <c r="D424" i="2" a="1"/>
  <c r="D424" i="2" s="1"/>
  <c r="D423" i="2" a="1"/>
  <c r="D423" i="2" s="1"/>
  <c r="D422" i="2" a="1"/>
  <c r="D422" i="2" s="1"/>
  <c r="D421" i="2" a="1"/>
  <c r="D421" i="2" s="1"/>
  <c r="D420" i="2" a="1"/>
  <c r="D420" i="2" s="1"/>
  <c r="D419" i="2" a="1"/>
  <c r="D419" i="2" s="1"/>
  <c r="D418" i="2" a="1"/>
  <c r="D418" i="2" s="1"/>
  <c r="D417" i="2" a="1"/>
  <c r="D417" i="2" s="1"/>
  <c r="D416" i="2" a="1"/>
  <c r="D416" i="2" s="1"/>
  <c r="D415" i="2" a="1"/>
  <c r="D415" i="2" s="1"/>
  <c r="D414" i="2" a="1"/>
  <c r="D414" i="2" s="1"/>
  <c r="D413" i="2" a="1"/>
  <c r="D413" i="2" s="1"/>
  <c r="D412" i="2" a="1"/>
  <c r="D412" i="2" s="1"/>
  <c r="D411" i="2" a="1"/>
  <c r="D411" i="2" s="1"/>
  <c r="D410" i="2" a="1"/>
  <c r="D410" i="2" s="1"/>
  <c r="D409" i="2" a="1"/>
  <c r="D409" i="2" s="1"/>
  <c r="D408" i="2" a="1"/>
  <c r="D408" i="2" s="1"/>
  <c r="D407" i="2" a="1"/>
  <c r="D407" i="2" s="1"/>
  <c r="D406" i="2" a="1"/>
  <c r="D406" i="2" s="1"/>
  <c r="D405" i="2" a="1"/>
  <c r="D405" i="2" s="1"/>
  <c r="D404" i="2" a="1"/>
  <c r="D404" i="2" s="1"/>
  <c r="D403" i="2" a="1"/>
  <c r="D403" i="2" s="1"/>
  <c r="D402" i="2" a="1"/>
  <c r="D402" i="2" s="1"/>
  <c r="D401" i="2" a="1"/>
  <c r="D401" i="2" s="1"/>
  <c r="D400" i="2" a="1"/>
  <c r="D400" i="2" s="1"/>
  <c r="D399" i="2" a="1"/>
  <c r="D399" i="2" s="1"/>
  <c r="D398" i="2" a="1"/>
  <c r="D398" i="2" s="1"/>
  <c r="D397" i="2" a="1"/>
  <c r="D397" i="2" s="1"/>
  <c r="D396" i="2" a="1"/>
  <c r="D396" i="2" s="1"/>
  <c r="D395" i="2" a="1"/>
  <c r="D395" i="2" s="1"/>
  <c r="D394" i="2" a="1"/>
  <c r="D394" i="2" s="1"/>
  <c r="D393" i="2" a="1"/>
  <c r="D393" i="2" s="1"/>
  <c r="D392" i="2" a="1"/>
  <c r="D392" i="2" s="1"/>
  <c r="D391" i="2" a="1"/>
  <c r="D391" i="2" s="1"/>
  <c r="D390" i="2" a="1"/>
  <c r="D390" i="2" s="1"/>
  <c r="D389" i="2" a="1"/>
  <c r="D389" i="2" s="1"/>
  <c r="D388" i="2" a="1"/>
  <c r="D388" i="2" s="1"/>
  <c r="D387" i="2" a="1"/>
  <c r="D387" i="2" s="1"/>
  <c r="D386" i="2" a="1"/>
  <c r="D386" i="2" s="1"/>
  <c r="D385" i="2" a="1"/>
  <c r="D385" i="2" s="1"/>
  <c r="D384" i="2" a="1"/>
  <c r="D384" i="2" s="1"/>
  <c r="D383" i="2" a="1"/>
  <c r="D383" i="2" s="1"/>
  <c r="D382" i="2" a="1"/>
  <c r="D382" i="2" s="1"/>
  <c r="D381" i="2" a="1"/>
  <c r="D381" i="2" s="1"/>
  <c r="D380" i="2" a="1"/>
  <c r="D380" i="2" s="1"/>
  <c r="D379" i="2" a="1"/>
  <c r="D379" i="2" s="1"/>
  <c r="D378" i="2" a="1"/>
  <c r="D378" i="2" s="1"/>
  <c r="D377" i="2" a="1"/>
  <c r="D377" i="2" s="1"/>
  <c r="D376" i="2" a="1"/>
  <c r="D376" i="2" s="1"/>
  <c r="D375" i="2" a="1"/>
  <c r="D375" i="2" s="1"/>
  <c r="D374" i="2" a="1"/>
  <c r="D374" i="2" s="1"/>
  <c r="D373" i="2" a="1"/>
  <c r="D373" i="2" s="1"/>
  <c r="D372" i="2" a="1"/>
  <c r="D372" i="2" s="1"/>
  <c r="D371" i="2" a="1"/>
  <c r="D371" i="2" s="1"/>
  <c r="D370" i="2" a="1"/>
  <c r="D370" i="2" s="1"/>
  <c r="D369" i="2" a="1"/>
  <c r="D369" i="2" s="1"/>
  <c r="D368" i="2" a="1"/>
  <c r="D368" i="2" s="1"/>
  <c r="D367" i="2" a="1"/>
  <c r="D367" i="2" s="1"/>
  <c r="D366" i="2" a="1"/>
  <c r="D366" i="2" s="1"/>
  <c r="D365" i="2" a="1"/>
  <c r="D365" i="2" s="1"/>
  <c r="D364" i="2" a="1"/>
  <c r="D364" i="2" s="1"/>
  <c r="D363" i="2" a="1"/>
  <c r="D363" i="2" s="1"/>
  <c r="D362" i="2" a="1"/>
  <c r="D362" i="2" s="1"/>
  <c r="D361" i="2" a="1"/>
  <c r="D361" i="2" s="1"/>
  <c r="D360" i="2" a="1"/>
  <c r="D360" i="2" s="1"/>
  <c r="D359" i="2" a="1"/>
  <c r="D359" i="2" s="1"/>
  <c r="D358" i="2" a="1"/>
  <c r="D358" i="2" s="1"/>
  <c r="D357" i="2" a="1"/>
  <c r="D357" i="2" s="1"/>
  <c r="D356" i="2" a="1"/>
  <c r="D356" i="2" s="1"/>
  <c r="D355" i="2" a="1"/>
  <c r="D355" i="2" s="1"/>
  <c r="D354" i="2" a="1"/>
  <c r="D354" i="2" s="1"/>
  <c r="D353" i="2" a="1"/>
  <c r="D353" i="2" s="1"/>
  <c r="D352" i="2" a="1"/>
  <c r="D352" i="2" s="1"/>
  <c r="D351" i="2" a="1"/>
  <c r="D351" i="2" s="1"/>
  <c r="D350" i="2" a="1"/>
  <c r="D350" i="2" s="1"/>
  <c r="D349" i="2" a="1"/>
  <c r="D349" i="2" s="1"/>
  <c r="D348" i="2" a="1"/>
  <c r="D348" i="2" s="1"/>
  <c r="D347" i="2" a="1"/>
  <c r="D347" i="2" s="1"/>
  <c r="D346" i="2" a="1"/>
  <c r="D346" i="2" s="1"/>
  <c r="D345" i="2" a="1"/>
  <c r="D345" i="2" s="1"/>
  <c r="D344" i="2" a="1"/>
  <c r="D344" i="2" s="1"/>
  <c r="D343" i="2" a="1"/>
  <c r="D343" i="2" s="1"/>
  <c r="D342" i="2" a="1"/>
  <c r="D342" i="2" s="1"/>
  <c r="D341" i="2" a="1"/>
  <c r="D341" i="2" s="1"/>
  <c r="D340" i="2" a="1"/>
  <c r="D340" i="2" s="1"/>
  <c r="D339" i="2" a="1"/>
  <c r="D339" i="2" s="1"/>
  <c r="D338" i="2" a="1"/>
  <c r="D338" i="2" s="1"/>
  <c r="D337" i="2" a="1"/>
  <c r="D337" i="2" s="1"/>
  <c r="D336" i="2" a="1"/>
  <c r="D336" i="2" s="1"/>
  <c r="D335" i="2" a="1"/>
  <c r="D335" i="2" s="1"/>
  <c r="D334" i="2" a="1"/>
  <c r="D334" i="2" s="1"/>
  <c r="D333" i="2" a="1"/>
  <c r="D333" i="2" s="1"/>
  <c r="D332" i="2" a="1"/>
  <c r="D332" i="2" s="1"/>
  <c r="D331" i="2" a="1"/>
  <c r="D331" i="2" s="1"/>
  <c r="D330" i="2" a="1"/>
  <c r="D330" i="2" s="1"/>
  <c r="D329" i="2" a="1"/>
  <c r="D329" i="2" s="1"/>
  <c r="D328" i="2" a="1"/>
  <c r="D328" i="2" s="1"/>
  <c r="D327" i="2" a="1"/>
  <c r="D327" i="2" s="1"/>
  <c r="D326" i="2" a="1"/>
  <c r="D326" i="2" s="1"/>
  <c r="D325" i="2" a="1"/>
  <c r="D325" i="2" s="1"/>
  <c r="D324" i="2" a="1"/>
  <c r="D324" i="2" s="1"/>
  <c r="D323" i="2" a="1"/>
  <c r="D323" i="2" s="1"/>
  <c r="D322" i="2" a="1"/>
  <c r="D322" i="2" s="1"/>
  <c r="D321" i="2" a="1"/>
  <c r="D321" i="2" s="1"/>
  <c r="D320" i="2" a="1"/>
  <c r="D320" i="2" s="1"/>
  <c r="D319" i="2" a="1"/>
  <c r="D319" i="2" s="1"/>
  <c r="D318" i="2" a="1"/>
  <c r="D318" i="2" s="1"/>
  <c r="D317" i="2" a="1"/>
  <c r="D317" i="2" s="1"/>
  <c r="D316" i="2" a="1"/>
  <c r="D316" i="2" s="1"/>
  <c r="D315" i="2" a="1"/>
  <c r="D315" i="2" s="1"/>
  <c r="D314" i="2" a="1"/>
  <c r="D314" i="2" s="1"/>
  <c r="D313" i="2" a="1"/>
  <c r="D313" i="2" s="1"/>
  <c r="D312" i="2" a="1"/>
  <c r="D312" i="2" s="1"/>
  <c r="D311" i="2" a="1"/>
  <c r="D311" i="2" s="1"/>
  <c r="D310" i="2" a="1"/>
  <c r="D310" i="2" s="1"/>
  <c r="D309" i="2" a="1"/>
  <c r="D309" i="2" s="1"/>
  <c r="D308" i="2" a="1"/>
  <c r="D308" i="2" s="1"/>
  <c r="D307" i="2" a="1"/>
  <c r="D307" i="2" s="1"/>
  <c r="D306" i="2" a="1"/>
  <c r="D306" i="2" s="1"/>
  <c r="D305" i="2" a="1"/>
  <c r="D305" i="2" s="1"/>
  <c r="D304" i="2" a="1"/>
  <c r="D304" i="2" s="1"/>
  <c r="D303" i="2" a="1"/>
  <c r="D303" i="2" s="1"/>
  <c r="D302" i="2" a="1"/>
  <c r="D302" i="2" s="1"/>
  <c r="D301" i="2" a="1"/>
  <c r="D301" i="2" s="1"/>
  <c r="D300" i="2" a="1"/>
  <c r="D300" i="2" s="1"/>
  <c r="D299" i="2" a="1"/>
  <c r="D299" i="2" s="1"/>
  <c r="D298" i="2" a="1"/>
  <c r="D298" i="2" s="1"/>
  <c r="D297" i="2" a="1"/>
  <c r="D297" i="2" s="1"/>
  <c r="D296" i="2" a="1"/>
  <c r="D296" i="2" s="1"/>
  <c r="D295" i="2" a="1"/>
  <c r="D295" i="2" s="1"/>
  <c r="D294" i="2" a="1"/>
  <c r="D294" i="2" s="1"/>
  <c r="D293" i="2" a="1"/>
  <c r="D293" i="2" s="1"/>
  <c r="D292" i="2" a="1"/>
  <c r="D292" i="2" s="1"/>
  <c r="D291" i="2" a="1"/>
  <c r="D291" i="2" s="1"/>
  <c r="D290" i="2" a="1"/>
  <c r="D290" i="2" s="1"/>
  <c r="D289" i="2" a="1"/>
  <c r="D289" i="2" s="1"/>
  <c r="D288" i="2" a="1"/>
  <c r="D288" i="2" s="1"/>
  <c r="D287" i="2" a="1"/>
  <c r="D287" i="2" s="1"/>
  <c r="D286" i="2" a="1"/>
  <c r="D286" i="2" s="1"/>
  <c r="D285" i="2" a="1"/>
  <c r="D285" i="2" s="1"/>
  <c r="D284" i="2" a="1"/>
  <c r="D284" i="2" s="1"/>
  <c r="D283" i="2" a="1"/>
  <c r="D283" i="2" s="1"/>
  <c r="D282" i="2" a="1"/>
  <c r="D282" i="2" s="1"/>
  <c r="D281" i="2" a="1"/>
  <c r="D281" i="2" s="1"/>
  <c r="D280" i="2" a="1"/>
  <c r="D280" i="2" s="1"/>
  <c r="D279" i="2" a="1"/>
  <c r="D279" i="2" s="1"/>
  <c r="D278" i="2" a="1"/>
  <c r="D278" i="2" s="1"/>
  <c r="D277" i="2" a="1"/>
  <c r="D277" i="2" s="1"/>
  <c r="D276" i="2" a="1"/>
  <c r="D276" i="2" s="1"/>
  <c r="D275" i="2" a="1"/>
  <c r="D275" i="2" s="1"/>
  <c r="D274" i="2" a="1"/>
  <c r="D274" i="2" s="1"/>
  <c r="D273" i="2" a="1"/>
  <c r="D273" i="2" s="1"/>
  <c r="D272" i="2" a="1"/>
  <c r="D272" i="2" s="1"/>
  <c r="D271" i="2" a="1"/>
  <c r="D271" i="2" s="1"/>
  <c r="D270" i="2" a="1"/>
  <c r="D270" i="2" s="1"/>
  <c r="D269" i="2" a="1"/>
  <c r="D269" i="2" s="1"/>
  <c r="D268" i="2" a="1"/>
  <c r="D268" i="2" s="1"/>
  <c r="D267" i="2" a="1"/>
  <c r="D267" i="2" s="1"/>
  <c r="D266" i="2" a="1"/>
  <c r="D266" i="2" s="1"/>
  <c r="D265" i="2" a="1"/>
  <c r="D265" i="2" s="1"/>
  <c r="D264" i="2" a="1"/>
  <c r="D264" i="2" s="1"/>
  <c r="D263" i="2" a="1"/>
  <c r="D263" i="2" s="1"/>
  <c r="D262" i="2" a="1"/>
  <c r="D262" i="2" s="1"/>
  <c r="D261" i="2" a="1"/>
  <c r="D261" i="2" s="1"/>
  <c r="D260" i="2" a="1"/>
  <c r="D260" i="2" s="1"/>
  <c r="D259" i="2" a="1"/>
  <c r="D259" i="2" s="1"/>
  <c r="D258" i="2" a="1"/>
  <c r="D258" i="2" s="1"/>
  <c r="D257" i="2" a="1"/>
  <c r="D257" i="2" s="1"/>
  <c r="D256" i="2" a="1"/>
  <c r="D256" i="2" s="1"/>
  <c r="D255" i="2" a="1"/>
  <c r="D255" i="2" s="1"/>
  <c r="D254" i="2" a="1"/>
  <c r="D254" i="2" s="1"/>
  <c r="D253" i="2" a="1"/>
  <c r="D253" i="2" s="1"/>
  <c r="D252" i="2" a="1"/>
  <c r="D252" i="2" s="1"/>
  <c r="D251" i="2" a="1"/>
  <c r="D251" i="2" s="1"/>
  <c r="D250" i="2" a="1"/>
  <c r="D250" i="2" s="1"/>
  <c r="D249" i="2" a="1"/>
  <c r="D249" i="2" s="1"/>
  <c r="D248" i="2" a="1"/>
  <c r="D248" i="2" s="1"/>
  <c r="D247" i="2" a="1"/>
  <c r="D247" i="2" s="1"/>
  <c r="D246" i="2" a="1"/>
  <c r="D246" i="2" s="1"/>
  <c r="D245" i="2" a="1"/>
  <c r="D245" i="2" s="1"/>
  <c r="D244" i="2" a="1"/>
  <c r="D244" i="2" s="1"/>
  <c r="D243" i="2" a="1"/>
  <c r="D243" i="2" s="1"/>
  <c r="D242" i="2" a="1"/>
  <c r="D242" i="2" s="1"/>
  <c r="D241" i="2" a="1"/>
  <c r="D241" i="2" s="1"/>
  <c r="D240" i="2" a="1"/>
  <c r="D240" i="2" s="1"/>
  <c r="D239" i="2" a="1"/>
  <c r="D239" i="2" s="1"/>
  <c r="D238" i="2" a="1"/>
  <c r="D238" i="2" s="1"/>
  <c r="D237" i="2" a="1"/>
  <c r="D237" i="2" s="1"/>
  <c r="D236" i="2" a="1"/>
  <c r="D236" i="2" s="1"/>
  <c r="D235" i="2" a="1"/>
  <c r="D235" i="2" s="1"/>
  <c r="D234" i="2" a="1"/>
  <c r="D234" i="2" s="1"/>
  <c r="D233" i="2" a="1"/>
  <c r="D233" i="2" s="1"/>
  <c r="D232" i="2" a="1"/>
  <c r="D232" i="2" s="1"/>
  <c r="D231" i="2" a="1"/>
  <c r="D231" i="2" s="1"/>
  <c r="D230" i="2" a="1"/>
  <c r="D230" i="2" s="1"/>
  <c r="D229" i="2" a="1"/>
  <c r="D229" i="2" s="1"/>
  <c r="D228" i="2" a="1"/>
  <c r="D228" i="2" s="1"/>
  <c r="D227" i="2" a="1"/>
  <c r="D227" i="2" s="1"/>
  <c r="D226" i="2" a="1"/>
  <c r="D226" i="2" s="1"/>
  <c r="D225" i="2" a="1"/>
  <c r="D225" i="2" s="1"/>
  <c r="D224" i="2" a="1"/>
  <c r="D224" i="2" s="1"/>
  <c r="D223" i="2" a="1"/>
  <c r="D223" i="2" s="1"/>
  <c r="D222" i="2" a="1"/>
  <c r="D222" i="2" s="1"/>
  <c r="D221" i="2" a="1"/>
  <c r="D221" i="2" s="1"/>
  <c r="D220" i="2" a="1"/>
  <c r="D220" i="2" s="1"/>
  <c r="D219" i="2" a="1"/>
  <c r="D219" i="2" s="1"/>
  <c r="D218" i="2" a="1"/>
  <c r="D218" i="2" s="1"/>
  <c r="D217" i="2" a="1"/>
  <c r="D217" i="2" s="1"/>
  <c r="D216" i="2" a="1"/>
  <c r="D216" i="2" s="1"/>
  <c r="D215" i="2" a="1"/>
  <c r="D215" i="2" s="1"/>
  <c r="D214" i="2" a="1"/>
  <c r="D214" i="2" s="1"/>
  <c r="D213" i="2" a="1"/>
  <c r="D213" i="2" s="1"/>
  <c r="D212" i="2" a="1"/>
  <c r="D212" i="2" s="1"/>
  <c r="D211" i="2" a="1"/>
  <c r="D211" i="2" s="1"/>
  <c r="D210" i="2" a="1"/>
  <c r="D210" i="2" s="1"/>
  <c r="D209" i="2" a="1"/>
  <c r="D209" i="2" s="1"/>
  <c r="D208" i="2" a="1"/>
  <c r="D208" i="2" s="1"/>
  <c r="D207" i="2" a="1"/>
  <c r="D207" i="2" s="1"/>
  <c r="D206" i="2" a="1"/>
  <c r="D206" i="2" s="1"/>
  <c r="D205" i="2" a="1"/>
  <c r="D205" i="2" s="1"/>
  <c r="D204" i="2" a="1"/>
  <c r="D204" i="2" s="1"/>
  <c r="D203" i="2" a="1"/>
  <c r="D203" i="2" s="1"/>
  <c r="D202" i="2" a="1"/>
  <c r="D202" i="2" s="1"/>
  <c r="D201" i="2" a="1"/>
  <c r="D201" i="2" s="1"/>
  <c r="D200" i="2" a="1"/>
  <c r="D200" i="2" s="1"/>
  <c r="D199" i="2" a="1"/>
  <c r="D199" i="2" s="1"/>
  <c r="D198" i="2" a="1"/>
  <c r="D198" i="2" s="1"/>
  <c r="D197" i="2" a="1"/>
  <c r="D197" i="2" s="1"/>
  <c r="D196" i="2" a="1"/>
  <c r="D196" i="2" s="1"/>
  <c r="D195" i="2" a="1"/>
  <c r="D195" i="2" s="1"/>
  <c r="D194" i="2" a="1"/>
  <c r="D194" i="2" s="1"/>
  <c r="D193" i="2" a="1"/>
  <c r="D193" i="2" s="1"/>
  <c r="D192" i="2" a="1"/>
  <c r="D192" i="2" s="1"/>
  <c r="D191" i="2" a="1"/>
  <c r="D191" i="2" s="1"/>
  <c r="D190" i="2" a="1"/>
  <c r="D190" i="2" s="1"/>
  <c r="D189" i="2" a="1"/>
  <c r="D189" i="2" s="1"/>
  <c r="D188" i="2" a="1"/>
  <c r="D188" i="2" s="1"/>
  <c r="D187" i="2" a="1"/>
  <c r="D187" i="2" s="1"/>
  <c r="D186" i="2" a="1"/>
  <c r="D186" i="2" s="1"/>
  <c r="D185" i="2" a="1"/>
  <c r="D185" i="2" s="1"/>
  <c r="D184" i="2" a="1"/>
  <c r="D184" i="2" s="1"/>
  <c r="D183" i="2" a="1"/>
  <c r="D183" i="2" s="1"/>
  <c r="D182" i="2" a="1"/>
  <c r="D182" i="2" s="1"/>
  <c r="D181" i="2" a="1"/>
  <c r="D181" i="2" s="1"/>
  <c r="D180" i="2" a="1"/>
  <c r="D180" i="2" s="1"/>
  <c r="D179" i="2" a="1"/>
  <c r="D179" i="2" s="1"/>
  <c r="D178" i="2" a="1"/>
  <c r="D178" i="2" s="1"/>
  <c r="D177" i="2" a="1"/>
  <c r="D177" i="2" s="1"/>
  <c r="D176" i="2" a="1"/>
  <c r="D176" i="2" s="1"/>
  <c r="D175" i="2" a="1"/>
  <c r="D175" i="2" s="1"/>
  <c r="D174" i="2" a="1"/>
  <c r="D174" i="2" s="1"/>
  <c r="D173" i="2" a="1"/>
  <c r="D173" i="2" s="1"/>
  <c r="D172" i="2" a="1"/>
  <c r="D172" i="2" s="1"/>
  <c r="D171" i="2" a="1"/>
  <c r="D171" i="2" s="1"/>
  <c r="D170" i="2" a="1"/>
  <c r="D170" i="2" s="1"/>
  <c r="D169" i="2" a="1"/>
  <c r="D169" i="2" s="1"/>
  <c r="D168" i="2" a="1"/>
  <c r="D168" i="2" s="1"/>
  <c r="D167" i="2" a="1"/>
  <c r="D167" i="2" s="1"/>
  <c r="D166" i="2" a="1"/>
  <c r="D166" i="2" s="1"/>
  <c r="D165" i="2" a="1"/>
  <c r="D165" i="2" s="1"/>
  <c r="D164" i="2" a="1"/>
  <c r="D164" i="2" s="1"/>
  <c r="D163" i="2" a="1"/>
  <c r="D163" i="2" s="1"/>
  <c r="D162" i="2" a="1"/>
  <c r="D162" i="2" s="1"/>
  <c r="D161" i="2" a="1"/>
  <c r="D161" i="2" s="1"/>
  <c r="D160" i="2" a="1"/>
  <c r="D160" i="2" s="1"/>
  <c r="D159" i="2" a="1"/>
  <c r="D159" i="2" s="1"/>
  <c r="D158" i="2" a="1"/>
  <c r="D158" i="2" s="1"/>
  <c r="D157" i="2" a="1"/>
  <c r="D157" i="2" s="1"/>
  <c r="D156" i="2" a="1"/>
  <c r="D156" i="2" s="1"/>
  <c r="D155" i="2" a="1"/>
  <c r="D155" i="2" s="1"/>
  <c r="D154" i="2" a="1"/>
  <c r="D154" i="2" s="1"/>
  <c r="D153" i="2" a="1"/>
  <c r="D153" i="2" s="1"/>
  <c r="D152" i="2" a="1"/>
  <c r="D152" i="2" s="1"/>
  <c r="D151" i="2" a="1"/>
  <c r="D151" i="2" s="1"/>
  <c r="D150" i="2" a="1"/>
  <c r="D150" i="2" s="1"/>
  <c r="D149" i="2" a="1"/>
  <c r="D149" i="2" s="1"/>
  <c r="D148" i="2" a="1"/>
  <c r="D148" i="2" s="1"/>
  <c r="D147" i="2" a="1"/>
  <c r="D147" i="2" s="1"/>
  <c r="D146" i="2" a="1"/>
  <c r="D146" i="2" s="1"/>
  <c r="D145" i="2" a="1"/>
  <c r="D145" i="2" s="1"/>
  <c r="D144" i="2" a="1"/>
  <c r="D144" i="2" s="1"/>
  <c r="D143" i="2" a="1"/>
  <c r="D143" i="2" s="1"/>
  <c r="D142" i="2" a="1"/>
  <c r="D142" i="2" s="1"/>
  <c r="D141" i="2" a="1"/>
  <c r="D141" i="2" s="1"/>
  <c r="D140" i="2" a="1"/>
  <c r="D140" i="2" s="1"/>
  <c r="D139" i="2" a="1"/>
  <c r="D139" i="2" s="1"/>
  <c r="D138" i="2" a="1"/>
  <c r="D138" i="2" s="1"/>
  <c r="D137" i="2" a="1"/>
  <c r="D137" i="2" s="1"/>
  <c r="D136" i="2" a="1"/>
  <c r="D136" i="2" s="1"/>
  <c r="D135" i="2" a="1"/>
  <c r="D135" i="2" s="1"/>
  <c r="D134" i="2" a="1"/>
  <c r="D134" i="2" s="1"/>
  <c r="D133" i="2" a="1"/>
  <c r="D133" i="2" s="1"/>
  <c r="D132" i="2" a="1"/>
  <c r="D132" i="2" s="1"/>
  <c r="D131" i="2" a="1"/>
  <c r="D131" i="2" s="1"/>
  <c r="D130" i="2" a="1"/>
  <c r="D130" i="2" s="1"/>
  <c r="D129" i="2" a="1"/>
  <c r="D129" i="2" s="1"/>
  <c r="D128" i="2" a="1"/>
  <c r="D128" i="2" s="1"/>
  <c r="D127" i="2" a="1"/>
  <c r="D127" i="2" s="1"/>
  <c r="D126" i="2" a="1"/>
  <c r="D126" i="2" s="1"/>
  <c r="D125" i="2" a="1"/>
  <c r="D125" i="2" s="1"/>
  <c r="D124" i="2" a="1"/>
  <c r="D124" i="2" s="1"/>
  <c r="D123" i="2" a="1"/>
  <c r="D123" i="2" s="1"/>
  <c r="D122" i="2" a="1"/>
  <c r="D122" i="2" s="1"/>
  <c r="D121" i="2" a="1"/>
  <c r="D121" i="2" s="1"/>
  <c r="D120" i="2" a="1"/>
  <c r="D120" i="2" s="1"/>
  <c r="D119" i="2" a="1"/>
  <c r="D119" i="2" s="1"/>
  <c r="D118" i="2" a="1"/>
  <c r="D118" i="2" s="1"/>
  <c r="D117" i="2" a="1"/>
  <c r="D117" i="2" s="1"/>
  <c r="D116" i="2" a="1"/>
  <c r="D116" i="2" s="1"/>
  <c r="D115" i="2" a="1"/>
  <c r="D115" i="2" s="1"/>
  <c r="D114" i="2" a="1"/>
  <c r="D114" i="2" s="1"/>
  <c r="D113" i="2" a="1"/>
  <c r="D113" i="2" s="1"/>
  <c r="D112" i="2" a="1"/>
  <c r="D112" i="2" s="1"/>
  <c r="D111" i="2" a="1"/>
  <c r="D111" i="2" s="1"/>
  <c r="D110" i="2" a="1"/>
  <c r="D110" i="2" s="1"/>
  <c r="D109" i="2" a="1"/>
  <c r="D109" i="2" s="1"/>
  <c r="D108" i="2" a="1"/>
  <c r="D108" i="2" s="1"/>
  <c r="D107" i="2" a="1"/>
  <c r="D107" i="2" s="1"/>
  <c r="D106" i="2" a="1"/>
  <c r="D106" i="2" s="1"/>
  <c r="D105" i="2" a="1"/>
  <c r="D105" i="2" s="1"/>
  <c r="D104" i="2" a="1"/>
  <c r="D104" i="2" s="1"/>
  <c r="D103" i="2" a="1"/>
  <c r="D103" i="2" s="1"/>
  <c r="D102" i="2" a="1"/>
  <c r="D102" i="2" s="1"/>
  <c r="D101" i="2" a="1"/>
  <c r="D101" i="2" s="1"/>
  <c r="D100" i="2" a="1"/>
  <c r="D100" i="2" s="1"/>
  <c r="D99" i="2" a="1"/>
  <c r="D99" i="2" s="1"/>
  <c r="D98" i="2" a="1"/>
  <c r="D98" i="2" s="1"/>
  <c r="D97" i="2" a="1"/>
  <c r="D97" i="2" s="1"/>
  <c r="D96" i="2" a="1"/>
  <c r="D96" i="2" s="1"/>
  <c r="D95" i="2" a="1"/>
  <c r="D95" i="2" s="1"/>
  <c r="D94" i="2" a="1"/>
  <c r="D94" i="2" s="1"/>
  <c r="D93" i="2" a="1"/>
  <c r="D93" i="2" s="1"/>
  <c r="D92" i="2" a="1"/>
  <c r="D92" i="2" s="1"/>
  <c r="D91" i="2" a="1"/>
  <c r="D91" i="2" s="1"/>
  <c r="D90" i="2" a="1"/>
  <c r="D90" i="2" s="1"/>
  <c r="D89" i="2" a="1"/>
  <c r="D89" i="2" s="1"/>
  <c r="D88" i="2" a="1"/>
  <c r="D88" i="2" s="1"/>
  <c r="D87" i="2" a="1"/>
  <c r="D87" i="2" s="1"/>
  <c r="D86" i="2" a="1"/>
  <c r="D86" i="2" s="1"/>
  <c r="D85" i="2" a="1"/>
  <c r="D85" i="2" s="1"/>
  <c r="D84" i="2" a="1"/>
  <c r="D84" i="2" s="1"/>
  <c r="D83" i="2" a="1"/>
  <c r="D83" i="2" s="1"/>
  <c r="D82" i="2" a="1"/>
  <c r="D82" i="2" s="1"/>
  <c r="D81" i="2" a="1"/>
  <c r="D81" i="2" s="1"/>
  <c r="D80" i="2" a="1"/>
  <c r="D80" i="2" s="1"/>
  <c r="D79" i="2" a="1"/>
  <c r="D79" i="2" s="1"/>
  <c r="D78" i="2" a="1"/>
  <c r="D78" i="2" s="1"/>
  <c r="D77" i="2" a="1"/>
  <c r="D77" i="2" s="1"/>
  <c r="D76" i="2" a="1"/>
  <c r="D76" i="2" s="1"/>
  <c r="D75" i="2" a="1"/>
  <c r="D75" i="2" s="1"/>
  <c r="D74" i="2" a="1"/>
  <c r="D74" i="2" s="1"/>
  <c r="D73" i="2" a="1"/>
  <c r="D73" i="2" s="1"/>
  <c r="D72" i="2" a="1"/>
  <c r="D72" i="2" s="1"/>
  <c r="D71" i="2" a="1"/>
  <c r="D71" i="2" s="1"/>
  <c r="D70" i="2" a="1"/>
  <c r="D70" i="2" s="1"/>
  <c r="D69" i="2" a="1"/>
  <c r="D69" i="2" s="1"/>
  <c r="D68" i="2" a="1"/>
  <c r="D68" i="2" s="1"/>
  <c r="D67" i="2" a="1"/>
  <c r="D67" i="2" s="1"/>
  <c r="D66" i="2" a="1"/>
  <c r="D66" i="2" s="1"/>
  <c r="D65" i="2" a="1"/>
  <c r="D65" i="2" s="1"/>
  <c r="D64" i="2" a="1"/>
  <c r="D64" i="2" s="1"/>
  <c r="D63" i="2" a="1"/>
  <c r="D63" i="2" s="1"/>
  <c r="D62" i="2" a="1"/>
  <c r="D62" i="2" s="1"/>
  <c r="D61" i="2" a="1"/>
  <c r="D61" i="2" s="1"/>
  <c r="D60" i="2" a="1"/>
  <c r="D60" i="2" s="1"/>
  <c r="D59" i="2" a="1"/>
  <c r="D59" i="2" s="1"/>
  <c r="D58" i="2" a="1"/>
  <c r="D58" i="2" s="1"/>
  <c r="D57" i="2" a="1"/>
  <c r="D57" i="2" s="1"/>
  <c r="D56" i="2" a="1"/>
  <c r="D56" i="2" s="1"/>
  <c r="D55" i="2" a="1"/>
  <c r="D55" i="2" s="1"/>
  <c r="D54" i="2" a="1"/>
  <c r="D54" i="2" s="1"/>
  <c r="D53" i="2" a="1"/>
  <c r="D53" i="2" s="1"/>
  <c r="D52" i="2" a="1"/>
  <c r="D52" i="2" s="1"/>
  <c r="D51" i="2" a="1"/>
  <c r="D51" i="2" s="1"/>
  <c r="D50" i="2" a="1"/>
  <c r="D50" i="2" s="1"/>
  <c r="D49" i="2" a="1"/>
  <c r="D49" i="2" s="1"/>
  <c r="D48" i="2" a="1"/>
  <c r="D48" i="2" s="1"/>
  <c r="D47" i="2" a="1"/>
  <c r="D47" i="2" s="1"/>
  <c r="D46" i="2" a="1"/>
  <c r="D46" i="2" s="1"/>
  <c r="D45" i="2" a="1"/>
  <c r="D45" i="2" s="1"/>
  <c r="D44" i="2" a="1"/>
  <c r="D44" i="2" s="1"/>
  <c r="D43" i="2" a="1"/>
  <c r="D43" i="2" s="1"/>
  <c r="D42" i="2" a="1"/>
  <c r="D42" i="2" s="1"/>
  <c r="D41" i="2" a="1"/>
  <c r="D41" i="2" s="1"/>
  <c r="D40" i="2" a="1"/>
  <c r="D40" i="2" s="1"/>
  <c r="D39" i="2" a="1"/>
  <c r="D39" i="2" s="1"/>
  <c r="D38" i="2" a="1"/>
  <c r="D38" i="2" s="1"/>
  <c r="D37" i="2" a="1"/>
  <c r="D37" i="2" s="1"/>
  <c r="D36" i="2" a="1"/>
  <c r="D36" i="2" s="1"/>
  <c r="D35" i="2" a="1"/>
  <c r="D35" i="2" s="1"/>
  <c r="D34" i="2" a="1"/>
  <c r="D34" i="2" s="1"/>
  <c r="D33" i="2" a="1"/>
  <c r="D33" i="2" s="1"/>
  <c r="D32" i="2" a="1"/>
  <c r="D32" i="2" s="1"/>
  <c r="D31" i="2" a="1"/>
  <c r="D31" i="2" s="1"/>
  <c r="D30" i="2" a="1"/>
  <c r="D30" i="2" s="1"/>
  <c r="D29" i="2" a="1"/>
  <c r="D29" i="2" s="1"/>
  <c r="D28" i="2" a="1"/>
  <c r="D28" i="2" s="1"/>
  <c r="D27" i="2" a="1"/>
  <c r="D27" i="2" s="1"/>
  <c r="D26" i="2" a="1"/>
  <c r="D26" i="2" s="1"/>
  <c r="D25" i="2" a="1"/>
  <c r="D25" i="2" s="1"/>
  <c r="D24" i="2" a="1"/>
  <c r="D24" i="2" s="1"/>
  <c r="D23" i="2" a="1"/>
  <c r="D23" i="2" s="1"/>
  <c r="D22" i="2" a="1"/>
  <c r="D22" i="2" s="1"/>
  <c r="D21" i="2" a="1"/>
  <c r="D21" i="2" s="1"/>
  <c r="D20" i="2" a="1"/>
  <c r="D20" i="2" s="1"/>
  <c r="D19" i="2" a="1"/>
  <c r="D19" i="2" s="1"/>
  <c r="D18" i="2" a="1"/>
  <c r="D18" i="2" s="1"/>
  <c r="D17" i="2" a="1"/>
  <c r="D17" i="2" s="1"/>
  <c r="D16" i="2" a="1"/>
  <c r="D16" i="2" s="1"/>
  <c r="D15" i="2" a="1"/>
  <c r="D15" i="2" s="1"/>
  <c r="D14" i="2" a="1"/>
  <c r="D14" i="2" s="1"/>
  <c r="D13" i="2" a="1"/>
  <c r="D13" i="2" s="1"/>
  <c r="D12" i="2" a="1"/>
  <c r="D12" i="2" s="1"/>
  <c r="D11" i="2" a="1"/>
  <c r="D11" i="2" s="1"/>
  <c r="D10" i="2" a="1"/>
  <c r="D10" i="2" s="1"/>
  <c r="D9" i="2" a="1"/>
  <c r="D9" i="2" s="1"/>
  <c r="D8" i="2" a="1"/>
  <c r="D8" i="2" s="1"/>
  <c r="D7" i="2" a="1"/>
  <c r="D7" i="2" s="1"/>
  <c r="D6" i="2" a="1"/>
  <c r="D6" i="2" s="1"/>
  <c r="D5" i="2" a="1"/>
  <c r="D5" i="2" s="1"/>
  <c r="D4" i="2" a="1"/>
  <c r="D4" i="2" s="1"/>
  <c r="D3" i="2" a="1"/>
  <c r="D3" i="2" s="1"/>
  <c r="D2" i="2" a="1"/>
  <c r="D2" i="2" s="1"/>
  <c r="N5" i="3" a="1"/>
  <c r="N5" i="3" s="1"/>
  <c r="O520" i="2" l="1"/>
  <c r="O518" i="2"/>
  <c r="O516" i="2"/>
  <c r="O412" i="2"/>
  <c r="O410" i="2"/>
  <c r="O31" i="2"/>
  <c r="O29" i="2"/>
  <c r="O27" i="2"/>
  <c r="O25" i="2"/>
  <c r="O23" i="2"/>
  <c r="O21" i="2"/>
  <c r="O19" i="2"/>
  <c r="O441" i="2"/>
  <c r="O411" i="2"/>
  <c r="O409" i="2"/>
  <c r="O58" i="2"/>
  <c r="O30" i="2"/>
  <c r="O28" i="2"/>
  <c r="O26" i="2"/>
  <c r="O24" i="2"/>
  <c r="O22" i="2"/>
  <c r="O20" i="2"/>
  <c r="O18" i="2"/>
  <c r="O523" i="2"/>
  <c r="O521" i="2"/>
  <c r="O519" i="2"/>
  <c r="O517" i="2"/>
  <c r="O347" i="2"/>
  <c r="O47" i="2"/>
  <c r="O45" i="2"/>
  <c r="O43" i="2"/>
  <c r="O41" i="2"/>
  <c r="O39" i="2"/>
  <c r="O37" i="2"/>
  <c r="O35" i="2"/>
  <c r="O33" i="2"/>
  <c r="M368" i="2"/>
  <c r="O368" i="2" s="1"/>
  <c r="M364" i="2"/>
  <c r="O364" i="2" s="1"/>
  <c r="M360" i="2"/>
  <c r="O360" i="2" s="1"/>
  <c r="O125" i="2"/>
  <c r="O123" i="2"/>
  <c r="O121" i="2"/>
  <c r="O119" i="2"/>
  <c r="O117" i="2"/>
  <c r="O115" i="2"/>
  <c r="O113" i="2"/>
  <c r="O111" i="2"/>
  <c r="O109" i="2"/>
  <c r="O107" i="2"/>
  <c r="O105" i="2"/>
  <c r="O103" i="2"/>
  <c r="O101" i="2"/>
  <c r="O99" i="2"/>
  <c r="O97" i="2"/>
  <c r="O95" i="2"/>
  <c r="N8" i="3"/>
  <c r="N14" i="3"/>
  <c r="N10" i="3"/>
  <c r="N11" i="3"/>
  <c r="N9" i="3"/>
  <c r="M366" i="2"/>
  <c r="O366" i="2" s="1"/>
  <c r="M362" i="2"/>
  <c r="O362" i="2" s="1"/>
  <c r="M358" i="2"/>
  <c r="O358" i="2" s="1"/>
  <c r="N12" i="3"/>
  <c r="N15" i="3"/>
  <c r="N7" i="3"/>
  <c r="N6" i="3"/>
  <c r="N13" i="3"/>
  <c r="P5" i="3" l="1" a="1"/>
  <c r="P14" i="3" l="1"/>
  <c r="P15" i="3"/>
  <c r="P12" i="3"/>
  <c r="P9" i="3"/>
  <c r="P6" i="3"/>
  <c r="P7" i="3"/>
  <c r="P11" i="3"/>
  <c r="P8" i="3"/>
  <c r="P5" i="3"/>
  <c r="D7" i="3" s="1"/>
  <c r="P13" i="3"/>
  <c r="P10" i="3"/>
  <c r="Q5" i="3" l="1" a="1"/>
  <c r="Q9" i="3" l="1"/>
  <c r="Q5" i="3"/>
  <c r="Q15" i="3"/>
  <c r="Q6" i="3"/>
  <c r="Q8" i="3"/>
  <c r="Q14" i="3"/>
  <c r="Q7" i="3"/>
  <c r="Q11" i="3"/>
  <c r="Q10" i="3"/>
  <c r="Q12" i="3"/>
  <c r="Q13" i="3"/>
  <c r="D8" i="3" l="1"/>
  <c r="R5" i="3" a="1"/>
  <c r="R12" i="3" l="1"/>
  <c r="R7" i="3"/>
  <c r="R6" i="3"/>
  <c r="R9" i="3"/>
  <c r="R8" i="3"/>
  <c r="R5" i="3"/>
  <c r="R22" i="3"/>
  <c r="R24" i="3"/>
  <c r="R17" i="3"/>
  <c r="R11" i="3"/>
  <c r="R13" i="3"/>
  <c r="R18" i="3"/>
  <c r="R21" i="3"/>
  <c r="R20" i="3"/>
  <c r="R15" i="3"/>
  <c r="R14" i="3"/>
  <c r="R23" i="3"/>
  <c r="R25" i="3"/>
  <c r="R19" i="3"/>
  <c r="R16" i="3"/>
  <c r="R10" i="3"/>
  <c r="D9" i="3" l="1"/>
  <c r="G6" i="3" a="1"/>
  <c r="J6" i="3" a="1"/>
  <c r="I6" i="3" a="1"/>
  <c r="H6" i="3" a="1"/>
  <c r="F6" i="3" a="1"/>
  <c r="K6" i="3" a="1"/>
  <c r="F23" i="3" l="1"/>
  <c r="F9" i="3"/>
  <c r="F6" i="3"/>
  <c r="F21" i="3"/>
  <c r="F10" i="3"/>
  <c r="F17" i="3"/>
  <c r="F22" i="3"/>
  <c r="F15" i="3"/>
  <c r="F18" i="3"/>
  <c r="F12" i="3"/>
  <c r="F11" i="3"/>
  <c r="F8" i="3"/>
  <c r="F16" i="3"/>
  <c r="F20" i="3"/>
  <c r="F25" i="3"/>
  <c r="F24" i="3"/>
  <c r="F13" i="3"/>
  <c r="F7" i="3"/>
  <c r="F14" i="3"/>
  <c r="F19" i="3"/>
  <c r="K17" i="3"/>
  <c r="K21" i="3"/>
  <c r="K13" i="3"/>
  <c r="K14" i="3"/>
  <c r="K20" i="3"/>
  <c r="K7" i="3"/>
  <c r="K15" i="3"/>
  <c r="K22" i="3"/>
  <c r="K16" i="3"/>
  <c r="K23" i="3"/>
  <c r="K18" i="3"/>
  <c r="K6" i="3"/>
  <c r="K10" i="3"/>
  <c r="K12" i="3"/>
  <c r="K25" i="3"/>
  <c r="K19" i="3"/>
  <c r="K24" i="3"/>
  <c r="K9" i="3"/>
  <c r="K11" i="3"/>
  <c r="K8" i="3"/>
  <c r="H25" i="3"/>
  <c r="H20" i="3"/>
  <c r="H15" i="3"/>
  <c r="H10" i="3"/>
  <c r="H11" i="3"/>
  <c r="H12" i="3"/>
  <c r="H18" i="3"/>
  <c r="H13" i="3"/>
  <c r="H22" i="3"/>
  <c r="H17" i="3"/>
  <c r="H7" i="3"/>
  <c r="H23" i="3"/>
  <c r="H6" i="3"/>
  <c r="H9" i="3"/>
  <c r="H16" i="3"/>
  <c r="H8" i="3"/>
  <c r="H19" i="3"/>
  <c r="H14" i="3"/>
  <c r="H21" i="3"/>
  <c r="H24" i="3"/>
  <c r="J23" i="3"/>
  <c r="J15" i="3"/>
  <c r="J18" i="3"/>
  <c r="J10" i="3"/>
  <c r="J25" i="3"/>
  <c r="J11" i="3"/>
  <c r="J9" i="3"/>
  <c r="J6" i="3"/>
  <c r="J13" i="3"/>
  <c r="J19" i="3"/>
  <c r="J20" i="3"/>
  <c r="J14" i="3"/>
  <c r="J22" i="3"/>
  <c r="J24" i="3"/>
  <c r="J21" i="3"/>
  <c r="J16" i="3"/>
  <c r="J8" i="3"/>
  <c r="J7" i="3"/>
  <c r="J17" i="3"/>
  <c r="J12" i="3"/>
  <c r="I14" i="3"/>
  <c r="I23" i="3"/>
  <c r="L23" i="3" s="1"/>
  <c r="I7" i="3"/>
  <c r="I13" i="3"/>
  <c r="L13" i="3" s="1"/>
  <c r="I18" i="3"/>
  <c r="L18" i="3" s="1"/>
  <c r="I24" i="3"/>
  <c r="L24" i="3" s="1"/>
  <c r="I15" i="3"/>
  <c r="I22" i="3"/>
  <c r="L22" i="3" s="1"/>
  <c r="I21" i="3"/>
  <c r="I10" i="3"/>
  <c r="L10" i="3" s="1"/>
  <c r="I20" i="3"/>
  <c r="L20" i="3" s="1"/>
  <c r="I11" i="3"/>
  <c r="L11" i="3" s="1"/>
  <c r="I17" i="3"/>
  <c r="L17" i="3" s="1"/>
  <c r="I9" i="3"/>
  <c r="L9" i="3" s="1"/>
  <c r="I6" i="3"/>
  <c r="I12" i="3"/>
  <c r="L12" i="3" s="1"/>
  <c r="I19" i="3"/>
  <c r="I8" i="3"/>
  <c r="L8" i="3" s="1"/>
  <c r="I16" i="3"/>
  <c r="I25" i="3"/>
  <c r="L25" i="3" s="1"/>
  <c r="G13" i="3"/>
  <c r="G20" i="3"/>
  <c r="G15" i="3"/>
  <c r="G25" i="3"/>
  <c r="G17" i="3"/>
  <c r="G12" i="3"/>
  <c r="G16" i="3"/>
  <c r="G9" i="3"/>
  <c r="G22" i="3"/>
  <c r="G24" i="3"/>
  <c r="G14" i="3"/>
  <c r="G10" i="3"/>
  <c r="G23" i="3"/>
  <c r="G6" i="3"/>
  <c r="G7" i="3"/>
  <c r="G21" i="3"/>
  <c r="G11" i="3"/>
  <c r="G8" i="3"/>
  <c r="G18" i="3"/>
  <c r="G19" i="3"/>
  <c r="L16" i="3" l="1"/>
  <c r="L19" i="3"/>
  <c r="L6" i="3"/>
  <c r="L21" i="3"/>
  <c r="L15" i="3"/>
  <c r="L7" i="3"/>
  <c r="L14" i="3"/>
</calcChain>
</file>

<file path=xl/sharedStrings.xml><?xml version="1.0" encoding="utf-8"?>
<sst xmlns="http://schemas.openxmlformats.org/spreadsheetml/2006/main" count="3159" uniqueCount="168">
  <si>
    <t>BLE TENDRE</t>
  </si>
  <si>
    <t xml:space="preserve">BLE DUR </t>
  </si>
  <si>
    <t>TOURNESOL</t>
  </si>
  <si>
    <t>SORGHO</t>
  </si>
  <si>
    <t xml:space="preserve">SOJA </t>
  </si>
  <si>
    <t>ANNEE</t>
  </si>
  <si>
    <t>PARCELLE</t>
  </si>
  <si>
    <t>CULTURE</t>
  </si>
  <si>
    <t>PRIX UNITAIRE</t>
  </si>
  <si>
    <t>MONTANT €</t>
  </si>
  <si>
    <t xml:space="preserve">CATEGORIE </t>
  </si>
  <si>
    <t>SURFACE</t>
  </si>
  <si>
    <t xml:space="preserve">QTE/HA </t>
  </si>
  <si>
    <t>Prix</t>
  </si>
  <si>
    <t>-</t>
  </si>
  <si>
    <t>VARIÉTÉ</t>
  </si>
  <si>
    <t>Andres</t>
  </si>
  <si>
    <t>Bousquet Château</t>
  </si>
  <si>
    <t>Bousquet Pourtanel</t>
  </si>
  <si>
    <t>Bousquet Route</t>
  </si>
  <si>
    <t>Engleyse Bousquet</t>
  </si>
  <si>
    <t>Engleyse métairie</t>
  </si>
  <si>
    <t>Engleyse Route</t>
  </si>
  <si>
    <t>Escarcelou</t>
  </si>
  <si>
    <t>Escarcelou Jachère</t>
  </si>
  <si>
    <t>Escarcelou Pte</t>
  </si>
  <si>
    <t>L'Aule métairie</t>
  </si>
  <si>
    <t>L'Aule Plaine</t>
  </si>
  <si>
    <t>Labaou Devant</t>
  </si>
  <si>
    <t>Labaou Plaine</t>
  </si>
  <si>
    <t>Laclos</t>
  </si>
  <si>
    <t>Lescandes</t>
  </si>
  <si>
    <t>Lescandes Côteau</t>
  </si>
  <si>
    <t>Moulin Barthes</t>
  </si>
  <si>
    <t>Moulin Côteau</t>
  </si>
  <si>
    <t>Picotalène Midi</t>
  </si>
  <si>
    <t>Picotalène Nord</t>
  </si>
  <si>
    <t>Pourtanel</t>
  </si>
  <si>
    <t>Seillonne</t>
  </si>
  <si>
    <t>TOURNESOL_OLÉIQUE</t>
  </si>
  <si>
    <t>Pac 22</t>
  </si>
  <si>
    <t>SORGHO_BLANC</t>
  </si>
  <si>
    <t>Physiolith</t>
  </si>
  <si>
    <t>BLE_TENDRE</t>
  </si>
  <si>
    <t>Glyphosate</t>
  </si>
  <si>
    <t>Heliosol</t>
  </si>
  <si>
    <t>Terragral</t>
  </si>
  <si>
    <t xml:space="preserve">BLE_DUR </t>
  </si>
  <si>
    <t>Physalg 15</t>
  </si>
  <si>
    <t>Soleiho Certifiées</t>
  </si>
  <si>
    <t>Pescadoux</t>
  </si>
  <si>
    <t>Miradoux</t>
  </si>
  <si>
    <t>Pescadoux Certifiées</t>
  </si>
  <si>
    <t>Miradoux Certifiées</t>
  </si>
  <si>
    <t>Fabulis Certifiées</t>
  </si>
  <si>
    <t>Sculptur</t>
  </si>
  <si>
    <t>Sculptur Certifiées</t>
  </si>
  <si>
    <t>Athlet</t>
  </si>
  <si>
    <t>Urée</t>
  </si>
  <si>
    <t>Contreverse</t>
  </si>
  <si>
    <t>Effecto</t>
  </si>
  <si>
    <t>Axial Pratic</t>
  </si>
  <si>
    <t>Harmony SX</t>
  </si>
  <si>
    <t>Allié SX</t>
  </si>
  <si>
    <t>Gratil</t>
  </si>
  <si>
    <t>Fenova</t>
  </si>
  <si>
    <t>Primus</t>
  </si>
  <si>
    <t>Pragma</t>
  </si>
  <si>
    <t xml:space="preserve">Sam 40 </t>
  </si>
  <si>
    <t>Opus New</t>
  </si>
  <si>
    <t>Mirage</t>
  </si>
  <si>
    <t>Pixel</t>
  </si>
  <si>
    <t>Mercantor Gold</t>
  </si>
  <si>
    <t>LG 5474</t>
  </si>
  <si>
    <t>Extrasol</t>
  </si>
  <si>
    <t>Nikeyl</t>
  </si>
  <si>
    <t>Novall</t>
  </si>
  <si>
    <t>Samin Clearfield</t>
  </si>
  <si>
    <t>Acanto</t>
  </si>
  <si>
    <t>Aviator</t>
  </si>
  <si>
    <t>Fertilider</t>
  </si>
  <si>
    <t>Mas 95 OL</t>
  </si>
  <si>
    <t>Roundup Innov</t>
  </si>
  <si>
    <t>Prosaro</t>
  </si>
  <si>
    <t>Kestrel</t>
  </si>
  <si>
    <t>Isidor</t>
  </si>
  <si>
    <t>Isidor Certifiées</t>
  </si>
  <si>
    <t>Inoculum Micro</t>
  </si>
  <si>
    <t>Ardito</t>
  </si>
  <si>
    <t>Pulsar</t>
  </si>
  <si>
    <t>Filan</t>
  </si>
  <si>
    <t>Rheobor</t>
  </si>
  <si>
    <t>BOA</t>
  </si>
  <si>
    <t>Irrigation</t>
  </si>
  <si>
    <t>MOISSON BD</t>
  </si>
  <si>
    <t>MOISSON BT</t>
  </si>
  <si>
    <t>MAÏS_SEMENCES</t>
  </si>
  <si>
    <t>Basocarb 90</t>
  </si>
  <si>
    <t>TOURNESOL_OISELLERIE</t>
  </si>
  <si>
    <t>Pac 24</t>
  </si>
  <si>
    <t>TR_CL_EXPRESS</t>
  </si>
  <si>
    <t>TR_OL_CLEARFIELD</t>
  </si>
  <si>
    <t>MOISSON TR</t>
  </si>
  <si>
    <t>MOISSON SOJA</t>
  </si>
  <si>
    <t>MOISSON SORG</t>
  </si>
  <si>
    <t>Floridou Certifées</t>
  </si>
  <si>
    <t>Ascott Certifiées</t>
  </si>
  <si>
    <t>Soleiho</t>
  </si>
  <si>
    <t>SOJA</t>
  </si>
  <si>
    <t>URÉE</t>
  </si>
  <si>
    <t>ATHLET</t>
  </si>
  <si>
    <t>Sulfate d'ammoniac</t>
  </si>
  <si>
    <t>Sam 40</t>
  </si>
  <si>
    <t>Actirob</t>
  </si>
  <si>
    <t>Archipel</t>
  </si>
  <si>
    <t>VARIETE</t>
  </si>
  <si>
    <t>DATE</t>
  </si>
  <si>
    <t>PRODUIT</t>
  </si>
  <si>
    <t>STADE</t>
  </si>
  <si>
    <t>Unit</t>
  </si>
  <si>
    <t>CATEGORIE</t>
  </si>
  <si>
    <t>QTE / HA</t>
  </si>
  <si>
    <t>NB / HA</t>
  </si>
  <si>
    <t xml:space="preserve">QTE TOTAL </t>
  </si>
  <si>
    <t>MONTANT</t>
  </si>
  <si>
    <t>PARCELLE #2</t>
  </si>
  <si>
    <t>COMMENTAIRES</t>
  </si>
  <si>
    <t>305 gr/m2</t>
  </si>
  <si>
    <t>310 gr/m2</t>
  </si>
  <si>
    <t>290 gr/m2</t>
  </si>
  <si>
    <t>285 gr/m2</t>
  </si>
  <si>
    <t>315 gr/m2</t>
  </si>
  <si>
    <t>325 gr/m2</t>
  </si>
  <si>
    <t>380 gr/m2</t>
  </si>
  <si>
    <t>69 unités d'Azote</t>
  </si>
  <si>
    <t>83 unités d'Azote</t>
  </si>
  <si>
    <t>87 unités d'Azote</t>
  </si>
  <si>
    <t>60 unités d'Azote</t>
  </si>
  <si>
    <t>67 unités d'Azote</t>
  </si>
  <si>
    <t>74 unités d'Azote</t>
  </si>
  <si>
    <t>35 unités d'Azote</t>
  </si>
  <si>
    <t>38 unités d'Azote</t>
  </si>
  <si>
    <t>84 unités d'Azote</t>
  </si>
  <si>
    <t>270 gr/m2 + Risque mosaîque</t>
  </si>
  <si>
    <t>275 gr/m2</t>
  </si>
  <si>
    <t>300 gr/m2</t>
  </si>
  <si>
    <t>370 gr/m2</t>
  </si>
  <si>
    <t>TALLAGE</t>
  </si>
  <si>
    <t>37 unités d'Azote</t>
  </si>
  <si>
    <t>3 FEUILLES</t>
  </si>
  <si>
    <t>37 unités</t>
  </si>
  <si>
    <t>8 unités</t>
  </si>
  <si>
    <t xml:space="preserve">37 unités </t>
  </si>
  <si>
    <t>Vulpie, véronique</t>
  </si>
  <si>
    <t>Ray gras, vulpie (peu), véronique</t>
  </si>
  <si>
    <t>ÉPI 1 CM</t>
  </si>
  <si>
    <t>10 u d'N + 30 u de soufre</t>
  </si>
  <si>
    <t>50 u d'N</t>
  </si>
  <si>
    <t>80 u d'N</t>
  </si>
  <si>
    <t>Ray-gras, phalaris, folle avoine</t>
  </si>
  <si>
    <t>Paturin annuel &amp; commun, phalaris, RG, gaillet</t>
  </si>
  <si>
    <t>30 u d'N - 1/2 du 2ème apport</t>
  </si>
  <si>
    <t>60 u d'N</t>
  </si>
  <si>
    <t>SOCIETE</t>
  </si>
  <si>
    <t>BOUSQUET</t>
  </si>
  <si>
    <t>ROQUES</t>
  </si>
  <si>
    <t>PUJOLET</t>
  </si>
  <si>
    <t xml:space="preserve">colonne à masquer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</si>
</sst>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10483]dd\-mm\-yy;@"/>
    <numFmt numFmtId="166" formatCode="_([$€-2]\ * #,##0.00_);_([$€-2]\ * \(#,##0.00\);_([$€-2]\ * &quot;-&quot;??_);_(@_)"/>
    <numFmt numFmtId="167" formatCode="_([$€-2]\ * #,##0_);_([$€-2]\ * \(#,##0\);_([$€-2]\ * &quot;-&quot;??_);_(@_)"/>
    <numFmt numFmtId="168" formatCode="#,#00\ \Q\x"/>
    <numFmt numFmtId="169" formatCode="[$-409]d\-mmm\-yy;@"/>
  </numFmts>
  <fonts count="1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2"/>
      <color indexed="8"/>
      <name val="Myriad Set Text"/>
    </font>
    <font>
      <sz val="12"/>
      <color indexed="8"/>
      <name val="Calibri"/>
      <family val="2"/>
    </font>
    <font>
      <b/>
      <sz val="12"/>
      <color indexed="56"/>
      <name val="Calibri"/>
      <family val="2"/>
    </font>
    <font>
      <b/>
      <sz val="12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</borders>
  <cellStyleXfs count="185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9" fillId="0" borderId="14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1">
    <xf numFmtId="0" fontId="0" fillId="0" borderId="0" xfId="0"/>
    <xf numFmtId="0" fontId="5" fillId="2" borderId="6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0" fillId="4" borderId="7" xfId="0" applyFill="1" applyBorder="1"/>
    <xf numFmtId="0" fontId="0" fillId="4" borderId="0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6" xfId="0" applyFill="1" applyBorder="1"/>
    <xf numFmtId="0" fontId="0" fillId="4" borderId="9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4" xfId="0" applyFill="1" applyBorder="1"/>
    <xf numFmtId="0" fontId="8" fillId="0" borderId="0" xfId="0" applyFont="1"/>
    <xf numFmtId="0" fontId="8" fillId="0" borderId="0" xfId="0" applyFont="1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3" borderId="10" xfId="0" applyFill="1" applyBorder="1" applyAlignment="1">
      <alignment horizontal="center" vertical="center"/>
    </xf>
    <xf numFmtId="0" fontId="0" fillId="5" borderId="2" xfId="0" applyFont="1" applyFill="1" applyBorder="1" applyAlignment="1">
      <alignment horizontal="left" vertical="center"/>
    </xf>
    <xf numFmtId="0" fontId="0" fillId="5" borderId="3" xfId="0" applyFont="1" applyFill="1" applyBorder="1" applyAlignment="1">
      <alignment horizontal="left" vertical="center"/>
    </xf>
    <xf numFmtId="0" fontId="0" fillId="5" borderId="12" xfId="0" applyFont="1" applyFill="1" applyBorder="1" applyAlignment="1">
      <alignment horizontal="left" vertical="center"/>
    </xf>
    <xf numFmtId="0" fontId="0" fillId="5" borderId="13" xfId="0" applyFont="1" applyFill="1" applyBorder="1" applyAlignment="1">
      <alignment horizontal="left" vertical="center"/>
    </xf>
    <xf numFmtId="0" fontId="10" fillId="7" borderId="0" xfId="0" applyFont="1" applyFill="1" applyAlignment="1" applyProtection="1">
      <alignment horizontal="center" vertical="center"/>
    </xf>
    <xf numFmtId="0" fontId="12" fillId="0" borderId="14" xfId="153" applyFont="1" applyAlignment="1" applyProtection="1">
      <alignment horizontal="center" vertical="center"/>
    </xf>
    <xf numFmtId="0" fontId="13" fillId="0" borderId="14" xfId="153" applyFont="1" applyFill="1" applyAlignment="1" applyProtection="1">
      <alignment horizontal="center" vertical="center"/>
    </xf>
    <xf numFmtId="0" fontId="13" fillId="7" borderId="14" xfId="153" applyFont="1" applyFill="1" applyAlignment="1" applyProtection="1">
      <alignment horizontal="center" vertical="center"/>
    </xf>
    <xf numFmtId="0" fontId="12" fillId="0" borderId="14" xfId="153" applyFont="1" applyAlignment="1" applyProtection="1">
      <alignment horizontal="lef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165" fontId="10" fillId="0" borderId="0" xfId="0" applyNumberFormat="1" applyFont="1" applyAlignment="1" applyProtection="1">
      <alignment horizontal="center" vertical="center"/>
    </xf>
    <xf numFmtId="0" fontId="10" fillId="0" borderId="0" xfId="0" applyFont="1" applyProtection="1"/>
    <xf numFmtId="2" fontId="10" fillId="0" borderId="0" xfId="0" applyNumberFormat="1" applyFont="1" applyAlignment="1" applyProtection="1">
      <alignment horizontal="center" vertical="center"/>
    </xf>
    <xf numFmtId="2" fontId="10" fillId="7" borderId="0" xfId="0" applyNumberFormat="1" applyFont="1" applyFill="1" applyAlignment="1" applyProtection="1">
      <alignment horizontal="center" vertical="center"/>
    </xf>
    <xf numFmtId="166" fontId="10" fillId="0" borderId="0" xfId="0" applyNumberFormat="1" applyFont="1" applyAlignment="1" applyProtection="1">
      <alignment horizontal="center" vertical="center"/>
    </xf>
    <xf numFmtId="166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1" fontId="10" fillId="0" borderId="0" xfId="0" applyNumberFormat="1" applyFont="1" applyAlignment="1" applyProtection="1">
      <alignment horizontal="left"/>
    </xf>
    <xf numFmtId="167" fontId="10" fillId="0" borderId="0" xfId="0" applyNumberFormat="1" applyFont="1" applyAlignment="1" applyProtection="1">
      <alignment horizontal="center" vertical="center"/>
    </xf>
    <xf numFmtId="2" fontId="10" fillId="0" borderId="0" xfId="0" applyNumberFormat="1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/>
    </xf>
    <xf numFmtId="0" fontId="0" fillId="0" borderId="0" xfId="0" applyFont="1" applyBorder="1" applyAlignment="1" applyProtection="1">
      <alignment horizontal="center" vertical="center"/>
    </xf>
    <xf numFmtId="168" fontId="10" fillId="0" borderId="0" xfId="0" applyNumberFormat="1" applyFont="1" applyAlignment="1" applyProtection="1">
      <alignment horizontal="right" vertical="center"/>
    </xf>
    <xf numFmtId="0" fontId="10" fillId="0" borderId="0" xfId="16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0" fillId="0" borderId="0" xfId="160" applyFont="1" applyFill="1" applyAlignment="1" applyProtection="1">
      <alignment horizontal="center" vertical="center"/>
    </xf>
    <xf numFmtId="165" fontId="10" fillId="0" borderId="0" xfId="0" applyNumberFormat="1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/>
    </xf>
    <xf numFmtId="167" fontId="10" fillId="0" borderId="0" xfId="0" applyNumberFormat="1" applyFont="1" applyFill="1" applyAlignment="1" applyProtection="1">
      <alignment horizontal="center" vertical="center"/>
    </xf>
    <xf numFmtId="166" fontId="10" fillId="0" borderId="0" xfId="0" applyNumberFormat="1" applyFont="1" applyFill="1" applyAlignment="1" applyProtection="1">
      <alignment vertical="center"/>
    </xf>
    <xf numFmtId="169" fontId="0" fillId="4" borderId="9" xfId="0" applyNumberFormat="1" applyFill="1" applyBorder="1"/>
    <xf numFmtId="169" fontId="0" fillId="4" borderId="0" xfId="0" applyNumberFormat="1" applyFill="1" applyBorder="1"/>
    <xf numFmtId="169" fontId="0" fillId="4" borderId="8" xfId="0" applyNumberFormat="1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4" xfId="0" applyFill="1" applyBorder="1"/>
    <xf numFmtId="0" fontId="0" fillId="9" borderId="11" xfId="0" applyFill="1" applyBorder="1"/>
    <xf numFmtId="0" fontId="0" fillId="9" borderId="12" xfId="0" applyFill="1" applyBorder="1"/>
    <xf numFmtId="0" fontId="0" fillId="9" borderId="13" xfId="0" applyFill="1" applyBorder="1"/>
    <xf numFmtId="0" fontId="0" fillId="9" borderId="10" xfId="0" applyFill="1" applyBorder="1" applyAlignment="1">
      <alignment horizontal="center" vertical="center"/>
    </xf>
    <xf numFmtId="0" fontId="2" fillId="10" borderId="10" xfId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4" fontId="0" fillId="4" borderId="9" xfId="0" applyNumberFormat="1" applyFill="1" applyBorder="1"/>
    <xf numFmtId="44" fontId="0" fillId="4" borderId="0" xfId="0" applyNumberFormat="1" applyFill="1" applyBorder="1"/>
    <xf numFmtId="44" fontId="0" fillId="4" borderId="8" xfId="0" applyNumberFormat="1" applyFill="1" applyBorder="1"/>
    <xf numFmtId="44" fontId="0" fillId="4" borderId="2" xfId="152" applyNumberFormat="1" applyFont="1" applyFill="1" applyBorder="1"/>
    <xf numFmtId="44" fontId="0" fillId="4" borderId="3" xfId="152" applyNumberFormat="1" applyFont="1" applyFill="1" applyBorder="1"/>
    <xf numFmtId="44" fontId="0" fillId="4" borderId="3" xfId="0" applyNumberFormat="1" applyFill="1" applyBorder="1"/>
    <xf numFmtId="44" fontId="0" fillId="4" borderId="5" xfId="0" applyNumberFormat="1" applyFill="1" applyBorder="1"/>
    <xf numFmtId="0" fontId="2" fillId="0" borderId="10" xfId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0" fillId="11" borderId="11" xfId="0" applyFill="1" applyBorder="1" applyAlignment="1" applyProtection="1">
      <alignment horizontal="center"/>
      <protection locked="0"/>
    </xf>
    <xf numFmtId="0" fontId="0" fillId="11" borderId="12" xfId="0" applyFill="1" applyBorder="1" applyAlignment="1" applyProtection="1">
      <alignment horizontal="center"/>
      <protection locked="0"/>
    </xf>
    <xf numFmtId="0" fontId="0" fillId="11" borderId="13" xfId="0" applyFill="1" applyBorder="1" applyAlignment="1" applyProtection="1">
      <alignment horizontal="center"/>
      <protection locked="0"/>
    </xf>
  </cellXfs>
  <cellStyles count="18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Monétaire" xfId="152" builtinId="4"/>
    <cellStyle name="Normal" xfId="0" builtinId="0"/>
    <cellStyle name="Normal_PARCELLAIRE" xfId="160"/>
    <cellStyle name="Titre 1" xfId="153" builtinId="16"/>
    <cellStyle name="Titre 2" xfId="1" builtinId="17"/>
  </cellStyles>
  <dxfs count="14">
    <dxf>
      <numFmt numFmtId="166" formatCode="_([$€-2]\ * #,##0.00_);_([$€-2]\ * \(#,##0.00\);_([$€-2]\ * &quot;-&quot;??_);_(@_)"/>
    </dxf>
    <dxf>
      <numFmt numFmtId="166" formatCode="_([$€-2]\ * #,##0.00_);_([$€-2]\ * \(#,##0.00\);_([$€-2]\ * &quot;-&quot;??_);_(@_)"/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numFmt numFmtId="0" formatCode="General"/>
      <fill>
        <patternFill patternType="solid">
          <fgColor rgb="FF00000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C0504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numFmt numFmtId="0" formatCode="General"/>
      <fill>
        <patternFill patternType="solid">
          <fgColor rgb="FF00000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C0504D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numFmt numFmtId="165" formatCode="[$-10483]dd\-mm\-yy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fill>
        <patternFill patternType="solid">
          <fgColor rgb="FF000000"/>
          <bgColor rgb="FFC0C0C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C0504D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Myriad Set Text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yriad Set Tex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C0504D"/>
        </left>
        <right/>
        <top style="thin">
          <color rgb="FFC0504D"/>
        </top>
        <bottom/>
        <vertical/>
        <horizontal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5" fmlaRange="Liste_Annee" val="0"/>
</file>

<file path=xl/ctrlProps/ctrlProp2.xml><?xml version="1.0" encoding="utf-8"?>
<formControlPr xmlns="http://schemas.microsoft.com/office/spreadsheetml/2009/9/main" objectType="Drop" dropStyle="combo" dx="16" fmlaLink="$A$6" fmlaRange="Liste_Societe" sel="2" val="0"/>
</file>

<file path=xl/ctrlProps/ctrlProp3.xml><?xml version="1.0" encoding="utf-8"?>
<formControlPr xmlns="http://schemas.microsoft.com/office/spreadsheetml/2009/9/main" objectType="Drop" dropStyle="combo" dx="16" fmlaLink="$A$7" fmlaRange="Liste_Culture" sel="4" val="0"/>
</file>

<file path=xl/ctrlProps/ctrlProp4.xml><?xml version="1.0" encoding="utf-8"?>
<formControlPr xmlns="http://schemas.microsoft.com/office/spreadsheetml/2009/9/main" objectType="Drop" dropStyle="combo" dx="16" fmlaLink="$A$8" fmlaRange="Liste_Vart" sel="2" val="0"/>
</file>

<file path=xl/ctrlProps/ctrlProp5.xml><?xml version="1.0" encoding="utf-8"?>
<formControlPr xmlns="http://schemas.microsoft.com/office/spreadsheetml/2009/9/main" objectType="Drop" dropStyle="combo" dx="16" fmlaLink="$A$9" fmlaRange="Liste_Parcelle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0</xdr:rowOff>
        </xdr:from>
        <xdr:to>
          <xdr:col>4</xdr:col>
          <xdr:colOff>0</xdr:colOff>
          <xdr:row>9</xdr:row>
          <xdr:rowOff>0</xdr:rowOff>
        </xdr:to>
        <xdr:grpSp>
          <xdr:nvGrpSpPr>
            <xdr:cNvPr id="2" name="Groupe 1"/>
            <xdr:cNvGrpSpPr/>
          </xdr:nvGrpSpPr>
          <xdr:grpSpPr>
            <a:xfrm>
              <a:off x="1457325" y="819150"/>
              <a:ext cx="1771650" cy="1238250"/>
              <a:chOff x="1457325" y="819150"/>
              <a:chExt cx="1771650" cy="1238250"/>
            </a:xfrm>
          </xdr:grpSpPr>
          <xdr:sp macro="" textlink="">
            <xdr:nvSpPr>
              <xdr:cNvPr id="1028" name="Drop Dow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1457325" y="819150"/>
                <a:ext cx="1771650" cy="247650"/>
              </a:xfrm>
              <a:prstGeom prst="rect">
                <a:avLst/>
              </a:prstGeom>
            </xdr:spPr>
          </xdr:sp>
          <xdr:sp macro="" textlink="">
            <xdr:nvSpPr>
              <xdr:cNvPr id="1030" name="Drop Dow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>
              <a:xfrm>
                <a:off x="1457325" y="1066800"/>
                <a:ext cx="1771650" cy="247650"/>
              </a:xfrm>
              <a:prstGeom prst="rect">
                <a:avLst/>
              </a:prstGeom>
            </xdr:spPr>
          </xdr:sp>
          <xdr:sp macro="" textlink="">
            <xdr:nvSpPr>
              <xdr:cNvPr id="1031" name="Drop Down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>
              <a:xfrm>
                <a:off x="1457325" y="1314450"/>
                <a:ext cx="1771650" cy="247650"/>
              </a:xfrm>
              <a:prstGeom prst="rect">
                <a:avLst/>
              </a:prstGeom>
            </xdr:spPr>
          </xdr:sp>
          <xdr:sp macro="" textlink="">
            <xdr:nvSpPr>
              <xdr:cNvPr id="1032" name="Drop Down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1457325" y="1562100"/>
                <a:ext cx="1771650" cy="247650"/>
              </a:xfrm>
              <a:prstGeom prst="rect">
                <a:avLst/>
              </a:prstGeom>
            </xdr:spPr>
          </xdr:sp>
          <xdr:sp macro="" textlink="">
            <xdr:nvSpPr>
              <xdr:cNvPr id="1033" name="Drop Down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1457325" y="1809750"/>
                <a:ext cx="1771650" cy="24765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xdr:twoCellAnchor>
    <xdr:from>
      <xdr:col>0</xdr:col>
      <xdr:colOff>38101</xdr:colOff>
      <xdr:row>9</xdr:row>
      <xdr:rowOff>2</xdr:rowOff>
    </xdr:from>
    <xdr:to>
      <xdr:col>3</xdr:col>
      <xdr:colOff>0</xdr:colOff>
      <xdr:row>15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38101" y="2057402"/>
          <a:ext cx="1419224" cy="1600198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L/Dropbox/PLAN%20DE%20CAMPAGNE/PLAN%20DE%20CAMPAG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FOCUS CULTURE"/>
      <sheetName val="FOCUS PARCELLE"/>
      <sheetName val="FOCCUS VARIETE"/>
      <sheetName val="SOURCE"/>
      <sheetName val="UTILISATIONS"/>
      <sheetName val="ACHATS"/>
      <sheetName val="COUT MOYEN - STOCK"/>
      <sheetName val="PARCELLAIRE"/>
      <sheetName val="VARIETE"/>
      <sheetName val="STADE"/>
      <sheetName val="ANNEE"/>
      <sheetName val="CHARGES DE STRUCTURE"/>
      <sheetName val="RECUP HEURES"/>
      <sheetName val="STOCKAGE"/>
      <sheetName val="MENU"/>
    </sheetNames>
    <sheetDataSet>
      <sheetData sheetId="0"/>
      <sheetData sheetId="1"/>
      <sheetData sheetId="2">
        <row r="7">
          <cell r="G7">
            <v>2013</v>
          </cell>
        </row>
      </sheetData>
      <sheetData sheetId="3"/>
      <sheetData sheetId="4"/>
      <sheetData sheetId="5"/>
      <sheetData sheetId="6">
        <row r="1">
          <cell r="C1" t="str">
            <v>PRODUIT</v>
          </cell>
          <cell r="D1" t="str">
            <v>CATEGORIE</v>
          </cell>
          <cell r="E1" t="str">
            <v>UNITÉ</v>
          </cell>
        </row>
        <row r="2">
          <cell r="C2" t="str">
            <v>Urée</v>
          </cell>
          <cell r="D2" t="str">
            <v>AZOTE</v>
          </cell>
          <cell r="E2" t="str">
            <v>Kg</v>
          </cell>
        </row>
        <row r="3">
          <cell r="C3" t="str">
            <v>Urée</v>
          </cell>
          <cell r="D3" t="str">
            <v>AZOTE</v>
          </cell>
          <cell r="E3" t="str">
            <v>Kg</v>
          </cell>
        </row>
        <row r="4">
          <cell r="C4" t="str">
            <v>Urée</v>
          </cell>
          <cell r="D4" t="str">
            <v>AZOTE</v>
          </cell>
          <cell r="E4" t="str">
            <v>Kg</v>
          </cell>
        </row>
        <row r="5">
          <cell r="C5" t="str">
            <v>Racer</v>
          </cell>
          <cell r="D5" t="str">
            <v>DESHERBANT</v>
          </cell>
          <cell r="E5" t="str">
            <v>L</v>
          </cell>
        </row>
        <row r="6">
          <cell r="C6" t="str">
            <v>Image</v>
          </cell>
          <cell r="D6" t="str">
            <v>DESHERBANT</v>
          </cell>
          <cell r="E6" t="str">
            <v>L</v>
          </cell>
        </row>
        <row r="7">
          <cell r="C7" t="str">
            <v>Ariane</v>
          </cell>
          <cell r="D7" t="str">
            <v>DESHERBANT</v>
          </cell>
          <cell r="E7" t="str">
            <v>L</v>
          </cell>
        </row>
        <row r="8">
          <cell r="C8" t="str">
            <v>Axial Pratic</v>
          </cell>
          <cell r="D8" t="str">
            <v>DESHERBANT</v>
          </cell>
          <cell r="E8" t="str">
            <v>L</v>
          </cell>
        </row>
        <row r="9">
          <cell r="C9" t="str">
            <v>Allié SX</v>
          </cell>
          <cell r="D9" t="str">
            <v>DESHERBANT</v>
          </cell>
          <cell r="E9" t="str">
            <v>g</v>
          </cell>
        </row>
        <row r="10">
          <cell r="C10" t="str">
            <v>Athlet</v>
          </cell>
          <cell r="D10" t="str">
            <v>DESHERBANT</v>
          </cell>
          <cell r="E10" t="str">
            <v>L</v>
          </cell>
        </row>
        <row r="11">
          <cell r="C11" t="str">
            <v>BOA</v>
          </cell>
          <cell r="D11" t="str">
            <v>DESHERBANT</v>
          </cell>
          <cell r="E11" t="str">
            <v>L</v>
          </cell>
        </row>
        <row r="12">
          <cell r="C12" t="str">
            <v>Fenova</v>
          </cell>
          <cell r="D12" t="str">
            <v>DESHERBANT</v>
          </cell>
          <cell r="E12" t="str">
            <v>L</v>
          </cell>
        </row>
        <row r="13">
          <cell r="C13" t="str">
            <v>Glyphosate</v>
          </cell>
          <cell r="D13" t="str">
            <v>DESHERBANT</v>
          </cell>
          <cell r="E13" t="str">
            <v>L</v>
          </cell>
        </row>
        <row r="14">
          <cell r="C14" t="str">
            <v>Glyphosate</v>
          </cell>
          <cell r="D14" t="str">
            <v>DESHERBANT</v>
          </cell>
          <cell r="E14" t="str">
            <v>L</v>
          </cell>
        </row>
        <row r="15">
          <cell r="C15" t="str">
            <v>Glyphosate</v>
          </cell>
          <cell r="D15" t="str">
            <v>DESHERBANT</v>
          </cell>
          <cell r="E15" t="str">
            <v>L</v>
          </cell>
        </row>
        <row r="16">
          <cell r="C16" t="str">
            <v>Gratil</v>
          </cell>
          <cell r="D16" t="str">
            <v>DESHERBANT</v>
          </cell>
          <cell r="E16" t="str">
            <v>L</v>
          </cell>
        </row>
        <row r="17">
          <cell r="C17" t="str">
            <v>Harmony SX</v>
          </cell>
          <cell r="D17" t="str">
            <v>DESHERBANT</v>
          </cell>
          <cell r="E17" t="str">
            <v>L</v>
          </cell>
        </row>
        <row r="18">
          <cell r="C18" t="str">
            <v>Liberate</v>
          </cell>
          <cell r="D18" t="str">
            <v>DESHERBANT</v>
          </cell>
          <cell r="E18" t="str">
            <v>Dose</v>
          </cell>
        </row>
        <row r="19">
          <cell r="C19" t="str">
            <v>Mercantor Gold</v>
          </cell>
          <cell r="D19" t="str">
            <v>DESHERBANT</v>
          </cell>
          <cell r="E19" t="str">
            <v>L</v>
          </cell>
        </row>
        <row r="20">
          <cell r="C20" t="str">
            <v>Mercantor Gold</v>
          </cell>
          <cell r="D20" t="str">
            <v>DESHERBANT</v>
          </cell>
          <cell r="E20" t="str">
            <v>L</v>
          </cell>
        </row>
        <row r="21">
          <cell r="C21" t="str">
            <v>Mercantor Gold</v>
          </cell>
          <cell r="D21" t="str">
            <v>DESHERBANT</v>
          </cell>
          <cell r="E21" t="str">
            <v>L</v>
          </cell>
        </row>
        <row r="22">
          <cell r="C22" t="str">
            <v>Nikeyl</v>
          </cell>
          <cell r="D22" t="str">
            <v>DESHERBANT</v>
          </cell>
          <cell r="E22" t="str">
            <v>Kg</v>
          </cell>
        </row>
        <row r="23">
          <cell r="C23" t="str">
            <v>Novall</v>
          </cell>
          <cell r="D23" t="str">
            <v>DESHERBANT</v>
          </cell>
          <cell r="E23" t="str">
            <v>Kg</v>
          </cell>
        </row>
        <row r="24">
          <cell r="C24" t="str">
            <v>Pragma</v>
          </cell>
          <cell r="D24" t="str">
            <v>DESHERBANT</v>
          </cell>
          <cell r="E24" t="str">
            <v>L</v>
          </cell>
        </row>
        <row r="25">
          <cell r="C25" t="str">
            <v>Primus</v>
          </cell>
          <cell r="D25" t="str">
            <v>DESHERBANT</v>
          </cell>
          <cell r="E25" t="str">
            <v>L</v>
          </cell>
        </row>
        <row r="26">
          <cell r="C26" t="str">
            <v>Roundup Innov</v>
          </cell>
          <cell r="D26" t="str">
            <v>DESHERBANT</v>
          </cell>
          <cell r="E26" t="str">
            <v>L</v>
          </cell>
        </row>
        <row r="27">
          <cell r="C27" t="str">
            <v>Pulsar</v>
          </cell>
          <cell r="D27" t="str">
            <v>DESHERBANT</v>
          </cell>
          <cell r="E27" t="str">
            <v>L</v>
          </cell>
        </row>
        <row r="28">
          <cell r="C28" t="str">
            <v>Pulsar</v>
          </cell>
          <cell r="D28" t="str">
            <v>DESHERBANT</v>
          </cell>
          <cell r="E28" t="str">
            <v>L</v>
          </cell>
        </row>
        <row r="29">
          <cell r="C29" t="str">
            <v>Contreverse</v>
          </cell>
          <cell r="D29" t="str">
            <v>DIVERS</v>
          </cell>
          <cell r="E29" t="str">
            <v>L</v>
          </cell>
        </row>
        <row r="30">
          <cell r="C30" t="str">
            <v>Effecto</v>
          </cell>
          <cell r="D30" t="str">
            <v>DIVERS</v>
          </cell>
          <cell r="E30" t="str">
            <v>L</v>
          </cell>
        </row>
        <row r="31">
          <cell r="C31" t="str">
            <v>Fertilider</v>
          </cell>
          <cell r="D31" t="str">
            <v>DIVERS</v>
          </cell>
          <cell r="E31" t="str">
            <v>L</v>
          </cell>
        </row>
        <row r="32">
          <cell r="C32" t="str">
            <v>Heliosol</v>
          </cell>
          <cell r="D32" t="str">
            <v>DIVERS</v>
          </cell>
          <cell r="E32" t="str">
            <v>L</v>
          </cell>
        </row>
        <row r="33">
          <cell r="C33" t="str">
            <v>Inoculum Micro</v>
          </cell>
          <cell r="D33" t="str">
            <v>DIVERS</v>
          </cell>
          <cell r="E33" t="str">
            <v>Kg</v>
          </cell>
        </row>
        <row r="34">
          <cell r="C34" t="str">
            <v>Metarex</v>
          </cell>
          <cell r="D34" t="str">
            <v>DIVERS</v>
          </cell>
          <cell r="E34" t="str">
            <v>Kg</v>
          </cell>
        </row>
        <row r="35">
          <cell r="C35" t="str">
            <v>Mollustop</v>
          </cell>
          <cell r="D35" t="str">
            <v>DIVERS</v>
          </cell>
          <cell r="E35" t="str">
            <v>Kg</v>
          </cell>
        </row>
        <row r="36">
          <cell r="C36" t="str">
            <v>Rheobor</v>
          </cell>
          <cell r="D36" t="str">
            <v>DIVERS</v>
          </cell>
          <cell r="E36" t="str">
            <v>L</v>
          </cell>
        </row>
        <row r="37">
          <cell r="C37" t="str">
            <v xml:space="preserve">Sam 40 </v>
          </cell>
          <cell r="D37" t="str">
            <v>DIVERS</v>
          </cell>
          <cell r="E37" t="str">
            <v>L</v>
          </cell>
        </row>
        <row r="38">
          <cell r="C38" t="str">
            <v xml:space="preserve">Sam 40 </v>
          </cell>
          <cell r="D38" t="str">
            <v>DIVERS</v>
          </cell>
          <cell r="E38" t="str">
            <v>L</v>
          </cell>
        </row>
        <row r="39">
          <cell r="C39" t="str">
            <v>Pac 22</v>
          </cell>
          <cell r="D39" t="str">
            <v>ENGRAIS DE FOND</v>
          </cell>
          <cell r="E39" t="str">
            <v>Kg</v>
          </cell>
        </row>
        <row r="40">
          <cell r="C40" t="str">
            <v>Pac 22</v>
          </cell>
          <cell r="D40" t="str">
            <v>ENGRAIS DE FOND</v>
          </cell>
          <cell r="E40" t="str">
            <v>Kg</v>
          </cell>
        </row>
        <row r="41">
          <cell r="C41" t="str">
            <v>Physalg 15</v>
          </cell>
          <cell r="D41" t="str">
            <v>ENGRAIS DE FOND</v>
          </cell>
          <cell r="E41" t="str">
            <v>Kg</v>
          </cell>
        </row>
        <row r="42">
          <cell r="C42" t="str">
            <v>Physiolith</v>
          </cell>
          <cell r="D42" t="str">
            <v>ENGRAIS DE FOND</v>
          </cell>
          <cell r="E42" t="str">
            <v>Kg</v>
          </cell>
        </row>
        <row r="43">
          <cell r="C43" t="str">
            <v>Physiolith</v>
          </cell>
          <cell r="D43" t="str">
            <v>ENGRAIS DE FOND</v>
          </cell>
          <cell r="E43" t="str">
            <v>Kg</v>
          </cell>
        </row>
        <row r="44">
          <cell r="C44" t="str">
            <v>Terragral</v>
          </cell>
          <cell r="D44" t="str">
            <v>ENGRAIS DE FOND</v>
          </cell>
          <cell r="E44" t="str">
            <v>Kg</v>
          </cell>
        </row>
        <row r="45">
          <cell r="C45" t="str">
            <v>Mirage 450</v>
          </cell>
          <cell r="D45" t="str">
            <v>FONGICIDES</v>
          </cell>
          <cell r="E45" t="str">
            <v>L</v>
          </cell>
        </row>
        <row r="46">
          <cell r="C46" t="str">
            <v>Acanto</v>
          </cell>
          <cell r="D46" t="str">
            <v>FONGICIDES</v>
          </cell>
          <cell r="E46" t="str">
            <v>L</v>
          </cell>
        </row>
        <row r="47">
          <cell r="C47" t="str">
            <v>Aviator</v>
          </cell>
          <cell r="D47" t="str">
            <v>FONGICIDES</v>
          </cell>
          <cell r="E47" t="str">
            <v>L</v>
          </cell>
        </row>
        <row r="48">
          <cell r="C48" t="str">
            <v>Diams</v>
          </cell>
          <cell r="D48" t="str">
            <v>FONGICIDES</v>
          </cell>
          <cell r="E48" t="str">
            <v>L</v>
          </cell>
        </row>
        <row r="49">
          <cell r="C49" t="str">
            <v>Filan</v>
          </cell>
          <cell r="D49" t="str">
            <v>FONGICIDES</v>
          </cell>
          <cell r="E49" t="str">
            <v>L</v>
          </cell>
        </row>
        <row r="50">
          <cell r="C50" t="str">
            <v>Kestrel</v>
          </cell>
          <cell r="D50" t="str">
            <v>FONGICIDES</v>
          </cell>
          <cell r="E50" t="str">
            <v>L</v>
          </cell>
        </row>
        <row r="51">
          <cell r="C51" t="str">
            <v>Mirage</v>
          </cell>
          <cell r="D51" t="str">
            <v>FONGICIDES</v>
          </cell>
          <cell r="E51" t="str">
            <v>Kg</v>
          </cell>
        </row>
        <row r="52">
          <cell r="C52" t="str">
            <v>Opus new</v>
          </cell>
          <cell r="D52" t="str">
            <v>FONGICIDES</v>
          </cell>
          <cell r="E52" t="str">
            <v>Kg</v>
          </cell>
        </row>
        <row r="53">
          <cell r="C53" t="str">
            <v>Pixel</v>
          </cell>
          <cell r="D53" t="str">
            <v>FONGICIDES</v>
          </cell>
          <cell r="E53" t="str">
            <v>L</v>
          </cell>
        </row>
        <row r="54">
          <cell r="C54" t="str">
            <v>Pixel</v>
          </cell>
          <cell r="D54" t="str">
            <v>FONGICIDES</v>
          </cell>
          <cell r="E54" t="str">
            <v>L</v>
          </cell>
        </row>
        <row r="55">
          <cell r="C55" t="str">
            <v>Pixel</v>
          </cell>
          <cell r="D55" t="str">
            <v>FONGICIDES</v>
          </cell>
          <cell r="E55" t="str">
            <v>L</v>
          </cell>
        </row>
        <row r="56">
          <cell r="C56" t="str">
            <v>Prosaro</v>
          </cell>
          <cell r="D56" t="str">
            <v>FONGICIDES</v>
          </cell>
          <cell r="E56" t="str">
            <v>L</v>
          </cell>
        </row>
        <row r="57">
          <cell r="C57" t="str">
            <v>Irrigation</v>
          </cell>
          <cell r="D57" t="str">
            <v>IRRIGATION</v>
          </cell>
          <cell r="E57" t="str">
            <v>mm</v>
          </cell>
        </row>
        <row r="58">
          <cell r="C58" t="str">
            <v>MOISSON BD</v>
          </cell>
          <cell r="D58" t="str">
            <v>RÉCOLTE</v>
          </cell>
          <cell r="E58" t="str">
            <v>Qx</v>
          </cell>
        </row>
        <row r="59">
          <cell r="C59" t="str">
            <v>MOISSON BT</v>
          </cell>
          <cell r="D59" t="str">
            <v>RÉCOLTE</v>
          </cell>
          <cell r="E59" t="str">
            <v>Qx</v>
          </cell>
        </row>
        <row r="60">
          <cell r="C60" t="str">
            <v>MOISSON TR</v>
          </cell>
          <cell r="D60" t="str">
            <v>RÉCOLTE</v>
          </cell>
          <cell r="E60" t="str">
            <v>Qx</v>
          </cell>
        </row>
        <row r="61">
          <cell r="C61" t="str">
            <v>MOISSON SOJA</v>
          </cell>
          <cell r="D61" t="str">
            <v>RÉCOLTE</v>
          </cell>
          <cell r="E61" t="str">
            <v>Qx</v>
          </cell>
        </row>
        <row r="62">
          <cell r="C62" t="str">
            <v>MOISSON SORG</v>
          </cell>
          <cell r="D62" t="str">
            <v>RÉCOLTE</v>
          </cell>
          <cell r="E62" t="str">
            <v>Qx</v>
          </cell>
        </row>
        <row r="63">
          <cell r="C63" t="str">
            <v>Ardito</v>
          </cell>
          <cell r="D63" t="str">
            <v>SEMENCES</v>
          </cell>
          <cell r="E63" t="str">
            <v>Kg</v>
          </cell>
        </row>
        <row r="64">
          <cell r="C64" t="str">
            <v>Extrasol</v>
          </cell>
          <cell r="D64" t="str">
            <v>SEMENCES</v>
          </cell>
          <cell r="E64" t="str">
            <v>Dose</v>
          </cell>
        </row>
        <row r="65">
          <cell r="C65" t="str">
            <v>Fabulis Certifiées</v>
          </cell>
          <cell r="D65" t="str">
            <v>SEMENCES</v>
          </cell>
          <cell r="E65" t="str">
            <v>Kg</v>
          </cell>
        </row>
        <row r="66">
          <cell r="C66" t="str">
            <v>Isidor</v>
          </cell>
          <cell r="D66" t="str">
            <v>SEMENCES</v>
          </cell>
          <cell r="E66" t="str">
            <v>Kg</v>
          </cell>
        </row>
        <row r="67">
          <cell r="C67" t="str">
            <v>Isidor Certifiées</v>
          </cell>
          <cell r="D67" t="str">
            <v>SEMENCES</v>
          </cell>
          <cell r="E67" t="str">
            <v>Kg</v>
          </cell>
        </row>
        <row r="68">
          <cell r="C68" t="str">
            <v>LG 5474</v>
          </cell>
          <cell r="D68" t="str">
            <v>SEMENCES</v>
          </cell>
          <cell r="E68" t="str">
            <v>Dose</v>
          </cell>
        </row>
        <row r="69">
          <cell r="C69" t="str">
            <v>Mas 95 OL</v>
          </cell>
          <cell r="D69" t="str">
            <v>SEMENCES</v>
          </cell>
          <cell r="E69" t="str">
            <v>Dose</v>
          </cell>
        </row>
        <row r="70">
          <cell r="C70" t="str">
            <v>Miradoux</v>
          </cell>
          <cell r="D70" t="str">
            <v>SEMENCES</v>
          </cell>
          <cell r="E70" t="str">
            <v>Kg</v>
          </cell>
        </row>
        <row r="71">
          <cell r="C71" t="str">
            <v>Miradoux Certifiées</v>
          </cell>
          <cell r="D71" t="str">
            <v>SEMENCES</v>
          </cell>
          <cell r="E71" t="str">
            <v>Kg</v>
          </cell>
        </row>
        <row r="72">
          <cell r="C72" t="str">
            <v>Pescadoux</v>
          </cell>
          <cell r="D72" t="str">
            <v>SEMENCES</v>
          </cell>
          <cell r="E72" t="str">
            <v>Kg</v>
          </cell>
        </row>
        <row r="73">
          <cell r="C73" t="str">
            <v>Pescadoux Certifiées</v>
          </cell>
          <cell r="D73" t="str">
            <v>SEMENCES</v>
          </cell>
          <cell r="E73" t="str">
            <v>Kg</v>
          </cell>
        </row>
        <row r="74">
          <cell r="C74" t="str">
            <v>Samin Clearfield</v>
          </cell>
          <cell r="D74" t="str">
            <v>SEMENCES</v>
          </cell>
          <cell r="E74" t="str">
            <v>Dose</v>
          </cell>
        </row>
        <row r="75">
          <cell r="C75" t="str">
            <v>Sculptur</v>
          </cell>
          <cell r="D75" t="str">
            <v>SEMENCES</v>
          </cell>
          <cell r="E75" t="str">
            <v>Kg</v>
          </cell>
        </row>
        <row r="76">
          <cell r="C76" t="str">
            <v>Sculptur Certifiées</v>
          </cell>
          <cell r="D76" t="str">
            <v>SEMENCES</v>
          </cell>
          <cell r="E76" t="str">
            <v>Kg</v>
          </cell>
        </row>
        <row r="77">
          <cell r="C77" t="str">
            <v>Soleiho Certifiées</v>
          </cell>
          <cell r="D77" t="str">
            <v>SEMENCES</v>
          </cell>
          <cell r="E77" t="str">
            <v>Kg</v>
          </cell>
        </row>
        <row r="78">
          <cell r="C78" t="str">
            <v xml:space="preserve">BLE DUR </v>
          </cell>
          <cell r="D78" t="str">
            <v>VENTES</v>
          </cell>
          <cell r="E78" t="str">
            <v>T</v>
          </cell>
        </row>
        <row r="79">
          <cell r="C79" t="str">
            <v>BLE TENDRE</v>
          </cell>
          <cell r="D79" t="str">
            <v>VENTES</v>
          </cell>
          <cell r="E79" t="str">
            <v>T</v>
          </cell>
        </row>
        <row r="80">
          <cell r="C80" t="str">
            <v>BLE TENDRE</v>
          </cell>
          <cell r="D80" t="str">
            <v>VENTES</v>
          </cell>
          <cell r="E80" t="str">
            <v>T</v>
          </cell>
        </row>
        <row r="81">
          <cell r="C81" t="str">
            <v>TOURNESOL</v>
          </cell>
          <cell r="D81" t="str">
            <v>VENTES</v>
          </cell>
          <cell r="E81" t="str">
            <v>T</v>
          </cell>
        </row>
        <row r="82">
          <cell r="C82" t="str">
            <v>TOURNESOL</v>
          </cell>
          <cell r="D82" t="str">
            <v>VENTES</v>
          </cell>
          <cell r="E82" t="str">
            <v>T</v>
          </cell>
        </row>
        <row r="83">
          <cell r="C83" t="str">
            <v>TOURNESOL</v>
          </cell>
          <cell r="D83" t="str">
            <v>VENTES</v>
          </cell>
          <cell r="E83" t="str">
            <v>T</v>
          </cell>
        </row>
        <row r="84">
          <cell r="C84" t="str">
            <v>SOJA</v>
          </cell>
          <cell r="D84" t="str">
            <v>VENTES</v>
          </cell>
          <cell r="E84" t="str">
            <v>T</v>
          </cell>
        </row>
        <row r="85">
          <cell r="C85" t="str">
            <v>SORGHO</v>
          </cell>
          <cell r="D85" t="str">
            <v>VENTES</v>
          </cell>
          <cell r="E85" t="str">
            <v>T</v>
          </cell>
        </row>
        <row r="86">
          <cell r="C86" t="str">
            <v>Physalg 15</v>
          </cell>
          <cell r="D86" t="str">
            <v>ENGRAIS DE FOND</v>
          </cell>
          <cell r="E86" t="str">
            <v>Kg</v>
          </cell>
        </row>
        <row r="87">
          <cell r="C87" t="str">
            <v>Pescadoux</v>
          </cell>
          <cell r="D87" t="str">
            <v>DESHERBANT</v>
          </cell>
          <cell r="E87" t="str">
            <v>Kg</v>
          </cell>
        </row>
        <row r="88">
          <cell r="C88" t="str">
            <v>Mirage 450</v>
          </cell>
          <cell r="D88" t="str">
            <v>FONGICIDES</v>
          </cell>
          <cell r="E88" t="str">
            <v>L</v>
          </cell>
        </row>
        <row r="89">
          <cell r="C89" t="str">
            <v>Racer</v>
          </cell>
          <cell r="D89" t="str">
            <v>DESHERBANT</v>
          </cell>
          <cell r="E89" t="str">
            <v>L</v>
          </cell>
        </row>
        <row r="90">
          <cell r="C90" t="str">
            <v>Image</v>
          </cell>
          <cell r="D90" t="str">
            <v>DESHERBANT</v>
          </cell>
          <cell r="E90" t="str">
            <v>L</v>
          </cell>
        </row>
        <row r="91">
          <cell r="C91" t="str">
            <v>Ariane</v>
          </cell>
          <cell r="D91" t="str">
            <v>DESHERBANT</v>
          </cell>
          <cell r="E91" t="str">
            <v>L</v>
          </cell>
        </row>
        <row r="92">
          <cell r="C92" t="str">
            <v>Opus new</v>
          </cell>
          <cell r="D92" t="str">
            <v>DESHERBANT</v>
          </cell>
          <cell r="E92" t="str">
            <v>L</v>
          </cell>
        </row>
        <row r="93">
          <cell r="C93" t="str">
            <v>Contreverse</v>
          </cell>
          <cell r="D93" t="str">
            <v>DIVERS</v>
          </cell>
          <cell r="E93" t="str">
            <v>L</v>
          </cell>
        </row>
        <row r="94">
          <cell r="C94" t="str">
            <v>Fenova</v>
          </cell>
          <cell r="D94" t="str">
            <v>DESHERBANT</v>
          </cell>
          <cell r="E94" t="str">
            <v>L</v>
          </cell>
        </row>
        <row r="95">
          <cell r="C95" t="str">
            <v>Filan</v>
          </cell>
          <cell r="D95" t="str">
            <v>FONGICIDES</v>
          </cell>
          <cell r="E95" t="str">
            <v>L</v>
          </cell>
        </row>
        <row r="96">
          <cell r="C96" t="str">
            <v>Axial Pratic</v>
          </cell>
          <cell r="D96" t="str">
            <v>DESHERBANT</v>
          </cell>
          <cell r="E96" t="str">
            <v>L</v>
          </cell>
        </row>
        <row r="97">
          <cell r="C97" t="str">
            <v>Pulsar</v>
          </cell>
          <cell r="D97" t="str">
            <v>DESHERBANT</v>
          </cell>
          <cell r="E97" t="str">
            <v>L</v>
          </cell>
        </row>
        <row r="98">
          <cell r="C98" t="str">
            <v>Pixel</v>
          </cell>
          <cell r="D98" t="str">
            <v>FONGICIDES</v>
          </cell>
          <cell r="E98" t="str">
            <v>L</v>
          </cell>
        </row>
        <row r="99">
          <cell r="C99" t="str">
            <v>Rheobor</v>
          </cell>
          <cell r="D99" t="str">
            <v>DIVERS</v>
          </cell>
          <cell r="E99" t="str">
            <v>L</v>
          </cell>
        </row>
        <row r="100">
          <cell r="C100" t="str">
            <v>Metarex</v>
          </cell>
          <cell r="D100" t="str">
            <v>DIVERS</v>
          </cell>
          <cell r="E100" t="str">
            <v>Kg</v>
          </cell>
        </row>
        <row r="101">
          <cell r="C101" t="str">
            <v>Sculptur</v>
          </cell>
          <cell r="D101" t="str">
            <v>SEMENCES</v>
          </cell>
          <cell r="E101" t="str">
            <v>Kg</v>
          </cell>
        </row>
        <row r="102">
          <cell r="C102" t="str">
            <v>Urée</v>
          </cell>
          <cell r="D102" t="str">
            <v>AZOTE</v>
          </cell>
          <cell r="E102" t="str">
            <v>Kg</v>
          </cell>
        </row>
        <row r="103">
          <cell r="C103" t="str">
            <v>Basocarb 90</v>
          </cell>
          <cell r="D103" t="str">
            <v>ENGRAIS DE FOND</v>
          </cell>
          <cell r="E103" t="str">
            <v>T</v>
          </cell>
        </row>
        <row r="104">
          <cell r="C104" t="str">
            <v>Pac 24</v>
          </cell>
          <cell r="D104" t="str">
            <v>ENGRAIS DE FOND</v>
          </cell>
          <cell r="E104" t="str">
            <v>Kg</v>
          </cell>
        </row>
        <row r="105">
          <cell r="C105" t="str">
            <v>Urée</v>
          </cell>
          <cell r="D105" t="str">
            <v>AZOTE</v>
          </cell>
          <cell r="E105" t="str">
            <v>Kg</v>
          </cell>
        </row>
        <row r="106">
          <cell r="C106" t="str">
            <v>Urée</v>
          </cell>
          <cell r="D106" t="str">
            <v>AZOTE</v>
          </cell>
          <cell r="E106" t="str">
            <v>Kg</v>
          </cell>
        </row>
        <row r="107">
          <cell r="C107" t="str">
            <v>Glyphosate</v>
          </cell>
          <cell r="D107" t="str">
            <v>DESHERBANT</v>
          </cell>
          <cell r="E107" t="str">
            <v>Kg</v>
          </cell>
        </row>
        <row r="108">
          <cell r="C108" t="str">
            <v>Heliosol</v>
          </cell>
          <cell r="D108" t="str">
            <v>DIVERS</v>
          </cell>
          <cell r="E108" t="str">
            <v>Kg</v>
          </cell>
        </row>
        <row r="109">
          <cell r="C109" t="str">
            <v>Floridou Certifées</v>
          </cell>
          <cell r="D109" t="str">
            <v>SEMENCES</v>
          </cell>
          <cell r="E109" t="str">
            <v>Kg</v>
          </cell>
        </row>
        <row r="110">
          <cell r="C110" t="str">
            <v>Miradoux Certifiées</v>
          </cell>
          <cell r="D110" t="str">
            <v>SEMENCES</v>
          </cell>
          <cell r="E110" t="str">
            <v>Kg</v>
          </cell>
        </row>
        <row r="111">
          <cell r="C111" t="str">
            <v>Miradoux Certifiées</v>
          </cell>
          <cell r="D111" t="str">
            <v>SEMENCES</v>
          </cell>
          <cell r="E111" t="str">
            <v>Kg</v>
          </cell>
        </row>
        <row r="112">
          <cell r="C112" t="str">
            <v>Pescadoux Certifiées</v>
          </cell>
          <cell r="D112" t="str">
            <v>SEMENCES</v>
          </cell>
          <cell r="E112" t="str">
            <v>Kg</v>
          </cell>
        </row>
        <row r="113">
          <cell r="C113" t="str">
            <v>Pescadoux Certifiées</v>
          </cell>
          <cell r="D113" t="str">
            <v>SEMENCES</v>
          </cell>
          <cell r="E113" t="str">
            <v>Kg</v>
          </cell>
        </row>
        <row r="114">
          <cell r="C114" t="str">
            <v>Sculptur Certifiées</v>
          </cell>
          <cell r="D114" t="str">
            <v>SEMENCES</v>
          </cell>
          <cell r="E114" t="str">
            <v>Kg</v>
          </cell>
        </row>
        <row r="115">
          <cell r="C115" t="str">
            <v>Sculptur Certifiées</v>
          </cell>
          <cell r="D115" t="str">
            <v>SEMENCES</v>
          </cell>
          <cell r="E115" t="str">
            <v>Kg</v>
          </cell>
        </row>
        <row r="116">
          <cell r="C116" t="str">
            <v>Sculptur Certifiées</v>
          </cell>
          <cell r="D116" t="str">
            <v>SEMENCES</v>
          </cell>
          <cell r="E116" t="str">
            <v>Kg</v>
          </cell>
        </row>
        <row r="117">
          <cell r="C117" t="str">
            <v>Soleiho Certifiées</v>
          </cell>
          <cell r="D117" t="str">
            <v>SEMENCES</v>
          </cell>
          <cell r="E117" t="str">
            <v>Kg</v>
          </cell>
        </row>
        <row r="118">
          <cell r="C118" t="str">
            <v>Ascott Certifiées</v>
          </cell>
          <cell r="D118" t="str">
            <v>SEMENCES</v>
          </cell>
          <cell r="E118" t="str">
            <v>Kg</v>
          </cell>
        </row>
        <row r="119">
          <cell r="C119" t="str">
            <v>Soleiho</v>
          </cell>
          <cell r="D119" t="str">
            <v>SEMENCES</v>
          </cell>
          <cell r="E119" t="str">
            <v>Kg</v>
          </cell>
        </row>
        <row r="120">
          <cell r="C120" t="str">
            <v>Soleiho</v>
          </cell>
          <cell r="D120" t="str">
            <v>SEMENCES</v>
          </cell>
          <cell r="E120" t="str">
            <v>Kg</v>
          </cell>
        </row>
        <row r="121">
          <cell r="C121" t="str">
            <v>Athlet</v>
          </cell>
          <cell r="D121" t="str">
            <v>DESHERBANT</v>
          </cell>
          <cell r="E121" t="str">
            <v>Kg</v>
          </cell>
        </row>
        <row r="122">
          <cell r="C122" t="str">
            <v>Sulfate d'ammoniac</v>
          </cell>
          <cell r="D122" t="str">
            <v>AZOTE</v>
          </cell>
          <cell r="E122" t="str">
            <v>Kg</v>
          </cell>
        </row>
        <row r="123">
          <cell r="C123" t="str">
            <v>Heliosol</v>
          </cell>
          <cell r="D123" t="str">
            <v>DIVERS</v>
          </cell>
          <cell r="E123" t="str">
            <v>L</v>
          </cell>
        </row>
        <row r="124">
          <cell r="C124" t="str">
            <v xml:space="preserve">Express Pack </v>
          </cell>
          <cell r="D124" t="str">
            <v>DESHERBANT</v>
          </cell>
          <cell r="E124" t="str">
            <v>Dose</v>
          </cell>
        </row>
        <row r="125">
          <cell r="C125" t="str">
            <v>Prima</v>
          </cell>
          <cell r="D125" t="str">
            <v>FONGICIDES</v>
          </cell>
          <cell r="E125" t="str">
            <v>L</v>
          </cell>
        </row>
        <row r="126">
          <cell r="C126" t="str">
            <v>Ceriax</v>
          </cell>
          <cell r="D126" t="str">
            <v>FONGICIDES</v>
          </cell>
          <cell r="E126" t="str">
            <v>L</v>
          </cell>
        </row>
        <row r="127">
          <cell r="C127" t="str">
            <v>Genop</v>
          </cell>
          <cell r="D127" t="str">
            <v>FONGICIDES</v>
          </cell>
          <cell r="E127" t="str">
            <v>L</v>
          </cell>
        </row>
        <row r="128">
          <cell r="C128" t="str">
            <v>Piano</v>
          </cell>
          <cell r="D128" t="str">
            <v>FONGICIDES</v>
          </cell>
          <cell r="E128" t="str">
            <v>L</v>
          </cell>
        </row>
        <row r="129">
          <cell r="C129" t="str">
            <v>Baia</v>
          </cell>
          <cell r="D129" t="str">
            <v>CONTREVERSE</v>
          </cell>
          <cell r="E129" t="str">
            <v>L</v>
          </cell>
        </row>
        <row r="130">
          <cell r="C130" t="str">
            <v>Medax Top</v>
          </cell>
          <cell r="D130" t="str">
            <v>CONTREVERSE</v>
          </cell>
          <cell r="E130" t="str">
            <v>L</v>
          </cell>
        </row>
        <row r="131">
          <cell r="C131" t="str">
            <v>Revelio SY</v>
          </cell>
          <cell r="D131" t="str">
            <v>SEMENCES</v>
          </cell>
          <cell r="E131" t="str">
            <v>Dose</v>
          </cell>
        </row>
        <row r="132">
          <cell r="C132" t="str">
            <v>Sam 40</v>
          </cell>
          <cell r="D132" t="str">
            <v>DIVERS</v>
          </cell>
          <cell r="E132" t="str">
            <v>L</v>
          </cell>
        </row>
        <row r="133">
          <cell r="C133" t="str">
            <v>Axial Pratic</v>
          </cell>
          <cell r="D133" t="str">
            <v>DESHERBANT</v>
          </cell>
          <cell r="E133" t="str">
            <v>L</v>
          </cell>
        </row>
        <row r="134">
          <cell r="C134" t="str">
            <v>Archipel</v>
          </cell>
          <cell r="D134" t="str">
            <v>DESHERBANT</v>
          </cell>
          <cell r="E134" t="str">
            <v>Kg</v>
          </cell>
        </row>
        <row r="135">
          <cell r="C135" t="str">
            <v>Actirob</v>
          </cell>
          <cell r="D135" t="str">
            <v>DIVERS</v>
          </cell>
          <cell r="E135" t="str">
            <v>L</v>
          </cell>
        </row>
        <row r="136">
          <cell r="C136" t="str">
            <v>BLE TENDRE</v>
          </cell>
          <cell r="D136" t="str">
            <v>VENTES</v>
          </cell>
          <cell r="E136" t="str">
            <v>T</v>
          </cell>
        </row>
      </sheetData>
      <sheetData sheetId="7">
        <row r="2">
          <cell r="A2">
            <v>2013</v>
          </cell>
          <cell r="B2" t="str">
            <v>Acanto</v>
          </cell>
          <cell r="G2">
            <v>37</v>
          </cell>
        </row>
        <row r="3">
          <cell r="A3">
            <v>2013</v>
          </cell>
          <cell r="B3" t="str">
            <v>Allié SX</v>
          </cell>
          <cell r="G3">
            <v>0.67</v>
          </cell>
        </row>
        <row r="4">
          <cell r="A4">
            <v>2013</v>
          </cell>
          <cell r="B4" t="str">
            <v>Ardito</v>
          </cell>
          <cell r="G4">
            <v>105</v>
          </cell>
        </row>
        <row r="5">
          <cell r="A5">
            <v>2013</v>
          </cell>
          <cell r="B5" t="str">
            <v>Athlet</v>
          </cell>
          <cell r="G5">
            <v>13.75</v>
          </cell>
        </row>
        <row r="6">
          <cell r="A6">
            <v>2013</v>
          </cell>
          <cell r="B6" t="str">
            <v>Aviator</v>
          </cell>
          <cell r="G6">
            <v>59</v>
          </cell>
        </row>
        <row r="7">
          <cell r="A7">
            <v>2013</v>
          </cell>
          <cell r="B7" t="str">
            <v>BOA</v>
          </cell>
          <cell r="G7">
            <v>72.449999999999989</v>
          </cell>
        </row>
        <row r="8">
          <cell r="A8">
            <v>2013</v>
          </cell>
          <cell r="B8" t="str">
            <v>Diams</v>
          </cell>
          <cell r="G8">
            <v>20</v>
          </cell>
        </row>
        <row r="9">
          <cell r="A9">
            <v>2013</v>
          </cell>
          <cell r="B9" t="str">
            <v>Effecto</v>
          </cell>
          <cell r="G9">
            <v>2.9</v>
          </cell>
        </row>
        <row r="10">
          <cell r="A10">
            <v>2013</v>
          </cell>
          <cell r="B10" t="str">
            <v>Extrasol</v>
          </cell>
          <cell r="G10">
            <v>225.00333333333333</v>
          </cell>
        </row>
        <row r="11">
          <cell r="A11">
            <v>2013</v>
          </cell>
          <cell r="B11" t="str">
            <v>Fabulis Certifiées</v>
          </cell>
          <cell r="G11">
            <v>0.80500000000000005</v>
          </cell>
        </row>
        <row r="12">
          <cell r="A12">
            <v>2013</v>
          </cell>
          <cell r="B12" t="str">
            <v>Fertilider</v>
          </cell>
          <cell r="G12">
            <v>12.3</v>
          </cell>
        </row>
        <row r="13">
          <cell r="A13">
            <v>2013</v>
          </cell>
          <cell r="B13" t="str">
            <v>Glyphosate</v>
          </cell>
          <cell r="G13">
            <v>4.9381521739130436</v>
          </cell>
        </row>
        <row r="14">
          <cell r="A14">
            <v>2013</v>
          </cell>
          <cell r="B14" t="str">
            <v>Gratil</v>
          </cell>
          <cell r="G14">
            <v>0.79166666666666663</v>
          </cell>
        </row>
        <row r="15">
          <cell r="A15">
            <v>2013</v>
          </cell>
          <cell r="B15" t="str">
            <v>Harmony SX</v>
          </cell>
          <cell r="G15">
            <v>0.21666666666666667</v>
          </cell>
        </row>
        <row r="16">
          <cell r="A16">
            <v>2013</v>
          </cell>
          <cell r="B16" t="str">
            <v>Heliosol</v>
          </cell>
          <cell r="G16">
            <v>11.01</v>
          </cell>
        </row>
        <row r="17">
          <cell r="A17">
            <v>2013</v>
          </cell>
          <cell r="B17" t="str">
            <v>Inoculum Micro</v>
          </cell>
          <cell r="G17">
            <v>33.07</v>
          </cell>
        </row>
        <row r="18">
          <cell r="A18">
            <v>2013</v>
          </cell>
          <cell r="B18" t="str">
            <v>Isidor</v>
          </cell>
          <cell r="G18">
            <v>0.26</v>
          </cell>
        </row>
        <row r="19">
          <cell r="A19">
            <v>2013</v>
          </cell>
          <cell r="B19" t="str">
            <v>Isidor Certifiées</v>
          </cell>
          <cell r="G19">
            <v>0.71099999999999997</v>
          </cell>
        </row>
        <row r="20">
          <cell r="A20">
            <v>2013</v>
          </cell>
          <cell r="B20" t="str">
            <v>Kestrel</v>
          </cell>
          <cell r="G20">
            <v>54</v>
          </cell>
        </row>
        <row r="21">
          <cell r="A21">
            <v>2013</v>
          </cell>
          <cell r="B21" t="str">
            <v>LG 5474</v>
          </cell>
          <cell r="G21">
            <v>176</v>
          </cell>
        </row>
        <row r="22">
          <cell r="A22">
            <v>2013</v>
          </cell>
          <cell r="B22" t="str">
            <v>Mas 95 OL</v>
          </cell>
          <cell r="G22">
            <v>188</v>
          </cell>
        </row>
        <row r="23">
          <cell r="A23">
            <v>2013</v>
          </cell>
          <cell r="B23" t="str">
            <v>Mercantor Gold</v>
          </cell>
          <cell r="G23">
            <v>24.884999999999998</v>
          </cell>
        </row>
        <row r="24">
          <cell r="A24">
            <v>2013</v>
          </cell>
          <cell r="B24" t="str">
            <v>Miradoux</v>
          </cell>
          <cell r="G24">
            <v>0.25980392156862747</v>
          </cell>
        </row>
        <row r="25">
          <cell r="A25">
            <v>2013</v>
          </cell>
          <cell r="B25" t="str">
            <v>Miradoux Certifiées</v>
          </cell>
          <cell r="G25">
            <v>0.80500000000000005</v>
          </cell>
        </row>
        <row r="26">
          <cell r="A26">
            <v>2013</v>
          </cell>
          <cell r="B26" t="str">
            <v>Mirage</v>
          </cell>
          <cell r="G26">
            <v>9</v>
          </cell>
        </row>
        <row r="27">
          <cell r="A27">
            <v>2013</v>
          </cell>
          <cell r="B27" t="str">
            <v>Mollustop</v>
          </cell>
          <cell r="G27">
            <v>0.8571428571428571</v>
          </cell>
        </row>
        <row r="28">
          <cell r="A28">
            <v>2013</v>
          </cell>
          <cell r="B28" t="str">
            <v>Nikeyl</v>
          </cell>
          <cell r="G28">
            <v>20.059999999999999</v>
          </cell>
        </row>
        <row r="29">
          <cell r="A29">
            <v>2013</v>
          </cell>
          <cell r="B29" t="str">
            <v>Novall</v>
          </cell>
          <cell r="G29">
            <v>34.299999999999997</v>
          </cell>
        </row>
        <row r="30">
          <cell r="A30">
            <v>2013</v>
          </cell>
          <cell r="B30" t="str">
            <v>Pac 22</v>
          </cell>
          <cell r="G30">
            <v>0.50298666666666669</v>
          </cell>
        </row>
        <row r="31">
          <cell r="A31">
            <v>2013</v>
          </cell>
          <cell r="B31" t="str">
            <v>Pescadoux Certifiées</v>
          </cell>
          <cell r="G31">
            <v>0.80500000000000005</v>
          </cell>
        </row>
        <row r="32">
          <cell r="A32">
            <v>2013</v>
          </cell>
          <cell r="B32" t="str">
            <v>Physiolith</v>
          </cell>
          <cell r="G32">
            <v>0.21568181818181817</v>
          </cell>
        </row>
        <row r="33">
          <cell r="A33">
            <v>2013</v>
          </cell>
          <cell r="B33" t="str">
            <v>Pragma</v>
          </cell>
          <cell r="G33">
            <v>0.33416666666666667</v>
          </cell>
        </row>
        <row r="34">
          <cell r="A34">
            <v>2013</v>
          </cell>
          <cell r="B34" t="str">
            <v>Primus</v>
          </cell>
          <cell r="G34">
            <v>320</v>
          </cell>
        </row>
        <row r="35">
          <cell r="A35">
            <v>2013</v>
          </cell>
          <cell r="B35" t="str">
            <v>Prosaro</v>
          </cell>
          <cell r="G35">
            <v>39.669999999999995</v>
          </cell>
        </row>
        <row r="36">
          <cell r="A36">
            <v>2013</v>
          </cell>
          <cell r="B36" t="str">
            <v>Roundup Innov</v>
          </cell>
          <cell r="G36">
            <v>10.66</v>
          </cell>
        </row>
        <row r="37">
          <cell r="A37">
            <v>2013</v>
          </cell>
          <cell r="B37" t="str">
            <v xml:space="preserve">Sam 40 </v>
          </cell>
          <cell r="G37">
            <v>0.88121212121212111</v>
          </cell>
        </row>
        <row r="38">
          <cell r="A38">
            <v>2013</v>
          </cell>
          <cell r="B38" t="str">
            <v>Samin Clearfield</v>
          </cell>
          <cell r="G38">
            <v>248.577</v>
          </cell>
        </row>
        <row r="39">
          <cell r="A39">
            <v>2013</v>
          </cell>
          <cell r="B39" t="str">
            <v>Sculptur Certifiées</v>
          </cell>
          <cell r="G39">
            <v>0.80500000000000005</v>
          </cell>
        </row>
        <row r="40">
          <cell r="A40">
            <v>2013</v>
          </cell>
          <cell r="B40" t="str">
            <v>Soleiho Certifiées</v>
          </cell>
          <cell r="G40">
            <v>0.71961111111111109</v>
          </cell>
        </row>
        <row r="41">
          <cell r="A41">
            <v>2013</v>
          </cell>
          <cell r="B41" t="str">
            <v>Terragral</v>
          </cell>
          <cell r="G41">
            <v>0.22</v>
          </cell>
        </row>
        <row r="42">
          <cell r="A42">
            <v>2013</v>
          </cell>
          <cell r="B42" t="str">
            <v>Urée</v>
          </cell>
          <cell r="G42">
            <v>0.41460714285714284</v>
          </cell>
        </row>
        <row r="43">
          <cell r="A43">
            <v>2013</v>
          </cell>
          <cell r="B43" t="str">
            <v xml:space="preserve">BLE DUR </v>
          </cell>
          <cell r="G43">
            <v>206.5573770491803</v>
          </cell>
        </row>
        <row r="44">
          <cell r="A44">
            <v>2013</v>
          </cell>
          <cell r="B44" t="str">
            <v>BLE TENDRE</v>
          </cell>
          <cell r="G44">
            <v>190.27362691736761</v>
          </cell>
        </row>
        <row r="45">
          <cell r="A45">
            <v>2013</v>
          </cell>
          <cell r="B45" t="str">
            <v>TOURNESOL</v>
          </cell>
          <cell r="G45">
            <v>365.42807731434391</v>
          </cell>
        </row>
        <row r="46">
          <cell r="A46">
            <v>2013</v>
          </cell>
          <cell r="B46" t="str">
            <v>SORGHO</v>
          </cell>
          <cell r="G46">
            <v>179.77528089887642</v>
          </cell>
        </row>
        <row r="47">
          <cell r="A47">
            <v>2013</v>
          </cell>
          <cell r="B47" t="str">
            <v>SOJA</v>
          </cell>
          <cell r="G47">
            <v>488.25959079283882</v>
          </cell>
        </row>
        <row r="48">
          <cell r="A48">
            <v>2013</v>
          </cell>
          <cell r="B48" t="str">
            <v>MOISSON BD</v>
          </cell>
          <cell r="G48">
            <v>1</v>
          </cell>
        </row>
        <row r="49">
          <cell r="A49">
            <v>2013</v>
          </cell>
          <cell r="B49" t="str">
            <v>MOISSON BT</v>
          </cell>
          <cell r="G49">
            <v>1</v>
          </cell>
        </row>
        <row r="50">
          <cell r="A50">
            <v>2013</v>
          </cell>
          <cell r="B50" t="str">
            <v>MOISSON TR</v>
          </cell>
          <cell r="G50">
            <v>1</v>
          </cell>
        </row>
        <row r="51">
          <cell r="A51">
            <v>2013</v>
          </cell>
          <cell r="B51" t="str">
            <v>MOISSON SOJA</v>
          </cell>
          <cell r="G51">
            <v>1</v>
          </cell>
        </row>
        <row r="52">
          <cell r="A52">
            <v>2013</v>
          </cell>
          <cell r="B52" t="str">
            <v>MOISSON SORG</v>
          </cell>
          <cell r="G52">
            <v>1</v>
          </cell>
        </row>
        <row r="53">
          <cell r="A53">
            <v>2013</v>
          </cell>
          <cell r="B53" t="str">
            <v>Opus new</v>
          </cell>
          <cell r="G53">
            <v>30.91</v>
          </cell>
        </row>
        <row r="54">
          <cell r="A54">
            <v>2013</v>
          </cell>
          <cell r="B54" t="str">
            <v>Image</v>
          </cell>
          <cell r="G54">
            <v>0.5</v>
          </cell>
        </row>
        <row r="55">
          <cell r="A55">
            <v>2013</v>
          </cell>
          <cell r="B55" t="str">
            <v>Fenova</v>
          </cell>
          <cell r="G55">
            <v>31</v>
          </cell>
        </row>
        <row r="56">
          <cell r="A56">
            <v>2013</v>
          </cell>
          <cell r="B56" t="str">
            <v>Contreverse</v>
          </cell>
          <cell r="G56">
            <v>1.66</v>
          </cell>
        </row>
        <row r="57">
          <cell r="A57">
            <v>2013</v>
          </cell>
          <cell r="B57" t="str">
            <v>Ariane</v>
          </cell>
          <cell r="G57">
            <v>0.2</v>
          </cell>
        </row>
        <row r="58">
          <cell r="A58">
            <v>2013</v>
          </cell>
          <cell r="B58" t="str">
            <v>Mirage 450</v>
          </cell>
          <cell r="G58">
            <v>0.14285714285714285</v>
          </cell>
        </row>
        <row r="59">
          <cell r="A59">
            <v>2013</v>
          </cell>
          <cell r="B59" t="str">
            <v>Racer</v>
          </cell>
          <cell r="G59">
            <v>0.14285714285714285</v>
          </cell>
        </row>
        <row r="60">
          <cell r="A60">
            <v>2013</v>
          </cell>
          <cell r="B60" t="str">
            <v>Filan</v>
          </cell>
          <cell r="G60">
            <v>85</v>
          </cell>
        </row>
        <row r="61">
          <cell r="A61">
            <v>2013</v>
          </cell>
          <cell r="B61" t="str">
            <v>Axial Pratic</v>
          </cell>
          <cell r="G61">
            <v>31</v>
          </cell>
        </row>
        <row r="62">
          <cell r="A62">
            <v>2013</v>
          </cell>
          <cell r="B62" t="str">
            <v>Pulsar</v>
          </cell>
          <cell r="G62">
            <v>47.236499999999999</v>
          </cell>
        </row>
        <row r="63">
          <cell r="A63">
            <v>2013</v>
          </cell>
          <cell r="B63" t="str">
            <v>Pixel</v>
          </cell>
          <cell r="G63">
            <v>14.4</v>
          </cell>
        </row>
        <row r="64">
          <cell r="A64">
            <v>2013</v>
          </cell>
          <cell r="B64" t="str">
            <v>Metarex</v>
          </cell>
          <cell r="G64">
            <v>5.0999999999999996</v>
          </cell>
        </row>
        <row r="65">
          <cell r="A65">
            <v>2013</v>
          </cell>
          <cell r="B65" t="str">
            <v>Rheobor</v>
          </cell>
          <cell r="G65">
            <v>3.7</v>
          </cell>
        </row>
        <row r="66">
          <cell r="A66">
            <v>2013</v>
          </cell>
          <cell r="B66" t="str">
            <v>Sculptur</v>
          </cell>
          <cell r="G66">
            <v>0.26</v>
          </cell>
        </row>
        <row r="67">
          <cell r="A67">
            <v>2013</v>
          </cell>
          <cell r="B67" t="str">
            <v>Pescadoux</v>
          </cell>
          <cell r="G67">
            <v>0.18610169491525425</v>
          </cell>
        </row>
        <row r="68">
          <cell r="A68">
            <v>2013</v>
          </cell>
          <cell r="B68" t="str">
            <v>Physalg 15</v>
          </cell>
          <cell r="G68">
            <v>0.36899999999999999</v>
          </cell>
        </row>
        <row r="69">
          <cell r="A69">
            <v>2013</v>
          </cell>
          <cell r="B69" t="str">
            <v>Irrigation</v>
          </cell>
          <cell r="G69">
            <v>1.7762890783597238</v>
          </cell>
        </row>
        <row r="70">
          <cell r="A70">
            <v>2014</v>
          </cell>
          <cell r="B70" t="str">
            <v>Pescadoux</v>
          </cell>
          <cell r="G70">
            <v>0.19</v>
          </cell>
        </row>
        <row r="71">
          <cell r="A71">
            <v>2014</v>
          </cell>
          <cell r="B71" t="str">
            <v>Opus new</v>
          </cell>
          <cell r="G71">
            <v>30.91</v>
          </cell>
        </row>
        <row r="72">
          <cell r="A72">
            <v>2014</v>
          </cell>
          <cell r="B72" t="str">
            <v>Image</v>
          </cell>
          <cell r="G72">
            <v>0.5</v>
          </cell>
        </row>
        <row r="73">
          <cell r="A73">
            <v>2014</v>
          </cell>
          <cell r="B73" t="str">
            <v>Fenova</v>
          </cell>
          <cell r="G73">
            <v>31</v>
          </cell>
        </row>
        <row r="74">
          <cell r="A74">
            <v>2014</v>
          </cell>
          <cell r="B74" t="str">
            <v>Contreverse</v>
          </cell>
          <cell r="G74">
            <v>1.66</v>
          </cell>
        </row>
        <row r="75">
          <cell r="A75">
            <v>2014</v>
          </cell>
          <cell r="B75" t="str">
            <v>Ariane</v>
          </cell>
          <cell r="G75">
            <v>0.2</v>
          </cell>
        </row>
        <row r="76">
          <cell r="A76">
            <v>2014</v>
          </cell>
          <cell r="B76" t="str">
            <v>Mirage 450</v>
          </cell>
          <cell r="G76">
            <v>0.14285714285714285</v>
          </cell>
        </row>
        <row r="77">
          <cell r="A77">
            <v>2014</v>
          </cell>
          <cell r="B77" t="str">
            <v>Racer</v>
          </cell>
          <cell r="G77">
            <v>0.14285714285714285</v>
          </cell>
        </row>
        <row r="78">
          <cell r="A78">
            <v>2014</v>
          </cell>
          <cell r="B78" t="str">
            <v>Filan</v>
          </cell>
          <cell r="G78">
            <v>85</v>
          </cell>
        </row>
        <row r="79">
          <cell r="A79">
            <v>2014</v>
          </cell>
          <cell r="B79" t="str">
            <v>Axial Pratic</v>
          </cell>
          <cell r="G79">
            <v>30.275324675324672</v>
          </cell>
        </row>
        <row r="80">
          <cell r="A80">
            <v>2014</v>
          </cell>
          <cell r="B80" t="str">
            <v>Pulsar</v>
          </cell>
          <cell r="G80">
            <v>46.59</v>
          </cell>
        </row>
        <row r="81">
          <cell r="A81">
            <v>2014</v>
          </cell>
          <cell r="B81" t="str">
            <v>Pixel</v>
          </cell>
          <cell r="G81">
            <v>25.2</v>
          </cell>
        </row>
        <row r="82">
          <cell r="A82">
            <v>2014</v>
          </cell>
          <cell r="B82" t="str">
            <v>Metarex</v>
          </cell>
          <cell r="G82">
            <v>5.8285714285714283</v>
          </cell>
        </row>
        <row r="83">
          <cell r="A83">
            <v>2014</v>
          </cell>
          <cell r="B83" t="str">
            <v>Rheobor</v>
          </cell>
          <cell r="G83">
            <v>10.637499999999999</v>
          </cell>
        </row>
        <row r="84">
          <cell r="A84">
            <v>2014</v>
          </cell>
          <cell r="B84" t="str">
            <v>Sculptur</v>
          </cell>
          <cell r="G84">
            <v>1.4733333333333334</v>
          </cell>
        </row>
        <row r="85">
          <cell r="A85">
            <v>2014</v>
          </cell>
          <cell r="B85" t="str">
            <v>Physalg 15</v>
          </cell>
          <cell r="G85">
            <v>0.36909602752580545</v>
          </cell>
        </row>
        <row r="86">
          <cell r="A86">
            <v>2014</v>
          </cell>
          <cell r="B86" t="str">
            <v>Basocarb 90</v>
          </cell>
          <cell r="G86">
            <v>102.50000000000001</v>
          </cell>
        </row>
        <row r="87">
          <cell r="A87">
            <v>2014</v>
          </cell>
          <cell r="B87" t="str">
            <v>Pac 24</v>
          </cell>
          <cell r="G87">
            <v>0.51646005747126444</v>
          </cell>
        </row>
        <row r="88">
          <cell r="A88">
            <v>2014</v>
          </cell>
          <cell r="B88" t="str">
            <v>Urée</v>
          </cell>
          <cell r="G88">
            <v>0.33867396208124378</v>
          </cell>
        </row>
        <row r="89">
          <cell r="A89">
            <v>2014</v>
          </cell>
          <cell r="B89" t="str">
            <v>Heliosol</v>
          </cell>
          <cell r="G89">
            <v>10.849625</v>
          </cell>
        </row>
        <row r="90">
          <cell r="A90">
            <v>2014</v>
          </cell>
          <cell r="B90" t="str">
            <v>Glyphosate</v>
          </cell>
          <cell r="G90">
            <v>5.7</v>
          </cell>
        </row>
        <row r="91">
          <cell r="A91">
            <v>2014</v>
          </cell>
          <cell r="B91" t="str">
            <v>Floridou Certifées</v>
          </cell>
          <cell r="G91">
            <v>0.79300000000000004</v>
          </cell>
        </row>
        <row r="92">
          <cell r="A92">
            <v>2014</v>
          </cell>
          <cell r="B92" t="str">
            <v>Miradoux Certifiées</v>
          </cell>
          <cell r="G92">
            <v>0.77799999999999991</v>
          </cell>
        </row>
        <row r="93">
          <cell r="A93">
            <v>2014</v>
          </cell>
          <cell r="B93" t="str">
            <v>Pescadoux Certifiées</v>
          </cell>
          <cell r="G93">
            <v>0.77800000000000002</v>
          </cell>
        </row>
        <row r="94">
          <cell r="A94">
            <v>2014</v>
          </cell>
          <cell r="B94" t="str">
            <v>Sculptur Certifiées</v>
          </cell>
          <cell r="G94">
            <v>0.7352277777777777</v>
          </cell>
        </row>
        <row r="95">
          <cell r="A95">
            <v>2014</v>
          </cell>
          <cell r="B95" t="str">
            <v>Sculptur</v>
          </cell>
          <cell r="G95">
            <v>1.4733333333333334</v>
          </cell>
        </row>
        <row r="96">
          <cell r="A96">
            <v>2014</v>
          </cell>
          <cell r="B96" t="str">
            <v>Soleiho Certifiées</v>
          </cell>
          <cell r="G96">
            <v>0.74</v>
          </cell>
        </row>
        <row r="97">
          <cell r="A97">
            <v>2014</v>
          </cell>
          <cell r="B97" t="str">
            <v>Soleiho</v>
          </cell>
          <cell r="G97">
            <v>0.10388630490956073</v>
          </cell>
        </row>
        <row r="98">
          <cell r="A98">
            <v>2014</v>
          </cell>
          <cell r="B98" t="str">
            <v>Ascott Certifiées</v>
          </cell>
          <cell r="G98">
            <v>0.86</v>
          </cell>
        </row>
        <row r="99">
          <cell r="A99">
            <v>2014</v>
          </cell>
          <cell r="B99" t="str">
            <v>Athlet</v>
          </cell>
          <cell r="G99">
            <v>13.02</v>
          </cell>
        </row>
        <row r="100">
          <cell r="A100">
            <v>2014</v>
          </cell>
          <cell r="B100" t="str">
            <v>Sulfate d'ammoniac</v>
          </cell>
          <cell r="G100">
            <v>0.3</v>
          </cell>
        </row>
        <row r="101">
          <cell r="A101">
            <v>2014</v>
          </cell>
          <cell r="B101" t="str">
            <v>Archipel</v>
          </cell>
          <cell r="G101">
            <v>205.62</v>
          </cell>
        </row>
        <row r="102">
          <cell r="A102">
            <v>2014</v>
          </cell>
          <cell r="B102" t="str">
            <v>Actirob</v>
          </cell>
          <cell r="G102">
            <v>2.62</v>
          </cell>
        </row>
        <row r="103">
          <cell r="A103">
            <v>2014</v>
          </cell>
          <cell r="B103" t="str">
            <v xml:space="preserve">Express Pack </v>
          </cell>
          <cell r="G103">
            <v>108.98076923076923</v>
          </cell>
        </row>
        <row r="104">
          <cell r="A104">
            <v>2014</v>
          </cell>
          <cell r="B104" t="str">
            <v>Prima</v>
          </cell>
          <cell r="G104">
            <v>9.355500000000001</v>
          </cell>
        </row>
        <row r="105">
          <cell r="A105">
            <v>2014</v>
          </cell>
          <cell r="B105" t="str">
            <v>Ceriax</v>
          </cell>
          <cell r="G105">
            <v>2.2691816763579634E-2</v>
          </cell>
        </row>
        <row r="106">
          <cell r="A106">
            <v>2014</v>
          </cell>
          <cell r="B106" t="str">
            <v>Genop</v>
          </cell>
          <cell r="G106">
            <v>34.673999999999999</v>
          </cell>
        </row>
        <row r="107">
          <cell r="A107">
            <v>2014</v>
          </cell>
          <cell r="B107" t="str">
            <v>Piano</v>
          </cell>
          <cell r="G107">
            <v>46.470769230769228</v>
          </cell>
        </row>
        <row r="108">
          <cell r="A108">
            <v>2014</v>
          </cell>
          <cell r="B108" t="str">
            <v>Baia</v>
          </cell>
          <cell r="G108">
            <v>12.087999999999999</v>
          </cell>
        </row>
        <row r="109">
          <cell r="A109">
            <v>2014</v>
          </cell>
          <cell r="B109" t="str">
            <v>Medax Top</v>
          </cell>
          <cell r="G109">
            <v>28.582000000000001</v>
          </cell>
        </row>
        <row r="110">
          <cell r="A110">
            <v>2014</v>
          </cell>
          <cell r="B110" t="str">
            <v>Sam 40</v>
          </cell>
          <cell r="G110">
            <v>0.85225000000000006</v>
          </cell>
        </row>
        <row r="111">
          <cell r="A111">
            <v>2014</v>
          </cell>
          <cell r="B111" t="str">
            <v>Revelio SY</v>
          </cell>
          <cell r="G111">
            <v>213.08</v>
          </cell>
        </row>
        <row r="112">
          <cell r="A112">
            <v>2014</v>
          </cell>
          <cell r="B112" t="str">
            <v>BLE TENDRE</v>
          </cell>
          <cell r="G112">
            <v>195</v>
          </cell>
        </row>
      </sheetData>
      <sheetData sheetId="8">
        <row r="1">
          <cell r="A1" t="str">
            <v>ANNEE</v>
          </cell>
        </row>
        <row r="2">
          <cell r="A2">
            <v>2013</v>
          </cell>
          <cell r="C2" t="str">
            <v>LG5474</v>
          </cell>
          <cell r="D2" t="str">
            <v>Andres</v>
          </cell>
          <cell r="E2">
            <v>11</v>
          </cell>
          <cell r="F2">
            <v>5.17</v>
          </cell>
        </row>
        <row r="3">
          <cell r="A3">
            <v>2013</v>
          </cell>
          <cell r="C3" t="str">
            <v>PESCADOUX</v>
          </cell>
          <cell r="D3" t="str">
            <v>Bousquet Château</v>
          </cell>
          <cell r="E3">
            <v>15</v>
          </cell>
          <cell r="F3">
            <v>5.27</v>
          </cell>
        </row>
        <row r="4">
          <cell r="A4">
            <v>2013</v>
          </cell>
          <cell r="C4" t="str">
            <v>SY SAMIN</v>
          </cell>
          <cell r="D4" t="str">
            <v>Bousquet Pourtanel</v>
          </cell>
          <cell r="E4">
            <v>16</v>
          </cell>
          <cell r="F4">
            <v>2.33</v>
          </cell>
        </row>
        <row r="5">
          <cell r="A5">
            <v>2013</v>
          </cell>
          <cell r="C5" t="str">
            <v>-</v>
          </cell>
          <cell r="D5" t="str">
            <v>Bousquet Prairie</v>
          </cell>
          <cell r="E5">
            <v>22</v>
          </cell>
          <cell r="F5">
            <v>4.41</v>
          </cell>
        </row>
        <row r="6">
          <cell r="A6">
            <v>2013</v>
          </cell>
          <cell r="C6" t="str">
            <v>MIRADOUX</v>
          </cell>
          <cell r="D6" t="str">
            <v>Bousquet Route</v>
          </cell>
          <cell r="E6">
            <v>4</v>
          </cell>
          <cell r="F6">
            <v>5.67</v>
          </cell>
        </row>
        <row r="7">
          <cell r="A7">
            <v>2013</v>
          </cell>
          <cell r="C7" t="str">
            <v>SCULPTUR</v>
          </cell>
          <cell r="D7" t="str">
            <v>Engleyse Bousquet</v>
          </cell>
          <cell r="E7">
            <v>6</v>
          </cell>
          <cell r="F7">
            <v>12.49</v>
          </cell>
        </row>
        <row r="8">
          <cell r="A8">
            <v>2013</v>
          </cell>
          <cell r="C8" t="str">
            <v>ARDICO</v>
          </cell>
          <cell r="D8" t="str">
            <v>Engleyse métairie</v>
          </cell>
          <cell r="E8">
            <v>7</v>
          </cell>
          <cell r="F8">
            <v>10.93</v>
          </cell>
        </row>
        <row r="9">
          <cell r="A9">
            <v>2013</v>
          </cell>
          <cell r="C9" t="str">
            <v>ISIDOR</v>
          </cell>
          <cell r="D9" t="str">
            <v>Engleyse Route</v>
          </cell>
          <cell r="E9">
            <v>5</v>
          </cell>
          <cell r="F9">
            <v>8.58</v>
          </cell>
        </row>
        <row r="10">
          <cell r="A10">
            <v>2013</v>
          </cell>
          <cell r="C10" t="str">
            <v>MIRADOUX</v>
          </cell>
          <cell r="D10" t="str">
            <v>Escarcelou</v>
          </cell>
          <cell r="E10">
            <v>14</v>
          </cell>
          <cell r="F10">
            <v>7.58</v>
          </cell>
        </row>
        <row r="11">
          <cell r="A11">
            <v>2013</v>
          </cell>
          <cell r="C11" t="str">
            <v>MIRADOUX</v>
          </cell>
          <cell r="D11" t="str">
            <v>Escarcelou Jachère</v>
          </cell>
          <cell r="E11">
            <v>14</v>
          </cell>
          <cell r="F11">
            <v>1.34</v>
          </cell>
        </row>
        <row r="12">
          <cell r="A12">
            <v>2013</v>
          </cell>
          <cell r="C12" t="str">
            <v>MIRADOUX</v>
          </cell>
          <cell r="D12" t="str">
            <v>Escarcelou Pte</v>
          </cell>
          <cell r="E12">
            <v>14</v>
          </cell>
          <cell r="F12">
            <v>7.5</v>
          </cell>
        </row>
        <row r="13">
          <cell r="A13">
            <v>2013</v>
          </cell>
          <cell r="C13" t="str">
            <v>-</v>
          </cell>
          <cell r="D13" t="str">
            <v>Gel fixe #1</v>
          </cell>
          <cell r="E13">
            <v>1</v>
          </cell>
          <cell r="F13">
            <v>0.09</v>
          </cell>
        </row>
        <row r="14">
          <cell r="A14">
            <v>2013</v>
          </cell>
          <cell r="C14" t="str">
            <v>-</v>
          </cell>
          <cell r="D14" t="str">
            <v xml:space="preserve">Gel Fixe #2 </v>
          </cell>
          <cell r="E14">
            <v>3</v>
          </cell>
          <cell r="F14">
            <v>1.1599999999999999</v>
          </cell>
        </row>
        <row r="15">
          <cell r="A15">
            <v>2013</v>
          </cell>
          <cell r="C15" t="str">
            <v>-</v>
          </cell>
          <cell r="D15" t="str">
            <v xml:space="preserve">Gel fixe #3 </v>
          </cell>
          <cell r="E15">
            <v>19</v>
          </cell>
          <cell r="F15">
            <v>0.53</v>
          </cell>
        </row>
        <row r="16">
          <cell r="A16">
            <v>2013</v>
          </cell>
          <cell r="C16" t="str">
            <v>MAS 95 OL</v>
          </cell>
          <cell r="D16" t="str">
            <v>L'Aule métairie</v>
          </cell>
          <cell r="E16">
            <v>24</v>
          </cell>
          <cell r="F16">
            <v>5.26</v>
          </cell>
        </row>
        <row r="17">
          <cell r="A17">
            <v>2013</v>
          </cell>
          <cell r="C17" t="str">
            <v>MAS 95 OL</v>
          </cell>
          <cell r="D17" t="str">
            <v>L'Aule Plaine</v>
          </cell>
          <cell r="E17">
            <v>23</v>
          </cell>
          <cell r="F17">
            <v>15.64</v>
          </cell>
        </row>
        <row r="18">
          <cell r="A18">
            <v>2013</v>
          </cell>
          <cell r="C18" t="str">
            <v>MIRADOUX</v>
          </cell>
          <cell r="D18" t="str">
            <v>Labaou Devant</v>
          </cell>
          <cell r="E18">
            <v>8</v>
          </cell>
          <cell r="F18">
            <v>11.9</v>
          </cell>
        </row>
        <row r="19">
          <cell r="A19">
            <v>2013</v>
          </cell>
          <cell r="C19" t="str">
            <v>SOLEIHO</v>
          </cell>
          <cell r="D19" t="str">
            <v>Labaou Plaine</v>
          </cell>
          <cell r="E19">
            <v>9</v>
          </cell>
          <cell r="F19">
            <v>17.55</v>
          </cell>
        </row>
        <row r="20">
          <cell r="A20">
            <v>2013</v>
          </cell>
          <cell r="C20" t="str">
            <v>FABULIS - PESCADOUX</v>
          </cell>
          <cell r="D20" t="str">
            <v>Laclos</v>
          </cell>
          <cell r="E20">
            <v>17</v>
          </cell>
          <cell r="F20">
            <v>5.07</v>
          </cell>
        </row>
        <row r="21">
          <cell r="A21">
            <v>2013</v>
          </cell>
          <cell r="C21" t="str">
            <v>PESCADOUX</v>
          </cell>
          <cell r="D21" t="str">
            <v>Lescandes</v>
          </cell>
          <cell r="E21">
            <v>20</v>
          </cell>
          <cell r="F21">
            <v>2.67</v>
          </cell>
        </row>
        <row r="22">
          <cell r="A22">
            <v>2013</v>
          </cell>
          <cell r="C22" t="str">
            <v>PESCADOUX</v>
          </cell>
          <cell r="D22" t="str">
            <v>Lescandes Côteau</v>
          </cell>
          <cell r="E22">
            <v>18</v>
          </cell>
          <cell r="F22">
            <v>16.440000000000001</v>
          </cell>
        </row>
        <row r="23">
          <cell r="A23">
            <v>2013</v>
          </cell>
          <cell r="C23" t="str">
            <v>LG5474</v>
          </cell>
          <cell r="D23" t="str">
            <v>Moulin Barthes</v>
          </cell>
          <cell r="E23">
            <v>10</v>
          </cell>
          <cell r="F23">
            <v>21.88</v>
          </cell>
        </row>
        <row r="24">
          <cell r="A24">
            <v>2013</v>
          </cell>
          <cell r="C24" t="str">
            <v>LG5474</v>
          </cell>
          <cell r="D24" t="str">
            <v>Moulin Côteau</v>
          </cell>
          <cell r="E24">
            <v>13</v>
          </cell>
          <cell r="F24">
            <v>5.67</v>
          </cell>
        </row>
        <row r="25">
          <cell r="A25">
            <v>2013</v>
          </cell>
          <cell r="C25" t="str">
            <v>-</v>
          </cell>
          <cell r="D25" t="str">
            <v>Moulin Jachêre</v>
          </cell>
          <cell r="E25">
            <v>25</v>
          </cell>
          <cell r="F25">
            <v>3.69</v>
          </cell>
        </row>
        <row r="26">
          <cell r="A26">
            <v>2013</v>
          </cell>
          <cell r="C26" t="str">
            <v>SY SAMIN</v>
          </cell>
          <cell r="D26" t="str">
            <v>Picotalène Midi</v>
          </cell>
          <cell r="E26">
            <v>21</v>
          </cell>
          <cell r="F26">
            <v>4.12</v>
          </cell>
        </row>
        <row r="27">
          <cell r="A27">
            <v>2013</v>
          </cell>
          <cell r="C27" t="str">
            <v>SY SAMIN</v>
          </cell>
          <cell r="D27" t="str">
            <v>Picotalène Nord</v>
          </cell>
          <cell r="E27">
            <v>21</v>
          </cell>
          <cell r="F27">
            <v>4.42</v>
          </cell>
        </row>
        <row r="28">
          <cell r="A28">
            <v>2013</v>
          </cell>
          <cell r="C28" t="str">
            <v>SY SAMIN</v>
          </cell>
          <cell r="D28" t="str">
            <v>Pourtanel</v>
          </cell>
          <cell r="E28">
            <v>12</v>
          </cell>
          <cell r="F28">
            <v>12.06</v>
          </cell>
        </row>
        <row r="29">
          <cell r="A29">
            <v>2013</v>
          </cell>
          <cell r="C29" t="str">
            <v>MIRADOUX</v>
          </cell>
          <cell r="D29" t="str">
            <v>Seillonne</v>
          </cell>
          <cell r="E29">
            <v>2</v>
          </cell>
          <cell r="F29">
            <v>1.26</v>
          </cell>
        </row>
        <row r="30">
          <cell r="A30">
            <v>2014</v>
          </cell>
          <cell r="C30" t="str">
            <v>PESCADOUX</v>
          </cell>
          <cell r="D30" t="str">
            <v>Andres</v>
          </cell>
        </row>
        <row r="31">
          <cell r="A31">
            <v>2014</v>
          </cell>
          <cell r="C31" t="str">
            <v>ARDICO</v>
          </cell>
          <cell r="D31" t="str">
            <v>Bousquet Château</v>
          </cell>
        </row>
        <row r="32">
          <cell r="A32">
            <v>2014</v>
          </cell>
          <cell r="C32" t="str">
            <v>SOLEIHO</v>
          </cell>
          <cell r="D32" t="str">
            <v>Bousquet Pourtanel</v>
          </cell>
        </row>
        <row r="33">
          <cell r="A33">
            <v>2014</v>
          </cell>
          <cell r="C33" t="str">
            <v>-</v>
          </cell>
          <cell r="D33" t="str">
            <v>Bousquet Prairie</v>
          </cell>
        </row>
        <row r="34">
          <cell r="A34">
            <v>2014</v>
          </cell>
          <cell r="C34" t="str">
            <v>-</v>
          </cell>
          <cell r="D34" t="str">
            <v>Bousquet Route</v>
          </cell>
        </row>
        <row r="35">
          <cell r="A35">
            <v>2014</v>
          </cell>
          <cell r="C35" t="str">
            <v>ISIDOR</v>
          </cell>
          <cell r="D35" t="str">
            <v>Engleyse Bousquet</v>
          </cell>
        </row>
        <row r="36">
          <cell r="A36">
            <v>2014</v>
          </cell>
          <cell r="C36" t="str">
            <v>ASCOTT</v>
          </cell>
          <cell r="D36" t="str">
            <v>Engleyse métairie</v>
          </cell>
        </row>
        <row r="37">
          <cell r="A37">
            <v>2014</v>
          </cell>
          <cell r="C37" t="str">
            <v>ASCOTT</v>
          </cell>
          <cell r="D37" t="str">
            <v>Engleyse Route</v>
          </cell>
        </row>
        <row r="38">
          <cell r="A38">
            <v>2014</v>
          </cell>
          <cell r="C38" t="str">
            <v>DKF3333</v>
          </cell>
          <cell r="D38" t="str">
            <v>Escarcelou</v>
          </cell>
        </row>
        <row r="39">
          <cell r="A39">
            <v>2014</v>
          </cell>
          <cell r="C39" t="str">
            <v>DKF3333</v>
          </cell>
          <cell r="D39" t="str">
            <v>Escarcelou Jachère</v>
          </cell>
        </row>
        <row r="40">
          <cell r="A40">
            <v>2014</v>
          </cell>
          <cell r="C40" t="str">
            <v>SY REVELIO - CLEARFIELD</v>
          </cell>
          <cell r="D40" t="str">
            <v>Escarcelou Pte</v>
          </cell>
        </row>
        <row r="41">
          <cell r="A41">
            <v>2014</v>
          </cell>
          <cell r="C41" t="str">
            <v>-</v>
          </cell>
          <cell r="D41" t="str">
            <v>Gel fixe #1</v>
          </cell>
        </row>
        <row r="42">
          <cell r="A42">
            <v>2014</v>
          </cell>
          <cell r="C42" t="str">
            <v>-</v>
          </cell>
          <cell r="D42" t="str">
            <v xml:space="preserve">Gel Fixe #2 </v>
          </cell>
        </row>
        <row r="43">
          <cell r="A43">
            <v>2014</v>
          </cell>
          <cell r="C43" t="str">
            <v>-</v>
          </cell>
          <cell r="D43" t="str">
            <v xml:space="preserve">Gel fixe #3 </v>
          </cell>
        </row>
        <row r="44">
          <cell r="A44">
            <v>2014</v>
          </cell>
          <cell r="C44" t="str">
            <v>SOLEIHO</v>
          </cell>
          <cell r="D44" t="str">
            <v>L'Aule métairie</v>
          </cell>
        </row>
        <row r="45">
          <cell r="A45">
            <v>2014</v>
          </cell>
          <cell r="C45" t="str">
            <v>SOLEIHO</v>
          </cell>
          <cell r="D45" t="str">
            <v>L'Aule Plaine</v>
          </cell>
        </row>
        <row r="46">
          <cell r="A46">
            <v>2014</v>
          </cell>
          <cell r="C46" t="str">
            <v>ZEBRA - OISELLERIE</v>
          </cell>
          <cell r="D46" t="str">
            <v>Labaou Devant</v>
          </cell>
        </row>
        <row r="47">
          <cell r="A47">
            <v>2014</v>
          </cell>
          <cell r="C47" t="str">
            <v>MONSANTO</v>
          </cell>
          <cell r="D47" t="str">
            <v>Labaou Plaine</v>
          </cell>
        </row>
        <row r="48">
          <cell r="A48">
            <v>2014</v>
          </cell>
          <cell r="C48" t="str">
            <v>PR64 LEV25 - EXPRESS</v>
          </cell>
          <cell r="D48" t="str">
            <v>Laclos</v>
          </cell>
        </row>
        <row r="49">
          <cell r="A49">
            <v>2014</v>
          </cell>
          <cell r="C49" t="str">
            <v>PR64 LEV25 - EXPRESS</v>
          </cell>
          <cell r="D49" t="str">
            <v>Lescandes</v>
          </cell>
        </row>
        <row r="50">
          <cell r="A50">
            <v>2014</v>
          </cell>
          <cell r="C50" t="str">
            <v>PR64 LEV25 - EXPRESS</v>
          </cell>
          <cell r="D50" t="str">
            <v>Lescandes Côteau</v>
          </cell>
        </row>
        <row r="51">
          <cell r="A51">
            <v>2014</v>
          </cell>
          <cell r="C51" t="str">
            <v>MIRADOUX / FLORIDOU</v>
          </cell>
          <cell r="D51" t="str">
            <v>Moulin Barthes</v>
          </cell>
        </row>
        <row r="52">
          <cell r="A52">
            <v>2014</v>
          </cell>
          <cell r="C52" t="str">
            <v>PESCADOUX</v>
          </cell>
          <cell r="D52" t="str">
            <v>Moulin Côteau</v>
          </cell>
        </row>
        <row r="53">
          <cell r="A53">
            <v>2014</v>
          </cell>
          <cell r="C53" t="str">
            <v>-</v>
          </cell>
          <cell r="D53" t="str">
            <v>Moulin Jachêre</v>
          </cell>
        </row>
        <row r="54">
          <cell r="A54">
            <v>2014</v>
          </cell>
          <cell r="C54" t="str">
            <v>SCULPTUR</v>
          </cell>
          <cell r="D54" t="str">
            <v>Picotalène Midi</v>
          </cell>
        </row>
        <row r="55">
          <cell r="A55">
            <v>2014</v>
          </cell>
          <cell r="C55" t="str">
            <v>SCULPTUR</v>
          </cell>
          <cell r="D55" t="str">
            <v>Picotalène Nord</v>
          </cell>
        </row>
        <row r="56">
          <cell r="A56">
            <v>2014</v>
          </cell>
          <cell r="C56" t="str">
            <v>SCULPTUR</v>
          </cell>
          <cell r="D56" t="str">
            <v>Pourtanel</v>
          </cell>
        </row>
        <row r="57">
          <cell r="A57">
            <v>2014</v>
          </cell>
          <cell r="C57" t="str">
            <v>PR64 LEV25 - EXPRESS</v>
          </cell>
          <cell r="D57" t="str">
            <v>Seillonne</v>
          </cell>
        </row>
        <row r="58">
          <cell r="A58">
            <v>2015</v>
          </cell>
          <cell r="D58" t="str">
            <v>Andres</v>
          </cell>
        </row>
        <row r="59">
          <cell r="A59">
            <v>2015</v>
          </cell>
          <cell r="D59" t="str">
            <v>Bousquet Château</v>
          </cell>
        </row>
        <row r="60">
          <cell r="A60">
            <v>2015</v>
          </cell>
          <cell r="D60" t="str">
            <v xml:space="preserve">Bousquet Pourtanel </v>
          </cell>
        </row>
        <row r="61">
          <cell r="A61">
            <v>2015</v>
          </cell>
          <cell r="D61" t="str">
            <v>Bousquet Prairie</v>
          </cell>
        </row>
        <row r="62">
          <cell r="A62">
            <v>2015</v>
          </cell>
          <cell r="D62" t="str">
            <v>Bousquet Route</v>
          </cell>
        </row>
        <row r="63">
          <cell r="A63">
            <v>2015</v>
          </cell>
          <cell r="D63" t="str">
            <v xml:space="preserve">Engleyse Bousquet </v>
          </cell>
        </row>
        <row r="64">
          <cell r="A64">
            <v>2015</v>
          </cell>
          <cell r="D64" t="str">
            <v>Engleyse métairie</v>
          </cell>
        </row>
        <row r="65">
          <cell r="A65">
            <v>2015</v>
          </cell>
          <cell r="D65" t="str">
            <v xml:space="preserve">Engleyse Route </v>
          </cell>
        </row>
        <row r="66">
          <cell r="A66">
            <v>2015</v>
          </cell>
          <cell r="D66" t="str">
            <v>Escarcelou</v>
          </cell>
        </row>
        <row r="67">
          <cell r="A67">
            <v>2015</v>
          </cell>
          <cell r="D67" t="str">
            <v>Escarcelou Jachère</v>
          </cell>
        </row>
        <row r="68">
          <cell r="A68">
            <v>2015</v>
          </cell>
          <cell r="D68" t="str">
            <v>Escarcelou Pte</v>
          </cell>
        </row>
        <row r="69">
          <cell r="A69">
            <v>2015</v>
          </cell>
          <cell r="D69" t="str">
            <v>Gel fixe #1</v>
          </cell>
        </row>
        <row r="70">
          <cell r="A70">
            <v>2015</v>
          </cell>
          <cell r="D70" t="str">
            <v xml:space="preserve">Gel Fixe #2 </v>
          </cell>
        </row>
        <row r="71">
          <cell r="A71">
            <v>2015</v>
          </cell>
          <cell r="D71" t="str">
            <v xml:space="preserve">Gel fixe #3 </v>
          </cell>
        </row>
        <row r="72">
          <cell r="A72">
            <v>2015</v>
          </cell>
          <cell r="D72" t="str">
            <v>L'Aule métairie</v>
          </cell>
        </row>
        <row r="73">
          <cell r="A73">
            <v>2015</v>
          </cell>
          <cell r="D73" t="str">
            <v>L'Aule Plaine</v>
          </cell>
        </row>
        <row r="74">
          <cell r="A74">
            <v>2015</v>
          </cell>
          <cell r="D74" t="str">
            <v xml:space="preserve">Labaou Devant </v>
          </cell>
        </row>
        <row r="75">
          <cell r="A75">
            <v>2015</v>
          </cell>
          <cell r="D75" t="str">
            <v>Labaou Plaine</v>
          </cell>
        </row>
        <row r="76">
          <cell r="A76">
            <v>2015</v>
          </cell>
          <cell r="D76" t="str">
            <v>Laclos</v>
          </cell>
        </row>
        <row r="77">
          <cell r="A77">
            <v>2015</v>
          </cell>
          <cell r="D77" t="str">
            <v>Lescandes</v>
          </cell>
        </row>
        <row r="78">
          <cell r="A78">
            <v>2015</v>
          </cell>
          <cell r="D78" t="str">
            <v xml:space="preserve">Lescandes Côteau </v>
          </cell>
        </row>
        <row r="79">
          <cell r="A79">
            <v>2015</v>
          </cell>
          <cell r="D79" t="str">
            <v>Moulin Barthes</v>
          </cell>
        </row>
        <row r="80">
          <cell r="A80">
            <v>2015</v>
          </cell>
          <cell r="D80" t="str">
            <v>Moulin Côteau</v>
          </cell>
        </row>
        <row r="81">
          <cell r="A81">
            <v>2015</v>
          </cell>
          <cell r="D81" t="str">
            <v>Moulin Jachêre</v>
          </cell>
        </row>
        <row r="82">
          <cell r="A82">
            <v>2015</v>
          </cell>
          <cell r="D82" t="str">
            <v xml:space="preserve">Picotalène Midi </v>
          </cell>
        </row>
        <row r="83">
          <cell r="A83">
            <v>2015</v>
          </cell>
          <cell r="D83" t="str">
            <v>Picotalène Nord</v>
          </cell>
        </row>
        <row r="84">
          <cell r="A84">
            <v>2015</v>
          </cell>
          <cell r="D84" t="str">
            <v>Pourtanel</v>
          </cell>
        </row>
        <row r="85">
          <cell r="A85">
            <v>2015</v>
          </cell>
          <cell r="D85" t="str">
            <v>Seillonne</v>
          </cell>
        </row>
      </sheetData>
      <sheetData sheetId="9">
        <row r="1">
          <cell r="A1" t="str">
            <v>BLE_TENDRE</v>
          </cell>
        </row>
      </sheetData>
      <sheetData sheetId="10">
        <row r="1">
          <cell r="A1" t="str">
            <v>BLE_TENDRE</v>
          </cell>
          <cell r="B1" t="str">
            <v xml:space="preserve">BLE_DUR </v>
          </cell>
          <cell r="C1" t="str">
            <v>TOURNESOL_OLÉIQUE</v>
          </cell>
          <cell r="D1" t="str">
            <v>TR_OL_CLEARFIELD</v>
          </cell>
          <cell r="E1" t="str">
            <v>TR_CL_EXPRESS</v>
          </cell>
          <cell r="F1" t="str">
            <v>TOURNESOL_OISELLERIE</v>
          </cell>
          <cell r="G1" t="str">
            <v>TOURNESOL_CLASSIQUE</v>
          </cell>
          <cell r="H1" t="str">
            <v>MAÏS_SEMENCES</v>
          </cell>
          <cell r="I1" t="str">
            <v>SORGHO_BLANC</v>
          </cell>
          <cell r="J1" t="str">
            <v xml:space="preserve">SOJA </v>
          </cell>
        </row>
      </sheetData>
      <sheetData sheetId="11"/>
      <sheetData sheetId="12"/>
      <sheetData sheetId="13"/>
      <sheetData sheetId="14"/>
      <sheetData sheetId="1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Q523" totalsRowShown="0">
  <autoFilter ref="A1:Q523">
    <filterColumn colId="1">
      <filters>
        <filter val="ROQUES"/>
      </filters>
    </filterColumn>
  </autoFilter>
  <tableColumns count="17">
    <tableColumn id="1" name="ANNEE" dataDxfId="13"/>
    <tableColumn id="17" name="SOCIETE" dataDxfId="12"/>
    <tableColumn id="2" name="CULTURE" dataDxfId="11"/>
    <tableColumn id="3" name="VARIETE" dataDxfId="10"/>
    <tableColumn id="4" name="PARCELLE" dataDxfId="9"/>
    <tableColumn id="5" name="DATE" dataDxfId="8"/>
    <tableColumn id="6" name="PRODUIT" dataDxfId="7"/>
    <tableColumn id="7" name="STADE" dataDxfId="6"/>
    <tableColumn id="8" name="Unit" dataDxfId="5">
      <calculatedColumnFormula>VLOOKUP(G2,[1]ACHATS!$C:$E,3,0)</calculatedColumnFormula>
    </tableColumn>
    <tableColumn id="9" name="CATEGORIE" dataDxfId="4">
      <calculatedColumnFormula>VLOOKUP(G2,[1]ACHATS!$C:$D,2,0)</calculatedColumnFormula>
    </tableColumn>
    <tableColumn id="10" name="QTE / HA"/>
    <tableColumn id="11" name="NB / HA"/>
    <tableColumn id="12" name="QTE TOTAL " dataDxfId="3">
      <calculatedColumnFormula>L2*K2</calculatedColumnFormula>
    </tableColumn>
    <tableColumn id="13" name="PRIX UNITAIRE" dataDxfId="2">
      <calculatedColumnFormula array="1">INDEX('[1]COUT MOYEN - STOCK'!$G$2:$G$120,MATCH(A2,IF('[1]COUT MOYEN - STOCK'!$B$2:$B$120=G2,'[1]COUT MOYEN - STOCK'!$A$2:$A$120,""),0))</calculatedColumnFormula>
    </tableColumn>
    <tableColumn id="14" name="MONTANT" dataDxfId="1">
      <calculatedColumnFormula>N2*M2</calculatedColumnFormula>
    </tableColumn>
    <tableColumn id="15" name="PARCELLE #2" dataDxfId="0">
      <calculatedColumnFormula>IF(WHEN=A2,E2,1)</calculatedColumnFormula>
    </tableColumn>
    <tableColumn id="16" name="COMMENTAIR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/>
  <dimension ref="A4:R25"/>
  <sheetViews>
    <sheetView showGridLines="0" tabSelected="1" workbookViewId="0">
      <pane xSplit="5" topLeftCell="F1" activePane="topRight" state="frozen"/>
      <selection pane="topRight" activeCell="A5" sqref="A5:A9"/>
    </sheetView>
  </sheetViews>
  <sheetFormatPr baseColWidth="10" defaultRowHeight="15.75"/>
  <cols>
    <col min="1" max="1" width="2.375" customWidth="1"/>
    <col min="2" max="2" width="1.125" customWidth="1"/>
    <col min="3" max="3" width="15.625" customWidth="1"/>
    <col min="4" max="4" width="23.25" customWidth="1"/>
    <col min="5" max="5" width="1" customWidth="1"/>
    <col min="6" max="6" width="15.5" bestFit="1" customWidth="1"/>
    <col min="7" max="8" width="15.5" customWidth="1"/>
    <col min="9" max="9" width="15.375" bestFit="1" customWidth="1"/>
    <col min="10" max="10" width="11.875" bestFit="1" customWidth="1"/>
    <col min="11" max="11" width="12.5" customWidth="1"/>
    <col min="12" max="12" width="15.625" customWidth="1"/>
    <col min="13" max="13" width="1.125" customWidth="1"/>
    <col min="15" max="15" width="12.25" customWidth="1"/>
    <col min="16" max="16" width="21.125" bestFit="1" customWidth="1"/>
    <col min="17" max="17" width="20.625" bestFit="1" customWidth="1"/>
    <col min="18" max="18" width="16" bestFit="1" customWidth="1"/>
  </cols>
  <sheetData>
    <row r="4" spans="1:18" ht="17.25">
      <c r="N4" s="63" t="s">
        <v>5</v>
      </c>
      <c r="O4" s="64" t="s">
        <v>163</v>
      </c>
      <c r="P4" s="63" t="s">
        <v>7</v>
      </c>
      <c r="Q4" s="64" t="s">
        <v>15</v>
      </c>
      <c r="R4" s="63" t="s">
        <v>6</v>
      </c>
    </row>
    <row r="5" spans="1:18" ht="20.100000000000001" customHeight="1">
      <c r="A5" s="78">
        <v>1</v>
      </c>
      <c r="C5" s="76" t="s">
        <v>5</v>
      </c>
      <c r="D5" s="62">
        <f ca="1">INDEX(Liste_Annee,A5)</f>
        <v>2013</v>
      </c>
      <c r="F5" s="1" t="s">
        <v>10</v>
      </c>
      <c r="G5" s="1" t="s">
        <v>117</v>
      </c>
      <c r="H5" s="2" t="s">
        <v>116</v>
      </c>
      <c r="I5" s="2" t="s">
        <v>11</v>
      </c>
      <c r="J5" s="2" t="s">
        <v>12</v>
      </c>
      <c r="K5" s="4" t="s">
        <v>13</v>
      </c>
      <c r="L5" s="3" t="s">
        <v>9</v>
      </c>
      <c r="N5" s="59">
        <f t="array" ref="N5:N15">IFERROR(SMALL(IF(MATCH(Col_Annee,Col_Annee,0)=ROW(Col_Annee)-1,Col_Annee),ROW(Col_Annee)-1),"")</f>
        <v>2013</v>
      </c>
      <c r="O5" s="56" t="str">
        <f t="array" aca="1" ref="O5:O15" ca="1">IFERROR(INDEX(Col_Societe,MATCH(SMALL(IF(MATCH(Col_Annee&amp;Col_Societe,Col_Annee&amp;Col_Societe,0)=ROW(Col_Annee)-1,IF(Col_Annee=D5,COUNTIF(Col_Societe,"&lt;"&amp;Col_Societe))),ROW(Col_Annee)-1),IF(Col_Annee=D5,COUNTIF(Col_Societe,"&lt;"&amp;Col_Societe)),0)),"")</f>
        <v>BOUSQUET</v>
      </c>
      <c r="P5" s="11" t="str">
        <f t="array" aca="1" ref="P5:P15" ca="1">IFERROR(INDEX(Col_Culture,MATCH(SMALL(IF(MATCH(Col_Annee&amp;Col_Societe&amp;Col_Culture,Col_Annee&amp;Col_Societe&amp;Col_Culture,0)=ROW(Col_Annee)-1,IF((Col_Annee=D5)*(Col_Societe=D6),COUNTIF(Col_Culture,"&lt;"&amp;Col_Culture))),ROW(Col_Annee)-1),IF((Col_Annee=D5)*(Col_Societe=D6),COUNTIF(Col_Culture,"&lt;"&amp;Col_Culture)),0)),"")</f>
        <v xml:space="preserve">BLE_DUR </v>
      </c>
      <c r="Q5" s="16" t="str">
        <f t="array" aca="1" ref="Q5:Q15" ca="1">IFERROR(INDEX(Col_Vart,MATCH(SMALL(IF(MATCH(Col_Annee&amp;Col_Societe&amp;Col_Culture&amp;Col_Vart,Col_Annee&amp;Col_Societe&amp;Col_Culture&amp;Col_Vart,0)=ROW(Col_Annee)-1,IF((Col_Annee=D5)*(Col_Societe=D6)*(Col_Culture=D7),COUNTIF(Col_Vart,"&lt;"&amp;Col_Vart))),ROW(Col_Annee)-1),IF((Col_Annee=D5)*(Col_Societe=D6)*(Col_Culture=D7),COUNTIF(Col_Vart,"&lt;"&amp;Col_Vart)),0)),"")</f>
        <v>LG5474</v>
      </c>
      <c r="R5" s="20" t="str">
        <f t="array" aca="1" ref="R5:R25" ca="1">IFERROR(INDEX(Col_Parcelle,MATCH(SMALL(IF(MATCH(Col_Annee&amp;Col_Societe&amp;Col_Culture&amp;Col_Vart&amp;Col_Parcelle,Col_Annee&amp;Col_Societe&amp;Col_Culture&amp;Col_Vart&amp;Col_Parcelle,0)=ROW(Col_Annee)-1,IF((Col_Annee=D5)*(Col_Societe=D6)*(Col_Culture=D7)*(Col_Vart=D8),COUNTIF(Col_Parcelle,"&lt;"&amp;Col_Parcelle))),ROW(Col_Annee)-1),IF((Col_Annee=D5)*(Col_Societe=D6)*(Col_Culture=D7)*(Col_Vart=D8),COUNTIF(Col_Parcelle,"&lt;"&amp;Col_Parcelle)),0)),"")</f>
        <v>L'Aule métairie</v>
      </c>
    </row>
    <row r="6" spans="1:18" ht="20.100000000000001" customHeight="1">
      <c r="A6" s="79">
        <v>2</v>
      </c>
      <c r="C6" s="77" t="s">
        <v>163</v>
      </c>
      <c r="D6" s="65" t="str">
        <f ca="1">INDEX(Liste_Societe,MIN(A6,COUNTA(Liste_Societe)))</f>
        <v>PUJOLET</v>
      </c>
      <c r="F6" s="9" t="str">
        <f t="array" aca="1" ref="F6:F25" ca="1">IFERROR(INDEX(Col_Categorie,SMALL(IF((Col_Annee=D5)*(Col_Societe=D6)*(Col_Culture=D7)*(Col_Vart=D8)*(Col_Parcelle=D9),ROW(Col_Annee)-1),ROW(Col_Annee)-1)),"")</f>
        <v>ENGRAIS DE FOND</v>
      </c>
      <c r="G6" s="10" t="str">
        <f t="array" aca="1" ref="G6:G25" ca="1">IFERROR(INDEX(Col_Produit,SMALL(IF((Col_Annee=D5)*(Col_Societe=D6)*(Col_Culture=D7)*(Col_Vart=D8)*(Col_Parcelle=D9),ROW(Col_Annee)-1),ROW(Col_Annee)-1)),"")</f>
        <v>Pac 22</v>
      </c>
      <c r="H6" s="53">
        <f t="array" aca="1" ref="H6:H25" ca="1">IFERROR(INDEX(Col_Date,SMALL(IF((Col_Annee=D5)*(Col_Societe=D6)*(Col_Culture=D7)*(Col_Vart=D8)*(Col_Parcelle=D9),ROW(Col_Annee)-1),ROW(Col_Annee)-1)),"")</f>
        <v>41108</v>
      </c>
      <c r="I6" s="10">
        <f t="array" aca="1" ref="I6:I25" ca="1">IFERROR(INDEX(Col_Surface,SMALL(IF((Col_Annee=D5)*(Col_Societe=D6)*(Col_Culture=D7)*(Col_Vart=D8)*(Col_Parcelle=D9),ROW(Col_Annee)-1),ROW(Col_Annee)-1)),"")</f>
        <v>15.64</v>
      </c>
      <c r="J6" s="10">
        <f t="array" aca="1" ref="J6:J25" ca="1">IFERROR(INDEX(Col_Quantite,SMALL(IF((Col_Annee=D5)*(Col_Societe=D6)*(Col_Culture=D7)*(Col_Vart=D8)*(Col_Parcelle=D9),ROW(Col_Annee)-1),ROW(Col_Annee)-1)),"")</f>
        <v>200</v>
      </c>
      <c r="K6" s="69">
        <f t="array" aca="1" ref="K6:K25" ca="1">IFERROR(INDEX(Col_Prix,SMALL(IF((Col_Annee=D5)*(Col_Societe=D6)*(Col_Culture=D7)*(Col_Vart=D8)*(Col_Parcelle=D9),ROW(Col_Annee)-1),ROW(Col_Annee)-1)),"")</f>
        <v>0.50298666666666669</v>
      </c>
      <c r="L6" s="72">
        <f t="shared" ref="L6:L25" ca="1" si="0">IF(COUNT(I6:K6),PRODUCT(I6:K6),"")</f>
        <v>1573.3422933333334</v>
      </c>
      <c r="N6" s="60">
        <v>2014</v>
      </c>
      <c r="O6" s="57" t="str">
        <f ca="1"/>
        <v>PUJOLET</v>
      </c>
      <c r="P6" s="12" t="str">
        <f ca="1"/>
        <v>BLE_TENDRE</v>
      </c>
      <c r="Q6" s="17" t="str">
        <f ca="1"/>
        <v>MAS 95 OL</v>
      </c>
      <c r="R6" s="21" t="str">
        <f ca="1"/>
        <v>L'Aule Plaine</v>
      </c>
    </row>
    <row r="7" spans="1:18" ht="20.100000000000001" customHeight="1">
      <c r="A7" s="79">
        <v>4</v>
      </c>
      <c r="C7" s="76" t="s">
        <v>7</v>
      </c>
      <c r="D7" s="19" t="str">
        <f ca="1">INDEX(Liste_Culture,MIN(A7,COUNTA(Liste_Culture)))</f>
        <v>TOURNESOL_OLÉIQUE</v>
      </c>
      <c r="F7" s="5" t="str">
        <f ca="1"/>
        <v>DESHERBANT</v>
      </c>
      <c r="G7" s="6" t="str">
        <f ca="1"/>
        <v>Glyphosate</v>
      </c>
      <c r="H7" s="54">
        <f ca="1"/>
        <v>41155</v>
      </c>
      <c r="I7" s="6">
        <f ca="1"/>
        <v>15.64</v>
      </c>
      <c r="J7" s="6">
        <f ca="1"/>
        <v>1</v>
      </c>
      <c r="K7" s="70">
        <f ca="1"/>
        <v>4.9381521739130436</v>
      </c>
      <c r="L7" s="73">
        <f t="shared" ca="1" si="0"/>
        <v>77.232700000000008</v>
      </c>
      <c r="N7" s="60" t="str">
        <v/>
      </c>
      <c r="O7" s="57" t="str">
        <f ca="1"/>
        <v>ROQUES</v>
      </c>
      <c r="P7" s="12" t="str">
        <f ca="1"/>
        <v>SORGHO_BLANC</v>
      </c>
      <c r="Q7" s="17" t="str">
        <f ca="1"/>
        <v>SY SAMIN</v>
      </c>
      <c r="R7" s="21" t="str">
        <f ca="1"/>
        <v/>
      </c>
    </row>
    <row r="8" spans="1:18" ht="20.100000000000001" customHeight="1">
      <c r="A8" s="79">
        <v>2</v>
      </c>
      <c r="C8" s="77" t="s">
        <v>15</v>
      </c>
      <c r="D8" s="66" t="str">
        <f ca="1">INDEX(Liste_Vart,MIN(A8,COUNTA(Liste_Vart)))</f>
        <v>MAS 95 OL</v>
      </c>
      <c r="F8" s="5" t="str">
        <f ca="1"/>
        <v>DIVERS</v>
      </c>
      <c r="G8" s="6" t="str">
        <f ca="1"/>
        <v>Heliosol</v>
      </c>
      <c r="H8" s="54">
        <f ca="1"/>
        <v>41375</v>
      </c>
      <c r="I8" s="6">
        <f ca="1"/>
        <v>15.64</v>
      </c>
      <c r="J8" s="6">
        <f ca="1"/>
        <v>0.5</v>
      </c>
      <c r="K8" s="70">
        <f ca="1"/>
        <v>11.01</v>
      </c>
      <c r="L8" s="73">
        <f t="shared" ca="1" si="0"/>
        <v>86.098200000000006</v>
      </c>
      <c r="N8" s="60" t="str">
        <v/>
      </c>
      <c r="O8" s="57" t="str">
        <f ca="1"/>
        <v/>
      </c>
      <c r="P8" s="12" t="str">
        <f ca="1"/>
        <v>TOURNESOL_OLÉIQUE</v>
      </c>
      <c r="Q8" s="17" t="str">
        <f ca="1"/>
        <v/>
      </c>
      <c r="R8" s="21" t="str">
        <f ca="1"/>
        <v/>
      </c>
    </row>
    <row r="9" spans="1:18" ht="20.100000000000001" customHeight="1">
      <c r="A9" s="80">
        <v>2</v>
      </c>
      <c r="C9" s="76" t="s">
        <v>6</v>
      </c>
      <c r="D9" s="67" t="str">
        <f ca="1">INDEX(Liste_Parcelle,MIN(A9,COUNTA(Liste_Parcelle)))</f>
        <v>L'Aule Plaine</v>
      </c>
      <c r="F9" s="5" t="str">
        <f ca="1"/>
        <v>DESHERBANT</v>
      </c>
      <c r="G9" s="6" t="str">
        <f ca="1"/>
        <v>Glyphosate</v>
      </c>
      <c r="H9" s="54">
        <f ca="1"/>
        <v>41375</v>
      </c>
      <c r="I9" s="6">
        <f ca="1"/>
        <v>15.64</v>
      </c>
      <c r="J9" s="6">
        <f ca="1"/>
        <v>2.0099999999999998</v>
      </c>
      <c r="K9" s="70">
        <f ca="1"/>
        <v>4.9381521739130436</v>
      </c>
      <c r="L9" s="73">
        <f t="shared" ca="1" si="0"/>
        <v>155.23772700000001</v>
      </c>
      <c r="N9" s="60" t="str">
        <v/>
      </c>
      <c r="O9" s="57" t="str">
        <f ca="1"/>
        <v/>
      </c>
      <c r="P9" s="12" t="str">
        <f ca="1"/>
        <v/>
      </c>
      <c r="Q9" s="17" t="str">
        <f ca="1"/>
        <v/>
      </c>
      <c r="R9" s="21" t="str">
        <f ca="1"/>
        <v/>
      </c>
    </row>
    <row r="10" spans="1:18" ht="20.100000000000001" customHeight="1">
      <c r="C10" s="14"/>
      <c r="F10" s="5" t="str">
        <f ca="1"/>
        <v>DIVERS</v>
      </c>
      <c r="G10" s="6" t="str">
        <f ca="1"/>
        <v xml:space="preserve">Sam 40 </v>
      </c>
      <c r="H10" s="54">
        <f ca="1"/>
        <v>41375</v>
      </c>
      <c r="I10" s="6">
        <f ca="1"/>
        <v>15.64</v>
      </c>
      <c r="J10" s="6">
        <f ca="1"/>
        <v>0.03</v>
      </c>
      <c r="K10" s="70">
        <f ca="1"/>
        <v>0.88121212121212111</v>
      </c>
      <c r="L10" s="73">
        <f t="shared" ca="1" si="0"/>
        <v>0.41346472727272721</v>
      </c>
      <c r="N10" s="60" t="str">
        <v/>
      </c>
      <c r="O10" s="57" t="str">
        <f ca="1"/>
        <v/>
      </c>
      <c r="P10" s="12" t="str">
        <f ca="1"/>
        <v/>
      </c>
      <c r="Q10" s="17" t="str">
        <f ca="1"/>
        <v/>
      </c>
      <c r="R10" s="21" t="str">
        <f ca="1"/>
        <v/>
      </c>
    </row>
    <row r="11" spans="1:18" ht="20.100000000000001" customHeight="1">
      <c r="C11" s="14"/>
      <c r="F11" s="5" t="str">
        <f ca="1"/>
        <v/>
      </c>
      <c r="G11" s="6" t="str">
        <f ca="1"/>
        <v/>
      </c>
      <c r="H11" s="54" t="str">
        <f ca="1"/>
        <v/>
      </c>
      <c r="I11" s="6" t="str">
        <f ca="1"/>
        <v/>
      </c>
      <c r="J11" s="6" t="str">
        <f ca="1"/>
        <v/>
      </c>
      <c r="K11" s="70" t="str">
        <f ca="1"/>
        <v/>
      </c>
      <c r="L11" s="73" t="str">
        <f t="shared" ca="1" si="0"/>
        <v/>
      </c>
      <c r="N11" s="60" t="str">
        <v/>
      </c>
      <c r="O11" s="57" t="str">
        <f ca="1"/>
        <v/>
      </c>
      <c r="P11" s="12" t="str">
        <f ca="1"/>
        <v/>
      </c>
      <c r="Q11" s="17" t="str">
        <f ca="1"/>
        <v/>
      </c>
      <c r="R11" s="21" t="str">
        <f ca="1"/>
        <v/>
      </c>
    </row>
    <row r="12" spans="1:18" ht="20.100000000000001" customHeight="1">
      <c r="C12" s="14"/>
      <c r="F12" s="5" t="str">
        <f ca="1"/>
        <v/>
      </c>
      <c r="G12" s="6" t="str">
        <f ca="1"/>
        <v/>
      </c>
      <c r="H12" s="54" t="str">
        <f ca="1"/>
        <v/>
      </c>
      <c r="I12" s="6" t="str">
        <f ca="1"/>
        <v/>
      </c>
      <c r="J12" s="6" t="str">
        <f ca="1"/>
        <v/>
      </c>
      <c r="K12" s="70" t="str">
        <f ca="1"/>
        <v/>
      </c>
      <c r="L12" s="73" t="str">
        <f t="shared" ca="1" si="0"/>
        <v/>
      </c>
      <c r="N12" s="60" t="str">
        <v/>
      </c>
      <c r="O12" s="57" t="str">
        <f ca="1"/>
        <v/>
      </c>
      <c r="P12" s="12" t="str">
        <f ca="1"/>
        <v/>
      </c>
      <c r="Q12" s="17" t="str">
        <f ca="1"/>
        <v/>
      </c>
      <c r="R12" s="21" t="str">
        <f ca="1"/>
        <v/>
      </c>
    </row>
    <row r="13" spans="1:18" ht="20.100000000000001" customHeight="1">
      <c r="C13" s="15"/>
      <c r="F13" s="5" t="str">
        <f ca="1"/>
        <v/>
      </c>
      <c r="G13" s="6" t="str">
        <f ca="1"/>
        <v/>
      </c>
      <c r="H13" s="54" t="str">
        <f ca="1"/>
        <v/>
      </c>
      <c r="I13" s="6" t="str">
        <f ca="1"/>
        <v/>
      </c>
      <c r="J13" s="6" t="str">
        <f ca="1"/>
        <v/>
      </c>
      <c r="K13" s="70" t="str">
        <f ca="1"/>
        <v/>
      </c>
      <c r="L13" s="73" t="str">
        <f t="shared" ca="1" si="0"/>
        <v/>
      </c>
      <c r="N13" s="60" t="str">
        <v/>
      </c>
      <c r="O13" s="57" t="str">
        <f ca="1"/>
        <v/>
      </c>
      <c r="P13" s="12" t="str">
        <f ca="1"/>
        <v/>
      </c>
      <c r="Q13" s="17" t="str">
        <f ca="1"/>
        <v/>
      </c>
      <c r="R13" s="21" t="str">
        <f ca="1"/>
        <v/>
      </c>
    </row>
    <row r="14" spans="1:18" ht="20.100000000000001" customHeight="1">
      <c r="F14" s="5" t="str">
        <f ca="1"/>
        <v/>
      </c>
      <c r="G14" s="6" t="str">
        <f ca="1"/>
        <v/>
      </c>
      <c r="H14" s="54" t="str">
        <f ca="1"/>
        <v/>
      </c>
      <c r="I14" s="6" t="str">
        <f ca="1"/>
        <v/>
      </c>
      <c r="J14" s="6" t="str">
        <f ca="1"/>
        <v/>
      </c>
      <c r="K14" s="70" t="str">
        <f ca="1"/>
        <v/>
      </c>
      <c r="L14" s="73" t="str">
        <f t="shared" ca="1" si="0"/>
        <v/>
      </c>
      <c r="N14" s="60" t="str">
        <v/>
      </c>
      <c r="O14" s="57" t="str">
        <f ca="1"/>
        <v/>
      </c>
      <c r="P14" s="12" t="str">
        <f ca="1"/>
        <v/>
      </c>
      <c r="Q14" s="17" t="str">
        <f ca="1"/>
        <v/>
      </c>
      <c r="R14" s="21" t="str">
        <f ca="1"/>
        <v/>
      </c>
    </row>
    <row r="15" spans="1:18" ht="20.100000000000001" customHeight="1">
      <c r="F15" s="5" t="str">
        <f ca="1"/>
        <v/>
      </c>
      <c r="G15" s="6" t="str">
        <f ca="1"/>
        <v/>
      </c>
      <c r="H15" s="54" t="str">
        <f ca="1"/>
        <v/>
      </c>
      <c r="I15" s="6" t="str">
        <f ca="1"/>
        <v/>
      </c>
      <c r="J15" s="6" t="str">
        <f ca="1"/>
        <v/>
      </c>
      <c r="K15" s="70" t="str">
        <f ca="1"/>
        <v/>
      </c>
      <c r="L15" s="73" t="str">
        <f t="shared" ca="1" si="0"/>
        <v/>
      </c>
      <c r="N15" s="61" t="str">
        <v/>
      </c>
      <c r="O15" s="58" t="str">
        <f ca="1"/>
        <v/>
      </c>
      <c r="P15" s="13" t="str">
        <f ca="1"/>
        <v/>
      </c>
      <c r="Q15" s="18" t="str">
        <f ca="1"/>
        <v/>
      </c>
      <c r="R15" s="21" t="str">
        <f ca="1"/>
        <v/>
      </c>
    </row>
    <row r="16" spans="1:18" ht="20.100000000000001" customHeight="1">
      <c r="D16" s="68" t="s">
        <v>167</v>
      </c>
      <c r="F16" s="5" t="str">
        <f ca="1"/>
        <v/>
      </c>
      <c r="G16" s="6" t="str">
        <f ca="1"/>
        <v/>
      </c>
      <c r="H16" s="54" t="str">
        <f ca="1"/>
        <v/>
      </c>
      <c r="I16" s="6" t="str">
        <f ca="1"/>
        <v/>
      </c>
      <c r="J16" s="6" t="str">
        <f ca="1"/>
        <v/>
      </c>
      <c r="K16" s="70" t="str">
        <f ca="1"/>
        <v/>
      </c>
      <c r="L16" s="73" t="str">
        <f t="shared" ca="1" si="0"/>
        <v/>
      </c>
      <c r="R16" s="22" t="str">
        <f ca="1"/>
        <v/>
      </c>
    </row>
    <row r="17" spans="6:18" ht="20.100000000000001" customHeight="1">
      <c r="F17" s="5" t="str">
        <f ca="1"/>
        <v/>
      </c>
      <c r="G17" s="6" t="str">
        <f ca="1"/>
        <v/>
      </c>
      <c r="H17" s="54" t="str">
        <f ca="1"/>
        <v/>
      </c>
      <c r="I17" s="6" t="str">
        <f ca="1"/>
        <v/>
      </c>
      <c r="J17" s="6" t="str">
        <f ca="1"/>
        <v/>
      </c>
      <c r="K17" s="70" t="str">
        <f ca="1"/>
        <v/>
      </c>
      <c r="L17" s="73" t="str">
        <f t="shared" ca="1" si="0"/>
        <v/>
      </c>
      <c r="R17" s="22" t="str">
        <f ca="1"/>
        <v/>
      </c>
    </row>
    <row r="18" spans="6:18" ht="20.100000000000001" customHeight="1">
      <c r="F18" s="5" t="str">
        <f ca="1"/>
        <v/>
      </c>
      <c r="G18" s="6" t="str">
        <f ca="1"/>
        <v/>
      </c>
      <c r="H18" s="54" t="str">
        <f ca="1"/>
        <v/>
      </c>
      <c r="I18" s="6" t="str">
        <f ca="1"/>
        <v/>
      </c>
      <c r="J18" s="6" t="str">
        <f ca="1"/>
        <v/>
      </c>
      <c r="K18" s="70" t="str">
        <f ca="1"/>
        <v/>
      </c>
      <c r="L18" s="74" t="str">
        <f t="shared" ca="1" si="0"/>
        <v/>
      </c>
      <c r="R18" s="22" t="str">
        <f ca="1"/>
        <v/>
      </c>
    </row>
    <row r="19" spans="6:18" ht="20.100000000000001" customHeight="1">
      <c r="F19" s="5" t="str">
        <f ca="1"/>
        <v/>
      </c>
      <c r="G19" s="6" t="str">
        <f ca="1"/>
        <v/>
      </c>
      <c r="H19" s="54" t="str">
        <f ca="1"/>
        <v/>
      </c>
      <c r="I19" s="6" t="str">
        <f ca="1"/>
        <v/>
      </c>
      <c r="J19" s="6" t="str">
        <f ca="1"/>
        <v/>
      </c>
      <c r="K19" s="70" t="str">
        <f ca="1"/>
        <v/>
      </c>
      <c r="L19" s="74" t="str">
        <f t="shared" ca="1" si="0"/>
        <v/>
      </c>
      <c r="R19" s="22" t="str">
        <f ca="1"/>
        <v/>
      </c>
    </row>
    <row r="20" spans="6:18" ht="20.100000000000001" customHeight="1">
      <c r="F20" s="5" t="str">
        <f ca="1"/>
        <v/>
      </c>
      <c r="G20" s="6" t="str">
        <f ca="1"/>
        <v/>
      </c>
      <c r="H20" s="54" t="str">
        <f ca="1"/>
        <v/>
      </c>
      <c r="I20" s="6" t="str">
        <f ca="1"/>
        <v/>
      </c>
      <c r="J20" s="6" t="str">
        <f ca="1"/>
        <v/>
      </c>
      <c r="K20" s="70" t="str">
        <f ca="1"/>
        <v/>
      </c>
      <c r="L20" s="74" t="str">
        <f t="shared" ca="1" si="0"/>
        <v/>
      </c>
      <c r="R20" s="22" t="str">
        <f ca="1"/>
        <v/>
      </c>
    </row>
    <row r="21" spans="6:18" ht="20.100000000000001" customHeight="1">
      <c r="F21" s="5" t="str">
        <f ca="1"/>
        <v/>
      </c>
      <c r="G21" s="6" t="str">
        <f ca="1"/>
        <v/>
      </c>
      <c r="H21" s="54" t="str">
        <f ca="1"/>
        <v/>
      </c>
      <c r="I21" s="6" t="str">
        <f ca="1"/>
        <v/>
      </c>
      <c r="J21" s="6" t="str">
        <f ca="1"/>
        <v/>
      </c>
      <c r="K21" s="70" t="str">
        <f ca="1"/>
        <v/>
      </c>
      <c r="L21" s="74" t="str">
        <f t="shared" ca="1" si="0"/>
        <v/>
      </c>
      <c r="R21" s="22" t="str">
        <f ca="1"/>
        <v/>
      </c>
    </row>
    <row r="22" spans="6:18" ht="20.100000000000001" customHeight="1">
      <c r="F22" s="5" t="str">
        <f ca="1"/>
        <v/>
      </c>
      <c r="G22" s="6" t="str">
        <f ca="1"/>
        <v/>
      </c>
      <c r="H22" s="54" t="str">
        <f ca="1"/>
        <v/>
      </c>
      <c r="I22" s="6" t="str">
        <f ca="1"/>
        <v/>
      </c>
      <c r="J22" s="6" t="str">
        <f ca="1"/>
        <v/>
      </c>
      <c r="K22" s="70" t="str">
        <f ca="1"/>
        <v/>
      </c>
      <c r="L22" s="74" t="str">
        <f t="shared" ca="1" si="0"/>
        <v/>
      </c>
      <c r="R22" s="22" t="str">
        <f ca="1"/>
        <v/>
      </c>
    </row>
    <row r="23" spans="6:18" ht="20.100000000000001" customHeight="1">
      <c r="F23" s="5" t="str">
        <f ca="1"/>
        <v/>
      </c>
      <c r="G23" s="6" t="str">
        <f ca="1"/>
        <v/>
      </c>
      <c r="H23" s="54" t="str">
        <f ca="1"/>
        <v/>
      </c>
      <c r="I23" s="6" t="str">
        <f ca="1"/>
        <v/>
      </c>
      <c r="J23" s="6" t="str">
        <f ca="1"/>
        <v/>
      </c>
      <c r="K23" s="70" t="str">
        <f ca="1"/>
        <v/>
      </c>
      <c r="L23" s="74" t="str">
        <f t="shared" ca="1" si="0"/>
        <v/>
      </c>
      <c r="R23" s="22" t="str">
        <f ca="1"/>
        <v/>
      </c>
    </row>
    <row r="24" spans="6:18" ht="20.100000000000001" customHeight="1">
      <c r="F24" s="5" t="str">
        <f ca="1"/>
        <v/>
      </c>
      <c r="G24" s="6" t="str">
        <f ca="1"/>
        <v/>
      </c>
      <c r="H24" s="54" t="str">
        <f ca="1"/>
        <v/>
      </c>
      <c r="I24" s="6" t="str">
        <f ca="1"/>
        <v/>
      </c>
      <c r="J24" s="6" t="str">
        <f ca="1"/>
        <v/>
      </c>
      <c r="K24" s="70" t="str">
        <f ca="1"/>
        <v/>
      </c>
      <c r="L24" s="74" t="str">
        <f t="shared" ca="1" si="0"/>
        <v/>
      </c>
      <c r="R24" s="22" t="str">
        <f ca="1"/>
        <v/>
      </c>
    </row>
    <row r="25" spans="6:18" ht="20.100000000000001" customHeight="1">
      <c r="F25" s="7" t="str">
        <f ca="1"/>
        <v/>
      </c>
      <c r="G25" s="8" t="str">
        <f ca="1"/>
        <v/>
      </c>
      <c r="H25" s="55" t="str">
        <f ca="1"/>
        <v/>
      </c>
      <c r="I25" s="8" t="str">
        <f ca="1"/>
        <v/>
      </c>
      <c r="J25" s="8" t="str">
        <f ca="1"/>
        <v/>
      </c>
      <c r="K25" s="71" t="str">
        <f ca="1"/>
        <v/>
      </c>
      <c r="L25" s="75" t="str">
        <f t="shared" ca="1" si="0"/>
        <v/>
      </c>
      <c r="R25" s="23" t="str">
        <f ca="1"/>
        <v/>
      </c>
    </row>
  </sheetData>
  <sheetProtection sheet="1" objects="1" scenarios="1" selectLockedCells="1" selectUnlockedCells="1"/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Drop Down 4">
              <controlPr defaultSize="0" autoLine="0" autoPict="0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defaultSize="0" autoLine="0" autoPict="0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Q523"/>
  <sheetViews>
    <sheetView showGridLines="0" workbookViewId="0"/>
  </sheetViews>
  <sheetFormatPr baseColWidth="10" defaultRowHeight="15.75"/>
  <cols>
    <col min="2" max="2" width="20.875" customWidth="1"/>
    <col min="3" max="3" width="26" bestFit="1" customWidth="1"/>
    <col min="4" max="4" width="20.625" customWidth="1"/>
    <col min="5" max="5" width="27.875" customWidth="1"/>
    <col min="6" max="6" width="20.375" customWidth="1"/>
    <col min="7" max="8" width="18.625" customWidth="1"/>
    <col min="9" max="9" width="14.625" customWidth="1"/>
    <col min="10" max="10" width="16.375" bestFit="1" customWidth="1"/>
    <col min="15" max="15" width="14" bestFit="1" customWidth="1"/>
    <col min="17" max="17" width="41.625" bestFit="1" customWidth="1"/>
  </cols>
  <sheetData>
    <row r="1" spans="1:17" ht="16.5" thickBot="1">
      <c r="A1" s="25" t="s">
        <v>5</v>
      </c>
      <c r="B1" s="25" t="s">
        <v>163</v>
      </c>
      <c r="C1" s="26" t="s">
        <v>7</v>
      </c>
      <c r="D1" s="27" t="s">
        <v>115</v>
      </c>
      <c r="E1" s="25" t="s">
        <v>6</v>
      </c>
      <c r="F1" s="25" t="s">
        <v>116</v>
      </c>
      <c r="G1" s="25" t="s">
        <v>117</v>
      </c>
      <c r="H1" s="25" t="s">
        <v>118</v>
      </c>
      <c r="I1" s="27" t="s">
        <v>119</v>
      </c>
      <c r="J1" s="27" t="s">
        <v>120</v>
      </c>
      <c r="K1" s="25" t="s">
        <v>121</v>
      </c>
      <c r="L1" s="25" t="s">
        <v>122</v>
      </c>
      <c r="M1" s="25" t="s">
        <v>123</v>
      </c>
      <c r="N1" s="27" t="s">
        <v>8</v>
      </c>
      <c r="O1" s="25" t="s">
        <v>124</v>
      </c>
      <c r="P1" s="25" t="s">
        <v>125</v>
      </c>
      <c r="Q1" s="28" t="s">
        <v>126</v>
      </c>
    </row>
    <row r="2" spans="1:17" ht="16.5" hidden="1" thickTop="1">
      <c r="A2" s="29">
        <v>2013</v>
      </c>
      <c r="B2" s="29" t="s">
        <v>166</v>
      </c>
      <c r="C2" s="30" t="s">
        <v>39</v>
      </c>
      <c r="D2" s="24" t="str">
        <f t="array" ref="D2">INDEX([1]PARCELLAIRE!$C$2:$C$85,MATCH(A2,IF([1]PARCELLAIRE!$D$2:$D$85=E2,[1]PARCELLAIRE!$A$2:$A$85,""),0))</f>
        <v>SY SAMIN</v>
      </c>
      <c r="E2" s="29" t="s">
        <v>18</v>
      </c>
      <c r="F2" s="31">
        <v>41108</v>
      </c>
      <c r="G2" s="29" t="s">
        <v>40</v>
      </c>
      <c r="H2" s="32" t="s">
        <v>14</v>
      </c>
      <c r="I2" s="24" t="str">
        <f>VLOOKUP(G2,[1]ACHATS!$C:$E,3,0)</f>
        <v>Kg</v>
      </c>
      <c r="J2" s="24" t="str">
        <f>VLOOKUP(G2,[1]ACHATS!$C:$D,2,0)</f>
        <v>ENGRAIS DE FOND</v>
      </c>
      <c r="K2" s="33">
        <v>200</v>
      </c>
      <c r="L2" s="33">
        <f>VLOOKUP(E2,[1]PARCELLAIRE!$D$2:$F$29,3,0)</f>
        <v>2.33</v>
      </c>
      <c r="M2" s="33">
        <f t="shared" ref="M2:M65" si="0">L2*K2</f>
        <v>466</v>
      </c>
      <c r="N2" s="34">
        <f t="array" ref="N2">INDEX('[1]COUT MOYEN - STOCK'!$G$2:$G$120,MATCH(A2,IF('[1]COUT MOYEN - STOCK'!$B$2:$B$120=G2,'[1]COUT MOYEN - STOCK'!$A$2:$A$120,""),0))</f>
        <v>0.50298666666666669</v>
      </c>
      <c r="O2" s="35">
        <f t="shared" ref="O2:O65" si="1">N2*M2</f>
        <v>234.39178666666669</v>
      </c>
      <c r="P2" s="36" t="str">
        <f t="shared" ref="P2:P65" si="2">IF(WHEN=A2,E2,1)</f>
        <v>Bousquet Pourtanel</v>
      </c>
      <c r="Q2" s="37" t="s">
        <v>14</v>
      </c>
    </row>
    <row r="3" spans="1:17" ht="16.5" hidden="1" thickTop="1">
      <c r="A3" s="29">
        <v>2013</v>
      </c>
      <c r="B3" s="29" t="s">
        <v>164</v>
      </c>
      <c r="C3" s="30" t="s">
        <v>39</v>
      </c>
      <c r="D3" s="24" t="str">
        <f t="array" ref="D3">INDEX([1]PARCELLAIRE!$C$2:$C$85,MATCH(A3,IF([1]PARCELLAIRE!$D$2:$D$85=E3,[1]PARCELLAIRE!$A$2:$A$85,""),0))</f>
        <v>LG5474</v>
      </c>
      <c r="E3" s="29" t="s">
        <v>33</v>
      </c>
      <c r="F3" s="31">
        <v>41108</v>
      </c>
      <c r="G3" s="29" t="s">
        <v>40</v>
      </c>
      <c r="H3" s="32" t="s">
        <v>14</v>
      </c>
      <c r="I3" s="24" t="str">
        <f>VLOOKUP(G3,[1]ACHATS!$C:$E,3,0)</f>
        <v>Kg</v>
      </c>
      <c r="J3" s="24" t="str">
        <f>VLOOKUP(G3,[1]ACHATS!$C:$D,2,0)</f>
        <v>ENGRAIS DE FOND</v>
      </c>
      <c r="K3" s="33">
        <v>200</v>
      </c>
      <c r="L3" s="33">
        <f>VLOOKUP(E3,[1]PARCELLAIRE!$D$2:$F$29,3,0)</f>
        <v>21.88</v>
      </c>
      <c r="M3" s="33">
        <f t="shared" si="0"/>
        <v>4376</v>
      </c>
      <c r="N3" s="34">
        <f t="array" ref="N3">INDEX('[1]COUT MOYEN - STOCK'!$G$2:$G$120,MATCH(A3,IF('[1]COUT MOYEN - STOCK'!$B$2:$B$120=G3,'[1]COUT MOYEN - STOCK'!$A$2:$A$120,""),0))</f>
        <v>0.50298666666666669</v>
      </c>
      <c r="O3" s="35">
        <f t="shared" si="1"/>
        <v>2201.0696533333335</v>
      </c>
      <c r="P3" s="36" t="str">
        <f t="shared" si="2"/>
        <v>Moulin Barthes</v>
      </c>
      <c r="Q3" s="37" t="s">
        <v>14</v>
      </c>
    </row>
    <row r="4" spans="1:17" ht="16.5" hidden="1" thickTop="1">
      <c r="A4" s="29">
        <v>2013</v>
      </c>
      <c r="B4" s="29" t="s">
        <v>166</v>
      </c>
      <c r="C4" s="30" t="s">
        <v>39</v>
      </c>
      <c r="D4" s="24" t="str">
        <f t="array" ref="D4">INDEX([1]PARCELLAIRE!$C$2:$C$85,MATCH(A4,IF([1]PARCELLAIRE!$D$2:$D$85=E4,[1]PARCELLAIRE!$A$2:$A$85,""),0))</f>
        <v>LG5474</v>
      </c>
      <c r="E4" s="29" t="s">
        <v>34</v>
      </c>
      <c r="F4" s="31">
        <v>41108</v>
      </c>
      <c r="G4" s="29" t="s">
        <v>40</v>
      </c>
      <c r="H4" s="32" t="s">
        <v>14</v>
      </c>
      <c r="I4" s="24" t="str">
        <f>VLOOKUP(G4,[1]ACHATS!$C:$E,3,0)</f>
        <v>Kg</v>
      </c>
      <c r="J4" s="24" t="str">
        <f>VLOOKUP(G4,[1]ACHATS!$C:$D,2,0)</f>
        <v>ENGRAIS DE FOND</v>
      </c>
      <c r="K4" s="33">
        <v>200</v>
      </c>
      <c r="L4" s="33">
        <f>VLOOKUP(E4,[1]PARCELLAIRE!$D$2:$F$29,3,0)</f>
        <v>5.67</v>
      </c>
      <c r="M4" s="33">
        <f t="shared" si="0"/>
        <v>1134</v>
      </c>
      <c r="N4" s="34">
        <f t="array" ref="N4">INDEX('[1]COUT MOYEN - STOCK'!$G$2:$G$120,MATCH(A4,IF('[1]COUT MOYEN - STOCK'!$B$2:$B$120=G4,'[1]COUT MOYEN - STOCK'!$A$2:$A$120,""),0))</f>
        <v>0.50298666666666669</v>
      </c>
      <c r="O4" s="35">
        <f t="shared" si="1"/>
        <v>570.38688000000002</v>
      </c>
      <c r="P4" s="36" t="str">
        <f t="shared" si="2"/>
        <v>Moulin Côteau</v>
      </c>
      <c r="Q4" s="37" t="s">
        <v>14</v>
      </c>
    </row>
    <row r="5" spans="1:17" ht="16.5" hidden="1" thickTop="1">
      <c r="A5" s="29">
        <v>2013</v>
      </c>
      <c r="B5" s="29" t="s">
        <v>166</v>
      </c>
      <c r="C5" s="30" t="s">
        <v>39</v>
      </c>
      <c r="D5" s="24" t="str">
        <f t="array" ref="D5">INDEX([1]PARCELLAIRE!$C$2:$C$85,MATCH(A5,IF([1]PARCELLAIRE!$D$2:$D$85=E5,[1]PARCELLAIRE!$A$2:$A$85,""),0))</f>
        <v>SY SAMIN</v>
      </c>
      <c r="E5" s="29" t="s">
        <v>35</v>
      </c>
      <c r="F5" s="31">
        <v>41108</v>
      </c>
      <c r="G5" s="29" t="s">
        <v>40</v>
      </c>
      <c r="H5" s="32" t="s">
        <v>14</v>
      </c>
      <c r="I5" s="24" t="str">
        <f>VLOOKUP(G5,[1]ACHATS!$C:$E,3,0)</f>
        <v>Kg</v>
      </c>
      <c r="J5" s="24" t="str">
        <f>VLOOKUP(G5,[1]ACHATS!$C:$D,2,0)</f>
        <v>ENGRAIS DE FOND</v>
      </c>
      <c r="K5" s="33">
        <v>200</v>
      </c>
      <c r="L5" s="33">
        <f>VLOOKUP(E5,[1]PARCELLAIRE!$D$2:$F$29,3,0)</f>
        <v>4.12</v>
      </c>
      <c r="M5" s="33">
        <f t="shared" si="0"/>
        <v>824</v>
      </c>
      <c r="N5" s="34">
        <f t="array" ref="N5">INDEX('[1]COUT MOYEN - STOCK'!$G$2:$G$120,MATCH(A5,IF('[1]COUT MOYEN - STOCK'!$B$2:$B$120=G5,'[1]COUT MOYEN - STOCK'!$A$2:$A$120,""),0))</f>
        <v>0.50298666666666669</v>
      </c>
      <c r="O5" s="35">
        <f t="shared" si="1"/>
        <v>414.46101333333337</v>
      </c>
      <c r="P5" s="36" t="str">
        <f t="shared" si="2"/>
        <v>Picotalène Midi</v>
      </c>
      <c r="Q5" s="37" t="s">
        <v>14</v>
      </c>
    </row>
    <row r="6" spans="1:17" ht="16.5" hidden="1" thickTop="1">
      <c r="A6" s="29">
        <v>2013</v>
      </c>
      <c r="B6" s="29" t="s">
        <v>166</v>
      </c>
      <c r="C6" s="30" t="s">
        <v>39</v>
      </c>
      <c r="D6" s="24" t="str">
        <f t="array" ref="D6">INDEX([1]PARCELLAIRE!$C$2:$C$85,MATCH(A6,IF([1]PARCELLAIRE!$D$2:$D$85=E6,[1]PARCELLAIRE!$A$2:$A$85,""),0))</f>
        <v>SY SAMIN</v>
      </c>
      <c r="E6" s="29" t="s">
        <v>36</v>
      </c>
      <c r="F6" s="31">
        <v>41108</v>
      </c>
      <c r="G6" s="29" t="s">
        <v>40</v>
      </c>
      <c r="H6" s="32" t="s">
        <v>14</v>
      </c>
      <c r="I6" s="24" t="str">
        <f>VLOOKUP(G6,[1]ACHATS!$C:$E,3,0)</f>
        <v>Kg</v>
      </c>
      <c r="J6" s="24" t="str">
        <f>VLOOKUP(G6,[1]ACHATS!$C:$D,2,0)</f>
        <v>ENGRAIS DE FOND</v>
      </c>
      <c r="K6" s="33">
        <v>200</v>
      </c>
      <c r="L6" s="33">
        <f>VLOOKUP(E6,[1]PARCELLAIRE!$D$2:$F$29,3,0)</f>
        <v>4.42</v>
      </c>
      <c r="M6" s="33">
        <f t="shared" si="0"/>
        <v>884</v>
      </c>
      <c r="N6" s="34">
        <f t="array" ref="N6">INDEX('[1]COUT MOYEN - STOCK'!$G$2:$G$120,MATCH(A6,IF('[1]COUT MOYEN - STOCK'!$B$2:$B$120=G6,'[1]COUT MOYEN - STOCK'!$A$2:$A$120,""),0))</f>
        <v>0.50298666666666669</v>
      </c>
      <c r="O6" s="35">
        <f t="shared" si="1"/>
        <v>444.64021333333335</v>
      </c>
      <c r="P6" s="36" t="str">
        <f t="shared" si="2"/>
        <v>Picotalène Nord</v>
      </c>
      <c r="Q6" s="37" t="s">
        <v>14</v>
      </c>
    </row>
    <row r="7" spans="1:17" ht="16.5" hidden="1" thickTop="1">
      <c r="A7" s="29">
        <v>2013</v>
      </c>
      <c r="B7" s="29" t="s">
        <v>166</v>
      </c>
      <c r="C7" s="30" t="s">
        <v>39</v>
      </c>
      <c r="D7" s="24" t="str">
        <f t="array" ref="D7">INDEX([1]PARCELLAIRE!$C$2:$C$85,MATCH(A7,IF([1]PARCELLAIRE!$D$2:$D$85=E7,[1]PARCELLAIRE!$A$2:$A$85,""),0))</f>
        <v>SY SAMIN</v>
      </c>
      <c r="E7" s="29" t="s">
        <v>37</v>
      </c>
      <c r="F7" s="31">
        <v>41108</v>
      </c>
      <c r="G7" s="29" t="s">
        <v>40</v>
      </c>
      <c r="H7" s="32" t="s">
        <v>14</v>
      </c>
      <c r="I7" s="24" t="str">
        <f>VLOOKUP(G7,[1]ACHATS!$C:$E,3,0)</f>
        <v>Kg</v>
      </c>
      <c r="J7" s="24" t="str">
        <f>VLOOKUP(G7,[1]ACHATS!$C:$D,2,0)</f>
        <v>ENGRAIS DE FOND</v>
      </c>
      <c r="K7" s="33">
        <v>200</v>
      </c>
      <c r="L7" s="33">
        <f>VLOOKUP(E7,[1]PARCELLAIRE!$D$2:$F$29,3,0)</f>
        <v>12.06</v>
      </c>
      <c r="M7" s="33">
        <f t="shared" si="0"/>
        <v>2412</v>
      </c>
      <c r="N7" s="34">
        <f t="array" ref="N7">INDEX('[1]COUT MOYEN - STOCK'!$G$2:$G$120,MATCH(A7,IF('[1]COUT MOYEN - STOCK'!$B$2:$B$120=G7,'[1]COUT MOYEN - STOCK'!$A$2:$A$120,""),0))</f>
        <v>0.50298666666666669</v>
      </c>
      <c r="O7" s="35">
        <f t="shared" si="1"/>
        <v>1213.2038400000001</v>
      </c>
      <c r="P7" s="36" t="str">
        <f t="shared" si="2"/>
        <v>Pourtanel</v>
      </c>
      <c r="Q7" s="37" t="s">
        <v>14</v>
      </c>
    </row>
    <row r="8" spans="1:17" ht="16.5" hidden="1" thickTop="1">
      <c r="A8" s="29">
        <v>2013</v>
      </c>
      <c r="B8" s="29" t="s">
        <v>166</v>
      </c>
      <c r="C8" s="30" t="s">
        <v>39</v>
      </c>
      <c r="D8" s="24" t="str">
        <f t="array" ref="D8">INDEX([1]PARCELLAIRE!$C$2:$C$85,MATCH(A8,IF([1]PARCELLAIRE!$D$2:$D$85=E8,[1]PARCELLAIRE!$A$2:$A$85,""),0))</f>
        <v>MAS 95 OL</v>
      </c>
      <c r="E8" s="29" t="s">
        <v>26</v>
      </c>
      <c r="F8" s="31">
        <v>41108</v>
      </c>
      <c r="G8" s="29" t="s">
        <v>40</v>
      </c>
      <c r="H8" s="32" t="s">
        <v>14</v>
      </c>
      <c r="I8" s="24" t="str">
        <f>VLOOKUP(G8,[1]ACHATS!$C:$E,3,0)</f>
        <v>Kg</v>
      </c>
      <c r="J8" s="24" t="str">
        <f>VLOOKUP(G8,[1]ACHATS!$C:$D,2,0)</f>
        <v>ENGRAIS DE FOND</v>
      </c>
      <c r="K8" s="33">
        <v>200</v>
      </c>
      <c r="L8" s="33">
        <f>VLOOKUP(E8,[1]PARCELLAIRE!$D$2:$F$29,3,0)</f>
        <v>5.26</v>
      </c>
      <c r="M8" s="33">
        <f t="shared" si="0"/>
        <v>1052</v>
      </c>
      <c r="N8" s="34">
        <f t="array" ref="N8">INDEX('[1]COUT MOYEN - STOCK'!$G$2:$G$120,MATCH(A8,IF('[1]COUT MOYEN - STOCK'!$B$2:$B$120=G8,'[1]COUT MOYEN - STOCK'!$A$2:$A$120,""),0))</f>
        <v>0.50298666666666669</v>
      </c>
      <c r="O8" s="35">
        <f t="shared" si="1"/>
        <v>529.14197333333334</v>
      </c>
      <c r="P8" s="36" t="str">
        <f t="shared" si="2"/>
        <v>L'Aule métairie</v>
      </c>
      <c r="Q8" s="37" t="s">
        <v>14</v>
      </c>
    </row>
    <row r="9" spans="1:17" ht="16.5" hidden="1" thickTop="1">
      <c r="A9" s="29">
        <v>2013</v>
      </c>
      <c r="B9" s="29" t="s">
        <v>166</v>
      </c>
      <c r="C9" s="30" t="s">
        <v>39</v>
      </c>
      <c r="D9" s="24" t="str">
        <f t="array" ref="D9">INDEX([1]PARCELLAIRE!$C$2:$C$85,MATCH(A9,IF([1]PARCELLAIRE!$D$2:$D$85=E9,[1]PARCELLAIRE!$A$2:$A$85,""),0))</f>
        <v>MAS 95 OL</v>
      </c>
      <c r="E9" s="29" t="s">
        <v>27</v>
      </c>
      <c r="F9" s="31">
        <v>41108</v>
      </c>
      <c r="G9" s="29" t="s">
        <v>40</v>
      </c>
      <c r="H9" s="32" t="s">
        <v>14</v>
      </c>
      <c r="I9" s="24" t="str">
        <f>VLOOKUP(G9,[1]ACHATS!$C:$E,3,0)</f>
        <v>Kg</v>
      </c>
      <c r="J9" s="24" t="str">
        <f>VLOOKUP(G9,[1]ACHATS!$C:$D,2,0)</f>
        <v>ENGRAIS DE FOND</v>
      </c>
      <c r="K9" s="33">
        <v>200</v>
      </c>
      <c r="L9" s="33">
        <f>VLOOKUP(E9,[1]PARCELLAIRE!$D$2:$F$29,3,0)</f>
        <v>15.64</v>
      </c>
      <c r="M9" s="33">
        <f t="shared" si="0"/>
        <v>3128</v>
      </c>
      <c r="N9" s="34">
        <f t="array" ref="N9">INDEX('[1]COUT MOYEN - STOCK'!$G$2:$G$120,MATCH(A9,IF('[1]COUT MOYEN - STOCK'!$B$2:$B$120=G9,'[1]COUT MOYEN - STOCK'!$A$2:$A$120,""),0))</f>
        <v>0.50298666666666669</v>
      </c>
      <c r="O9" s="35">
        <f t="shared" si="1"/>
        <v>1573.3422933333334</v>
      </c>
      <c r="P9" s="36" t="str">
        <f t="shared" si="2"/>
        <v>L'Aule Plaine</v>
      </c>
      <c r="Q9" s="37" t="s">
        <v>14</v>
      </c>
    </row>
    <row r="10" spans="1:17" ht="16.5" hidden="1" thickTop="1">
      <c r="A10" s="29">
        <v>2013</v>
      </c>
      <c r="B10" s="29" t="s">
        <v>166</v>
      </c>
      <c r="C10" s="30" t="s">
        <v>39</v>
      </c>
      <c r="D10" s="24" t="str">
        <f t="array" ref="D10">INDEX([1]PARCELLAIRE!$C$2:$C$85,MATCH(A10,IF([1]PARCELLAIRE!$D$2:$D$85=E10,[1]PARCELLAIRE!$A$2:$A$85,""),0))</f>
        <v>LG5474</v>
      </c>
      <c r="E10" s="29" t="s">
        <v>16</v>
      </c>
      <c r="F10" s="31">
        <v>41108</v>
      </c>
      <c r="G10" s="29" t="s">
        <v>40</v>
      </c>
      <c r="H10" s="32" t="s">
        <v>14</v>
      </c>
      <c r="I10" s="24" t="str">
        <f>VLOOKUP(G10,[1]ACHATS!$C:$E,3,0)</f>
        <v>Kg</v>
      </c>
      <c r="J10" s="24" t="str">
        <f>VLOOKUP(G10,[1]ACHATS!$C:$D,2,0)</f>
        <v>ENGRAIS DE FOND</v>
      </c>
      <c r="K10" s="33">
        <v>200</v>
      </c>
      <c r="L10" s="33">
        <f>VLOOKUP(E10,[1]PARCELLAIRE!$D$2:$F$29,3,0)</f>
        <v>5.17</v>
      </c>
      <c r="M10" s="33">
        <f t="shared" si="0"/>
        <v>1034</v>
      </c>
      <c r="N10" s="34">
        <f t="array" ref="N10">INDEX('[1]COUT MOYEN - STOCK'!$G$2:$G$120,MATCH(A10,IF('[1]COUT MOYEN - STOCK'!$B$2:$B$120=G10,'[1]COUT MOYEN - STOCK'!$A$2:$A$120,""),0))</f>
        <v>0.50298666666666669</v>
      </c>
      <c r="O10" s="35">
        <f t="shared" si="1"/>
        <v>520.08821333333333</v>
      </c>
      <c r="P10" s="36" t="str">
        <f t="shared" si="2"/>
        <v>Andres</v>
      </c>
      <c r="Q10" s="37" t="s">
        <v>14</v>
      </c>
    </row>
    <row r="11" spans="1:17" ht="16.5" hidden="1" thickTop="1">
      <c r="A11" s="29">
        <v>2013</v>
      </c>
      <c r="B11" s="29" t="s">
        <v>166</v>
      </c>
      <c r="C11" s="30" t="s">
        <v>41</v>
      </c>
      <c r="D11" s="24" t="str">
        <f t="array" ref="D11">INDEX([1]PARCELLAIRE!$C$2:$C$85,MATCH(A11,IF([1]PARCELLAIRE!$D$2:$D$85=E11,[1]PARCELLAIRE!$A$2:$A$85,""),0))</f>
        <v>ARDICO</v>
      </c>
      <c r="E11" s="29" t="s">
        <v>21</v>
      </c>
      <c r="F11" s="31">
        <v>41113</v>
      </c>
      <c r="G11" s="29" t="s">
        <v>42</v>
      </c>
      <c r="H11" s="32" t="s">
        <v>14</v>
      </c>
      <c r="I11" s="24" t="str">
        <f>VLOOKUP(G11,[1]ACHATS!$C:$E,3,0)</f>
        <v>Kg</v>
      </c>
      <c r="J11" s="24" t="str">
        <f>VLOOKUP(G11,[1]ACHATS!$C:$D,2,0)</f>
        <v>ENGRAIS DE FOND</v>
      </c>
      <c r="K11" s="29">
        <v>600</v>
      </c>
      <c r="L11" s="33">
        <f>VLOOKUP(E11,[1]PARCELLAIRE!$D$2:$F$29,3,0)</f>
        <v>10.93</v>
      </c>
      <c r="M11" s="33">
        <f t="shared" si="0"/>
        <v>6558</v>
      </c>
      <c r="N11" s="34">
        <f t="array" ref="N11">INDEX('[1]COUT MOYEN - STOCK'!$G$2:$G$120,MATCH(A11,IF('[1]COUT MOYEN - STOCK'!$B$2:$B$120=G11,'[1]COUT MOYEN - STOCK'!$A$2:$A$120,""),0))</f>
        <v>0.21568181818181817</v>
      </c>
      <c r="O11" s="35">
        <f t="shared" si="1"/>
        <v>1414.4413636363636</v>
      </c>
      <c r="P11" s="36" t="str">
        <f t="shared" si="2"/>
        <v>Engleyse métairie</v>
      </c>
      <c r="Q11" s="37" t="s">
        <v>14</v>
      </c>
    </row>
    <row r="12" spans="1:17" ht="16.5" hidden="1" thickTop="1">
      <c r="A12" s="29">
        <v>2013</v>
      </c>
      <c r="B12" s="29" t="s">
        <v>166</v>
      </c>
      <c r="C12" s="30" t="s">
        <v>43</v>
      </c>
      <c r="D12" s="24" t="str">
        <f t="array" ref="D12">INDEX([1]PARCELLAIRE!$C$2:$C$85,MATCH(A12,IF([1]PARCELLAIRE!$D$2:$D$85=E12,[1]PARCELLAIRE!$A$2:$A$85,""),0))</f>
        <v>SOLEIHO</v>
      </c>
      <c r="E12" s="29" t="s">
        <v>29</v>
      </c>
      <c r="F12" s="31">
        <v>41113</v>
      </c>
      <c r="G12" s="29" t="s">
        <v>42</v>
      </c>
      <c r="H12" s="32" t="s">
        <v>14</v>
      </c>
      <c r="I12" s="24" t="str">
        <f>VLOOKUP(G12,[1]ACHATS!$C:$E,3,0)</f>
        <v>Kg</v>
      </c>
      <c r="J12" s="24" t="str">
        <f>VLOOKUP(G12,[1]ACHATS!$C:$D,2,0)</f>
        <v>ENGRAIS DE FOND</v>
      </c>
      <c r="K12" s="29">
        <v>600</v>
      </c>
      <c r="L12" s="33">
        <f>VLOOKUP(E12,[1]PARCELLAIRE!$D$2:$F$29,3,0)</f>
        <v>17.55</v>
      </c>
      <c r="M12" s="33">
        <f t="shared" si="0"/>
        <v>10530</v>
      </c>
      <c r="N12" s="34">
        <f t="array" ref="N12">INDEX('[1]COUT MOYEN - STOCK'!$G$2:$G$120,MATCH(A12,IF('[1]COUT MOYEN - STOCK'!$B$2:$B$120=G12,'[1]COUT MOYEN - STOCK'!$A$2:$A$120,""),0))</f>
        <v>0.21568181818181817</v>
      </c>
      <c r="O12" s="35">
        <f t="shared" si="1"/>
        <v>2271.1295454545452</v>
      </c>
      <c r="P12" s="36" t="str">
        <f t="shared" si="2"/>
        <v>Labaou Plaine</v>
      </c>
      <c r="Q12" s="37" t="s">
        <v>14</v>
      </c>
    </row>
    <row r="13" spans="1:17" ht="16.5" hidden="1" thickTop="1">
      <c r="A13" s="29">
        <v>2013</v>
      </c>
      <c r="B13" s="29" t="s">
        <v>166</v>
      </c>
      <c r="C13" s="30" t="s">
        <v>39</v>
      </c>
      <c r="D13" s="24" t="str">
        <f t="array" ref="D13">INDEX([1]PARCELLAIRE!$C$2:$C$85,MATCH(A13,IF([1]PARCELLAIRE!$D$2:$D$85=E13,[1]PARCELLAIRE!$A$2:$A$85,""),0))</f>
        <v>MAS 95 OL</v>
      </c>
      <c r="E13" s="29" t="s">
        <v>27</v>
      </c>
      <c r="F13" s="31">
        <v>41155</v>
      </c>
      <c r="G13" s="29" t="s">
        <v>44</v>
      </c>
      <c r="H13" s="32" t="s">
        <v>14</v>
      </c>
      <c r="I13" s="24" t="str">
        <f>VLOOKUP(G13,[1]ACHATS!$C:$E,3,0)</f>
        <v>L</v>
      </c>
      <c r="J13" s="24" t="str">
        <f>VLOOKUP(G13,[1]ACHATS!$C:$D,2,0)</f>
        <v>DESHERBANT</v>
      </c>
      <c r="K13" s="33">
        <v>1</v>
      </c>
      <c r="L13" s="33">
        <f>VLOOKUP(E13,[1]PARCELLAIRE!$D$2:$F$29,3,0)</f>
        <v>15.64</v>
      </c>
      <c r="M13" s="33">
        <f t="shared" si="0"/>
        <v>15.64</v>
      </c>
      <c r="N13" s="34">
        <f t="array" ref="N13">INDEX('[1]COUT MOYEN - STOCK'!$G$2:$G$120,MATCH(A13,IF('[1]COUT MOYEN - STOCK'!$B$2:$B$120=G13,'[1]COUT MOYEN - STOCK'!$A$2:$A$120,""),0))</f>
        <v>4.9381521739130436</v>
      </c>
      <c r="O13" s="35">
        <f t="shared" si="1"/>
        <v>77.232700000000008</v>
      </c>
      <c r="P13" s="36" t="str">
        <f t="shared" si="2"/>
        <v>L'Aule Plaine</v>
      </c>
      <c r="Q13" s="37" t="s">
        <v>14</v>
      </c>
    </row>
    <row r="14" spans="1:17" ht="16.5" hidden="1" thickTop="1">
      <c r="A14" s="29">
        <v>2013</v>
      </c>
      <c r="B14" s="29" t="s">
        <v>166</v>
      </c>
      <c r="C14" s="30" t="s">
        <v>39</v>
      </c>
      <c r="D14" s="24" t="str">
        <f t="array" ref="D14">INDEX([1]PARCELLAIRE!$C$2:$C$85,MATCH(A14,IF([1]PARCELLAIRE!$D$2:$D$85=E14,[1]PARCELLAIRE!$A$2:$A$85,""),0))</f>
        <v>MAS 95 OL</v>
      </c>
      <c r="E14" s="29" t="s">
        <v>26</v>
      </c>
      <c r="F14" s="31">
        <v>41155</v>
      </c>
      <c r="G14" s="29" t="s">
        <v>44</v>
      </c>
      <c r="H14" s="32" t="s">
        <v>14</v>
      </c>
      <c r="I14" s="24" t="str">
        <f>VLOOKUP(G14,[1]ACHATS!$C:$E,3,0)</f>
        <v>L</v>
      </c>
      <c r="J14" s="24" t="str">
        <f>VLOOKUP(G14,[1]ACHATS!$C:$D,2,0)</f>
        <v>DESHERBANT</v>
      </c>
      <c r="K14" s="33">
        <v>1</v>
      </c>
      <c r="L14" s="33">
        <f>VLOOKUP(E14,[1]PARCELLAIRE!$D$2:$F$29,3,0)</f>
        <v>5.26</v>
      </c>
      <c r="M14" s="33">
        <f t="shared" si="0"/>
        <v>5.26</v>
      </c>
      <c r="N14" s="34">
        <f t="array" ref="N14">INDEX('[1]COUT MOYEN - STOCK'!$G$2:$G$120,MATCH(A14,IF('[1]COUT MOYEN - STOCK'!$B$2:$B$120=G14,'[1]COUT MOYEN - STOCK'!$A$2:$A$120,""),0))</f>
        <v>4.9381521739130436</v>
      </c>
      <c r="O14" s="35">
        <f t="shared" si="1"/>
        <v>25.974680434782609</v>
      </c>
      <c r="P14" s="36" t="str">
        <f t="shared" si="2"/>
        <v>L'Aule métairie</v>
      </c>
      <c r="Q14" s="37" t="s">
        <v>14</v>
      </c>
    </row>
    <row r="15" spans="1:17" ht="16.5" hidden="1" thickTop="1">
      <c r="A15" s="29">
        <v>2013</v>
      </c>
      <c r="B15" s="29" t="s">
        <v>166</v>
      </c>
      <c r="C15" s="30" t="s">
        <v>39</v>
      </c>
      <c r="D15" s="24" t="str">
        <f t="array" ref="D15">INDEX([1]PARCELLAIRE!$C$2:$C$85,MATCH(A15,IF([1]PARCELLAIRE!$D$2:$D$85=E15,[1]PARCELLAIRE!$A$2:$A$85,""),0))</f>
        <v>SY SAMIN</v>
      </c>
      <c r="E15" s="29" t="s">
        <v>36</v>
      </c>
      <c r="F15" s="31">
        <v>41155</v>
      </c>
      <c r="G15" s="29" t="s">
        <v>44</v>
      </c>
      <c r="H15" s="32" t="s">
        <v>14</v>
      </c>
      <c r="I15" s="24" t="str">
        <f>VLOOKUP(G15,[1]ACHATS!$C:$E,3,0)</f>
        <v>L</v>
      </c>
      <c r="J15" s="24" t="str">
        <f>VLOOKUP(G15,[1]ACHATS!$C:$D,2,0)</f>
        <v>DESHERBANT</v>
      </c>
      <c r="K15" s="33">
        <v>1</v>
      </c>
      <c r="L15" s="33">
        <f>VLOOKUP(E15,[1]PARCELLAIRE!$D$2:$F$29,3,0)</f>
        <v>4.42</v>
      </c>
      <c r="M15" s="33">
        <f t="shared" si="0"/>
        <v>4.42</v>
      </c>
      <c r="N15" s="34">
        <f t="array" ref="N15">INDEX('[1]COUT MOYEN - STOCK'!$G$2:$G$120,MATCH(A15,IF('[1]COUT MOYEN - STOCK'!$B$2:$B$120=G15,'[1]COUT MOYEN - STOCK'!$A$2:$A$120,""),0))</f>
        <v>4.9381521739130436</v>
      </c>
      <c r="O15" s="35">
        <f t="shared" si="1"/>
        <v>21.826632608695654</v>
      </c>
      <c r="P15" s="36" t="str">
        <f t="shared" si="2"/>
        <v>Picotalène Nord</v>
      </c>
      <c r="Q15" s="37" t="s">
        <v>14</v>
      </c>
    </row>
    <row r="16" spans="1:17" ht="16.5" hidden="1" thickTop="1">
      <c r="A16" s="29">
        <v>2013</v>
      </c>
      <c r="B16" s="29" t="s">
        <v>166</v>
      </c>
      <c r="C16" s="30" t="s">
        <v>39</v>
      </c>
      <c r="D16" s="24" t="str">
        <f t="array" ref="D16">INDEX([1]PARCELLAIRE!$C$2:$C$85,MATCH(A16,IF([1]PARCELLAIRE!$D$2:$D$85=E16,[1]PARCELLAIRE!$A$2:$A$85,""),0))</f>
        <v>SY SAMIN</v>
      </c>
      <c r="E16" s="29" t="s">
        <v>37</v>
      </c>
      <c r="F16" s="31">
        <v>41155</v>
      </c>
      <c r="G16" s="29" t="s">
        <v>44</v>
      </c>
      <c r="H16" s="32" t="s">
        <v>14</v>
      </c>
      <c r="I16" s="24" t="str">
        <f>VLOOKUP(G16,[1]ACHATS!$C:$E,3,0)</f>
        <v>L</v>
      </c>
      <c r="J16" s="24" t="str">
        <f>VLOOKUP(G16,[1]ACHATS!$C:$D,2,0)</f>
        <v>DESHERBANT</v>
      </c>
      <c r="K16" s="33">
        <v>1</v>
      </c>
      <c r="L16" s="33">
        <f>VLOOKUP(E16,[1]PARCELLAIRE!$D$2:$F$29,3,0)</f>
        <v>12.06</v>
      </c>
      <c r="M16" s="33">
        <f t="shared" si="0"/>
        <v>12.06</v>
      </c>
      <c r="N16" s="34">
        <f t="array" ref="N16">INDEX('[1]COUT MOYEN - STOCK'!$G$2:$G$120,MATCH(A16,IF('[1]COUT MOYEN - STOCK'!$B$2:$B$120=G16,'[1]COUT MOYEN - STOCK'!$A$2:$A$120,""),0))</f>
        <v>4.9381521739130436</v>
      </c>
      <c r="O16" s="35">
        <f t="shared" si="1"/>
        <v>59.554115217391306</v>
      </c>
      <c r="P16" s="36" t="str">
        <f t="shared" si="2"/>
        <v>Pourtanel</v>
      </c>
      <c r="Q16" s="37" t="s">
        <v>14</v>
      </c>
    </row>
    <row r="17" spans="1:17" ht="16.5" hidden="1" thickTop="1">
      <c r="A17" s="29">
        <v>2013</v>
      </c>
      <c r="B17" s="29" t="s">
        <v>166</v>
      </c>
      <c r="C17" s="30" t="s">
        <v>39</v>
      </c>
      <c r="D17" s="24" t="str">
        <f t="array" ref="D17">INDEX([1]PARCELLAIRE!$C$2:$C$85,MATCH(A17,IF([1]PARCELLAIRE!$D$2:$D$85=E17,[1]PARCELLAIRE!$A$2:$A$85,""),0))</f>
        <v>SY SAMIN</v>
      </c>
      <c r="E17" s="29" t="s">
        <v>35</v>
      </c>
      <c r="F17" s="31">
        <v>41155</v>
      </c>
      <c r="G17" s="29" t="s">
        <v>44</v>
      </c>
      <c r="H17" s="32" t="s">
        <v>14</v>
      </c>
      <c r="I17" s="24" t="str">
        <f>VLOOKUP(G17,[1]ACHATS!$C:$E,3,0)</f>
        <v>L</v>
      </c>
      <c r="J17" s="24" t="str">
        <f>VLOOKUP(G17,[1]ACHATS!$C:$D,2,0)</f>
        <v>DESHERBANT</v>
      </c>
      <c r="K17" s="33">
        <v>1</v>
      </c>
      <c r="L17" s="33">
        <f>VLOOKUP(E17,[1]PARCELLAIRE!$D$2:$F$29,3,0)</f>
        <v>4.12</v>
      </c>
      <c r="M17" s="33">
        <f t="shared" si="0"/>
        <v>4.12</v>
      </c>
      <c r="N17" s="34">
        <f t="array" ref="N17">INDEX('[1]COUT MOYEN - STOCK'!$G$2:$G$120,MATCH(A17,IF('[1]COUT MOYEN - STOCK'!$B$2:$B$120=G17,'[1]COUT MOYEN - STOCK'!$A$2:$A$120,""),0))</f>
        <v>4.9381521739130436</v>
      </c>
      <c r="O17" s="35">
        <f t="shared" si="1"/>
        <v>20.34518695652174</v>
      </c>
      <c r="P17" s="36" t="str">
        <f t="shared" si="2"/>
        <v>Picotalène Midi</v>
      </c>
      <c r="Q17" s="37" t="s">
        <v>14</v>
      </c>
    </row>
    <row r="18" spans="1:17" ht="16.5" hidden="1" thickTop="1">
      <c r="A18" s="29">
        <v>2013</v>
      </c>
      <c r="B18" s="29" t="s">
        <v>166</v>
      </c>
      <c r="C18" s="30" t="s">
        <v>39</v>
      </c>
      <c r="D18" s="24" t="str">
        <f t="array" ref="D18">INDEX([1]PARCELLAIRE!$C$2:$C$85,MATCH(A18,IF([1]PARCELLAIRE!$D$2:$D$85=E18,[1]PARCELLAIRE!$A$2:$A$85,""),0))</f>
        <v>LG5474</v>
      </c>
      <c r="E18" s="29" t="s">
        <v>34</v>
      </c>
      <c r="F18" s="31">
        <v>41155</v>
      </c>
      <c r="G18" s="29" t="s">
        <v>44</v>
      </c>
      <c r="H18" s="32" t="s">
        <v>14</v>
      </c>
      <c r="I18" s="24" t="str">
        <f>VLOOKUP(G18,[1]ACHATS!$C:$E,3,0)</f>
        <v>L</v>
      </c>
      <c r="J18" s="24" t="str">
        <f>VLOOKUP(G18,[1]ACHATS!$C:$D,2,0)</f>
        <v>DESHERBANT</v>
      </c>
      <c r="K18" s="33">
        <v>1</v>
      </c>
      <c r="L18" s="33">
        <f>VLOOKUP(E18,[1]PARCELLAIRE!$D$2:$F$29,3,0)</f>
        <v>5.67</v>
      </c>
      <c r="M18" s="33">
        <f t="shared" si="0"/>
        <v>5.67</v>
      </c>
      <c r="N18" s="34">
        <f t="array" ref="N18">INDEX('[1]COUT MOYEN - STOCK'!$G$2:$G$120,MATCH(A18,IF('[1]COUT MOYEN - STOCK'!$B$2:$B$120=G18,'[1]COUT MOYEN - STOCK'!$A$2:$A$120,""),0))</f>
        <v>4.9381521739130436</v>
      </c>
      <c r="O18" s="35">
        <f t="shared" si="1"/>
        <v>27.999322826086956</v>
      </c>
      <c r="P18" s="36" t="str">
        <f t="shared" si="2"/>
        <v>Moulin Côteau</v>
      </c>
      <c r="Q18" s="37" t="s">
        <v>14</v>
      </c>
    </row>
    <row r="19" spans="1:17" ht="16.5" hidden="1" thickTop="1">
      <c r="A19" s="29">
        <v>2013</v>
      </c>
      <c r="B19" s="29" t="s">
        <v>166</v>
      </c>
      <c r="C19" s="30" t="s">
        <v>39</v>
      </c>
      <c r="D19" s="24" t="str">
        <f t="array" ref="D19">INDEX([1]PARCELLAIRE!$C$2:$C$85,MATCH(A19,IF([1]PARCELLAIRE!$D$2:$D$85=E19,[1]PARCELLAIRE!$A$2:$A$85,""),0))</f>
        <v>LG5474</v>
      </c>
      <c r="E19" s="29" t="s">
        <v>33</v>
      </c>
      <c r="F19" s="31">
        <v>41155</v>
      </c>
      <c r="G19" s="29" t="s">
        <v>44</v>
      </c>
      <c r="H19" s="32" t="s">
        <v>14</v>
      </c>
      <c r="I19" s="24" t="str">
        <f>VLOOKUP(G19,[1]ACHATS!$C:$E,3,0)</f>
        <v>L</v>
      </c>
      <c r="J19" s="24" t="str">
        <f>VLOOKUP(G19,[1]ACHATS!$C:$D,2,0)</f>
        <v>DESHERBANT</v>
      </c>
      <c r="K19" s="33">
        <v>1</v>
      </c>
      <c r="L19" s="33">
        <f>VLOOKUP(E19,[1]PARCELLAIRE!$D$2:$F$29,3,0)</f>
        <v>21.88</v>
      </c>
      <c r="M19" s="33">
        <f t="shared" si="0"/>
        <v>21.88</v>
      </c>
      <c r="N19" s="34">
        <f t="array" ref="N19">INDEX('[1]COUT MOYEN - STOCK'!$G$2:$G$120,MATCH(A19,IF('[1]COUT MOYEN - STOCK'!$B$2:$B$120=G19,'[1]COUT MOYEN - STOCK'!$A$2:$A$120,""),0))</f>
        <v>4.9381521739130436</v>
      </c>
      <c r="O19" s="35">
        <f t="shared" si="1"/>
        <v>108.04676956521739</v>
      </c>
      <c r="P19" s="36" t="str">
        <f t="shared" si="2"/>
        <v>Moulin Barthes</v>
      </c>
      <c r="Q19" s="37" t="s">
        <v>14</v>
      </c>
    </row>
    <row r="20" spans="1:17" ht="16.5" hidden="1" thickTop="1">
      <c r="A20" s="29">
        <v>2013</v>
      </c>
      <c r="B20" s="29" t="s">
        <v>166</v>
      </c>
      <c r="C20" s="30" t="s">
        <v>39</v>
      </c>
      <c r="D20" s="24" t="str">
        <f t="array" ref="D20">INDEX([1]PARCELLAIRE!$C$2:$C$85,MATCH(A20,IF([1]PARCELLAIRE!$D$2:$D$85=E20,[1]PARCELLAIRE!$A$2:$A$85,""),0))</f>
        <v>SY SAMIN</v>
      </c>
      <c r="E20" s="29" t="s">
        <v>18</v>
      </c>
      <c r="F20" s="31">
        <v>41155</v>
      </c>
      <c r="G20" s="29" t="s">
        <v>44</v>
      </c>
      <c r="H20" s="32" t="s">
        <v>14</v>
      </c>
      <c r="I20" s="24" t="str">
        <f>VLOOKUP(G20,[1]ACHATS!$C:$E,3,0)</f>
        <v>L</v>
      </c>
      <c r="J20" s="24" t="str">
        <f>VLOOKUP(G20,[1]ACHATS!$C:$D,2,0)</f>
        <v>DESHERBANT</v>
      </c>
      <c r="K20" s="33">
        <v>1</v>
      </c>
      <c r="L20" s="33">
        <f>VLOOKUP(E20,[1]PARCELLAIRE!$D$2:$F$29,3,0)</f>
        <v>2.33</v>
      </c>
      <c r="M20" s="33">
        <f t="shared" si="0"/>
        <v>2.33</v>
      </c>
      <c r="N20" s="34">
        <f t="array" ref="N20">INDEX('[1]COUT MOYEN - STOCK'!$G$2:$G$120,MATCH(A20,IF('[1]COUT MOYEN - STOCK'!$B$2:$B$120=G20,'[1]COUT MOYEN - STOCK'!$A$2:$A$120,""),0))</f>
        <v>4.9381521739130436</v>
      </c>
      <c r="O20" s="35">
        <f t="shared" si="1"/>
        <v>11.505894565217393</v>
      </c>
      <c r="P20" s="36" t="str">
        <f t="shared" si="2"/>
        <v>Bousquet Pourtanel</v>
      </c>
      <c r="Q20" s="37" t="s">
        <v>14</v>
      </c>
    </row>
    <row r="21" spans="1:17" ht="16.5" hidden="1" thickTop="1">
      <c r="A21" s="29">
        <v>2013</v>
      </c>
      <c r="B21" s="29" t="s">
        <v>166</v>
      </c>
      <c r="C21" s="30" t="s">
        <v>39</v>
      </c>
      <c r="D21" s="24" t="str">
        <f t="array" ref="D21">INDEX([1]PARCELLAIRE!$C$2:$C$85,MATCH(A21,IF([1]PARCELLAIRE!$D$2:$D$85=E21,[1]PARCELLAIRE!$A$2:$A$85,""),0))</f>
        <v>LG5474</v>
      </c>
      <c r="E21" s="29" t="s">
        <v>16</v>
      </c>
      <c r="F21" s="31">
        <v>41155</v>
      </c>
      <c r="G21" s="29" t="s">
        <v>44</v>
      </c>
      <c r="H21" s="32" t="s">
        <v>14</v>
      </c>
      <c r="I21" s="24" t="str">
        <f>VLOOKUP(G21,[1]ACHATS!$C:$E,3,0)</f>
        <v>L</v>
      </c>
      <c r="J21" s="24" t="str">
        <f>VLOOKUP(G21,[1]ACHATS!$C:$D,2,0)</f>
        <v>DESHERBANT</v>
      </c>
      <c r="K21" s="33">
        <v>1</v>
      </c>
      <c r="L21" s="33">
        <f>VLOOKUP(E21,[1]PARCELLAIRE!$D$2:$F$29,3,0)</f>
        <v>5.17</v>
      </c>
      <c r="M21" s="33">
        <f t="shared" si="0"/>
        <v>5.17</v>
      </c>
      <c r="N21" s="34">
        <f t="array" ref="N21">INDEX('[1]COUT MOYEN - STOCK'!$G$2:$G$120,MATCH(A21,IF('[1]COUT MOYEN - STOCK'!$B$2:$B$120=G21,'[1]COUT MOYEN - STOCK'!$A$2:$A$120,""),0))</f>
        <v>4.9381521739130436</v>
      </c>
      <c r="O21" s="35">
        <f t="shared" si="1"/>
        <v>25.530246739130437</v>
      </c>
      <c r="P21" s="36" t="str">
        <f t="shared" si="2"/>
        <v>Andres</v>
      </c>
      <c r="Q21" s="37" t="s">
        <v>14</v>
      </c>
    </row>
    <row r="22" spans="1:17" ht="16.5" hidden="1" thickTop="1">
      <c r="A22" s="29">
        <v>2013</v>
      </c>
      <c r="B22" s="29" t="s">
        <v>166</v>
      </c>
      <c r="C22" s="30" t="s">
        <v>39</v>
      </c>
      <c r="D22" s="24" t="str">
        <f t="array" ref="D22">INDEX([1]PARCELLAIRE!$C$2:$C$85,MATCH(A22,IF([1]PARCELLAIRE!$D$2:$D$85=E22,[1]PARCELLAIRE!$A$2:$A$85,""),0))</f>
        <v>LG5474</v>
      </c>
      <c r="E22" s="29" t="s">
        <v>16</v>
      </c>
      <c r="F22" s="31">
        <v>41155</v>
      </c>
      <c r="G22" s="29" t="s">
        <v>45</v>
      </c>
      <c r="H22" s="32" t="s">
        <v>14</v>
      </c>
      <c r="I22" s="24" t="str">
        <f>VLOOKUP(G22,[1]ACHATS!$C:$E,3,0)</f>
        <v>L</v>
      </c>
      <c r="J22" s="24" t="str">
        <f>VLOOKUP(G22,[1]ACHATS!$C:$D,2,0)</f>
        <v>DIVERS</v>
      </c>
      <c r="K22" s="33">
        <v>0.2</v>
      </c>
      <c r="L22" s="33">
        <f>VLOOKUP(E22,[1]PARCELLAIRE!$D$2:$F$29,3,0)</f>
        <v>5.17</v>
      </c>
      <c r="M22" s="33">
        <f t="shared" si="0"/>
        <v>1.034</v>
      </c>
      <c r="N22" s="34">
        <f t="array" ref="N22">INDEX('[1]COUT MOYEN - STOCK'!$G$2:$G$120,MATCH(A22,IF('[1]COUT MOYEN - STOCK'!$B$2:$B$120=G22,'[1]COUT MOYEN - STOCK'!$A$2:$A$120,""),0))</f>
        <v>11.01</v>
      </c>
      <c r="O22" s="35">
        <f t="shared" si="1"/>
        <v>11.38434</v>
      </c>
      <c r="P22" s="36" t="str">
        <f t="shared" si="2"/>
        <v>Andres</v>
      </c>
      <c r="Q22" s="37" t="s">
        <v>14</v>
      </c>
    </row>
    <row r="23" spans="1:17" ht="16.5" hidden="1" thickTop="1">
      <c r="A23" s="29">
        <v>2013</v>
      </c>
      <c r="B23" s="29" t="s">
        <v>166</v>
      </c>
      <c r="C23" s="30" t="s">
        <v>39</v>
      </c>
      <c r="D23" s="24" t="str">
        <f t="array" ref="D23">INDEX([1]PARCELLAIRE!$C$2:$C$85,MATCH(A23,IF([1]PARCELLAIRE!$D$2:$D$85=E23,[1]PARCELLAIRE!$A$2:$A$85,""),0))</f>
        <v>SY SAMIN</v>
      </c>
      <c r="E23" s="29" t="s">
        <v>18</v>
      </c>
      <c r="F23" s="31">
        <v>41155</v>
      </c>
      <c r="G23" s="29" t="s">
        <v>45</v>
      </c>
      <c r="H23" s="32" t="s">
        <v>14</v>
      </c>
      <c r="I23" s="24" t="str">
        <f>VLOOKUP(G23,[1]ACHATS!$C:$E,3,0)</f>
        <v>L</v>
      </c>
      <c r="J23" s="24" t="str">
        <f>VLOOKUP(G23,[1]ACHATS!$C:$D,2,0)</f>
        <v>DIVERS</v>
      </c>
      <c r="K23" s="33">
        <v>0.2</v>
      </c>
      <c r="L23" s="33">
        <f>VLOOKUP(E23,[1]PARCELLAIRE!$D$2:$F$29,3,0)</f>
        <v>2.33</v>
      </c>
      <c r="M23" s="33">
        <f t="shared" si="0"/>
        <v>0.46600000000000003</v>
      </c>
      <c r="N23" s="34">
        <f t="array" ref="N23">INDEX('[1]COUT MOYEN - STOCK'!$G$2:$G$120,MATCH(A23,IF('[1]COUT MOYEN - STOCK'!$B$2:$B$120=G23,'[1]COUT MOYEN - STOCK'!$A$2:$A$120,""),0))</f>
        <v>11.01</v>
      </c>
      <c r="O23" s="35">
        <f t="shared" si="1"/>
        <v>5.1306599999999998</v>
      </c>
      <c r="P23" s="36" t="str">
        <f t="shared" si="2"/>
        <v>Bousquet Pourtanel</v>
      </c>
      <c r="Q23" s="37" t="s">
        <v>14</v>
      </c>
    </row>
    <row r="24" spans="1:17" ht="16.5" hidden="1" thickTop="1">
      <c r="A24" s="29">
        <v>2013</v>
      </c>
      <c r="B24" s="29" t="s">
        <v>166</v>
      </c>
      <c r="C24" s="30" t="s">
        <v>39</v>
      </c>
      <c r="D24" s="24" t="str">
        <f t="array" ref="D24">INDEX([1]PARCELLAIRE!$C$2:$C$85,MATCH(A24,IF([1]PARCELLAIRE!$D$2:$D$85=E24,[1]PARCELLAIRE!$A$2:$A$85,""),0))</f>
        <v>LG5474</v>
      </c>
      <c r="E24" s="29" t="s">
        <v>33</v>
      </c>
      <c r="F24" s="31">
        <v>41155</v>
      </c>
      <c r="G24" s="29" t="s">
        <v>45</v>
      </c>
      <c r="H24" s="32" t="s">
        <v>14</v>
      </c>
      <c r="I24" s="24" t="str">
        <f>VLOOKUP(G24,[1]ACHATS!$C:$E,3,0)</f>
        <v>L</v>
      </c>
      <c r="J24" s="24" t="str">
        <f>VLOOKUP(G24,[1]ACHATS!$C:$D,2,0)</f>
        <v>DIVERS</v>
      </c>
      <c r="K24" s="33">
        <v>0.2</v>
      </c>
      <c r="L24" s="33">
        <f>VLOOKUP(E24,[1]PARCELLAIRE!$D$2:$F$29,3,0)</f>
        <v>21.88</v>
      </c>
      <c r="M24" s="33">
        <f t="shared" si="0"/>
        <v>4.3760000000000003</v>
      </c>
      <c r="N24" s="34">
        <f t="array" ref="N24">INDEX('[1]COUT MOYEN - STOCK'!$G$2:$G$120,MATCH(A24,IF('[1]COUT MOYEN - STOCK'!$B$2:$B$120=G24,'[1]COUT MOYEN - STOCK'!$A$2:$A$120,""),0))</f>
        <v>11.01</v>
      </c>
      <c r="O24" s="35">
        <f t="shared" si="1"/>
        <v>48.179760000000002</v>
      </c>
      <c r="P24" s="36" t="str">
        <f t="shared" si="2"/>
        <v>Moulin Barthes</v>
      </c>
      <c r="Q24" s="37" t="s">
        <v>14</v>
      </c>
    </row>
    <row r="25" spans="1:17" ht="16.5" hidden="1" thickTop="1">
      <c r="A25" s="29">
        <v>2013</v>
      </c>
      <c r="B25" s="29" t="s">
        <v>166</v>
      </c>
      <c r="C25" s="30" t="s">
        <v>39</v>
      </c>
      <c r="D25" s="24" t="str">
        <f t="array" ref="D25">INDEX([1]PARCELLAIRE!$C$2:$C$85,MATCH(A25,IF([1]PARCELLAIRE!$D$2:$D$85=E25,[1]PARCELLAIRE!$A$2:$A$85,""),0))</f>
        <v>LG5474</v>
      </c>
      <c r="E25" s="29" t="s">
        <v>34</v>
      </c>
      <c r="F25" s="31">
        <v>41155</v>
      </c>
      <c r="G25" s="29" t="s">
        <v>45</v>
      </c>
      <c r="H25" s="32" t="s">
        <v>14</v>
      </c>
      <c r="I25" s="24" t="str">
        <f>VLOOKUP(G25,[1]ACHATS!$C:$E,3,0)</f>
        <v>L</v>
      </c>
      <c r="J25" s="24" t="str">
        <f>VLOOKUP(G25,[1]ACHATS!$C:$D,2,0)</f>
        <v>DIVERS</v>
      </c>
      <c r="K25" s="33">
        <v>0.2</v>
      </c>
      <c r="L25" s="33">
        <f>VLOOKUP(E25,[1]PARCELLAIRE!$D$2:$F$29,3,0)</f>
        <v>5.67</v>
      </c>
      <c r="M25" s="33">
        <f t="shared" si="0"/>
        <v>1.1340000000000001</v>
      </c>
      <c r="N25" s="34">
        <f t="array" ref="N25">INDEX('[1]COUT MOYEN - STOCK'!$G$2:$G$120,MATCH(A25,IF('[1]COUT MOYEN - STOCK'!$B$2:$B$120=G25,'[1]COUT MOYEN - STOCK'!$A$2:$A$120,""),0))</f>
        <v>11.01</v>
      </c>
      <c r="O25" s="35">
        <f t="shared" si="1"/>
        <v>12.485340000000001</v>
      </c>
      <c r="P25" s="36" t="str">
        <f t="shared" si="2"/>
        <v>Moulin Côteau</v>
      </c>
      <c r="Q25" s="37" t="s">
        <v>14</v>
      </c>
    </row>
    <row r="26" spans="1:17" ht="16.5" hidden="1" thickTop="1">
      <c r="A26" s="29">
        <v>2013</v>
      </c>
      <c r="B26" s="29" t="s">
        <v>166</v>
      </c>
      <c r="C26" s="30" t="s">
        <v>39</v>
      </c>
      <c r="D26" s="24" t="str">
        <f t="array" ref="D26">INDEX([1]PARCELLAIRE!$C$2:$C$85,MATCH(A26,IF([1]PARCELLAIRE!$D$2:$D$85=E26,[1]PARCELLAIRE!$A$2:$A$85,""),0))</f>
        <v>SY SAMIN</v>
      </c>
      <c r="E26" s="29" t="s">
        <v>35</v>
      </c>
      <c r="F26" s="31">
        <v>41155</v>
      </c>
      <c r="G26" s="29" t="s">
        <v>45</v>
      </c>
      <c r="H26" s="32" t="s">
        <v>14</v>
      </c>
      <c r="I26" s="24" t="str">
        <f>VLOOKUP(G26,[1]ACHATS!$C:$E,3,0)</f>
        <v>L</v>
      </c>
      <c r="J26" s="24" t="str">
        <f>VLOOKUP(G26,[1]ACHATS!$C:$D,2,0)</f>
        <v>DIVERS</v>
      </c>
      <c r="K26" s="33">
        <v>0.2</v>
      </c>
      <c r="L26" s="33">
        <f>VLOOKUP(E26,[1]PARCELLAIRE!$D$2:$F$29,3,0)</f>
        <v>4.12</v>
      </c>
      <c r="M26" s="33">
        <f t="shared" si="0"/>
        <v>0.82400000000000007</v>
      </c>
      <c r="N26" s="34">
        <f t="array" ref="N26">INDEX('[1]COUT MOYEN - STOCK'!$G$2:$G$120,MATCH(A26,IF('[1]COUT MOYEN - STOCK'!$B$2:$B$120=G26,'[1]COUT MOYEN - STOCK'!$A$2:$A$120,""),0))</f>
        <v>11.01</v>
      </c>
      <c r="O26" s="35">
        <f t="shared" si="1"/>
        <v>9.0722400000000007</v>
      </c>
      <c r="P26" s="36" t="str">
        <f t="shared" si="2"/>
        <v>Picotalène Midi</v>
      </c>
      <c r="Q26" s="37" t="s">
        <v>14</v>
      </c>
    </row>
    <row r="27" spans="1:17" ht="16.5" hidden="1" thickTop="1">
      <c r="A27" s="29">
        <v>2013</v>
      </c>
      <c r="B27" s="29" t="s">
        <v>166</v>
      </c>
      <c r="C27" s="30" t="s">
        <v>39</v>
      </c>
      <c r="D27" s="24" t="str">
        <f t="array" ref="D27">INDEX([1]PARCELLAIRE!$C$2:$C$85,MATCH(A27,IF([1]PARCELLAIRE!$D$2:$D$85=E27,[1]PARCELLAIRE!$A$2:$A$85,""),0))</f>
        <v>SY SAMIN</v>
      </c>
      <c r="E27" s="29" t="s">
        <v>37</v>
      </c>
      <c r="F27" s="31">
        <v>41155</v>
      </c>
      <c r="G27" s="29" t="s">
        <v>45</v>
      </c>
      <c r="H27" s="32" t="s">
        <v>14</v>
      </c>
      <c r="I27" s="24" t="str">
        <f>VLOOKUP(G27,[1]ACHATS!$C:$E,3,0)</f>
        <v>L</v>
      </c>
      <c r="J27" s="24" t="str">
        <f>VLOOKUP(G27,[1]ACHATS!$C:$D,2,0)</f>
        <v>DIVERS</v>
      </c>
      <c r="K27" s="33">
        <v>0.2</v>
      </c>
      <c r="L27" s="33">
        <f>VLOOKUP(E27,[1]PARCELLAIRE!$D$2:$F$29,3,0)</f>
        <v>12.06</v>
      </c>
      <c r="M27" s="33">
        <f t="shared" si="0"/>
        <v>2.4120000000000004</v>
      </c>
      <c r="N27" s="34">
        <f t="array" ref="N27">INDEX('[1]COUT MOYEN - STOCK'!$G$2:$G$120,MATCH(A27,IF('[1]COUT MOYEN - STOCK'!$B$2:$B$120=G27,'[1]COUT MOYEN - STOCK'!$A$2:$A$120,""),0))</f>
        <v>11.01</v>
      </c>
      <c r="O27" s="35">
        <f t="shared" si="1"/>
        <v>26.556120000000004</v>
      </c>
      <c r="P27" s="36" t="str">
        <f t="shared" si="2"/>
        <v>Pourtanel</v>
      </c>
      <c r="Q27" s="37" t="s">
        <v>14</v>
      </c>
    </row>
    <row r="28" spans="1:17" ht="16.5" hidden="1" thickTop="1">
      <c r="A28" s="29">
        <v>2013</v>
      </c>
      <c r="B28" s="29" t="s">
        <v>166</v>
      </c>
      <c r="C28" s="30" t="s">
        <v>39</v>
      </c>
      <c r="D28" s="24" t="str">
        <f t="array" ref="D28">INDEX([1]PARCELLAIRE!$C$2:$C$85,MATCH(A28,IF([1]PARCELLAIRE!$D$2:$D$85=E28,[1]PARCELLAIRE!$A$2:$A$85,""),0))</f>
        <v>SY SAMIN</v>
      </c>
      <c r="E28" s="29" t="s">
        <v>36</v>
      </c>
      <c r="F28" s="31">
        <v>41155</v>
      </c>
      <c r="G28" s="29" t="s">
        <v>45</v>
      </c>
      <c r="H28" s="32" t="s">
        <v>14</v>
      </c>
      <c r="I28" s="24" t="str">
        <f>VLOOKUP(G28,[1]ACHATS!$C:$E,3,0)</f>
        <v>L</v>
      </c>
      <c r="J28" s="24" t="str">
        <f>VLOOKUP(G28,[1]ACHATS!$C:$D,2,0)</f>
        <v>DIVERS</v>
      </c>
      <c r="K28" s="33">
        <v>0.2</v>
      </c>
      <c r="L28" s="33">
        <f>VLOOKUP(E28,[1]PARCELLAIRE!$D$2:$F$29,3,0)</f>
        <v>4.42</v>
      </c>
      <c r="M28" s="33">
        <f t="shared" si="0"/>
        <v>0.88400000000000001</v>
      </c>
      <c r="N28" s="34">
        <f t="array" ref="N28">INDEX('[1]COUT MOYEN - STOCK'!$G$2:$G$120,MATCH(A28,IF('[1]COUT MOYEN - STOCK'!$B$2:$B$120=G28,'[1]COUT MOYEN - STOCK'!$A$2:$A$120,""),0))</f>
        <v>11.01</v>
      </c>
      <c r="O28" s="35">
        <f t="shared" si="1"/>
        <v>9.7328399999999995</v>
      </c>
      <c r="P28" s="36" t="str">
        <f t="shared" si="2"/>
        <v>Picotalène Nord</v>
      </c>
      <c r="Q28" s="37" t="s">
        <v>14</v>
      </c>
    </row>
    <row r="29" spans="1:17" ht="16.5" hidden="1" thickTop="1">
      <c r="A29" s="29">
        <v>2013</v>
      </c>
      <c r="B29" s="29" t="s">
        <v>166</v>
      </c>
      <c r="C29" s="30" t="s">
        <v>39</v>
      </c>
      <c r="D29" s="24" t="str">
        <f t="array" ref="D29">INDEX([1]PARCELLAIRE!$C$2:$C$85,MATCH(A29,IF([1]PARCELLAIRE!$D$2:$D$85=E29,[1]PARCELLAIRE!$A$2:$A$85,""),0))</f>
        <v>MAS 95 OL</v>
      </c>
      <c r="E29" s="29" t="s">
        <v>26</v>
      </c>
      <c r="F29" s="31">
        <v>41155</v>
      </c>
      <c r="G29" s="29" t="s">
        <v>45</v>
      </c>
      <c r="H29" s="32" t="s">
        <v>14</v>
      </c>
      <c r="I29" s="24" t="str">
        <f>VLOOKUP(G29,[1]ACHATS!$C:$E,3,0)</f>
        <v>L</v>
      </c>
      <c r="J29" s="24" t="str">
        <f>VLOOKUP(G29,[1]ACHATS!$C:$D,2,0)</f>
        <v>DIVERS</v>
      </c>
      <c r="K29" s="33">
        <v>0.2</v>
      </c>
      <c r="L29" s="33">
        <f>VLOOKUP(E29,[1]PARCELLAIRE!$D$2:$F$29,3,0)</f>
        <v>5.26</v>
      </c>
      <c r="M29" s="33">
        <f t="shared" si="0"/>
        <v>1.052</v>
      </c>
      <c r="N29" s="34">
        <f t="array" ref="N29">INDEX('[1]COUT MOYEN - STOCK'!$G$2:$G$120,MATCH(A29,IF('[1]COUT MOYEN - STOCK'!$B$2:$B$120=G29,'[1]COUT MOYEN - STOCK'!$A$2:$A$120,""),0))</f>
        <v>11.01</v>
      </c>
      <c r="O29" s="35">
        <f t="shared" si="1"/>
        <v>11.582520000000001</v>
      </c>
      <c r="P29" s="36" t="str">
        <f t="shared" si="2"/>
        <v>L'Aule métairie</v>
      </c>
      <c r="Q29" s="37" t="s">
        <v>14</v>
      </c>
    </row>
    <row r="30" spans="1:17" ht="16.5" hidden="1" thickTop="1">
      <c r="A30" s="29">
        <v>2013</v>
      </c>
      <c r="B30" s="29" t="s">
        <v>164</v>
      </c>
      <c r="C30" s="30" t="s">
        <v>39</v>
      </c>
      <c r="D30" s="24" t="str">
        <f t="array" ref="D30">INDEX([1]PARCELLAIRE!$C$2:$C$85,MATCH(A30,IF([1]PARCELLAIRE!$D$2:$D$85=E30,[1]PARCELLAIRE!$A$2:$A$85,""),0))</f>
        <v>MAS 95 OL</v>
      </c>
      <c r="E30" s="29" t="s">
        <v>27</v>
      </c>
      <c r="F30" s="31">
        <v>41155</v>
      </c>
      <c r="G30" s="29" t="s">
        <v>45</v>
      </c>
      <c r="H30" s="32" t="s">
        <v>14</v>
      </c>
      <c r="I30" s="24" t="str">
        <f>VLOOKUP(G30,[1]ACHATS!$C:$E,3,0)</f>
        <v>L</v>
      </c>
      <c r="J30" s="24" t="str">
        <f>VLOOKUP(G30,[1]ACHATS!$C:$D,2,0)</f>
        <v>DIVERS</v>
      </c>
      <c r="K30" s="33">
        <v>0.2</v>
      </c>
      <c r="L30" s="33">
        <f>VLOOKUP(E30,[1]PARCELLAIRE!$D$2:$F$29,3,0)</f>
        <v>15.64</v>
      </c>
      <c r="M30" s="33">
        <f t="shared" si="0"/>
        <v>3.1280000000000001</v>
      </c>
      <c r="N30" s="34">
        <f t="array" ref="N30">INDEX('[1]COUT MOYEN - STOCK'!$G$2:$G$120,MATCH(A30,IF('[1]COUT MOYEN - STOCK'!$B$2:$B$120=G30,'[1]COUT MOYEN - STOCK'!$A$2:$A$120,""),0))</f>
        <v>11.01</v>
      </c>
      <c r="O30" s="35">
        <f t="shared" si="1"/>
        <v>34.439280000000004</v>
      </c>
      <c r="P30" s="36" t="str">
        <f t="shared" si="2"/>
        <v>L'Aule Plaine</v>
      </c>
      <c r="Q30" s="37" t="s">
        <v>14</v>
      </c>
    </row>
    <row r="31" spans="1:17" ht="16.5" hidden="1" thickTop="1">
      <c r="A31" s="29">
        <v>2013</v>
      </c>
      <c r="B31" s="29" t="s">
        <v>164</v>
      </c>
      <c r="C31" s="30" t="s">
        <v>41</v>
      </c>
      <c r="D31" s="24" t="str">
        <f t="array" ref="D31">INDEX([1]PARCELLAIRE!$C$2:$C$85,MATCH(A31,IF([1]PARCELLAIRE!$D$2:$D$85=E31,[1]PARCELLAIRE!$A$2:$A$85,""),0))</f>
        <v>ARDICO</v>
      </c>
      <c r="E31" s="29" t="s">
        <v>21</v>
      </c>
      <c r="F31" s="31">
        <v>41156</v>
      </c>
      <c r="G31" s="29" t="s">
        <v>44</v>
      </c>
      <c r="H31" s="32" t="s">
        <v>14</v>
      </c>
      <c r="I31" s="24" t="str">
        <f>VLOOKUP(G31,[1]ACHATS!$C:$E,3,0)</f>
        <v>L</v>
      </c>
      <c r="J31" s="24" t="str">
        <f>VLOOKUP(G31,[1]ACHATS!$C:$D,2,0)</f>
        <v>DESHERBANT</v>
      </c>
      <c r="K31" s="29">
        <v>1</v>
      </c>
      <c r="L31" s="33">
        <f>VLOOKUP(E31,[1]PARCELLAIRE!$D$2:$F$29,3,0)</f>
        <v>10.93</v>
      </c>
      <c r="M31" s="33">
        <f t="shared" si="0"/>
        <v>10.93</v>
      </c>
      <c r="N31" s="34">
        <f t="array" ref="N31">INDEX('[1]COUT MOYEN - STOCK'!$G$2:$G$120,MATCH(A31,IF('[1]COUT MOYEN - STOCK'!$B$2:$B$120=G31,'[1]COUT MOYEN - STOCK'!$A$2:$A$120,""),0))</f>
        <v>4.9381521739130436</v>
      </c>
      <c r="O31" s="35">
        <f t="shared" si="1"/>
        <v>53.974003260869566</v>
      </c>
      <c r="P31" s="36" t="str">
        <f t="shared" si="2"/>
        <v>Engleyse métairie</v>
      </c>
      <c r="Q31" s="37" t="s">
        <v>14</v>
      </c>
    </row>
    <row r="32" spans="1:17" ht="16.5" hidden="1" thickTop="1">
      <c r="A32" s="29">
        <v>2013</v>
      </c>
      <c r="B32" s="29" t="s">
        <v>164</v>
      </c>
      <c r="C32" s="30" t="s">
        <v>4</v>
      </c>
      <c r="D32" s="24" t="str">
        <f t="array" ref="D32">INDEX([1]PARCELLAIRE!$C$2:$C$85,MATCH(A32,IF([1]PARCELLAIRE!$D$2:$D$85=E32,[1]PARCELLAIRE!$A$2:$A$85,""),0))</f>
        <v>ISIDOR</v>
      </c>
      <c r="E32" s="29" t="s">
        <v>22</v>
      </c>
      <c r="F32" s="31">
        <v>41156</v>
      </c>
      <c r="G32" s="29" t="s">
        <v>44</v>
      </c>
      <c r="H32" s="32" t="s">
        <v>14</v>
      </c>
      <c r="I32" s="24" t="str">
        <f>VLOOKUP(G32,[1]ACHATS!$C:$E,3,0)</f>
        <v>L</v>
      </c>
      <c r="J32" s="24" t="str">
        <f>VLOOKUP(G32,[1]ACHATS!$C:$D,2,0)</f>
        <v>DESHERBANT</v>
      </c>
      <c r="K32" s="29">
        <v>1</v>
      </c>
      <c r="L32" s="33">
        <f>VLOOKUP(E32,[1]PARCELLAIRE!$D$2:$F$29,3,0)</f>
        <v>8.58</v>
      </c>
      <c r="M32" s="33">
        <f t="shared" si="0"/>
        <v>8.58</v>
      </c>
      <c r="N32" s="34">
        <f t="array" ref="N32">INDEX('[1]COUT MOYEN - STOCK'!$G$2:$G$120,MATCH(A32,IF('[1]COUT MOYEN - STOCK'!$B$2:$B$120=G32,'[1]COUT MOYEN - STOCK'!$A$2:$A$120,""),0))</f>
        <v>4.9381521739130436</v>
      </c>
      <c r="O32" s="35">
        <f t="shared" si="1"/>
        <v>42.369345652173912</v>
      </c>
      <c r="P32" s="36" t="str">
        <f t="shared" si="2"/>
        <v>Engleyse Route</v>
      </c>
      <c r="Q32" s="37" t="s">
        <v>14</v>
      </c>
    </row>
    <row r="33" spans="1:17" ht="16.5" hidden="1" thickTop="1">
      <c r="A33" s="29">
        <v>2013</v>
      </c>
      <c r="B33" s="29" t="s">
        <v>164</v>
      </c>
      <c r="C33" s="30" t="s">
        <v>4</v>
      </c>
      <c r="D33" s="24" t="str">
        <f t="array" ref="D33">INDEX([1]PARCELLAIRE!$C$2:$C$85,MATCH(A33,IF([1]PARCELLAIRE!$D$2:$D$85=E33,[1]PARCELLAIRE!$A$2:$A$85,""),0))</f>
        <v>ISIDOR</v>
      </c>
      <c r="E33" s="29" t="s">
        <v>22</v>
      </c>
      <c r="F33" s="31">
        <v>41156</v>
      </c>
      <c r="G33" s="29" t="s">
        <v>45</v>
      </c>
      <c r="H33" s="32" t="s">
        <v>14</v>
      </c>
      <c r="I33" s="24" t="str">
        <f>VLOOKUP(G33,[1]ACHATS!$C:$E,3,0)</f>
        <v>L</v>
      </c>
      <c r="J33" s="24" t="str">
        <f>VLOOKUP(G33,[1]ACHATS!$C:$D,2,0)</f>
        <v>DIVERS</v>
      </c>
      <c r="K33" s="29">
        <v>0.2</v>
      </c>
      <c r="L33" s="33">
        <f>VLOOKUP(E33,[1]PARCELLAIRE!$D$2:$F$29,3,0)</f>
        <v>8.58</v>
      </c>
      <c r="M33" s="33">
        <f t="shared" si="0"/>
        <v>1.7160000000000002</v>
      </c>
      <c r="N33" s="34">
        <f t="array" ref="N33">INDEX('[1]COUT MOYEN - STOCK'!$G$2:$G$120,MATCH(A33,IF('[1]COUT MOYEN - STOCK'!$B$2:$B$120=G33,'[1]COUT MOYEN - STOCK'!$A$2:$A$120,""),0))</f>
        <v>11.01</v>
      </c>
      <c r="O33" s="35">
        <f t="shared" si="1"/>
        <v>18.893160000000002</v>
      </c>
      <c r="P33" s="36" t="str">
        <f t="shared" si="2"/>
        <v>Engleyse Route</v>
      </c>
      <c r="Q33" s="37" t="s">
        <v>14</v>
      </c>
    </row>
    <row r="34" spans="1:17" ht="16.5" hidden="1" thickTop="1">
      <c r="A34" s="29">
        <v>2013</v>
      </c>
      <c r="B34" s="29" t="s">
        <v>164</v>
      </c>
      <c r="C34" s="30" t="s">
        <v>41</v>
      </c>
      <c r="D34" s="24" t="str">
        <f t="array" ref="D34">INDEX([1]PARCELLAIRE!$C$2:$C$85,MATCH(A34,IF([1]PARCELLAIRE!$D$2:$D$85=E34,[1]PARCELLAIRE!$A$2:$A$85,""),0))</f>
        <v>ARDICO</v>
      </c>
      <c r="E34" s="29" t="s">
        <v>21</v>
      </c>
      <c r="F34" s="31">
        <v>41156</v>
      </c>
      <c r="G34" s="29" t="s">
        <v>45</v>
      </c>
      <c r="H34" s="32" t="s">
        <v>14</v>
      </c>
      <c r="I34" s="24" t="str">
        <f>VLOOKUP(G34,[1]ACHATS!$C:$E,3,0)</f>
        <v>L</v>
      </c>
      <c r="J34" s="24" t="str">
        <f>VLOOKUP(G34,[1]ACHATS!$C:$D,2,0)</f>
        <v>DIVERS</v>
      </c>
      <c r="K34" s="29">
        <v>0.2</v>
      </c>
      <c r="L34" s="33">
        <f>VLOOKUP(E34,[1]PARCELLAIRE!$D$2:$F$29,3,0)</f>
        <v>10.93</v>
      </c>
      <c r="M34" s="33">
        <f t="shared" si="0"/>
        <v>2.1859999999999999</v>
      </c>
      <c r="N34" s="34">
        <f t="array" ref="N34">INDEX('[1]COUT MOYEN - STOCK'!$G$2:$G$120,MATCH(A34,IF('[1]COUT MOYEN - STOCK'!$B$2:$B$120=G34,'[1]COUT MOYEN - STOCK'!$A$2:$A$120,""),0))</f>
        <v>11.01</v>
      </c>
      <c r="O34" s="35">
        <f t="shared" si="1"/>
        <v>24.06786</v>
      </c>
      <c r="P34" s="36" t="str">
        <f t="shared" si="2"/>
        <v>Engleyse métairie</v>
      </c>
      <c r="Q34" s="37" t="s">
        <v>14</v>
      </c>
    </row>
    <row r="35" spans="1:17" ht="16.5" hidden="1" thickTop="1">
      <c r="A35" s="29">
        <v>2013</v>
      </c>
      <c r="B35" s="29" t="s">
        <v>164</v>
      </c>
      <c r="C35" s="30" t="s">
        <v>43</v>
      </c>
      <c r="D35" s="24" t="str">
        <f t="array" ref="D35">INDEX([1]PARCELLAIRE!$C$2:$C$85,MATCH(A35,IF([1]PARCELLAIRE!$D$2:$D$85=E35,[1]PARCELLAIRE!$A$2:$A$85,""),0))</f>
        <v>SOLEIHO</v>
      </c>
      <c r="E35" s="29" t="s">
        <v>29</v>
      </c>
      <c r="F35" s="31">
        <v>41177</v>
      </c>
      <c r="G35" s="29" t="s">
        <v>46</v>
      </c>
      <c r="H35" s="32" t="s">
        <v>14</v>
      </c>
      <c r="I35" s="24" t="str">
        <f>VLOOKUP(G35,[1]ACHATS!$C:$E,3,0)</f>
        <v>Kg</v>
      </c>
      <c r="J35" s="24" t="str">
        <f>VLOOKUP(G35,[1]ACHATS!$C:$D,2,0)</f>
        <v>ENGRAIS DE FOND</v>
      </c>
      <c r="K35" s="29">
        <v>545</v>
      </c>
      <c r="L35" s="33">
        <f>VLOOKUP(E35,[1]PARCELLAIRE!$D$2:$F$29,3,0)</f>
        <v>17.55</v>
      </c>
      <c r="M35" s="33">
        <f t="shared" si="0"/>
        <v>9564.75</v>
      </c>
      <c r="N35" s="34">
        <f t="array" ref="N35">INDEX('[1]COUT MOYEN - STOCK'!$G$2:$G$120,MATCH(A35,IF('[1]COUT MOYEN - STOCK'!$B$2:$B$120=G35,'[1]COUT MOYEN - STOCK'!$A$2:$A$120,""),0))</f>
        <v>0.22</v>
      </c>
      <c r="O35" s="35">
        <f t="shared" si="1"/>
        <v>2104.2449999999999</v>
      </c>
      <c r="P35" s="36" t="str">
        <f t="shared" si="2"/>
        <v>Labaou Plaine</v>
      </c>
      <c r="Q35" s="37" t="s">
        <v>14</v>
      </c>
    </row>
    <row r="36" spans="1:17" ht="16.5" hidden="1" thickTop="1">
      <c r="A36" s="29">
        <v>2013</v>
      </c>
      <c r="B36" s="29" t="s">
        <v>164</v>
      </c>
      <c r="C36" s="30" t="s">
        <v>47</v>
      </c>
      <c r="D36" s="24" t="str">
        <f t="array" ref="D36">INDEX([1]PARCELLAIRE!$C$2:$C$85,MATCH(A36,IF([1]PARCELLAIRE!$D$2:$D$85=E36,[1]PARCELLAIRE!$A$2:$A$85,""),0))</f>
        <v>MIRADOUX</v>
      </c>
      <c r="E36" s="29" t="s">
        <v>24</v>
      </c>
      <c r="F36" s="31">
        <v>41179</v>
      </c>
      <c r="G36" s="29" t="s">
        <v>40</v>
      </c>
      <c r="H36" s="32" t="s">
        <v>14</v>
      </c>
      <c r="I36" s="24" t="str">
        <f>VLOOKUP(G36,[1]ACHATS!$C:$E,3,0)</f>
        <v>Kg</v>
      </c>
      <c r="J36" s="24" t="str">
        <f>VLOOKUP(G36,[1]ACHATS!$C:$D,2,0)</f>
        <v>ENGRAIS DE FOND</v>
      </c>
      <c r="K36" s="29">
        <v>225</v>
      </c>
      <c r="L36" s="33">
        <f>VLOOKUP(E36,[1]PARCELLAIRE!$D$2:$F$29,3,0)</f>
        <v>1.34</v>
      </c>
      <c r="M36" s="33">
        <f t="shared" si="0"/>
        <v>301.5</v>
      </c>
      <c r="N36" s="34">
        <f t="array" ref="N36">INDEX('[1]COUT MOYEN - STOCK'!$G$2:$G$120,MATCH(A36,IF('[1]COUT MOYEN - STOCK'!$B$2:$B$120=G36,'[1]COUT MOYEN - STOCK'!$A$2:$A$120,""),0))</f>
        <v>0.50298666666666669</v>
      </c>
      <c r="O36" s="35">
        <f t="shared" si="1"/>
        <v>151.65048000000002</v>
      </c>
      <c r="P36" s="36" t="str">
        <f t="shared" si="2"/>
        <v>Escarcelou Jachère</v>
      </c>
      <c r="Q36" s="37" t="s">
        <v>14</v>
      </c>
    </row>
    <row r="37" spans="1:17" ht="16.5" hidden="1" thickTop="1">
      <c r="A37" s="29">
        <v>2013</v>
      </c>
      <c r="B37" s="29" t="s">
        <v>164</v>
      </c>
      <c r="C37" s="30" t="s">
        <v>47</v>
      </c>
      <c r="D37" s="24" t="str">
        <f t="array" ref="D37">INDEX([1]PARCELLAIRE!$C$2:$C$85,MATCH(A37,IF([1]PARCELLAIRE!$D$2:$D$85=E37,[1]PARCELLAIRE!$A$2:$A$85,""),0))</f>
        <v>PESCADOUX</v>
      </c>
      <c r="E37" s="29" t="s">
        <v>17</v>
      </c>
      <c r="F37" s="31">
        <v>41179</v>
      </c>
      <c r="G37" s="29" t="s">
        <v>40</v>
      </c>
      <c r="H37" s="32" t="s">
        <v>14</v>
      </c>
      <c r="I37" s="24" t="str">
        <f>VLOOKUP(G37,[1]ACHATS!$C:$E,3,0)</f>
        <v>Kg</v>
      </c>
      <c r="J37" s="24" t="str">
        <f>VLOOKUP(G37,[1]ACHATS!$C:$D,2,0)</f>
        <v>ENGRAIS DE FOND</v>
      </c>
      <c r="K37" s="29">
        <v>225</v>
      </c>
      <c r="L37" s="33">
        <f>VLOOKUP(E37,[1]PARCELLAIRE!$D$2:$F$29,3,0)</f>
        <v>5.27</v>
      </c>
      <c r="M37" s="33">
        <f t="shared" si="0"/>
        <v>1185.75</v>
      </c>
      <c r="N37" s="34">
        <f t="array" ref="N37">INDEX('[1]COUT MOYEN - STOCK'!$G$2:$G$120,MATCH(A37,IF('[1]COUT MOYEN - STOCK'!$B$2:$B$120=G37,'[1]COUT MOYEN - STOCK'!$A$2:$A$120,""),0))</f>
        <v>0.50298666666666669</v>
      </c>
      <c r="O37" s="35">
        <f t="shared" si="1"/>
        <v>596.41644000000008</v>
      </c>
      <c r="P37" s="36" t="str">
        <f t="shared" si="2"/>
        <v>Bousquet Château</v>
      </c>
      <c r="Q37" s="37" t="s">
        <v>14</v>
      </c>
    </row>
    <row r="38" spans="1:17" ht="16.5" hidden="1" thickTop="1">
      <c r="A38" s="29">
        <v>2013</v>
      </c>
      <c r="B38" s="29" t="s">
        <v>164</v>
      </c>
      <c r="C38" s="30" t="s">
        <v>47</v>
      </c>
      <c r="D38" s="24" t="str">
        <f t="array" ref="D38">INDEX([1]PARCELLAIRE!$C$2:$C$85,MATCH(A38,IF([1]PARCELLAIRE!$D$2:$D$85=E38,[1]PARCELLAIRE!$A$2:$A$85,""),0))</f>
        <v>MIRADOUX</v>
      </c>
      <c r="E38" s="29" t="s">
        <v>23</v>
      </c>
      <c r="F38" s="31">
        <v>41179</v>
      </c>
      <c r="G38" s="29" t="s">
        <v>40</v>
      </c>
      <c r="H38" s="32" t="s">
        <v>14</v>
      </c>
      <c r="I38" s="24" t="str">
        <f>VLOOKUP(G38,[1]ACHATS!$C:$E,3,0)</f>
        <v>Kg</v>
      </c>
      <c r="J38" s="24" t="str">
        <f>VLOOKUP(G38,[1]ACHATS!$C:$D,2,0)</f>
        <v>ENGRAIS DE FOND</v>
      </c>
      <c r="K38" s="29">
        <v>220</v>
      </c>
      <c r="L38" s="33">
        <f>VLOOKUP(E38,[1]PARCELLAIRE!$D$2:$F$29,3,0)</f>
        <v>7.58</v>
      </c>
      <c r="M38" s="33">
        <f t="shared" si="0"/>
        <v>1667.6</v>
      </c>
      <c r="N38" s="34">
        <f t="array" ref="N38">INDEX('[1]COUT MOYEN - STOCK'!$G$2:$G$120,MATCH(A38,IF('[1]COUT MOYEN - STOCK'!$B$2:$B$120=G38,'[1]COUT MOYEN - STOCK'!$A$2:$A$120,""),0))</f>
        <v>0.50298666666666669</v>
      </c>
      <c r="O38" s="35">
        <f t="shared" si="1"/>
        <v>838.78056533333336</v>
      </c>
      <c r="P38" s="36" t="str">
        <f t="shared" si="2"/>
        <v>Escarcelou</v>
      </c>
      <c r="Q38" s="37" t="s">
        <v>14</v>
      </c>
    </row>
    <row r="39" spans="1:17" ht="16.5" hidden="1" thickTop="1">
      <c r="A39" s="29">
        <v>2013</v>
      </c>
      <c r="B39" s="29" t="s">
        <v>164</v>
      </c>
      <c r="C39" s="30" t="s">
        <v>47</v>
      </c>
      <c r="D39" s="24" t="str">
        <f t="array" ref="D39">INDEX([1]PARCELLAIRE!$C$2:$C$85,MATCH(A39,IF([1]PARCELLAIRE!$D$2:$D$85=E39,[1]PARCELLAIRE!$A$2:$A$85,""),0))</f>
        <v>MIRADOUX</v>
      </c>
      <c r="E39" s="29" t="s">
        <v>25</v>
      </c>
      <c r="F39" s="31">
        <v>41179</v>
      </c>
      <c r="G39" s="29" t="s">
        <v>40</v>
      </c>
      <c r="H39" s="32" t="s">
        <v>14</v>
      </c>
      <c r="I39" s="24" t="str">
        <f>VLOOKUP(G39,[1]ACHATS!$C:$E,3,0)</f>
        <v>Kg</v>
      </c>
      <c r="J39" s="24" t="str">
        <f>VLOOKUP(G39,[1]ACHATS!$C:$D,2,0)</f>
        <v>ENGRAIS DE FOND</v>
      </c>
      <c r="K39" s="29">
        <v>220</v>
      </c>
      <c r="L39" s="33">
        <f>VLOOKUP(E39,[1]PARCELLAIRE!$D$2:$F$29,3,0)</f>
        <v>7.5</v>
      </c>
      <c r="M39" s="33">
        <f t="shared" si="0"/>
        <v>1650</v>
      </c>
      <c r="N39" s="34">
        <f t="array" ref="N39">INDEX('[1]COUT MOYEN - STOCK'!$G$2:$G$120,MATCH(A39,IF('[1]COUT MOYEN - STOCK'!$B$2:$B$120=G39,'[1]COUT MOYEN - STOCK'!$A$2:$A$120,""),0))</f>
        <v>0.50298666666666669</v>
      </c>
      <c r="O39" s="35">
        <f t="shared" si="1"/>
        <v>829.928</v>
      </c>
      <c r="P39" s="36" t="str">
        <f t="shared" si="2"/>
        <v>Escarcelou Pte</v>
      </c>
      <c r="Q39" s="37" t="s">
        <v>14</v>
      </c>
    </row>
    <row r="40" spans="1:17" ht="16.5" hidden="1" thickTop="1">
      <c r="A40" s="29">
        <v>2013</v>
      </c>
      <c r="B40" s="29" t="s">
        <v>164</v>
      </c>
      <c r="C40" s="30" t="s">
        <v>47</v>
      </c>
      <c r="D40" s="24" t="str">
        <f t="array" ref="D40">INDEX([1]PARCELLAIRE!$C$2:$C$85,MATCH(A40,IF([1]PARCELLAIRE!$D$2:$D$85=E40,[1]PARCELLAIRE!$A$2:$A$85,""),0))</f>
        <v>FABULIS - PESCADOUX</v>
      </c>
      <c r="E40" s="29" t="s">
        <v>30</v>
      </c>
      <c r="F40" s="31">
        <v>41179</v>
      </c>
      <c r="G40" s="29" t="s">
        <v>40</v>
      </c>
      <c r="H40" s="32" t="s">
        <v>14</v>
      </c>
      <c r="I40" s="24" t="str">
        <f>VLOOKUP(G40,[1]ACHATS!$C:$E,3,0)</f>
        <v>Kg</v>
      </c>
      <c r="J40" s="24" t="str">
        <f>VLOOKUP(G40,[1]ACHATS!$C:$D,2,0)</f>
        <v>ENGRAIS DE FOND</v>
      </c>
      <c r="K40" s="29">
        <v>220</v>
      </c>
      <c r="L40" s="33">
        <f>VLOOKUP(E40,[1]PARCELLAIRE!$D$2:$F$29,3,0)</f>
        <v>5.07</v>
      </c>
      <c r="M40" s="33">
        <f t="shared" si="0"/>
        <v>1115.4000000000001</v>
      </c>
      <c r="N40" s="34">
        <f t="array" ref="N40">INDEX('[1]COUT MOYEN - STOCK'!$G$2:$G$120,MATCH(A40,IF('[1]COUT MOYEN - STOCK'!$B$2:$B$120=G40,'[1]COUT MOYEN - STOCK'!$A$2:$A$120,""),0))</f>
        <v>0.50298666666666669</v>
      </c>
      <c r="O40" s="35">
        <f t="shared" si="1"/>
        <v>561.03132800000003</v>
      </c>
      <c r="P40" s="36" t="str">
        <f t="shared" si="2"/>
        <v>Laclos</v>
      </c>
      <c r="Q40" s="37" t="s">
        <v>14</v>
      </c>
    </row>
    <row r="41" spans="1:17" ht="16.5" hidden="1" thickTop="1">
      <c r="A41" s="29">
        <v>2013</v>
      </c>
      <c r="B41" s="29" t="s">
        <v>164</v>
      </c>
      <c r="C41" s="30" t="s">
        <v>47</v>
      </c>
      <c r="D41" s="24" t="str">
        <f t="array" ref="D41">INDEX([1]PARCELLAIRE!$C$2:$C$85,MATCH(A41,IF([1]PARCELLAIRE!$D$2:$D$85=E41,[1]PARCELLAIRE!$A$2:$A$85,""),0))</f>
        <v>PESCADOUX</v>
      </c>
      <c r="E41" s="29" t="s">
        <v>31</v>
      </c>
      <c r="F41" s="31">
        <v>41179</v>
      </c>
      <c r="G41" s="29" t="s">
        <v>40</v>
      </c>
      <c r="H41" s="32" t="s">
        <v>14</v>
      </c>
      <c r="I41" s="24" t="str">
        <f>VLOOKUP(G41,[1]ACHATS!$C:$E,3,0)</f>
        <v>Kg</v>
      </c>
      <c r="J41" s="24" t="str">
        <f>VLOOKUP(G41,[1]ACHATS!$C:$D,2,0)</f>
        <v>ENGRAIS DE FOND</v>
      </c>
      <c r="K41" s="29">
        <v>220</v>
      </c>
      <c r="L41" s="33">
        <f>VLOOKUP(E41,[1]PARCELLAIRE!$D$2:$F$29,3,0)</f>
        <v>2.67</v>
      </c>
      <c r="M41" s="33">
        <f t="shared" si="0"/>
        <v>587.4</v>
      </c>
      <c r="N41" s="34">
        <f t="array" ref="N41">INDEX('[1]COUT MOYEN - STOCK'!$G$2:$G$120,MATCH(A41,IF('[1]COUT MOYEN - STOCK'!$B$2:$B$120=G41,'[1]COUT MOYEN - STOCK'!$A$2:$A$120,""),0))</f>
        <v>0.50298666666666669</v>
      </c>
      <c r="O41" s="35">
        <f t="shared" si="1"/>
        <v>295.45436799999999</v>
      </c>
      <c r="P41" s="36" t="str">
        <f t="shared" si="2"/>
        <v>Lescandes</v>
      </c>
      <c r="Q41" s="37" t="s">
        <v>14</v>
      </c>
    </row>
    <row r="42" spans="1:17" ht="16.5" hidden="1" thickTop="1">
      <c r="A42" s="29">
        <v>2013</v>
      </c>
      <c r="B42" s="29" t="s">
        <v>164</v>
      </c>
      <c r="C42" s="30" t="s">
        <v>47</v>
      </c>
      <c r="D42" s="24" t="str">
        <f t="array" ref="D42">INDEX([1]PARCELLAIRE!$C$2:$C$85,MATCH(A42,IF([1]PARCELLAIRE!$D$2:$D$85=E42,[1]PARCELLAIRE!$A$2:$A$85,""),0))</f>
        <v>PESCADOUX</v>
      </c>
      <c r="E42" s="29" t="s">
        <v>32</v>
      </c>
      <c r="F42" s="31">
        <v>41179</v>
      </c>
      <c r="G42" s="29" t="s">
        <v>40</v>
      </c>
      <c r="H42" s="32" t="s">
        <v>14</v>
      </c>
      <c r="I42" s="24" t="str">
        <f>VLOOKUP(G42,[1]ACHATS!$C:$E,3,0)</f>
        <v>Kg</v>
      </c>
      <c r="J42" s="24" t="str">
        <f>VLOOKUP(G42,[1]ACHATS!$C:$D,2,0)</f>
        <v>ENGRAIS DE FOND</v>
      </c>
      <c r="K42" s="29">
        <v>220</v>
      </c>
      <c r="L42" s="33">
        <f>VLOOKUP(E42,[1]PARCELLAIRE!$D$2:$F$29,3,0)</f>
        <v>16.440000000000001</v>
      </c>
      <c r="M42" s="33">
        <f t="shared" si="0"/>
        <v>3616.8</v>
      </c>
      <c r="N42" s="34">
        <f t="array" ref="N42">INDEX('[1]COUT MOYEN - STOCK'!$G$2:$G$120,MATCH(A42,IF('[1]COUT MOYEN - STOCK'!$B$2:$B$120=G42,'[1]COUT MOYEN - STOCK'!$A$2:$A$120,""),0))</f>
        <v>0.50298666666666669</v>
      </c>
      <c r="O42" s="35">
        <f t="shared" si="1"/>
        <v>1819.2021760000002</v>
      </c>
      <c r="P42" s="36" t="str">
        <f t="shared" si="2"/>
        <v>Lescandes Côteau</v>
      </c>
      <c r="Q42" s="37" t="s">
        <v>14</v>
      </c>
    </row>
    <row r="43" spans="1:17" ht="16.5" hidden="1" thickTop="1">
      <c r="A43" s="29">
        <v>2013</v>
      </c>
      <c r="B43" s="29" t="s">
        <v>164</v>
      </c>
      <c r="C43" s="30" t="s">
        <v>47</v>
      </c>
      <c r="D43" s="24" t="str">
        <f t="array" ref="D43">INDEX([1]PARCELLAIRE!$C$2:$C$85,MATCH(A43,IF([1]PARCELLAIRE!$D$2:$D$85=E43,[1]PARCELLAIRE!$A$2:$A$85,""),0))</f>
        <v>MIRADOUX</v>
      </c>
      <c r="E43" s="29" t="s">
        <v>38</v>
      </c>
      <c r="F43" s="31">
        <v>41179</v>
      </c>
      <c r="G43" s="29" t="s">
        <v>40</v>
      </c>
      <c r="H43" s="32" t="s">
        <v>14</v>
      </c>
      <c r="I43" s="24" t="str">
        <f>VLOOKUP(G43,[1]ACHATS!$C:$E,3,0)</f>
        <v>Kg</v>
      </c>
      <c r="J43" s="24" t="str">
        <f>VLOOKUP(G43,[1]ACHATS!$C:$D,2,0)</f>
        <v>ENGRAIS DE FOND</v>
      </c>
      <c r="K43" s="29">
        <v>220</v>
      </c>
      <c r="L43" s="33">
        <f>VLOOKUP(E43,[1]PARCELLAIRE!$D$2:$F$29,3,0)</f>
        <v>1.26</v>
      </c>
      <c r="M43" s="33">
        <f t="shared" si="0"/>
        <v>277.2</v>
      </c>
      <c r="N43" s="34">
        <f t="array" ref="N43">INDEX('[1]COUT MOYEN - STOCK'!$G$2:$G$120,MATCH(A43,IF('[1]COUT MOYEN - STOCK'!$B$2:$B$120=G43,'[1]COUT MOYEN - STOCK'!$A$2:$A$120,""),0))</f>
        <v>0.50298666666666669</v>
      </c>
      <c r="O43" s="35">
        <f t="shared" si="1"/>
        <v>139.42790400000001</v>
      </c>
      <c r="P43" s="36" t="str">
        <f t="shared" si="2"/>
        <v>Seillonne</v>
      </c>
      <c r="Q43" s="37" t="s">
        <v>14</v>
      </c>
    </row>
    <row r="44" spans="1:17" ht="16.5" hidden="1" thickTop="1">
      <c r="A44" s="29">
        <v>2013</v>
      </c>
      <c r="B44" s="29" t="s">
        <v>164</v>
      </c>
      <c r="C44" s="30" t="s">
        <v>4</v>
      </c>
      <c r="D44" s="24" t="str">
        <f t="array" ref="D44">INDEX([1]PARCELLAIRE!$C$2:$C$85,MATCH(A44,IF([1]PARCELLAIRE!$D$2:$D$85=E44,[1]PARCELLAIRE!$A$2:$A$85,""),0))</f>
        <v>ISIDOR</v>
      </c>
      <c r="E44" s="29" t="s">
        <v>22</v>
      </c>
      <c r="F44" s="31">
        <v>41179</v>
      </c>
      <c r="G44" s="29" t="s">
        <v>40</v>
      </c>
      <c r="H44" s="32" t="s">
        <v>14</v>
      </c>
      <c r="I44" s="24" t="str">
        <f>VLOOKUP(G44,[1]ACHATS!$C:$E,3,0)</f>
        <v>Kg</v>
      </c>
      <c r="J44" s="24" t="str">
        <f>VLOOKUP(G44,[1]ACHATS!$C:$D,2,0)</f>
        <v>ENGRAIS DE FOND</v>
      </c>
      <c r="K44" s="29">
        <v>220</v>
      </c>
      <c r="L44" s="33">
        <f>VLOOKUP(E44,[1]PARCELLAIRE!$D$2:$F$29,3,0)</f>
        <v>8.58</v>
      </c>
      <c r="M44" s="33">
        <f t="shared" si="0"/>
        <v>1887.6</v>
      </c>
      <c r="N44" s="34">
        <f t="array" ref="N44">INDEX('[1]COUT MOYEN - STOCK'!$G$2:$G$120,MATCH(A44,IF('[1]COUT MOYEN - STOCK'!$B$2:$B$120=G44,'[1]COUT MOYEN - STOCK'!$A$2:$A$120,""),0))</f>
        <v>0.50298666666666669</v>
      </c>
      <c r="O44" s="35">
        <f t="shared" si="1"/>
        <v>949.43763200000001</v>
      </c>
      <c r="P44" s="36" t="str">
        <f t="shared" si="2"/>
        <v>Engleyse Route</v>
      </c>
      <c r="Q44" s="37" t="s">
        <v>14</v>
      </c>
    </row>
    <row r="45" spans="1:17" ht="16.5" hidden="1" thickTop="1">
      <c r="A45" s="29">
        <v>2013</v>
      </c>
      <c r="B45" s="29" t="s">
        <v>164</v>
      </c>
      <c r="C45" s="30" t="s">
        <v>41</v>
      </c>
      <c r="D45" s="24" t="str">
        <f t="array" ref="D45">INDEX([1]PARCELLAIRE!$C$2:$C$85,MATCH(A45,IF([1]PARCELLAIRE!$D$2:$D$85=E45,[1]PARCELLAIRE!$A$2:$A$85,""),0))</f>
        <v>ARDICO</v>
      </c>
      <c r="E45" s="29" t="s">
        <v>21</v>
      </c>
      <c r="F45" s="31">
        <v>41179</v>
      </c>
      <c r="G45" s="29" t="s">
        <v>40</v>
      </c>
      <c r="H45" s="32" t="s">
        <v>14</v>
      </c>
      <c r="I45" s="24" t="str">
        <f>VLOOKUP(G45,[1]ACHATS!$C:$E,3,0)</f>
        <v>Kg</v>
      </c>
      <c r="J45" s="24" t="str">
        <f>VLOOKUP(G45,[1]ACHATS!$C:$D,2,0)</f>
        <v>ENGRAIS DE FOND</v>
      </c>
      <c r="K45" s="29">
        <v>220</v>
      </c>
      <c r="L45" s="33">
        <f>VLOOKUP(E45,[1]PARCELLAIRE!$D$2:$F$29,3,0)</f>
        <v>10.93</v>
      </c>
      <c r="M45" s="33">
        <f t="shared" si="0"/>
        <v>2404.6</v>
      </c>
      <c r="N45" s="34">
        <f t="array" ref="N45">INDEX('[1]COUT MOYEN - STOCK'!$G$2:$G$120,MATCH(A45,IF('[1]COUT MOYEN - STOCK'!$B$2:$B$120=G45,'[1]COUT MOYEN - STOCK'!$A$2:$A$120,""),0))</f>
        <v>0.50298666666666669</v>
      </c>
      <c r="O45" s="35">
        <f t="shared" si="1"/>
        <v>1209.4817386666666</v>
      </c>
      <c r="P45" s="36" t="str">
        <f t="shared" si="2"/>
        <v>Engleyse métairie</v>
      </c>
      <c r="Q45" s="37" t="s">
        <v>14</v>
      </c>
    </row>
    <row r="46" spans="1:17" ht="16.5" hidden="1" thickTop="1">
      <c r="A46" s="29">
        <v>2013</v>
      </c>
      <c r="B46" s="29" t="s">
        <v>164</v>
      </c>
      <c r="C46" s="30" t="s">
        <v>43</v>
      </c>
      <c r="D46" s="24" t="str">
        <f t="array" ref="D46">INDEX([1]PARCELLAIRE!$C$2:$C$85,MATCH(A46,IF([1]PARCELLAIRE!$D$2:$D$85=E46,[1]PARCELLAIRE!$A$2:$A$85,""),0))</f>
        <v>SOLEIHO</v>
      </c>
      <c r="E46" s="29" t="s">
        <v>29</v>
      </c>
      <c r="F46" s="31">
        <v>41179</v>
      </c>
      <c r="G46" s="38" t="s">
        <v>48</v>
      </c>
      <c r="H46" s="32" t="s">
        <v>14</v>
      </c>
      <c r="I46" s="24" t="str">
        <f>VLOOKUP(G46,[1]ACHATS!$C:$E,3,0)</f>
        <v>Kg</v>
      </c>
      <c r="J46" s="24" t="str">
        <f>VLOOKUP(G46,[1]ACHATS!$C:$D,2,0)</f>
        <v>ENGRAIS DE FOND</v>
      </c>
      <c r="K46" s="29">
        <v>268</v>
      </c>
      <c r="L46" s="33">
        <f>VLOOKUP(E46,[1]PARCELLAIRE!$D$2:$F$29,3,0)</f>
        <v>17.55</v>
      </c>
      <c r="M46" s="33">
        <f t="shared" si="0"/>
        <v>4703.4000000000005</v>
      </c>
      <c r="N46" s="34">
        <f t="array" ref="N46">INDEX('[1]COUT MOYEN - STOCK'!$G$2:$G$120,MATCH(A46,IF('[1]COUT MOYEN - STOCK'!$B$2:$B$120=G46,'[1]COUT MOYEN - STOCK'!$A$2:$A$120,""),0))</f>
        <v>0.36899999999999999</v>
      </c>
      <c r="O46" s="35">
        <f t="shared" si="1"/>
        <v>1735.5546000000002</v>
      </c>
      <c r="P46" s="36" t="str">
        <f t="shared" si="2"/>
        <v>Labaou Plaine</v>
      </c>
      <c r="Q46" s="37" t="s">
        <v>14</v>
      </c>
    </row>
    <row r="47" spans="1:17" ht="16.5" hidden="1" thickTop="1">
      <c r="A47" s="29">
        <v>2013</v>
      </c>
      <c r="B47" s="29" t="s">
        <v>164</v>
      </c>
      <c r="C47" s="30" t="s">
        <v>4</v>
      </c>
      <c r="D47" s="24" t="str">
        <f t="array" ref="D47">INDEX([1]PARCELLAIRE!$C$2:$C$85,MATCH(A47,IF([1]PARCELLAIRE!$D$2:$D$85=E47,[1]PARCELLAIRE!$A$2:$A$85,""),0))</f>
        <v>ISIDOR</v>
      </c>
      <c r="E47" s="29" t="s">
        <v>22</v>
      </c>
      <c r="F47" s="31">
        <v>41179</v>
      </c>
      <c r="G47" s="29" t="s">
        <v>42</v>
      </c>
      <c r="H47" s="32" t="s">
        <v>14</v>
      </c>
      <c r="I47" s="24" t="str">
        <f>VLOOKUP(G47,[1]ACHATS!$C:$E,3,0)</f>
        <v>Kg</v>
      </c>
      <c r="J47" s="24" t="str">
        <f>VLOOKUP(G47,[1]ACHATS!$C:$D,2,0)</f>
        <v>ENGRAIS DE FOND</v>
      </c>
      <c r="K47" s="29">
        <v>670</v>
      </c>
      <c r="L47" s="33">
        <f>VLOOKUP(E47,[1]PARCELLAIRE!$D$2:$F$29,3,0)</f>
        <v>8.58</v>
      </c>
      <c r="M47" s="33">
        <f t="shared" si="0"/>
        <v>5748.6</v>
      </c>
      <c r="N47" s="34">
        <f t="array" ref="N47">INDEX('[1]COUT MOYEN - STOCK'!$G$2:$G$120,MATCH(A47,IF('[1]COUT MOYEN - STOCK'!$B$2:$B$120=G47,'[1]COUT MOYEN - STOCK'!$A$2:$A$120,""),0))</f>
        <v>0.21568181818181817</v>
      </c>
      <c r="O47" s="35">
        <f t="shared" si="1"/>
        <v>1239.8685</v>
      </c>
      <c r="P47" s="36" t="str">
        <f t="shared" si="2"/>
        <v>Engleyse Route</v>
      </c>
      <c r="Q47" s="37" t="s">
        <v>14</v>
      </c>
    </row>
    <row r="48" spans="1:17" ht="16.5" hidden="1" thickTop="1">
      <c r="A48" s="29">
        <v>2013</v>
      </c>
      <c r="B48" s="29" t="s">
        <v>164</v>
      </c>
      <c r="C48" s="30" t="s">
        <v>47</v>
      </c>
      <c r="D48" s="24" t="str">
        <f t="array" ref="D48">INDEX([1]PARCELLAIRE!$C$2:$C$85,MATCH(A48,IF([1]PARCELLAIRE!$D$2:$D$85=E48,[1]PARCELLAIRE!$A$2:$A$85,""),0))</f>
        <v>MIRADOUX</v>
      </c>
      <c r="E48" s="29" t="s">
        <v>38</v>
      </c>
      <c r="F48" s="31">
        <v>41205</v>
      </c>
      <c r="G48" s="29" t="s">
        <v>44</v>
      </c>
      <c r="H48" s="32" t="s">
        <v>14</v>
      </c>
      <c r="I48" s="24" t="str">
        <f>VLOOKUP(G48,[1]ACHATS!$C:$E,3,0)</f>
        <v>L</v>
      </c>
      <c r="J48" s="24" t="str">
        <f>VLOOKUP(G48,[1]ACHATS!$C:$D,2,0)</f>
        <v>DESHERBANT</v>
      </c>
      <c r="K48" s="29">
        <v>1</v>
      </c>
      <c r="L48" s="33">
        <f>VLOOKUP(E48,[1]PARCELLAIRE!$D$2:$F$29,3,0)</f>
        <v>1.26</v>
      </c>
      <c r="M48" s="33">
        <f t="shared" si="0"/>
        <v>1.26</v>
      </c>
      <c r="N48" s="34">
        <f t="array" ref="N48">INDEX('[1]COUT MOYEN - STOCK'!$G$2:$G$120,MATCH(A48,IF('[1]COUT MOYEN - STOCK'!$B$2:$B$120=G48,'[1]COUT MOYEN - STOCK'!$A$2:$A$120,""),0))</f>
        <v>4.9381521739130436</v>
      </c>
      <c r="O48" s="35">
        <f t="shared" si="1"/>
        <v>6.2220717391304348</v>
      </c>
      <c r="P48" s="36" t="str">
        <f t="shared" si="2"/>
        <v>Seillonne</v>
      </c>
      <c r="Q48" s="37" t="s">
        <v>14</v>
      </c>
    </row>
    <row r="49" spans="1:17" ht="16.5" hidden="1" thickTop="1">
      <c r="A49" s="29">
        <v>2013</v>
      </c>
      <c r="B49" s="29" t="s">
        <v>164</v>
      </c>
      <c r="C49" s="30" t="s">
        <v>47</v>
      </c>
      <c r="D49" s="24" t="str">
        <f t="array" ref="D49">INDEX([1]PARCELLAIRE!$C$2:$C$85,MATCH(A49,IF([1]PARCELLAIRE!$D$2:$D$85=E49,[1]PARCELLAIRE!$A$2:$A$85,""),0))</f>
        <v>MIRADOUX</v>
      </c>
      <c r="E49" s="29" t="s">
        <v>19</v>
      </c>
      <c r="F49" s="31">
        <v>41205</v>
      </c>
      <c r="G49" s="29" t="s">
        <v>44</v>
      </c>
      <c r="H49" s="32" t="s">
        <v>14</v>
      </c>
      <c r="I49" s="24" t="str">
        <f>VLOOKUP(G49,[1]ACHATS!$C:$E,3,0)</f>
        <v>L</v>
      </c>
      <c r="J49" s="24" t="str">
        <f>VLOOKUP(G49,[1]ACHATS!$C:$D,2,0)</f>
        <v>DESHERBANT</v>
      </c>
      <c r="K49" s="29">
        <v>1</v>
      </c>
      <c r="L49" s="33">
        <f>VLOOKUP(E49,[1]PARCELLAIRE!$D$2:$F$29,3,0)</f>
        <v>5.67</v>
      </c>
      <c r="M49" s="33">
        <f t="shared" si="0"/>
        <v>5.67</v>
      </c>
      <c r="N49" s="34">
        <f t="array" ref="N49">INDEX('[1]COUT MOYEN - STOCK'!$G$2:$G$120,MATCH(A49,IF('[1]COUT MOYEN - STOCK'!$B$2:$B$120=G49,'[1]COUT MOYEN - STOCK'!$A$2:$A$120,""),0))</f>
        <v>4.9381521739130436</v>
      </c>
      <c r="O49" s="35">
        <f t="shared" si="1"/>
        <v>27.999322826086956</v>
      </c>
      <c r="P49" s="36" t="str">
        <f t="shared" si="2"/>
        <v>Bousquet Route</v>
      </c>
      <c r="Q49" s="37" t="s">
        <v>14</v>
      </c>
    </row>
    <row r="50" spans="1:17" ht="16.5" hidden="1" thickTop="1">
      <c r="A50" s="29">
        <v>2013</v>
      </c>
      <c r="B50" s="29" t="s">
        <v>164</v>
      </c>
      <c r="C50" s="30" t="s">
        <v>47</v>
      </c>
      <c r="D50" s="24" t="str">
        <f t="array" ref="D50">INDEX([1]PARCELLAIRE!$C$2:$C$85,MATCH(A50,IF([1]PARCELLAIRE!$D$2:$D$85=E50,[1]PARCELLAIRE!$A$2:$A$85,""),0))</f>
        <v>PESCADOUX</v>
      </c>
      <c r="E50" s="29" t="s">
        <v>17</v>
      </c>
      <c r="F50" s="31">
        <v>41205</v>
      </c>
      <c r="G50" s="29" t="s">
        <v>44</v>
      </c>
      <c r="H50" s="32" t="s">
        <v>14</v>
      </c>
      <c r="I50" s="24" t="str">
        <f>VLOOKUP(G50,[1]ACHATS!$C:$E,3,0)</f>
        <v>L</v>
      </c>
      <c r="J50" s="24" t="str">
        <f>VLOOKUP(G50,[1]ACHATS!$C:$D,2,0)</f>
        <v>DESHERBANT</v>
      </c>
      <c r="K50" s="29">
        <v>1</v>
      </c>
      <c r="L50" s="33">
        <f>VLOOKUP(E50,[1]PARCELLAIRE!$D$2:$F$29,3,0)</f>
        <v>5.27</v>
      </c>
      <c r="M50" s="33">
        <f t="shared" si="0"/>
        <v>5.27</v>
      </c>
      <c r="N50" s="34">
        <f t="array" ref="N50">INDEX('[1]COUT MOYEN - STOCK'!$G$2:$G$120,MATCH(A50,IF('[1]COUT MOYEN - STOCK'!$B$2:$B$120=G50,'[1]COUT MOYEN - STOCK'!$A$2:$A$120,""),0))</f>
        <v>4.9381521739130436</v>
      </c>
      <c r="O50" s="35">
        <f t="shared" si="1"/>
        <v>26.024061956521738</v>
      </c>
      <c r="P50" s="36" t="str">
        <f t="shared" si="2"/>
        <v>Bousquet Château</v>
      </c>
      <c r="Q50" s="37" t="s">
        <v>14</v>
      </c>
    </row>
    <row r="51" spans="1:17" ht="16.5" hidden="1" thickTop="1">
      <c r="A51" s="29">
        <v>2013</v>
      </c>
      <c r="B51" s="29" t="s">
        <v>164</v>
      </c>
      <c r="C51" s="30" t="s">
        <v>43</v>
      </c>
      <c r="D51" s="24" t="str">
        <f t="array" ref="D51">INDEX([1]PARCELLAIRE!$C$2:$C$85,MATCH(A51,IF([1]PARCELLAIRE!$D$2:$D$85=E51,[1]PARCELLAIRE!$A$2:$A$85,""),0))</f>
        <v>SOLEIHO</v>
      </c>
      <c r="E51" s="29" t="s">
        <v>29</v>
      </c>
      <c r="F51" s="31">
        <v>41205</v>
      </c>
      <c r="G51" s="29" t="s">
        <v>44</v>
      </c>
      <c r="H51" s="32" t="s">
        <v>14</v>
      </c>
      <c r="I51" s="24" t="str">
        <f>VLOOKUP(G51,[1]ACHATS!$C:$E,3,0)</f>
        <v>L</v>
      </c>
      <c r="J51" s="24" t="str">
        <f>VLOOKUP(G51,[1]ACHATS!$C:$D,2,0)</f>
        <v>DESHERBANT</v>
      </c>
      <c r="K51" s="29">
        <v>1</v>
      </c>
      <c r="L51" s="33">
        <f>VLOOKUP(E51,[1]PARCELLAIRE!$D$2:$F$29,3,0)</f>
        <v>17.55</v>
      </c>
      <c r="M51" s="33">
        <f t="shared" si="0"/>
        <v>17.55</v>
      </c>
      <c r="N51" s="34">
        <f t="array" ref="N51">INDEX('[1]COUT MOYEN - STOCK'!$G$2:$G$120,MATCH(A51,IF('[1]COUT MOYEN - STOCK'!$B$2:$B$120=G51,'[1]COUT MOYEN - STOCK'!$A$2:$A$120,""),0))</f>
        <v>4.9381521739130436</v>
      </c>
      <c r="O51" s="35">
        <f t="shared" si="1"/>
        <v>86.664570652173921</v>
      </c>
      <c r="P51" s="36" t="str">
        <f t="shared" si="2"/>
        <v>Labaou Plaine</v>
      </c>
      <c r="Q51" s="37" t="s">
        <v>14</v>
      </c>
    </row>
    <row r="52" spans="1:17" ht="16.5" hidden="1" thickTop="1">
      <c r="A52" s="29">
        <v>2013</v>
      </c>
      <c r="B52" s="29" t="s">
        <v>164</v>
      </c>
      <c r="C52" s="30" t="s">
        <v>43</v>
      </c>
      <c r="D52" s="24" t="str">
        <f t="array" ref="D52">INDEX([1]PARCELLAIRE!$C$2:$C$85,MATCH(A52,IF([1]PARCELLAIRE!$D$2:$D$85=E52,[1]PARCELLAIRE!$A$2:$A$85,""),0))</f>
        <v>SOLEIHO</v>
      </c>
      <c r="E52" s="29" t="s">
        <v>29</v>
      </c>
      <c r="F52" s="31">
        <v>41205</v>
      </c>
      <c r="G52" s="29" t="s">
        <v>45</v>
      </c>
      <c r="H52" s="32" t="s">
        <v>14</v>
      </c>
      <c r="I52" s="24" t="str">
        <f>VLOOKUP(G52,[1]ACHATS!$C:$E,3,0)</f>
        <v>L</v>
      </c>
      <c r="J52" s="24" t="str">
        <f>VLOOKUP(G52,[1]ACHATS!$C:$D,2,0)</f>
        <v>DIVERS</v>
      </c>
      <c r="K52" s="29">
        <v>0.2</v>
      </c>
      <c r="L52" s="33">
        <f>VLOOKUP(E52,[1]PARCELLAIRE!$D$2:$F$29,3,0)</f>
        <v>17.55</v>
      </c>
      <c r="M52" s="33">
        <f t="shared" si="0"/>
        <v>3.5100000000000002</v>
      </c>
      <c r="N52" s="34">
        <f t="array" ref="N52">INDEX('[1]COUT MOYEN - STOCK'!$G$2:$G$120,MATCH(A52,IF('[1]COUT MOYEN - STOCK'!$B$2:$B$120=G52,'[1]COUT MOYEN - STOCK'!$A$2:$A$120,""),0))</f>
        <v>11.01</v>
      </c>
      <c r="O52" s="35">
        <f t="shared" si="1"/>
        <v>38.645099999999999</v>
      </c>
      <c r="P52" s="36" t="str">
        <f t="shared" si="2"/>
        <v>Labaou Plaine</v>
      </c>
      <c r="Q52" s="37" t="s">
        <v>14</v>
      </c>
    </row>
    <row r="53" spans="1:17" ht="16.5" hidden="1" thickTop="1">
      <c r="A53" s="29">
        <v>2013</v>
      </c>
      <c r="B53" s="29" t="s">
        <v>164</v>
      </c>
      <c r="C53" s="30" t="s">
        <v>47</v>
      </c>
      <c r="D53" s="24" t="str">
        <f t="array" ref="D53">INDEX([1]PARCELLAIRE!$C$2:$C$85,MATCH(A53,IF([1]PARCELLAIRE!$D$2:$D$85=E53,[1]PARCELLAIRE!$A$2:$A$85,""),0))</f>
        <v>PESCADOUX</v>
      </c>
      <c r="E53" s="29" t="s">
        <v>17</v>
      </c>
      <c r="F53" s="31">
        <v>41205</v>
      </c>
      <c r="G53" s="29" t="s">
        <v>45</v>
      </c>
      <c r="H53" s="32" t="s">
        <v>14</v>
      </c>
      <c r="I53" s="24" t="str">
        <f>VLOOKUP(G53,[1]ACHATS!$C:$E,3,0)</f>
        <v>L</v>
      </c>
      <c r="J53" s="24" t="str">
        <f>VLOOKUP(G53,[1]ACHATS!$C:$D,2,0)</f>
        <v>DIVERS</v>
      </c>
      <c r="K53" s="29">
        <v>0.2</v>
      </c>
      <c r="L53" s="33">
        <f>VLOOKUP(E53,[1]PARCELLAIRE!$D$2:$F$29,3,0)</f>
        <v>5.27</v>
      </c>
      <c r="M53" s="33">
        <f t="shared" si="0"/>
        <v>1.054</v>
      </c>
      <c r="N53" s="34">
        <f t="array" ref="N53">INDEX('[1]COUT MOYEN - STOCK'!$G$2:$G$120,MATCH(A53,IF('[1]COUT MOYEN - STOCK'!$B$2:$B$120=G53,'[1]COUT MOYEN - STOCK'!$A$2:$A$120,""),0))</f>
        <v>11.01</v>
      </c>
      <c r="O53" s="35">
        <f t="shared" si="1"/>
        <v>11.60454</v>
      </c>
      <c r="P53" s="36" t="str">
        <f t="shared" si="2"/>
        <v>Bousquet Château</v>
      </c>
      <c r="Q53" s="37" t="s">
        <v>14</v>
      </c>
    </row>
    <row r="54" spans="1:17" ht="16.5" hidden="1" thickTop="1">
      <c r="A54" s="29">
        <v>2013</v>
      </c>
      <c r="B54" s="29" t="s">
        <v>164</v>
      </c>
      <c r="C54" s="30" t="s">
        <v>47</v>
      </c>
      <c r="D54" s="24" t="str">
        <f t="array" ref="D54">INDEX([1]PARCELLAIRE!$C$2:$C$85,MATCH(A54,IF([1]PARCELLAIRE!$D$2:$D$85=E54,[1]PARCELLAIRE!$A$2:$A$85,""),0))</f>
        <v>MIRADOUX</v>
      </c>
      <c r="E54" s="29" t="s">
        <v>19</v>
      </c>
      <c r="F54" s="31">
        <v>41205</v>
      </c>
      <c r="G54" s="29" t="s">
        <v>45</v>
      </c>
      <c r="H54" s="32" t="s">
        <v>14</v>
      </c>
      <c r="I54" s="24" t="str">
        <f>VLOOKUP(G54,[1]ACHATS!$C:$E,3,0)</f>
        <v>L</v>
      </c>
      <c r="J54" s="24" t="str">
        <f>VLOOKUP(G54,[1]ACHATS!$C:$D,2,0)</f>
        <v>DIVERS</v>
      </c>
      <c r="K54" s="29">
        <v>0.2</v>
      </c>
      <c r="L54" s="33">
        <f>VLOOKUP(E54,[1]PARCELLAIRE!$D$2:$F$29,3,0)</f>
        <v>5.67</v>
      </c>
      <c r="M54" s="33">
        <f t="shared" si="0"/>
        <v>1.1340000000000001</v>
      </c>
      <c r="N54" s="34">
        <f t="array" ref="N54">INDEX('[1]COUT MOYEN - STOCK'!$G$2:$G$120,MATCH(A54,IF('[1]COUT MOYEN - STOCK'!$B$2:$B$120=G54,'[1]COUT MOYEN - STOCK'!$A$2:$A$120,""),0))</f>
        <v>11.01</v>
      </c>
      <c r="O54" s="35">
        <f t="shared" si="1"/>
        <v>12.485340000000001</v>
      </c>
      <c r="P54" s="36" t="str">
        <f t="shared" si="2"/>
        <v>Bousquet Route</v>
      </c>
      <c r="Q54" s="37" t="s">
        <v>14</v>
      </c>
    </row>
    <row r="55" spans="1:17" ht="16.5" hidden="1" thickTop="1">
      <c r="A55" s="29">
        <v>2013</v>
      </c>
      <c r="B55" s="29" t="s">
        <v>164</v>
      </c>
      <c r="C55" s="30" t="s">
        <v>47</v>
      </c>
      <c r="D55" s="24" t="str">
        <f t="array" ref="D55">INDEX([1]PARCELLAIRE!$C$2:$C$85,MATCH(A55,IF([1]PARCELLAIRE!$D$2:$D$85=E55,[1]PARCELLAIRE!$A$2:$A$85,""),0))</f>
        <v>MIRADOUX</v>
      </c>
      <c r="E55" s="29" t="s">
        <v>38</v>
      </c>
      <c r="F55" s="31">
        <v>41205</v>
      </c>
      <c r="G55" s="29" t="s">
        <v>45</v>
      </c>
      <c r="H55" s="32" t="s">
        <v>14</v>
      </c>
      <c r="I55" s="24" t="str">
        <f>VLOOKUP(G55,[1]ACHATS!$C:$E,3,0)</f>
        <v>L</v>
      </c>
      <c r="J55" s="24" t="str">
        <f>VLOOKUP(G55,[1]ACHATS!$C:$D,2,0)</f>
        <v>DIVERS</v>
      </c>
      <c r="K55" s="29">
        <v>0.2</v>
      </c>
      <c r="L55" s="33">
        <f>VLOOKUP(E55,[1]PARCELLAIRE!$D$2:$F$29,3,0)</f>
        <v>1.26</v>
      </c>
      <c r="M55" s="33">
        <f t="shared" si="0"/>
        <v>0.252</v>
      </c>
      <c r="N55" s="34">
        <f t="array" ref="N55">INDEX('[1]COUT MOYEN - STOCK'!$G$2:$G$120,MATCH(A55,IF('[1]COUT MOYEN - STOCK'!$B$2:$B$120=G55,'[1]COUT MOYEN - STOCK'!$A$2:$A$120,""),0))</f>
        <v>11.01</v>
      </c>
      <c r="O55" s="35">
        <f t="shared" si="1"/>
        <v>2.7745199999999999</v>
      </c>
      <c r="P55" s="36" t="str">
        <f t="shared" si="2"/>
        <v>Seillonne</v>
      </c>
      <c r="Q55" s="37" t="s">
        <v>14</v>
      </c>
    </row>
    <row r="56" spans="1:17" ht="16.5" hidden="1" thickTop="1">
      <c r="A56" s="29">
        <v>2013</v>
      </c>
      <c r="B56" s="29" t="s">
        <v>164</v>
      </c>
      <c r="C56" s="30" t="s">
        <v>43</v>
      </c>
      <c r="D56" s="24" t="str">
        <f t="array" ref="D56">INDEX([1]PARCELLAIRE!$C$2:$C$85,MATCH(A56,IF([1]PARCELLAIRE!$D$2:$D$85=E56,[1]PARCELLAIRE!$A$2:$A$85,""),0))</f>
        <v>SOLEIHO</v>
      </c>
      <c r="E56" s="29" t="s">
        <v>29</v>
      </c>
      <c r="F56" s="31">
        <v>41206</v>
      </c>
      <c r="G56" s="29" t="s">
        <v>49</v>
      </c>
      <c r="H56" s="32" t="s">
        <v>14</v>
      </c>
      <c r="I56" s="24" t="str">
        <f>VLOOKUP(G56,[1]ACHATS!$C:$E,3,0)</f>
        <v>Kg</v>
      </c>
      <c r="J56" s="24" t="str">
        <f>VLOOKUP(G56,[1]ACHATS!$C:$D,2,0)</f>
        <v>SEMENCES</v>
      </c>
      <c r="K56" s="33">
        <v>153</v>
      </c>
      <c r="L56" s="33">
        <f>VLOOKUP(E56,[1]PARCELLAIRE!$D$2:$F$29,3,0)</f>
        <v>17.55</v>
      </c>
      <c r="M56" s="33">
        <f t="shared" si="0"/>
        <v>2685.15</v>
      </c>
      <c r="N56" s="34">
        <f t="array" ref="N56">INDEX('[1]COUT MOYEN - STOCK'!$G$2:$G$120,MATCH(A56,IF('[1]COUT MOYEN - STOCK'!$B$2:$B$120=G56,'[1]COUT MOYEN - STOCK'!$A$2:$A$120,""),0))</f>
        <v>0.71961111111111109</v>
      </c>
      <c r="O56" s="35">
        <f t="shared" si="1"/>
        <v>1932.2637749999999</v>
      </c>
      <c r="P56" s="36" t="str">
        <f t="shared" si="2"/>
        <v>Labaou Plaine</v>
      </c>
      <c r="Q56" s="37" t="s">
        <v>127</v>
      </c>
    </row>
    <row r="57" spans="1:17" ht="16.5" hidden="1" thickTop="1">
      <c r="A57" s="29">
        <v>2013</v>
      </c>
      <c r="B57" s="29" t="s">
        <v>164</v>
      </c>
      <c r="C57" s="30" t="s">
        <v>47</v>
      </c>
      <c r="D57" s="24" t="str">
        <f t="array" ref="D57">INDEX([1]PARCELLAIRE!$C$2:$C$85,MATCH(A57,IF([1]PARCELLAIRE!$D$2:$D$85=E57,[1]PARCELLAIRE!$A$2:$A$85,""),0))</f>
        <v>PESCADOUX</v>
      </c>
      <c r="E57" s="29" t="s">
        <v>17</v>
      </c>
      <c r="F57" s="31">
        <v>41207</v>
      </c>
      <c r="G57" s="29" t="s">
        <v>50</v>
      </c>
      <c r="H57" s="32" t="s">
        <v>14</v>
      </c>
      <c r="I57" s="24" t="str">
        <f>VLOOKUP(G57,[1]ACHATS!$C:$E,3,0)</f>
        <v>Kg</v>
      </c>
      <c r="J57" s="24" t="str">
        <f>VLOOKUP(G57,[1]ACHATS!$C:$D,2,0)</f>
        <v>SEMENCES</v>
      </c>
      <c r="K57" s="29">
        <v>168</v>
      </c>
      <c r="L57" s="33">
        <v>1.74</v>
      </c>
      <c r="M57" s="33">
        <f t="shared" si="0"/>
        <v>292.32</v>
      </c>
      <c r="N57" s="34">
        <f t="array" ref="N57">INDEX('[1]COUT MOYEN - STOCK'!$G$2:$G$120,MATCH(A57,IF('[1]COUT MOYEN - STOCK'!$B$2:$B$120=G57,'[1]COUT MOYEN - STOCK'!$A$2:$A$120,""),0))</f>
        <v>0.18610169491525425</v>
      </c>
      <c r="O57" s="35">
        <f t="shared" si="1"/>
        <v>54.401247457627122</v>
      </c>
      <c r="P57" s="36" t="str">
        <f t="shared" si="2"/>
        <v>Bousquet Château</v>
      </c>
      <c r="Q57" s="37" t="s">
        <v>128</v>
      </c>
    </row>
    <row r="58" spans="1:17" ht="16.5" hidden="1" thickTop="1">
      <c r="A58" s="29">
        <v>2013</v>
      </c>
      <c r="B58" s="29" t="s">
        <v>164</v>
      </c>
      <c r="C58" s="30" t="s">
        <v>47</v>
      </c>
      <c r="D58" s="24" t="str">
        <f t="array" ref="D58">INDEX([1]PARCELLAIRE!$C$2:$C$85,MATCH(A58,IF([1]PARCELLAIRE!$D$2:$D$85=E58,[1]PARCELLAIRE!$A$2:$A$85,""),0))</f>
        <v>MIRADOUX</v>
      </c>
      <c r="E58" s="29" t="s">
        <v>38</v>
      </c>
      <c r="F58" s="31">
        <v>41207</v>
      </c>
      <c r="G58" s="29" t="s">
        <v>50</v>
      </c>
      <c r="H58" s="32" t="s">
        <v>14</v>
      </c>
      <c r="I58" s="24" t="str">
        <f>VLOOKUP(G58,[1]ACHATS!$C:$E,3,0)</f>
        <v>Kg</v>
      </c>
      <c r="J58" s="24" t="str">
        <f>VLOOKUP(G58,[1]ACHATS!$C:$D,2,0)</f>
        <v>SEMENCES</v>
      </c>
      <c r="K58" s="29">
        <v>168</v>
      </c>
      <c r="L58" s="33">
        <f>VLOOKUP(E58,[1]PARCELLAIRE!$D$2:$F$29,3,0)</f>
        <v>1.26</v>
      </c>
      <c r="M58" s="33">
        <f t="shared" si="0"/>
        <v>211.68</v>
      </c>
      <c r="N58" s="34">
        <f t="array" ref="N58">INDEX('[1]COUT MOYEN - STOCK'!$G$2:$G$120,MATCH(A58,IF('[1]COUT MOYEN - STOCK'!$B$2:$B$120=G58,'[1]COUT MOYEN - STOCK'!$A$2:$A$120,""),0))</f>
        <v>0.18610169491525425</v>
      </c>
      <c r="O58" s="35">
        <f t="shared" si="1"/>
        <v>39.394006779661019</v>
      </c>
      <c r="P58" s="36" t="str">
        <f t="shared" si="2"/>
        <v>Seillonne</v>
      </c>
      <c r="Q58" s="37" t="s">
        <v>128</v>
      </c>
    </row>
    <row r="59" spans="1:17" ht="16.5" hidden="1" thickTop="1">
      <c r="A59" s="29">
        <v>2013</v>
      </c>
      <c r="B59" s="29" t="s">
        <v>164</v>
      </c>
      <c r="C59" s="30" t="s">
        <v>47</v>
      </c>
      <c r="D59" s="24" t="str">
        <f t="array" ref="D59">INDEX([1]PARCELLAIRE!$C$2:$C$85,MATCH(A59,IF([1]PARCELLAIRE!$D$2:$D$85=E59,[1]PARCELLAIRE!$A$2:$A$85,""),0))</f>
        <v>MIRADOUX</v>
      </c>
      <c r="E59" s="29" t="s">
        <v>19</v>
      </c>
      <c r="F59" s="31">
        <v>41207</v>
      </c>
      <c r="G59" s="29" t="s">
        <v>51</v>
      </c>
      <c r="H59" s="32" t="s">
        <v>14</v>
      </c>
      <c r="I59" s="24" t="str">
        <f>VLOOKUP(G59,[1]ACHATS!$C:$E,3,0)</f>
        <v>Kg</v>
      </c>
      <c r="J59" s="24" t="str">
        <f>VLOOKUP(G59,[1]ACHATS!$C:$D,2,0)</f>
        <v>SEMENCES</v>
      </c>
      <c r="K59" s="29">
        <v>168</v>
      </c>
      <c r="L59" s="33">
        <v>2.1</v>
      </c>
      <c r="M59" s="33">
        <f t="shared" si="0"/>
        <v>352.8</v>
      </c>
      <c r="N59" s="34">
        <f t="array" ref="N59">INDEX('[1]COUT MOYEN - STOCK'!$G$2:$G$120,MATCH(A59,IF('[1]COUT MOYEN - STOCK'!$B$2:$B$120=G59,'[1]COUT MOYEN - STOCK'!$A$2:$A$120,""),0))</f>
        <v>0.25980392156862747</v>
      </c>
      <c r="O59" s="35">
        <f t="shared" si="1"/>
        <v>91.658823529411777</v>
      </c>
      <c r="P59" s="36" t="str">
        <f t="shared" si="2"/>
        <v>Bousquet Route</v>
      </c>
      <c r="Q59" s="37" t="s">
        <v>129</v>
      </c>
    </row>
    <row r="60" spans="1:17" ht="16.5" hidden="1" thickTop="1">
      <c r="A60" s="29">
        <v>2013</v>
      </c>
      <c r="B60" s="29" t="s">
        <v>164</v>
      </c>
      <c r="C60" s="30" t="s">
        <v>47</v>
      </c>
      <c r="D60" s="24" t="str">
        <f t="array" ref="D60">INDEX([1]PARCELLAIRE!$C$2:$C$85,MATCH(A60,IF([1]PARCELLAIRE!$D$2:$D$85=E60,[1]PARCELLAIRE!$A$2:$A$85,""),0))</f>
        <v>MIRADOUX</v>
      </c>
      <c r="E60" s="29" t="s">
        <v>28</v>
      </c>
      <c r="F60" s="31">
        <v>41207</v>
      </c>
      <c r="G60" s="29" t="s">
        <v>51</v>
      </c>
      <c r="H60" s="32" t="s">
        <v>14</v>
      </c>
      <c r="I60" s="24" t="str">
        <f>VLOOKUP(G60,[1]ACHATS!$C:$E,3,0)</f>
        <v>Kg</v>
      </c>
      <c r="J60" s="24" t="str">
        <f>VLOOKUP(G60,[1]ACHATS!$C:$D,2,0)</f>
        <v>SEMENCES</v>
      </c>
      <c r="K60" s="29">
        <v>165</v>
      </c>
      <c r="L60" s="33">
        <f>VLOOKUP(E60,[1]PARCELLAIRE!$D$2:$F$29,3,0)</f>
        <v>11.9</v>
      </c>
      <c r="M60" s="33">
        <f t="shared" si="0"/>
        <v>1963.5</v>
      </c>
      <c r="N60" s="34">
        <f t="array" ref="N60">INDEX('[1]COUT MOYEN - STOCK'!$G$2:$G$120,MATCH(A60,IF('[1]COUT MOYEN - STOCK'!$B$2:$B$120=G60,'[1]COUT MOYEN - STOCK'!$A$2:$A$120,""),0))</f>
        <v>0.25980392156862747</v>
      </c>
      <c r="O60" s="35">
        <f t="shared" si="1"/>
        <v>510.12500000000006</v>
      </c>
      <c r="P60" s="36" t="str">
        <f t="shared" si="2"/>
        <v>Labaou Devant</v>
      </c>
      <c r="Q60" s="37" t="s">
        <v>130</v>
      </c>
    </row>
    <row r="61" spans="1:17" ht="16.5" hidden="1" thickTop="1">
      <c r="A61" s="29">
        <v>2013</v>
      </c>
      <c r="B61" s="29" t="s">
        <v>164</v>
      </c>
      <c r="C61" s="30" t="s">
        <v>47</v>
      </c>
      <c r="D61" s="24" t="str">
        <f t="array" ref="D61">INDEX([1]PARCELLAIRE!$C$2:$C$85,MATCH(A61,IF([1]PARCELLAIRE!$D$2:$D$85=E61,[1]PARCELLAIRE!$A$2:$A$85,""),0))</f>
        <v>MIRADOUX</v>
      </c>
      <c r="E61" s="29" t="s">
        <v>25</v>
      </c>
      <c r="F61" s="31">
        <v>41207</v>
      </c>
      <c r="G61" s="29" t="s">
        <v>51</v>
      </c>
      <c r="H61" s="32" t="s">
        <v>14</v>
      </c>
      <c r="I61" s="24" t="str">
        <f>VLOOKUP(G61,[1]ACHATS!$C:$E,3,0)</f>
        <v>Kg</v>
      </c>
      <c r="J61" s="24" t="str">
        <f>VLOOKUP(G61,[1]ACHATS!$C:$D,2,0)</f>
        <v>SEMENCES</v>
      </c>
      <c r="K61" s="29">
        <v>165</v>
      </c>
      <c r="L61" s="33">
        <f>VLOOKUP(E61,[1]PARCELLAIRE!$D$2:$F$29,3,0)</f>
        <v>7.5</v>
      </c>
      <c r="M61" s="33">
        <f t="shared" si="0"/>
        <v>1237.5</v>
      </c>
      <c r="N61" s="34">
        <f t="array" ref="N61">INDEX('[1]COUT MOYEN - STOCK'!$G$2:$G$120,MATCH(A61,IF('[1]COUT MOYEN - STOCK'!$B$2:$B$120=G61,'[1]COUT MOYEN - STOCK'!$A$2:$A$120,""),0))</f>
        <v>0.25980392156862747</v>
      </c>
      <c r="O61" s="35">
        <f t="shared" si="1"/>
        <v>321.50735294117652</v>
      </c>
      <c r="P61" s="36" t="str">
        <f t="shared" si="2"/>
        <v>Escarcelou Pte</v>
      </c>
      <c r="Q61" s="37" t="s">
        <v>130</v>
      </c>
    </row>
    <row r="62" spans="1:17" ht="16.5" hidden="1" thickTop="1">
      <c r="A62" s="29">
        <v>2013</v>
      </c>
      <c r="B62" s="29" t="s">
        <v>164</v>
      </c>
      <c r="C62" s="30" t="s">
        <v>47</v>
      </c>
      <c r="D62" s="24" t="str">
        <f t="array" ref="D62">INDEX([1]PARCELLAIRE!$C$2:$C$85,MATCH(A62,IF([1]PARCELLAIRE!$D$2:$D$85=E62,[1]PARCELLAIRE!$A$2:$A$85,""),0))</f>
        <v>MIRADOUX</v>
      </c>
      <c r="E62" s="29" t="s">
        <v>23</v>
      </c>
      <c r="F62" s="31">
        <v>41207</v>
      </c>
      <c r="G62" s="29" t="s">
        <v>51</v>
      </c>
      <c r="H62" s="32" t="s">
        <v>14</v>
      </c>
      <c r="I62" s="24" t="str">
        <f>VLOOKUP(G62,[1]ACHATS!$C:$E,3,0)</f>
        <v>Kg</v>
      </c>
      <c r="J62" s="24" t="str">
        <f>VLOOKUP(G62,[1]ACHATS!$C:$D,2,0)</f>
        <v>SEMENCES</v>
      </c>
      <c r="K62" s="29">
        <v>165</v>
      </c>
      <c r="L62" s="33">
        <f>VLOOKUP(E62,[1]PARCELLAIRE!$D$2:$F$29,3,0)</f>
        <v>7.58</v>
      </c>
      <c r="M62" s="33">
        <f t="shared" si="0"/>
        <v>1250.7</v>
      </c>
      <c r="N62" s="34">
        <f t="array" ref="N62">INDEX('[1]COUT MOYEN - STOCK'!$G$2:$G$120,MATCH(A62,IF('[1]COUT MOYEN - STOCK'!$B$2:$B$120=G62,'[1]COUT MOYEN - STOCK'!$A$2:$A$120,""),0))</f>
        <v>0.25980392156862747</v>
      </c>
      <c r="O62" s="35">
        <f t="shared" si="1"/>
        <v>324.93676470588241</v>
      </c>
      <c r="P62" s="36" t="str">
        <f t="shared" si="2"/>
        <v>Escarcelou</v>
      </c>
      <c r="Q62" s="37" t="s">
        <v>130</v>
      </c>
    </row>
    <row r="63" spans="1:17" ht="16.5" hidden="1" thickTop="1">
      <c r="A63" s="29">
        <v>2013</v>
      </c>
      <c r="B63" s="29" t="s">
        <v>164</v>
      </c>
      <c r="C63" s="30" t="s">
        <v>47</v>
      </c>
      <c r="D63" s="24" t="str">
        <f t="array" ref="D63">INDEX([1]PARCELLAIRE!$C$2:$C$85,MATCH(A63,IF([1]PARCELLAIRE!$D$2:$D$85=E63,[1]PARCELLAIRE!$A$2:$A$85,""),0))</f>
        <v>PESCADOUX</v>
      </c>
      <c r="E63" s="29" t="s">
        <v>17</v>
      </c>
      <c r="F63" s="31">
        <v>41207</v>
      </c>
      <c r="G63" s="29" t="s">
        <v>52</v>
      </c>
      <c r="H63" s="32" t="s">
        <v>14</v>
      </c>
      <c r="I63" s="24" t="str">
        <f>VLOOKUP(G63,[1]ACHATS!$C:$E,3,0)</f>
        <v>Kg</v>
      </c>
      <c r="J63" s="24" t="str">
        <f>VLOOKUP(G63,[1]ACHATS!$C:$D,2,0)</f>
        <v>SEMENCES</v>
      </c>
      <c r="K63" s="29">
        <v>170</v>
      </c>
      <c r="L63" s="33">
        <v>3.5249999999999999</v>
      </c>
      <c r="M63" s="33">
        <f t="shared" si="0"/>
        <v>599.25</v>
      </c>
      <c r="N63" s="34">
        <f t="array" ref="N63">INDEX('[1]COUT MOYEN - STOCK'!$G$2:$G$120,MATCH(A63,IF('[1]COUT MOYEN - STOCK'!$B$2:$B$120=G63,'[1]COUT MOYEN - STOCK'!$A$2:$A$120,""),0))</f>
        <v>0.80500000000000005</v>
      </c>
      <c r="O63" s="35">
        <f t="shared" si="1"/>
        <v>482.39625000000001</v>
      </c>
      <c r="P63" s="36" t="str">
        <f t="shared" si="2"/>
        <v>Bousquet Château</v>
      </c>
      <c r="Q63" s="37" t="s">
        <v>131</v>
      </c>
    </row>
    <row r="64" spans="1:17" ht="16.5" hidden="1" thickTop="1">
      <c r="A64" s="29">
        <v>2013</v>
      </c>
      <c r="B64" s="29" t="s">
        <v>164</v>
      </c>
      <c r="C64" s="30" t="s">
        <v>47</v>
      </c>
      <c r="D64" s="24" t="str">
        <f t="array" ref="D64">INDEX([1]PARCELLAIRE!$C$2:$C$85,MATCH(A64,IF([1]PARCELLAIRE!$D$2:$D$85=E64,[1]PARCELLAIRE!$A$2:$A$85,""),0))</f>
        <v>MIRADOUX</v>
      </c>
      <c r="E64" s="29" t="s">
        <v>19</v>
      </c>
      <c r="F64" s="31">
        <v>41207</v>
      </c>
      <c r="G64" s="29" t="s">
        <v>53</v>
      </c>
      <c r="H64" s="32" t="s">
        <v>14</v>
      </c>
      <c r="I64" s="24" t="str">
        <f>VLOOKUP(G64,[1]ACHATS!$C:$E,3,0)</f>
        <v>Kg</v>
      </c>
      <c r="J64" s="24" t="str">
        <f>VLOOKUP(G64,[1]ACHATS!$C:$D,2,0)</f>
        <v>SEMENCES</v>
      </c>
      <c r="K64" s="29">
        <v>168</v>
      </c>
      <c r="L64" s="33">
        <v>3.57</v>
      </c>
      <c r="M64" s="33">
        <f t="shared" si="0"/>
        <v>599.76</v>
      </c>
      <c r="N64" s="34">
        <f t="array" ref="N64">INDEX('[1]COUT MOYEN - STOCK'!$G$2:$G$120,MATCH(A64,IF('[1]COUT MOYEN - STOCK'!$B$2:$B$120=G64,'[1]COUT MOYEN - STOCK'!$A$2:$A$120,""),0))</f>
        <v>0.80500000000000005</v>
      </c>
      <c r="O64" s="35">
        <f t="shared" si="1"/>
        <v>482.80680000000001</v>
      </c>
      <c r="P64" s="36" t="str">
        <f t="shared" si="2"/>
        <v>Bousquet Route</v>
      </c>
      <c r="Q64" s="37" t="s">
        <v>129</v>
      </c>
    </row>
    <row r="65" spans="1:17" ht="16.5" hidden="1" thickTop="1">
      <c r="A65" s="29">
        <v>2013</v>
      </c>
      <c r="B65" s="29" t="s">
        <v>164</v>
      </c>
      <c r="C65" s="30" t="s">
        <v>47</v>
      </c>
      <c r="D65" s="24" t="str">
        <f t="array" ref="D65">INDEX([1]PARCELLAIRE!$C$2:$C$85,MATCH(A65,IF([1]PARCELLAIRE!$D$2:$D$85=E65,[1]PARCELLAIRE!$A$2:$A$85,""),0))</f>
        <v>MIRADOUX</v>
      </c>
      <c r="E65" s="29" t="s">
        <v>24</v>
      </c>
      <c r="F65" s="31">
        <v>41207</v>
      </c>
      <c r="G65" s="29" t="s">
        <v>51</v>
      </c>
      <c r="H65" s="32" t="s">
        <v>14</v>
      </c>
      <c r="I65" s="24" t="str">
        <f>VLOOKUP(G65,[1]ACHATS!$C:$E,3,0)</f>
        <v>Kg</v>
      </c>
      <c r="J65" s="24" t="str">
        <f>VLOOKUP(G65,[1]ACHATS!$C:$D,2,0)</f>
        <v>SEMENCES</v>
      </c>
      <c r="K65" s="29">
        <v>165</v>
      </c>
      <c r="L65" s="33">
        <f>VLOOKUP(E65,[1]PARCELLAIRE!$D$2:$F$29,3,0)</f>
        <v>1.34</v>
      </c>
      <c r="M65" s="33">
        <f t="shared" si="0"/>
        <v>221.10000000000002</v>
      </c>
      <c r="N65" s="34">
        <f t="array" ref="N65">INDEX('[1]COUT MOYEN - STOCK'!$G$2:$G$120,MATCH(A65,IF('[1]COUT MOYEN - STOCK'!$B$2:$B$120=G65,'[1]COUT MOYEN - STOCK'!$A$2:$A$120,""),0))</f>
        <v>0.25980392156862747</v>
      </c>
      <c r="O65" s="35">
        <f t="shared" si="1"/>
        <v>57.442647058823539</v>
      </c>
      <c r="P65" s="36" t="str">
        <f t="shared" si="2"/>
        <v>Escarcelou Jachère</v>
      </c>
      <c r="Q65" s="37" t="s">
        <v>130</v>
      </c>
    </row>
    <row r="66" spans="1:17" ht="16.5" hidden="1" thickTop="1">
      <c r="A66" s="29">
        <v>2013</v>
      </c>
      <c r="B66" s="29" t="s">
        <v>164</v>
      </c>
      <c r="C66" s="30" t="s">
        <v>47</v>
      </c>
      <c r="D66" s="24" t="str">
        <f t="array" ref="D66">INDEX([1]PARCELLAIRE!$C$2:$C$85,MATCH(A66,IF([1]PARCELLAIRE!$D$2:$D$85=E66,[1]PARCELLAIRE!$A$2:$A$85,""),0))</f>
        <v>PESCADOUX</v>
      </c>
      <c r="E66" s="29" t="s">
        <v>32</v>
      </c>
      <c r="F66" s="31">
        <v>41211</v>
      </c>
      <c r="G66" s="29" t="s">
        <v>44</v>
      </c>
      <c r="H66" s="32" t="s">
        <v>14</v>
      </c>
      <c r="I66" s="24" t="str">
        <f>VLOOKUP(G66,[1]ACHATS!$C:$E,3,0)</f>
        <v>L</v>
      </c>
      <c r="J66" s="24" t="str">
        <f>VLOOKUP(G66,[1]ACHATS!$C:$D,2,0)</f>
        <v>DESHERBANT</v>
      </c>
      <c r="K66" s="29">
        <v>1</v>
      </c>
      <c r="L66" s="33">
        <f>VLOOKUP(E66,[1]PARCELLAIRE!$D$2:$F$29,3,0)</f>
        <v>16.440000000000001</v>
      </c>
      <c r="M66" s="33">
        <f t="shared" ref="M66:M129" si="3">L66*K66</f>
        <v>16.440000000000001</v>
      </c>
      <c r="N66" s="34">
        <f t="array" ref="N66">INDEX('[1]COUT MOYEN - STOCK'!$G$2:$G$120,MATCH(A66,IF('[1]COUT MOYEN - STOCK'!$B$2:$B$120=G66,'[1]COUT MOYEN - STOCK'!$A$2:$A$120,""),0))</f>
        <v>4.9381521739130436</v>
      </c>
      <c r="O66" s="35">
        <f t="shared" ref="O66:O129" si="4">N66*M66</f>
        <v>81.183221739130445</v>
      </c>
      <c r="P66" s="36" t="str">
        <f t="shared" ref="P66:P129" si="5">IF(WHEN=A66,E66,1)</f>
        <v>Lescandes Côteau</v>
      </c>
      <c r="Q66" s="37" t="s">
        <v>14</v>
      </c>
    </row>
    <row r="67" spans="1:17" ht="16.5" hidden="1" thickTop="1">
      <c r="A67" s="29">
        <v>2013</v>
      </c>
      <c r="B67" s="29" t="s">
        <v>164</v>
      </c>
      <c r="C67" s="30" t="s">
        <v>47</v>
      </c>
      <c r="D67" s="24" t="str">
        <f t="array" ref="D67">INDEX([1]PARCELLAIRE!$C$2:$C$85,MATCH(A67,IF([1]PARCELLAIRE!$D$2:$D$85=E67,[1]PARCELLAIRE!$A$2:$A$85,""),0))</f>
        <v>PESCADOUX</v>
      </c>
      <c r="E67" s="29" t="s">
        <v>31</v>
      </c>
      <c r="F67" s="31">
        <v>41211</v>
      </c>
      <c r="G67" s="29" t="s">
        <v>44</v>
      </c>
      <c r="H67" s="32" t="s">
        <v>14</v>
      </c>
      <c r="I67" s="24" t="str">
        <f>VLOOKUP(G67,[1]ACHATS!$C:$E,3,0)</f>
        <v>L</v>
      </c>
      <c r="J67" s="24" t="str">
        <f>VLOOKUP(G67,[1]ACHATS!$C:$D,2,0)</f>
        <v>DESHERBANT</v>
      </c>
      <c r="K67" s="29">
        <v>1</v>
      </c>
      <c r="L67" s="33">
        <f>VLOOKUP(E67,[1]PARCELLAIRE!$D$2:$F$29,3,0)</f>
        <v>2.67</v>
      </c>
      <c r="M67" s="33">
        <f t="shared" si="3"/>
        <v>2.67</v>
      </c>
      <c r="N67" s="34">
        <f t="array" ref="N67">INDEX('[1]COUT MOYEN - STOCK'!$G$2:$G$120,MATCH(A67,IF('[1]COUT MOYEN - STOCK'!$B$2:$B$120=G67,'[1]COUT MOYEN - STOCK'!$A$2:$A$120,""),0))</f>
        <v>4.9381521739130436</v>
      </c>
      <c r="O67" s="35">
        <f t="shared" si="4"/>
        <v>13.184866304347826</v>
      </c>
      <c r="P67" s="36" t="str">
        <f t="shared" si="5"/>
        <v>Lescandes</v>
      </c>
      <c r="Q67" s="37" t="s">
        <v>14</v>
      </c>
    </row>
    <row r="68" spans="1:17" ht="16.5" hidden="1" thickTop="1">
      <c r="A68" s="29">
        <v>2013</v>
      </c>
      <c r="B68" s="29" t="s">
        <v>164</v>
      </c>
      <c r="C68" s="30" t="s">
        <v>47</v>
      </c>
      <c r="D68" s="24" t="str">
        <f t="array" ref="D68">INDEX([1]PARCELLAIRE!$C$2:$C$85,MATCH(A68,IF([1]PARCELLAIRE!$D$2:$D$85=E68,[1]PARCELLAIRE!$A$2:$A$85,""),0))</f>
        <v>FABULIS - PESCADOUX</v>
      </c>
      <c r="E68" s="29" t="s">
        <v>30</v>
      </c>
      <c r="F68" s="31">
        <v>41211</v>
      </c>
      <c r="G68" s="29" t="s">
        <v>44</v>
      </c>
      <c r="H68" s="32" t="s">
        <v>14</v>
      </c>
      <c r="I68" s="24" t="str">
        <f>VLOOKUP(G68,[1]ACHATS!$C:$E,3,0)</f>
        <v>L</v>
      </c>
      <c r="J68" s="24" t="str">
        <f>VLOOKUP(G68,[1]ACHATS!$C:$D,2,0)</f>
        <v>DESHERBANT</v>
      </c>
      <c r="K68" s="29">
        <v>1</v>
      </c>
      <c r="L68" s="33">
        <f>VLOOKUP(E68,[1]PARCELLAIRE!$D$2:$F$29,3,0)</f>
        <v>5.07</v>
      </c>
      <c r="M68" s="33">
        <f t="shared" si="3"/>
        <v>5.07</v>
      </c>
      <c r="N68" s="34">
        <f t="array" ref="N68">INDEX('[1]COUT MOYEN - STOCK'!$G$2:$G$120,MATCH(A68,IF('[1]COUT MOYEN - STOCK'!$B$2:$B$120=G68,'[1]COUT MOYEN - STOCK'!$A$2:$A$120,""),0))</f>
        <v>4.9381521739130436</v>
      </c>
      <c r="O68" s="35">
        <f t="shared" si="4"/>
        <v>25.036431521739132</v>
      </c>
      <c r="P68" s="36" t="str">
        <f t="shared" si="5"/>
        <v>Laclos</v>
      </c>
      <c r="Q68" s="37" t="s">
        <v>14</v>
      </c>
    </row>
    <row r="69" spans="1:17" ht="16.5" hidden="1" thickTop="1">
      <c r="A69" s="29">
        <v>2013</v>
      </c>
      <c r="B69" s="29" t="s">
        <v>164</v>
      </c>
      <c r="C69" s="30" t="s">
        <v>47</v>
      </c>
      <c r="D69" s="24" t="str">
        <f t="array" ref="D69">INDEX([1]PARCELLAIRE!$C$2:$C$85,MATCH(A69,IF([1]PARCELLAIRE!$D$2:$D$85=E69,[1]PARCELLAIRE!$A$2:$A$85,""),0))</f>
        <v>MIRADOUX</v>
      </c>
      <c r="E69" s="29" t="s">
        <v>23</v>
      </c>
      <c r="F69" s="31">
        <v>41211</v>
      </c>
      <c r="G69" s="29" t="s">
        <v>44</v>
      </c>
      <c r="H69" s="32" t="s">
        <v>14</v>
      </c>
      <c r="I69" s="24" t="str">
        <f>VLOOKUP(G69,[1]ACHATS!$C:$E,3,0)</f>
        <v>L</v>
      </c>
      <c r="J69" s="24" t="str">
        <f>VLOOKUP(G69,[1]ACHATS!$C:$D,2,0)</f>
        <v>DESHERBANT</v>
      </c>
      <c r="K69" s="29">
        <v>1</v>
      </c>
      <c r="L69" s="33">
        <f>VLOOKUP(E69,[1]PARCELLAIRE!$D$2:$F$29,3,0)</f>
        <v>7.58</v>
      </c>
      <c r="M69" s="33">
        <f t="shared" si="3"/>
        <v>7.58</v>
      </c>
      <c r="N69" s="34">
        <f t="array" ref="N69">INDEX('[1]COUT MOYEN - STOCK'!$G$2:$G$120,MATCH(A69,IF('[1]COUT MOYEN - STOCK'!$B$2:$B$120=G69,'[1]COUT MOYEN - STOCK'!$A$2:$A$120,""),0))</f>
        <v>4.9381521739130436</v>
      </c>
      <c r="O69" s="35">
        <f t="shared" si="4"/>
        <v>37.431193478260873</v>
      </c>
      <c r="P69" s="36" t="str">
        <f t="shared" si="5"/>
        <v>Escarcelou</v>
      </c>
      <c r="Q69" s="37" t="s">
        <v>14</v>
      </c>
    </row>
    <row r="70" spans="1:17" ht="16.5" hidden="1" thickTop="1">
      <c r="A70" s="29">
        <v>2013</v>
      </c>
      <c r="B70" s="29" t="s">
        <v>164</v>
      </c>
      <c r="C70" s="30" t="s">
        <v>47</v>
      </c>
      <c r="D70" s="24" t="str">
        <f t="array" ref="D70">INDEX([1]PARCELLAIRE!$C$2:$C$85,MATCH(A70,IF([1]PARCELLAIRE!$D$2:$D$85=E70,[1]PARCELLAIRE!$A$2:$A$85,""),0))</f>
        <v>MIRADOUX</v>
      </c>
      <c r="E70" s="29" t="s">
        <v>28</v>
      </c>
      <c r="F70" s="31">
        <v>41211</v>
      </c>
      <c r="G70" s="29" t="s">
        <v>44</v>
      </c>
      <c r="H70" s="32" t="s">
        <v>14</v>
      </c>
      <c r="I70" s="24" t="str">
        <f>VLOOKUP(G70,[1]ACHATS!$C:$E,3,0)</f>
        <v>L</v>
      </c>
      <c r="J70" s="24" t="str">
        <f>VLOOKUP(G70,[1]ACHATS!$C:$D,2,0)</f>
        <v>DESHERBANT</v>
      </c>
      <c r="K70" s="29">
        <v>1</v>
      </c>
      <c r="L70" s="33">
        <f>VLOOKUP(E70,[1]PARCELLAIRE!$D$2:$F$29,3,0)</f>
        <v>11.9</v>
      </c>
      <c r="M70" s="33">
        <f t="shared" si="3"/>
        <v>11.9</v>
      </c>
      <c r="N70" s="34">
        <f t="array" ref="N70">INDEX('[1]COUT MOYEN - STOCK'!$G$2:$G$120,MATCH(A70,IF('[1]COUT MOYEN - STOCK'!$B$2:$B$120=G70,'[1]COUT MOYEN - STOCK'!$A$2:$A$120,""),0))</f>
        <v>4.9381521739130436</v>
      </c>
      <c r="O70" s="35">
        <f t="shared" si="4"/>
        <v>58.764010869565219</v>
      </c>
      <c r="P70" s="36" t="str">
        <f t="shared" si="5"/>
        <v>Labaou Devant</v>
      </c>
      <c r="Q70" s="37" t="s">
        <v>14</v>
      </c>
    </row>
    <row r="71" spans="1:17" ht="16.5" hidden="1" thickTop="1">
      <c r="A71" s="29">
        <v>2013</v>
      </c>
      <c r="B71" s="29" t="s">
        <v>164</v>
      </c>
      <c r="C71" s="30" t="s">
        <v>47</v>
      </c>
      <c r="D71" s="24" t="str">
        <f t="array" ref="D71">INDEX([1]PARCELLAIRE!$C$2:$C$85,MATCH(A71,IF([1]PARCELLAIRE!$D$2:$D$85=E71,[1]PARCELLAIRE!$A$2:$A$85,""),0))</f>
        <v>MIRADOUX</v>
      </c>
      <c r="E71" s="29" t="s">
        <v>25</v>
      </c>
      <c r="F71" s="31">
        <v>41211</v>
      </c>
      <c r="G71" s="29" t="s">
        <v>44</v>
      </c>
      <c r="H71" s="32" t="s">
        <v>14</v>
      </c>
      <c r="I71" s="24" t="str">
        <f>VLOOKUP(G71,[1]ACHATS!$C:$E,3,0)</f>
        <v>L</v>
      </c>
      <c r="J71" s="24" t="str">
        <f>VLOOKUP(G71,[1]ACHATS!$C:$D,2,0)</f>
        <v>DESHERBANT</v>
      </c>
      <c r="K71" s="29">
        <v>1</v>
      </c>
      <c r="L71" s="33">
        <f>VLOOKUP(E71,[1]PARCELLAIRE!$D$2:$F$29,3,0)</f>
        <v>7.5</v>
      </c>
      <c r="M71" s="33">
        <f t="shared" si="3"/>
        <v>7.5</v>
      </c>
      <c r="N71" s="34">
        <f t="array" ref="N71">INDEX('[1]COUT MOYEN - STOCK'!$G$2:$G$120,MATCH(A71,IF('[1]COUT MOYEN - STOCK'!$B$2:$B$120=G71,'[1]COUT MOYEN - STOCK'!$A$2:$A$120,""),0))</f>
        <v>4.9381521739130436</v>
      </c>
      <c r="O71" s="35">
        <f t="shared" si="4"/>
        <v>37.036141304347829</v>
      </c>
      <c r="P71" s="36" t="str">
        <f t="shared" si="5"/>
        <v>Escarcelou Pte</v>
      </c>
      <c r="Q71" s="37" t="s">
        <v>14</v>
      </c>
    </row>
    <row r="72" spans="1:17" ht="16.5" hidden="1" thickTop="1">
      <c r="A72" s="29">
        <v>2013</v>
      </c>
      <c r="B72" s="29" t="s">
        <v>164</v>
      </c>
      <c r="C72" s="30" t="s">
        <v>39</v>
      </c>
      <c r="D72" s="24" t="str">
        <f t="array" ref="D72">INDEX([1]PARCELLAIRE!$C$2:$C$85,MATCH(A72,IF([1]PARCELLAIRE!$D$2:$D$85=E72,[1]PARCELLAIRE!$A$2:$A$85,""),0))</f>
        <v>LG5474</v>
      </c>
      <c r="E72" s="29" t="s">
        <v>33</v>
      </c>
      <c r="F72" s="31">
        <v>41211</v>
      </c>
      <c r="G72" s="29" t="s">
        <v>44</v>
      </c>
      <c r="H72" s="32" t="s">
        <v>14</v>
      </c>
      <c r="I72" s="24" t="str">
        <f>VLOOKUP(G72,[1]ACHATS!$C:$E,3,0)</f>
        <v>L</v>
      </c>
      <c r="J72" s="24" t="str">
        <f>VLOOKUP(G72,[1]ACHATS!$C:$D,2,0)</f>
        <v>DESHERBANT</v>
      </c>
      <c r="K72" s="33">
        <v>1</v>
      </c>
      <c r="L72" s="33">
        <f>VLOOKUP(E72,[1]PARCELLAIRE!$D$2:$F$29,3,0)</f>
        <v>21.88</v>
      </c>
      <c r="M72" s="33">
        <f t="shared" si="3"/>
        <v>21.88</v>
      </c>
      <c r="N72" s="34">
        <f t="array" ref="N72">INDEX('[1]COUT MOYEN - STOCK'!$G$2:$G$120,MATCH(A72,IF('[1]COUT MOYEN - STOCK'!$B$2:$B$120=G72,'[1]COUT MOYEN - STOCK'!$A$2:$A$120,""),0))</f>
        <v>4.9381521739130436</v>
      </c>
      <c r="O72" s="35">
        <f t="shared" si="4"/>
        <v>108.04676956521739</v>
      </c>
      <c r="P72" s="36" t="str">
        <f t="shared" si="5"/>
        <v>Moulin Barthes</v>
      </c>
      <c r="Q72" s="37" t="s">
        <v>14</v>
      </c>
    </row>
    <row r="73" spans="1:17" ht="16.5" hidden="1" thickTop="1">
      <c r="A73" s="29">
        <v>2013</v>
      </c>
      <c r="B73" s="29" t="s">
        <v>164</v>
      </c>
      <c r="C73" s="30" t="s">
        <v>47</v>
      </c>
      <c r="D73" s="24" t="str">
        <f t="array" ref="D73">INDEX([1]PARCELLAIRE!$C$2:$C$85,MATCH(A73,IF([1]PARCELLAIRE!$D$2:$D$85=E73,[1]PARCELLAIRE!$A$2:$A$85,""),0))</f>
        <v>MIRADOUX</v>
      </c>
      <c r="E73" s="29" t="s">
        <v>23</v>
      </c>
      <c r="F73" s="31">
        <v>41211</v>
      </c>
      <c r="G73" s="29" t="s">
        <v>45</v>
      </c>
      <c r="H73" s="32" t="s">
        <v>14</v>
      </c>
      <c r="I73" s="24" t="str">
        <f>VLOOKUP(G73,[1]ACHATS!$C:$E,3,0)</f>
        <v>L</v>
      </c>
      <c r="J73" s="24" t="str">
        <f>VLOOKUP(G73,[1]ACHATS!$C:$D,2,0)</f>
        <v>DIVERS</v>
      </c>
      <c r="K73" s="29">
        <v>0.2</v>
      </c>
      <c r="L73" s="33">
        <f>VLOOKUP(E73,[1]PARCELLAIRE!$D$2:$F$29,3,0)</f>
        <v>7.58</v>
      </c>
      <c r="M73" s="33">
        <f t="shared" si="3"/>
        <v>1.516</v>
      </c>
      <c r="N73" s="34">
        <f t="array" ref="N73">INDEX('[1]COUT MOYEN - STOCK'!$G$2:$G$120,MATCH(A73,IF('[1]COUT MOYEN - STOCK'!$B$2:$B$120=G73,'[1]COUT MOYEN - STOCK'!$A$2:$A$120,""),0))</f>
        <v>11.01</v>
      </c>
      <c r="O73" s="35">
        <f t="shared" si="4"/>
        <v>16.69116</v>
      </c>
      <c r="P73" s="36" t="str">
        <f t="shared" si="5"/>
        <v>Escarcelou</v>
      </c>
      <c r="Q73" s="37" t="s">
        <v>14</v>
      </c>
    </row>
    <row r="74" spans="1:17" ht="16.5" hidden="1" thickTop="1">
      <c r="A74" s="29">
        <v>2013</v>
      </c>
      <c r="B74" s="29" t="s">
        <v>164</v>
      </c>
      <c r="C74" s="30" t="s">
        <v>47</v>
      </c>
      <c r="D74" s="24" t="str">
        <f t="array" ref="D74">INDEX([1]PARCELLAIRE!$C$2:$C$85,MATCH(A74,IF([1]PARCELLAIRE!$D$2:$D$85=E74,[1]PARCELLAIRE!$A$2:$A$85,""),0))</f>
        <v>MIRADOUX</v>
      </c>
      <c r="E74" s="29" t="s">
        <v>25</v>
      </c>
      <c r="F74" s="31">
        <v>41211</v>
      </c>
      <c r="G74" s="29" t="s">
        <v>45</v>
      </c>
      <c r="H74" s="32" t="s">
        <v>14</v>
      </c>
      <c r="I74" s="24" t="str">
        <f>VLOOKUP(G74,[1]ACHATS!$C:$E,3,0)</f>
        <v>L</v>
      </c>
      <c r="J74" s="24" t="str">
        <f>VLOOKUP(G74,[1]ACHATS!$C:$D,2,0)</f>
        <v>DIVERS</v>
      </c>
      <c r="K74" s="29">
        <v>0.2</v>
      </c>
      <c r="L74" s="33">
        <f>VLOOKUP(E74,[1]PARCELLAIRE!$D$2:$F$29,3,0)</f>
        <v>7.5</v>
      </c>
      <c r="M74" s="33">
        <f t="shared" si="3"/>
        <v>1.5</v>
      </c>
      <c r="N74" s="34">
        <f t="array" ref="N74">INDEX('[1]COUT MOYEN - STOCK'!$G$2:$G$120,MATCH(A74,IF('[1]COUT MOYEN - STOCK'!$B$2:$B$120=G74,'[1]COUT MOYEN - STOCK'!$A$2:$A$120,""),0))</f>
        <v>11.01</v>
      </c>
      <c r="O74" s="35">
        <f t="shared" si="4"/>
        <v>16.515000000000001</v>
      </c>
      <c r="P74" s="36" t="str">
        <f t="shared" si="5"/>
        <v>Escarcelou Pte</v>
      </c>
      <c r="Q74" s="37" t="s">
        <v>14</v>
      </c>
    </row>
    <row r="75" spans="1:17" ht="16.5" hidden="1" thickTop="1">
      <c r="A75" s="29">
        <v>2013</v>
      </c>
      <c r="B75" s="29" t="s">
        <v>164</v>
      </c>
      <c r="C75" s="30" t="s">
        <v>47</v>
      </c>
      <c r="D75" s="24" t="str">
        <f t="array" ref="D75">INDEX([1]PARCELLAIRE!$C$2:$C$85,MATCH(A75,IF([1]PARCELLAIRE!$D$2:$D$85=E75,[1]PARCELLAIRE!$A$2:$A$85,""),0))</f>
        <v>FABULIS - PESCADOUX</v>
      </c>
      <c r="E75" s="29" t="s">
        <v>30</v>
      </c>
      <c r="F75" s="31">
        <v>41211</v>
      </c>
      <c r="G75" s="29" t="s">
        <v>45</v>
      </c>
      <c r="H75" s="32" t="s">
        <v>14</v>
      </c>
      <c r="I75" s="24" t="str">
        <f>VLOOKUP(G75,[1]ACHATS!$C:$E,3,0)</f>
        <v>L</v>
      </c>
      <c r="J75" s="24" t="str">
        <f>VLOOKUP(G75,[1]ACHATS!$C:$D,2,0)</f>
        <v>DIVERS</v>
      </c>
      <c r="K75" s="29">
        <v>0.2</v>
      </c>
      <c r="L75" s="33">
        <f>VLOOKUP(E75,[1]PARCELLAIRE!$D$2:$F$29,3,0)</f>
        <v>5.07</v>
      </c>
      <c r="M75" s="33">
        <f t="shared" si="3"/>
        <v>1.014</v>
      </c>
      <c r="N75" s="34">
        <f t="array" ref="N75">INDEX('[1]COUT MOYEN - STOCK'!$G$2:$G$120,MATCH(A75,IF('[1]COUT MOYEN - STOCK'!$B$2:$B$120=G75,'[1]COUT MOYEN - STOCK'!$A$2:$A$120,""),0))</f>
        <v>11.01</v>
      </c>
      <c r="O75" s="35">
        <f t="shared" si="4"/>
        <v>11.16414</v>
      </c>
      <c r="P75" s="36" t="str">
        <f t="shared" si="5"/>
        <v>Laclos</v>
      </c>
      <c r="Q75" s="37" t="s">
        <v>14</v>
      </c>
    </row>
    <row r="76" spans="1:17" ht="16.5" hidden="1" thickTop="1">
      <c r="A76" s="29">
        <v>2013</v>
      </c>
      <c r="B76" s="29" t="s">
        <v>164</v>
      </c>
      <c r="C76" s="30" t="s">
        <v>47</v>
      </c>
      <c r="D76" s="24" t="str">
        <f t="array" ref="D76">INDEX([1]PARCELLAIRE!$C$2:$C$85,MATCH(A76,IF([1]PARCELLAIRE!$D$2:$D$85=E76,[1]PARCELLAIRE!$A$2:$A$85,""),0))</f>
        <v>PESCADOUX</v>
      </c>
      <c r="E76" s="29" t="s">
        <v>31</v>
      </c>
      <c r="F76" s="31">
        <v>41211</v>
      </c>
      <c r="G76" s="29" t="s">
        <v>45</v>
      </c>
      <c r="H76" s="32" t="s">
        <v>14</v>
      </c>
      <c r="I76" s="24" t="str">
        <f>VLOOKUP(G76,[1]ACHATS!$C:$E,3,0)</f>
        <v>L</v>
      </c>
      <c r="J76" s="24" t="str">
        <f>VLOOKUP(G76,[1]ACHATS!$C:$D,2,0)</f>
        <v>DIVERS</v>
      </c>
      <c r="K76" s="29">
        <v>0.2</v>
      </c>
      <c r="L76" s="33">
        <f>VLOOKUP(E76,[1]PARCELLAIRE!$D$2:$F$29,3,0)</f>
        <v>2.67</v>
      </c>
      <c r="M76" s="33">
        <f t="shared" si="3"/>
        <v>0.53400000000000003</v>
      </c>
      <c r="N76" s="34">
        <f t="array" ref="N76">INDEX('[1]COUT MOYEN - STOCK'!$G$2:$G$120,MATCH(A76,IF('[1]COUT MOYEN - STOCK'!$B$2:$B$120=G76,'[1]COUT MOYEN - STOCK'!$A$2:$A$120,""),0))</f>
        <v>11.01</v>
      </c>
      <c r="O76" s="35">
        <f t="shared" si="4"/>
        <v>5.87934</v>
      </c>
      <c r="P76" s="36" t="str">
        <f t="shared" si="5"/>
        <v>Lescandes</v>
      </c>
      <c r="Q76" s="37" t="s">
        <v>14</v>
      </c>
    </row>
    <row r="77" spans="1:17" ht="16.5" hidden="1" thickTop="1">
      <c r="A77" s="29">
        <v>2013</v>
      </c>
      <c r="B77" s="29" t="s">
        <v>164</v>
      </c>
      <c r="C77" s="30" t="s">
        <v>47</v>
      </c>
      <c r="D77" s="24" t="str">
        <f t="array" ref="D77">INDEX([1]PARCELLAIRE!$C$2:$C$85,MATCH(A77,IF([1]PARCELLAIRE!$D$2:$D$85=E77,[1]PARCELLAIRE!$A$2:$A$85,""),0))</f>
        <v>PESCADOUX</v>
      </c>
      <c r="E77" s="29" t="s">
        <v>32</v>
      </c>
      <c r="F77" s="31">
        <v>41211</v>
      </c>
      <c r="G77" s="29" t="s">
        <v>45</v>
      </c>
      <c r="H77" s="32" t="s">
        <v>14</v>
      </c>
      <c r="I77" s="24" t="str">
        <f>VLOOKUP(G77,[1]ACHATS!$C:$E,3,0)</f>
        <v>L</v>
      </c>
      <c r="J77" s="24" t="str">
        <f>VLOOKUP(G77,[1]ACHATS!$C:$D,2,0)</f>
        <v>DIVERS</v>
      </c>
      <c r="K77" s="29">
        <v>0.2</v>
      </c>
      <c r="L77" s="33">
        <f>VLOOKUP(E77,[1]PARCELLAIRE!$D$2:$F$29,3,0)</f>
        <v>16.440000000000001</v>
      </c>
      <c r="M77" s="33">
        <f t="shared" si="3"/>
        <v>3.2880000000000003</v>
      </c>
      <c r="N77" s="34">
        <f t="array" ref="N77">INDEX('[1]COUT MOYEN - STOCK'!$G$2:$G$120,MATCH(A77,IF('[1]COUT MOYEN - STOCK'!$B$2:$B$120=G77,'[1]COUT MOYEN - STOCK'!$A$2:$A$120,""),0))</f>
        <v>11.01</v>
      </c>
      <c r="O77" s="35">
        <f t="shared" si="4"/>
        <v>36.200880000000005</v>
      </c>
      <c r="P77" s="36" t="str">
        <f t="shared" si="5"/>
        <v>Lescandes Côteau</v>
      </c>
      <c r="Q77" s="37" t="s">
        <v>14</v>
      </c>
    </row>
    <row r="78" spans="1:17" ht="16.5" hidden="1" thickTop="1">
      <c r="A78" s="29">
        <v>2013</v>
      </c>
      <c r="B78" s="29" t="s">
        <v>164</v>
      </c>
      <c r="C78" s="30" t="s">
        <v>47</v>
      </c>
      <c r="D78" s="24" t="str">
        <f t="array" ref="D78">INDEX([1]PARCELLAIRE!$C$2:$C$85,MATCH(A78,IF([1]PARCELLAIRE!$D$2:$D$85=E78,[1]PARCELLAIRE!$A$2:$A$85,""),0))</f>
        <v>MIRADOUX</v>
      </c>
      <c r="E78" s="29" t="s">
        <v>28</v>
      </c>
      <c r="F78" s="31">
        <v>41211</v>
      </c>
      <c r="G78" s="29" t="s">
        <v>45</v>
      </c>
      <c r="H78" s="32" t="s">
        <v>14</v>
      </c>
      <c r="I78" s="24" t="str">
        <f>VLOOKUP(G78,[1]ACHATS!$C:$E,3,0)</f>
        <v>L</v>
      </c>
      <c r="J78" s="24" t="str">
        <f>VLOOKUP(G78,[1]ACHATS!$C:$D,2,0)</f>
        <v>DIVERS</v>
      </c>
      <c r="K78" s="29">
        <v>0.2</v>
      </c>
      <c r="L78" s="33">
        <f>VLOOKUP(E78,[1]PARCELLAIRE!$D$2:$F$29,3,0)</f>
        <v>11.9</v>
      </c>
      <c r="M78" s="33">
        <f t="shared" si="3"/>
        <v>2.3800000000000003</v>
      </c>
      <c r="N78" s="34">
        <f t="array" ref="N78">INDEX('[1]COUT MOYEN - STOCK'!$G$2:$G$120,MATCH(A78,IF('[1]COUT MOYEN - STOCK'!$B$2:$B$120=G78,'[1]COUT MOYEN - STOCK'!$A$2:$A$120,""),0))</f>
        <v>11.01</v>
      </c>
      <c r="O78" s="35">
        <f t="shared" si="4"/>
        <v>26.203800000000005</v>
      </c>
      <c r="P78" s="36" t="str">
        <f t="shared" si="5"/>
        <v>Labaou Devant</v>
      </c>
      <c r="Q78" s="37" t="s">
        <v>14</v>
      </c>
    </row>
    <row r="79" spans="1:17" ht="16.5" hidden="1" thickTop="1">
      <c r="A79" s="29">
        <v>2013</v>
      </c>
      <c r="B79" s="29" t="s">
        <v>164</v>
      </c>
      <c r="C79" s="30" t="s">
        <v>47</v>
      </c>
      <c r="D79" s="24" t="str">
        <f t="array" ref="D79">INDEX([1]PARCELLAIRE!$C$2:$C$85,MATCH(A79,IF([1]PARCELLAIRE!$D$2:$D$85=E79,[1]PARCELLAIRE!$A$2:$A$85,""),0))</f>
        <v>MIRADOUX</v>
      </c>
      <c r="E79" s="29" t="s">
        <v>24</v>
      </c>
      <c r="F79" s="31">
        <v>41211</v>
      </c>
      <c r="G79" s="29" t="s">
        <v>44</v>
      </c>
      <c r="H79" s="32" t="s">
        <v>14</v>
      </c>
      <c r="I79" s="24" t="str">
        <f>VLOOKUP(G79,[1]ACHATS!$C:$E,3,0)</f>
        <v>L</v>
      </c>
      <c r="J79" s="24" t="str">
        <f>VLOOKUP(G79,[1]ACHATS!$C:$D,2,0)</f>
        <v>DESHERBANT</v>
      </c>
      <c r="K79" s="29">
        <v>1</v>
      </c>
      <c r="L79" s="33">
        <f>VLOOKUP(E79,[1]PARCELLAIRE!$D$2:$F$29,3,0)</f>
        <v>1.34</v>
      </c>
      <c r="M79" s="33">
        <f t="shared" si="3"/>
        <v>1.34</v>
      </c>
      <c r="N79" s="34">
        <f t="array" ref="N79">INDEX('[1]COUT MOYEN - STOCK'!$G$2:$G$120,MATCH(A79,IF('[1]COUT MOYEN - STOCK'!$B$2:$B$120=G79,'[1]COUT MOYEN - STOCK'!$A$2:$A$120,""),0))</f>
        <v>4.9381521739130436</v>
      </c>
      <c r="O79" s="35">
        <f t="shared" si="4"/>
        <v>6.6171239130434785</v>
      </c>
      <c r="P79" s="36" t="str">
        <f t="shared" si="5"/>
        <v>Escarcelou Jachère</v>
      </c>
      <c r="Q79" s="37" t="s">
        <v>14</v>
      </c>
    </row>
    <row r="80" spans="1:17" ht="16.5" hidden="1" thickTop="1">
      <c r="A80" s="29">
        <v>2013</v>
      </c>
      <c r="B80" s="29" t="s">
        <v>164</v>
      </c>
      <c r="C80" s="30" t="s">
        <v>47</v>
      </c>
      <c r="D80" s="24" t="str">
        <f t="array" ref="D80">INDEX([1]PARCELLAIRE!$C$2:$C$85,MATCH(A80,IF([1]PARCELLAIRE!$D$2:$D$85=E80,[1]PARCELLAIRE!$A$2:$A$85,""),0))</f>
        <v>MIRADOUX</v>
      </c>
      <c r="E80" s="29" t="s">
        <v>24</v>
      </c>
      <c r="F80" s="31">
        <v>41211</v>
      </c>
      <c r="G80" s="29" t="s">
        <v>45</v>
      </c>
      <c r="H80" s="32" t="s">
        <v>14</v>
      </c>
      <c r="I80" s="24" t="str">
        <f>VLOOKUP(G80,[1]ACHATS!$C:$E,3,0)</f>
        <v>L</v>
      </c>
      <c r="J80" s="24" t="str">
        <f>VLOOKUP(G80,[1]ACHATS!$C:$D,2,0)</f>
        <v>DIVERS</v>
      </c>
      <c r="K80" s="29">
        <v>0.2</v>
      </c>
      <c r="L80" s="33">
        <f>VLOOKUP(E80,[1]PARCELLAIRE!$D$2:$F$29,3,0)</f>
        <v>1.34</v>
      </c>
      <c r="M80" s="33">
        <f t="shared" si="3"/>
        <v>0.26800000000000002</v>
      </c>
      <c r="N80" s="34">
        <f t="array" ref="N80">INDEX('[1]COUT MOYEN - STOCK'!$G$2:$G$120,MATCH(A80,IF('[1]COUT MOYEN - STOCK'!$B$2:$B$120=G80,'[1]COUT MOYEN - STOCK'!$A$2:$A$120,""),0))</f>
        <v>11.01</v>
      </c>
      <c r="O80" s="35">
        <f t="shared" si="4"/>
        <v>2.9506800000000002</v>
      </c>
      <c r="P80" s="36" t="str">
        <f t="shared" si="5"/>
        <v>Escarcelou Jachère</v>
      </c>
      <c r="Q80" s="37" t="s">
        <v>14</v>
      </c>
    </row>
    <row r="81" spans="1:17" ht="16.5" hidden="1" thickTop="1">
      <c r="A81" s="29">
        <v>2013</v>
      </c>
      <c r="B81" s="29" t="s">
        <v>164</v>
      </c>
      <c r="C81" s="30" t="s">
        <v>47</v>
      </c>
      <c r="D81" s="24" t="str">
        <f t="array" ref="D81">INDEX([1]PARCELLAIRE!$C$2:$C$85,MATCH(A81,IF([1]PARCELLAIRE!$D$2:$D$85=E81,[1]PARCELLAIRE!$A$2:$A$85,""),0))</f>
        <v>FABULIS - PESCADOUX</v>
      </c>
      <c r="E81" s="29" t="s">
        <v>30</v>
      </c>
      <c r="F81" s="31">
        <v>41212</v>
      </c>
      <c r="G81" s="29" t="s">
        <v>50</v>
      </c>
      <c r="H81" s="32" t="s">
        <v>14</v>
      </c>
      <c r="I81" s="24" t="str">
        <f>VLOOKUP(G81,[1]ACHATS!$C:$E,3,0)</f>
        <v>Kg</v>
      </c>
      <c r="J81" s="24" t="str">
        <f>VLOOKUP(G81,[1]ACHATS!$C:$D,2,0)</f>
        <v>SEMENCES</v>
      </c>
      <c r="K81" s="29">
        <v>170</v>
      </c>
      <c r="L81" s="33">
        <v>1.4350000000000001</v>
      </c>
      <c r="M81" s="33">
        <f t="shared" si="3"/>
        <v>243.95000000000002</v>
      </c>
      <c r="N81" s="34">
        <f t="array" ref="N81">INDEX('[1]COUT MOYEN - STOCK'!$G$2:$G$120,MATCH(A81,IF('[1]COUT MOYEN - STOCK'!$B$2:$B$120=G81,'[1]COUT MOYEN - STOCK'!$A$2:$A$120,""),0))</f>
        <v>0.18610169491525425</v>
      </c>
      <c r="O81" s="35">
        <f t="shared" si="4"/>
        <v>45.39950847457628</v>
      </c>
      <c r="P81" s="36" t="str">
        <f t="shared" si="5"/>
        <v>Laclos</v>
      </c>
      <c r="Q81" s="37" t="s">
        <v>129</v>
      </c>
    </row>
    <row r="82" spans="1:17" ht="16.5" hidden="1" thickTop="1">
      <c r="A82" s="29">
        <v>2013</v>
      </c>
      <c r="B82" s="29" t="s">
        <v>164</v>
      </c>
      <c r="C82" s="30" t="s">
        <v>47</v>
      </c>
      <c r="D82" s="24" t="str">
        <f t="array" ref="D82">INDEX([1]PARCELLAIRE!$C$2:$C$85,MATCH(A82,IF([1]PARCELLAIRE!$D$2:$D$85=E82,[1]PARCELLAIRE!$A$2:$A$85,""),0))</f>
        <v>FABULIS - PESCADOUX</v>
      </c>
      <c r="E82" s="29" t="s">
        <v>30</v>
      </c>
      <c r="F82" s="31">
        <v>41212</v>
      </c>
      <c r="G82" s="29" t="s">
        <v>54</v>
      </c>
      <c r="H82" s="32" t="s">
        <v>14</v>
      </c>
      <c r="I82" s="24" t="str">
        <f>VLOOKUP(G82,[1]ACHATS!$C:$E,3,0)</f>
        <v>Kg</v>
      </c>
      <c r="J82" s="24" t="str">
        <f>VLOOKUP(G82,[1]ACHATS!$C:$D,2,0)</f>
        <v>SEMENCES</v>
      </c>
      <c r="K82" s="33">
        <v>165</v>
      </c>
      <c r="L82" s="33">
        <v>3.6349999999999998</v>
      </c>
      <c r="M82" s="33">
        <f t="shared" si="3"/>
        <v>599.77499999999998</v>
      </c>
      <c r="N82" s="34">
        <f t="array" ref="N82">INDEX('[1]COUT MOYEN - STOCK'!$G$2:$G$120,MATCH(A82,IF('[1]COUT MOYEN - STOCK'!$B$2:$B$120=G82,'[1]COUT MOYEN - STOCK'!$A$2:$A$120,""),0))</f>
        <v>0.80500000000000005</v>
      </c>
      <c r="O82" s="35">
        <f t="shared" si="4"/>
        <v>482.81887499999999</v>
      </c>
      <c r="P82" s="36" t="str">
        <f t="shared" si="5"/>
        <v>Laclos</v>
      </c>
      <c r="Q82" s="37" t="s">
        <v>129</v>
      </c>
    </row>
    <row r="83" spans="1:17" ht="16.5" hidden="1" thickTop="1">
      <c r="A83" s="29">
        <v>2013</v>
      </c>
      <c r="B83" s="29" t="s">
        <v>164</v>
      </c>
      <c r="C83" s="30" t="s">
        <v>47</v>
      </c>
      <c r="D83" s="24" t="str">
        <f t="array" ref="D83">INDEX([1]PARCELLAIRE!$C$2:$C$85,MATCH(A83,IF([1]PARCELLAIRE!$D$2:$D$85=E83,[1]PARCELLAIRE!$A$2:$A$85,""),0))</f>
        <v>SCULPTUR</v>
      </c>
      <c r="E83" s="29" t="s">
        <v>20</v>
      </c>
      <c r="F83" s="31">
        <v>41220</v>
      </c>
      <c r="G83" s="29" t="s">
        <v>44</v>
      </c>
      <c r="H83" s="32" t="s">
        <v>14</v>
      </c>
      <c r="I83" s="24" t="str">
        <f>VLOOKUP(G83,[1]ACHATS!$C:$E,3,0)</f>
        <v>L</v>
      </c>
      <c r="J83" s="24" t="str">
        <f>VLOOKUP(G83,[1]ACHATS!$C:$D,2,0)</f>
        <v>DESHERBANT</v>
      </c>
      <c r="K83" s="29">
        <v>1</v>
      </c>
      <c r="L83" s="33">
        <f>VLOOKUP(E83,[1]PARCELLAIRE!$D$2:$F$29,3,0)</f>
        <v>12.49</v>
      </c>
      <c r="M83" s="33">
        <f t="shared" si="3"/>
        <v>12.49</v>
      </c>
      <c r="N83" s="34">
        <f t="array" ref="N83">INDEX('[1]COUT MOYEN - STOCK'!$G$2:$G$120,MATCH(A83,IF('[1]COUT MOYEN - STOCK'!$B$2:$B$120=G83,'[1]COUT MOYEN - STOCK'!$A$2:$A$120,""),0))</f>
        <v>4.9381521739130436</v>
      </c>
      <c r="O83" s="35">
        <f t="shared" si="4"/>
        <v>61.677520652173918</v>
      </c>
      <c r="P83" s="36" t="str">
        <f t="shared" si="5"/>
        <v>Engleyse Bousquet</v>
      </c>
      <c r="Q83" s="37" t="s">
        <v>14</v>
      </c>
    </row>
    <row r="84" spans="1:17" ht="16.5" hidden="1" thickTop="1">
      <c r="A84" s="29">
        <v>2013</v>
      </c>
      <c r="B84" s="29" t="s">
        <v>164</v>
      </c>
      <c r="C84" s="30" t="s">
        <v>47</v>
      </c>
      <c r="D84" s="24" t="str">
        <f t="array" ref="D84">INDEX([1]PARCELLAIRE!$C$2:$C$85,MATCH(A84,IF([1]PARCELLAIRE!$D$2:$D$85=E84,[1]PARCELLAIRE!$A$2:$A$85,""),0))</f>
        <v>PESCADOUX</v>
      </c>
      <c r="E84" s="29" t="s">
        <v>31</v>
      </c>
      <c r="F84" s="31">
        <v>41220</v>
      </c>
      <c r="G84" s="29" t="s">
        <v>50</v>
      </c>
      <c r="H84" s="32" t="s">
        <v>14</v>
      </c>
      <c r="I84" s="24" t="str">
        <f>VLOOKUP(G84,[1]ACHATS!$C:$E,3,0)</f>
        <v>Kg</v>
      </c>
      <c r="J84" s="24" t="str">
        <f>VLOOKUP(G84,[1]ACHATS!$C:$D,2,0)</f>
        <v>SEMENCES</v>
      </c>
      <c r="K84" s="29">
        <v>176</v>
      </c>
      <c r="L84" s="33">
        <f>VLOOKUP(E84,[1]PARCELLAIRE!$D$2:$F$29,3,0)</f>
        <v>2.67</v>
      </c>
      <c r="M84" s="33">
        <f t="shared" si="3"/>
        <v>469.91999999999996</v>
      </c>
      <c r="N84" s="34">
        <f t="array" ref="N84">INDEX('[1]COUT MOYEN - STOCK'!$G$2:$G$120,MATCH(A84,IF('[1]COUT MOYEN - STOCK'!$B$2:$B$120=G84,'[1]COUT MOYEN - STOCK'!$A$2:$A$120,""),0))</f>
        <v>0.18610169491525425</v>
      </c>
      <c r="O84" s="35">
        <f t="shared" si="4"/>
        <v>87.452908474576262</v>
      </c>
      <c r="P84" s="36" t="str">
        <f t="shared" si="5"/>
        <v>Lescandes</v>
      </c>
      <c r="Q84" s="37" t="s">
        <v>132</v>
      </c>
    </row>
    <row r="85" spans="1:17" ht="16.5" hidden="1" thickTop="1">
      <c r="A85" s="29">
        <v>2013</v>
      </c>
      <c r="B85" s="29" t="s">
        <v>164</v>
      </c>
      <c r="C85" s="30" t="s">
        <v>47</v>
      </c>
      <c r="D85" s="24" t="str">
        <f t="array" ref="D85">INDEX([1]PARCELLAIRE!$C$2:$C$85,MATCH(A85,IF([1]PARCELLAIRE!$D$2:$D$85=E85,[1]PARCELLAIRE!$A$2:$A$85,""),0))</f>
        <v>PESCADOUX</v>
      </c>
      <c r="E85" s="29" t="s">
        <v>32</v>
      </c>
      <c r="F85" s="31">
        <v>41220</v>
      </c>
      <c r="G85" s="29" t="s">
        <v>50</v>
      </c>
      <c r="H85" s="32" t="s">
        <v>14</v>
      </c>
      <c r="I85" s="24" t="str">
        <f>VLOOKUP(G85,[1]ACHATS!$C:$E,3,0)</f>
        <v>Kg</v>
      </c>
      <c r="J85" s="24" t="str">
        <f>VLOOKUP(G85,[1]ACHATS!$C:$D,2,0)</f>
        <v>SEMENCES</v>
      </c>
      <c r="K85" s="29">
        <v>176</v>
      </c>
      <c r="L85" s="33">
        <f>VLOOKUP(E85,[1]PARCELLAIRE!$D$2:$F$29,3,0)</f>
        <v>16.440000000000001</v>
      </c>
      <c r="M85" s="33">
        <f t="shared" si="3"/>
        <v>2893.44</v>
      </c>
      <c r="N85" s="34">
        <f t="array" ref="N85">INDEX('[1]COUT MOYEN - STOCK'!$G$2:$G$120,MATCH(A85,IF('[1]COUT MOYEN - STOCK'!$B$2:$B$120=G85,'[1]COUT MOYEN - STOCK'!$A$2:$A$120,""),0))</f>
        <v>0.18610169491525425</v>
      </c>
      <c r="O85" s="35">
        <f t="shared" si="4"/>
        <v>538.47408813559321</v>
      </c>
      <c r="P85" s="36" t="str">
        <f t="shared" si="5"/>
        <v>Lescandes Côteau</v>
      </c>
      <c r="Q85" s="37" t="s">
        <v>132</v>
      </c>
    </row>
    <row r="86" spans="1:17" ht="16.5" hidden="1" thickTop="1">
      <c r="A86" s="29">
        <v>2013</v>
      </c>
      <c r="B86" s="29" t="s">
        <v>164</v>
      </c>
      <c r="C86" s="30" t="s">
        <v>47</v>
      </c>
      <c r="D86" s="24" t="str">
        <f t="array" ref="D86">INDEX([1]PARCELLAIRE!$C$2:$C$85,MATCH(A86,IF([1]PARCELLAIRE!$D$2:$D$85=E86,[1]PARCELLAIRE!$A$2:$A$85,""),0))</f>
        <v>SCULPTUR</v>
      </c>
      <c r="E86" s="29" t="s">
        <v>20</v>
      </c>
      <c r="F86" s="31">
        <v>41220</v>
      </c>
      <c r="G86" s="29" t="s">
        <v>45</v>
      </c>
      <c r="H86" s="32" t="s">
        <v>14</v>
      </c>
      <c r="I86" s="24" t="str">
        <f>VLOOKUP(G86,[1]ACHATS!$C:$E,3,0)</f>
        <v>L</v>
      </c>
      <c r="J86" s="24" t="str">
        <f>VLOOKUP(G86,[1]ACHATS!$C:$D,2,0)</f>
        <v>DIVERS</v>
      </c>
      <c r="K86" s="29">
        <v>0.2</v>
      </c>
      <c r="L86" s="33">
        <f>VLOOKUP(E86,[1]PARCELLAIRE!$D$2:$F$29,3,0)</f>
        <v>12.49</v>
      </c>
      <c r="M86" s="33">
        <f t="shared" si="3"/>
        <v>2.4980000000000002</v>
      </c>
      <c r="N86" s="34">
        <f t="array" ref="N86">INDEX('[1]COUT MOYEN - STOCK'!$G$2:$G$120,MATCH(A86,IF('[1]COUT MOYEN - STOCK'!$B$2:$B$120=G86,'[1]COUT MOYEN - STOCK'!$A$2:$A$120,""),0))</f>
        <v>11.01</v>
      </c>
      <c r="O86" s="35">
        <f t="shared" si="4"/>
        <v>27.502980000000001</v>
      </c>
      <c r="P86" s="36" t="str">
        <f t="shared" si="5"/>
        <v>Engleyse Bousquet</v>
      </c>
      <c r="Q86" s="37" t="s">
        <v>14</v>
      </c>
    </row>
    <row r="87" spans="1:17" ht="16.5" hidden="1" thickTop="1">
      <c r="A87" s="29">
        <v>2013</v>
      </c>
      <c r="B87" s="29" t="s">
        <v>164</v>
      </c>
      <c r="C87" s="30" t="s">
        <v>47</v>
      </c>
      <c r="D87" s="24" t="str">
        <f t="array" ref="D87">INDEX([1]PARCELLAIRE!$C$2:$C$85,MATCH(A87,IF([1]PARCELLAIRE!$D$2:$D$85=E87,[1]PARCELLAIRE!$A$2:$A$85,""),0))</f>
        <v>SCULPTUR</v>
      </c>
      <c r="E87" s="29" t="s">
        <v>20</v>
      </c>
      <c r="F87" s="31">
        <v>41222</v>
      </c>
      <c r="G87" s="39" t="s">
        <v>55</v>
      </c>
      <c r="H87" s="32" t="s">
        <v>14</v>
      </c>
      <c r="I87" s="24" t="str">
        <f>VLOOKUP(G87,[1]ACHATS!$C:$E,3,0)</f>
        <v>Kg</v>
      </c>
      <c r="J87" s="24" t="str">
        <f>VLOOKUP(G87,[1]ACHATS!$C:$D,2,0)</f>
        <v>SEMENCES</v>
      </c>
      <c r="K87" s="29">
        <v>179</v>
      </c>
      <c r="L87" s="33">
        <v>9.14</v>
      </c>
      <c r="M87" s="33">
        <f t="shared" si="3"/>
        <v>1636.0600000000002</v>
      </c>
      <c r="N87" s="34">
        <f t="array" ref="N87">INDEX('[1]COUT MOYEN - STOCK'!$G$2:$G$120,MATCH(A87,IF('[1]COUT MOYEN - STOCK'!$B$2:$B$120=G87,'[1]COUT MOYEN - STOCK'!$A$2:$A$120,""),0))</f>
        <v>0.26</v>
      </c>
      <c r="O87" s="35">
        <f t="shared" si="4"/>
        <v>425.37560000000008</v>
      </c>
      <c r="P87" s="36" t="str">
        <f t="shared" si="5"/>
        <v>Engleyse Bousquet</v>
      </c>
      <c r="Q87" s="37" t="s">
        <v>133</v>
      </c>
    </row>
    <row r="88" spans="1:17" ht="16.5" hidden="1" thickTop="1">
      <c r="A88" s="29">
        <v>2013</v>
      </c>
      <c r="B88" s="29" t="s">
        <v>164</v>
      </c>
      <c r="C88" s="30" t="s">
        <v>47</v>
      </c>
      <c r="D88" s="24" t="str">
        <f t="array" ref="D88">INDEX([1]PARCELLAIRE!$C$2:$C$85,MATCH(A88,IF([1]PARCELLAIRE!$D$2:$D$85=E88,[1]PARCELLAIRE!$A$2:$A$85,""),0))</f>
        <v>SCULPTUR</v>
      </c>
      <c r="E88" s="29" t="s">
        <v>20</v>
      </c>
      <c r="F88" s="31">
        <v>41222</v>
      </c>
      <c r="G88" s="39" t="s">
        <v>56</v>
      </c>
      <c r="H88" s="32" t="s">
        <v>14</v>
      </c>
      <c r="I88" s="24" t="str">
        <f>VLOOKUP(G88,[1]ACHATS!$C:$E,3,0)</f>
        <v>Kg</v>
      </c>
      <c r="J88" s="24" t="str">
        <f>VLOOKUP(G88,[1]ACHATS!$C:$D,2,0)</f>
        <v>SEMENCES</v>
      </c>
      <c r="K88" s="29">
        <v>179</v>
      </c>
      <c r="L88" s="33">
        <v>3.35</v>
      </c>
      <c r="M88" s="33">
        <f t="shared" si="3"/>
        <v>599.65</v>
      </c>
      <c r="N88" s="34">
        <f t="array" ref="N88">INDEX('[1]COUT MOYEN - STOCK'!$G$2:$G$120,MATCH(A88,IF('[1]COUT MOYEN - STOCK'!$B$2:$B$120=G88,'[1]COUT MOYEN - STOCK'!$A$2:$A$120,""),0))</f>
        <v>0.80500000000000005</v>
      </c>
      <c r="O88" s="35">
        <f t="shared" si="4"/>
        <v>482.71825000000001</v>
      </c>
      <c r="P88" s="36" t="str">
        <f t="shared" si="5"/>
        <v>Engleyse Bousquet</v>
      </c>
      <c r="Q88" s="37" t="s">
        <v>133</v>
      </c>
    </row>
    <row r="89" spans="1:17" ht="16.5" hidden="1" thickTop="1">
      <c r="A89" s="29">
        <v>2013</v>
      </c>
      <c r="B89" s="29" t="s">
        <v>164</v>
      </c>
      <c r="C89" s="30" t="s">
        <v>41</v>
      </c>
      <c r="D89" s="24" t="str">
        <f t="array" ref="D89">INDEX([1]PARCELLAIRE!$C$2:$C$85,MATCH(A89,IF([1]PARCELLAIRE!$D$2:$D$85=E89,[1]PARCELLAIRE!$A$2:$A$85,""),0))</f>
        <v>ARDICO</v>
      </c>
      <c r="E89" s="29" t="s">
        <v>21</v>
      </c>
      <c r="F89" s="31">
        <v>41228</v>
      </c>
      <c r="G89" s="29" t="s">
        <v>44</v>
      </c>
      <c r="H89" s="32" t="s">
        <v>14</v>
      </c>
      <c r="I89" s="24" t="str">
        <f>VLOOKUP(G89,[1]ACHATS!$C:$E,3,0)</f>
        <v>L</v>
      </c>
      <c r="J89" s="24" t="str">
        <f>VLOOKUP(G89,[1]ACHATS!$C:$D,2,0)</f>
        <v>DESHERBANT</v>
      </c>
      <c r="K89" s="29">
        <v>1</v>
      </c>
      <c r="L89" s="33">
        <f>VLOOKUP(E89,[1]PARCELLAIRE!$D$2:$F$29,3,0)</f>
        <v>10.93</v>
      </c>
      <c r="M89" s="33">
        <f t="shared" si="3"/>
        <v>10.93</v>
      </c>
      <c r="N89" s="34">
        <f t="array" ref="N89">INDEX('[1]COUT MOYEN - STOCK'!$G$2:$G$120,MATCH(A89,IF('[1]COUT MOYEN - STOCK'!$B$2:$B$120=G89,'[1]COUT MOYEN - STOCK'!$A$2:$A$120,""),0))</f>
        <v>4.9381521739130436</v>
      </c>
      <c r="O89" s="35">
        <f t="shared" si="4"/>
        <v>53.974003260869566</v>
      </c>
      <c r="P89" s="36" t="str">
        <f t="shared" si="5"/>
        <v>Engleyse métairie</v>
      </c>
      <c r="Q89" s="37" t="s">
        <v>14</v>
      </c>
    </row>
    <row r="90" spans="1:17" ht="16.5" hidden="1" thickTop="1">
      <c r="A90" s="29">
        <v>2013</v>
      </c>
      <c r="B90" s="29" t="s">
        <v>164</v>
      </c>
      <c r="C90" s="30" t="s">
        <v>39</v>
      </c>
      <c r="D90" s="24" t="str">
        <f t="array" ref="D90">INDEX([1]PARCELLAIRE!$C$2:$C$85,MATCH(A90,IF([1]PARCELLAIRE!$D$2:$D$85=E90,[1]PARCELLAIRE!$A$2:$A$85,""),0))</f>
        <v>LG5474</v>
      </c>
      <c r="E90" s="29" t="s">
        <v>33</v>
      </c>
      <c r="F90" s="31">
        <v>41228</v>
      </c>
      <c r="G90" s="29" t="s">
        <v>45</v>
      </c>
      <c r="H90" s="32" t="s">
        <v>14</v>
      </c>
      <c r="I90" s="24" t="str">
        <f>VLOOKUP(G90,[1]ACHATS!$C:$E,3,0)</f>
        <v>L</v>
      </c>
      <c r="J90" s="24" t="str">
        <f>VLOOKUP(G90,[1]ACHATS!$C:$D,2,0)</f>
        <v>DIVERS</v>
      </c>
      <c r="K90" s="33">
        <v>0.2</v>
      </c>
      <c r="L90" s="33">
        <f>VLOOKUP(E90,[1]PARCELLAIRE!$D$2:$F$29,3,0)</f>
        <v>21.88</v>
      </c>
      <c r="M90" s="33">
        <f t="shared" si="3"/>
        <v>4.3760000000000003</v>
      </c>
      <c r="N90" s="34">
        <f t="array" ref="N90">INDEX('[1]COUT MOYEN - STOCK'!$G$2:$G$120,MATCH(A90,IF('[1]COUT MOYEN - STOCK'!$B$2:$B$120=G90,'[1]COUT MOYEN - STOCK'!$A$2:$A$120,""),0))</f>
        <v>11.01</v>
      </c>
      <c r="O90" s="35">
        <f t="shared" si="4"/>
        <v>48.179760000000002</v>
      </c>
      <c r="P90" s="36" t="str">
        <f t="shared" si="5"/>
        <v>Moulin Barthes</v>
      </c>
      <c r="Q90" s="37" t="s">
        <v>14</v>
      </c>
    </row>
    <row r="91" spans="1:17" ht="16.5" hidden="1" thickTop="1">
      <c r="A91" s="29">
        <v>2013</v>
      </c>
      <c r="B91" s="29" t="s">
        <v>164</v>
      </c>
      <c r="C91" s="30" t="s">
        <v>41</v>
      </c>
      <c r="D91" s="24" t="str">
        <f t="array" ref="D91">INDEX([1]PARCELLAIRE!$C$2:$C$85,MATCH(A91,IF([1]PARCELLAIRE!$D$2:$D$85=E91,[1]PARCELLAIRE!$A$2:$A$85,""),0))</f>
        <v>ARDICO</v>
      </c>
      <c r="E91" s="29" t="s">
        <v>21</v>
      </c>
      <c r="F91" s="31">
        <v>41228</v>
      </c>
      <c r="G91" s="29" t="s">
        <v>45</v>
      </c>
      <c r="H91" s="32" t="s">
        <v>14</v>
      </c>
      <c r="I91" s="24" t="str">
        <f>VLOOKUP(G91,[1]ACHATS!$C:$E,3,0)</f>
        <v>L</v>
      </c>
      <c r="J91" s="24" t="str">
        <f>VLOOKUP(G91,[1]ACHATS!$C:$D,2,0)</f>
        <v>DIVERS</v>
      </c>
      <c r="K91" s="29">
        <v>0.2</v>
      </c>
      <c r="L91" s="33">
        <f>VLOOKUP(E91,[1]PARCELLAIRE!$D$2:$F$29,3,0)</f>
        <v>10.93</v>
      </c>
      <c r="M91" s="33">
        <f t="shared" si="3"/>
        <v>2.1859999999999999</v>
      </c>
      <c r="N91" s="34">
        <f t="array" ref="N91">INDEX('[1]COUT MOYEN - STOCK'!$G$2:$G$120,MATCH(A91,IF('[1]COUT MOYEN - STOCK'!$B$2:$B$120=G91,'[1]COUT MOYEN - STOCK'!$A$2:$A$120,""),0))</f>
        <v>11.01</v>
      </c>
      <c r="O91" s="35">
        <f t="shared" si="4"/>
        <v>24.06786</v>
      </c>
      <c r="P91" s="36" t="str">
        <f t="shared" si="5"/>
        <v>Engleyse métairie</v>
      </c>
      <c r="Q91" s="37" t="s">
        <v>14</v>
      </c>
    </row>
    <row r="92" spans="1:17" ht="16.5" hidden="1" thickTop="1">
      <c r="A92" s="29">
        <v>2013</v>
      </c>
      <c r="B92" s="29" t="s">
        <v>164</v>
      </c>
      <c r="C92" s="30" t="s">
        <v>43</v>
      </c>
      <c r="D92" s="24" t="str">
        <f t="array" ref="D92">INDEX([1]PARCELLAIRE!$C$2:$C$85,MATCH(A92,IF([1]PARCELLAIRE!$D$2:$D$85=E92,[1]PARCELLAIRE!$A$2:$A$85,""),0))</f>
        <v>SOLEIHO</v>
      </c>
      <c r="E92" s="29" t="s">
        <v>29</v>
      </c>
      <c r="F92" s="31">
        <v>41262</v>
      </c>
      <c r="G92" s="29" t="s">
        <v>57</v>
      </c>
      <c r="H92" s="32" t="s">
        <v>14</v>
      </c>
      <c r="I92" s="24" t="str">
        <f>VLOOKUP(G92,[1]ACHATS!$C:$E,3,0)</f>
        <v>L</v>
      </c>
      <c r="J92" s="24" t="str">
        <f>VLOOKUP(G92,[1]ACHATS!$C:$D,2,0)</f>
        <v>DESHERBANT</v>
      </c>
      <c r="K92" s="29">
        <v>3</v>
      </c>
      <c r="L92" s="33">
        <f>VLOOKUP(E92,[1]PARCELLAIRE!$D$2:$F$29,3,0)</f>
        <v>17.55</v>
      </c>
      <c r="M92" s="33">
        <f t="shared" si="3"/>
        <v>52.650000000000006</v>
      </c>
      <c r="N92" s="34">
        <f t="array" ref="N92">INDEX('[1]COUT MOYEN - STOCK'!$G$2:$G$120,MATCH(A92,IF('[1]COUT MOYEN - STOCK'!$B$2:$B$120=G92,'[1]COUT MOYEN - STOCK'!$A$2:$A$120,""),0))</f>
        <v>13.75</v>
      </c>
      <c r="O92" s="35">
        <f t="shared" si="4"/>
        <v>723.93750000000011</v>
      </c>
      <c r="P92" s="36" t="str">
        <f t="shared" si="5"/>
        <v>Labaou Plaine</v>
      </c>
      <c r="Q92" s="37" t="s">
        <v>14</v>
      </c>
    </row>
    <row r="93" spans="1:17" ht="16.5" hidden="1" thickTop="1">
      <c r="A93" s="29">
        <v>2013</v>
      </c>
      <c r="B93" s="29" t="s">
        <v>164</v>
      </c>
      <c r="C93" s="30" t="s">
        <v>47</v>
      </c>
      <c r="D93" s="24" t="str">
        <f t="array" ref="D93">INDEX([1]PARCELLAIRE!$C$2:$C$85,MATCH(A93,IF([1]PARCELLAIRE!$D$2:$D$85=E93,[1]PARCELLAIRE!$A$2:$A$85,""),0))</f>
        <v>MIRADOUX</v>
      </c>
      <c r="E93" s="29" t="s">
        <v>28</v>
      </c>
      <c r="F93" s="31">
        <v>41263</v>
      </c>
      <c r="G93" s="29" t="s">
        <v>57</v>
      </c>
      <c r="H93" s="32" t="s">
        <v>14</v>
      </c>
      <c r="I93" s="24" t="str">
        <f>VLOOKUP(G93,[1]ACHATS!$C:$E,3,0)</f>
        <v>L</v>
      </c>
      <c r="J93" s="24" t="str">
        <f>VLOOKUP(G93,[1]ACHATS!$C:$D,2,0)</f>
        <v>DESHERBANT</v>
      </c>
      <c r="K93" s="29">
        <v>2.5</v>
      </c>
      <c r="L93" s="33">
        <v>1.67</v>
      </c>
      <c r="M93" s="33">
        <f t="shared" si="3"/>
        <v>4.1749999999999998</v>
      </c>
      <c r="N93" s="34">
        <f t="array" ref="N93">INDEX('[1]COUT MOYEN - STOCK'!$G$2:$G$120,MATCH(A93,IF('[1]COUT MOYEN - STOCK'!$B$2:$B$120=G93,'[1]COUT MOYEN - STOCK'!$A$2:$A$120,""),0))</f>
        <v>13.75</v>
      </c>
      <c r="O93" s="35">
        <f t="shared" si="4"/>
        <v>57.40625</v>
      </c>
      <c r="P93" s="36" t="str">
        <f t="shared" si="5"/>
        <v>Labaou Devant</v>
      </c>
      <c r="Q93" s="37" t="s">
        <v>14</v>
      </c>
    </row>
    <row r="94" spans="1:17" ht="16.5" hidden="1" thickTop="1">
      <c r="A94" s="29">
        <v>2013</v>
      </c>
      <c r="B94" s="29" t="s">
        <v>164</v>
      </c>
      <c r="C94" s="30" t="s">
        <v>47</v>
      </c>
      <c r="D94" s="24" t="str">
        <f t="array" ref="D94">INDEX([1]PARCELLAIRE!$C$2:$C$85,MATCH(A94,IF([1]PARCELLAIRE!$D$2:$D$85=E94,[1]PARCELLAIRE!$A$2:$A$85,""),0))</f>
        <v>FABULIS - PESCADOUX</v>
      </c>
      <c r="E94" s="29" t="s">
        <v>30</v>
      </c>
      <c r="F94" s="31">
        <v>41263</v>
      </c>
      <c r="G94" s="29" t="s">
        <v>57</v>
      </c>
      <c r="H94" s="32" t="s">
        <v>14</v>
      </c>
      <c r="I94" s="24" t="str">
        <f>VLOOKUP(G94,[1]ACHATS!$C:$E,3,0)</f>
        <v>L</v>
      </c>
      <c r="J94" s="24" t="str">
        <f>VLOOKUP(G94,[1]ACHATS!$C:$D,2,0)</f>
        <v>DESHERBANT</v>
      </c>
      <c r="K94" s="29">
        <v>2.5</v>
      </c>
      <c r="L94" s="33">
        <f>VLOOKUP(E94,[1]PARCELLAIRE!$D$2:$F$29,3,0)</f>
        <v>5.07</v>
      </c>
      <c r="M94" s="33">
        <f t="shared" si="3"/>
        <v>12.675000000000001</v>
      </c>
      <c r="N94" s="34">
        <f t="array" ref="N94">INDEX('[1]COUT MOYEN - STOCK'!$G$2:$G$120,MATCH(A94,IF('[1]COUT MOYEN - STOCK'!$B$2:$B$120=G94,'[1]COUT MOYEN - STOCK'!$A$2:$A$120,""),0))</f>
        <v>13.75</v>
      </c>
      <c r="O94" s="35">
        <f t="shared" si="4"/>
        <v>174.28125</v>
      </c>
      <c r="P94" s="36" t="str">
        <f t="shared" si="5"/>
        <v>Laclos</v>
      </c>
      <c r="Q94" s="37" t="s">
        <v>14</v>
      </c>
    </row>
    <row r="95" spans="1:17" ht="16.5" hidden="1" thickTop="1">
      <c r="A95" s="29">
        <v>2013</v>
      </c>
      <c r="B95" s="29" t="s">
        <v>164</v>
      </c>
      <c r="C95" s="30" t="s">
        <v>47</v>
      </c>
      <c r="D95" s="24" t="str">
        <f t="array" ref="D95">INDEX([1]PARCELLAIRE!$C$2:$C$85,MATCH(A95,IF([1]PARCELLAIRE!$D$2:$D$85=E95,[1]PARCELLAIRE!$A$2:$A$85,""),0))</f>
        <v>MIRADOUX</v>
      </c>
      <c r="E95" s="29" t="s">
        <v>38</v>
      </c>
      <c r="F95" s="31">
        <v>41263</v>
      </c>
      <c r="G95" s="29" t="s">
        <v>57</v>
      </c>
      <c r="H95" s="32" t="s">
        <v>14</v>
      </c>
      <c r="I95" s="24" t="str">
        <f>VLOOKUP(G95,[1]ACHATS!$C:$E,3,0)</f>
        <v>L</v>
      </c>
      <c r="J95" s="24" t="str">
        <f>VLOOKUP(G95,[1]ACHATS!$C:$D,2,0)</f>
        <v>DESHERBANT</v>
      </c>
      <c r="K95" s="29">
        <v>2.5</v>
      </c>
      <c r="L95" s="33">
        <f>VLOOKUP(E95,[1]PARCELLAIRE!$D$2:$F$29,3,0)</f>
        <v>1.26</v>
      </c>
      <c r="M95" s="33">
        <f t="shared" si="3"/>
        <v>3.15</v>
      </c>
      <c r="N95" s="34">
        <f t="array" ref="N95">INDEX('[1]COUT MOYEN - STOCK'!$G$2:$G$120,MATCH(A95,IF('[1]COUT MOYEN - STOCK'!$B$2:$B$120=G95,'[1]COUT MOYEN - STOCK'!$A$2:$A$120,""),0))</f>
        <v>13.75</v>
      </c>
      <c r="O95" s="35">
        <f t="shared" si="4"/>
        <v>43.3125</v>
      </c>
      <c r="P95" s="36" t="str">
        <f t="shared" si="5"/>
        <v>Seillonne</v>
      </c>
      <c r="Q95" s="37" t="s">
        <v>14</v>
      </c>
    </row>
    <row r="96" spans="1:17" ht="16.5" hidden="1" thickTop="1">
      <c r="A96" s="29">
        <v>2013</v>
      </c>
      <c r="B96" s="29" t="s">
        <v>164</v>
      </c>
      <c r="C96" s="30" t="s">
        <v>47</v>
      </c>
      <c r="D96" s="24" t="str">
        <f t="array" ref="D96">INDEX([1]PARCELLAIRE!$C$2:$C$85,MATCH(A96,IF([1]PARCELLAIRE!$D$2:$D$85=E96,[1]PARCELLAIRE!$A$2:$A$85,""),0))</f>
        <v>MIRADOUX</v>
      </c>
      <c r="E96" s="29" t="s">
        <v>19</v>
      </c>
      <c r="F96" s="31">
        <v>41324</v>
      </c>
      <c r="G96" s="29" t="s">
        <v>58</v>
      </c>
      <c r="H96" s="32" t="s">
        <v>14</v>
      </c>
      <c r="I96" s="24" t="str">
        <f>VLOOKUP(G96,[1]ACHATS!$C:$E,3,0)</f>
        <v>Kg</v>
      </c>
      <c r="J96" s="24" t="str">
        <f>VLOOKUP(G96,[1]ACHATS!$C:$D,2,0)</f>
        <v>AZOTE</v>
      </c>
      <c r="K96" s="29">
        <v>150</v>
      </c>
      <c r="L96" s="33">
        <f>VLOOKUP(E96,[1]PARCELLAIRE!$D$2:$F$29,3,0)</f>
        <v>5.67</v>
      </c>
      <c r="M96" s="33">
        <f t="shared" si="3"/>
        <v>850.5</v>
      </c>
      <c r="N96" s="34">
        <f t="array" ref="N96">INDEX('[1]COUT MOYEN - STOCK'!$G$2:$G$120,MATCH(A96,IF('[1]COUT MOYEN - STOCK'!$B$2:$B$120=G96,'[1]COUT MOYEN - STOCK'!$A$2:$A$120,""),0))</f>
        <v>0.41460714285714284</v>
      </c>
      <c r="O96" s="35">
        <f t="shared" si="4"/>
        <v>352.62337500000001</v>
      </c>
      <c r="P96" s="36" t="str">
        <f t="shared" si="5"/>
        <v>Bousquet Route</v>
      </c>
      <c r="Q96" s="40" t="s">
        <v>134</v>
      </c>
    </row>
    <row r="97" spans="1:17" ht="16.5" hidden="1" thickTop="1">
      <c r="A97" s="29">
        <v>2013</v>
      </c>
      <c r="B97" s="29" t="s">
        <v>164</v>
      </c>
      <c r="C97" s="30" t="s">
        <v>47</v>
      </c>
      <c r="D97" s="24" t="str">
        <f t="array" ref="D97">INDEX([1]PARCELLAIRE!$C$2:$C$85,MATCH(A97,IF([1]PARCELLAIRE!$D$2:$D$85=E97,[1]PARCELLAIRE!$A$2:$A$85,""),0))</f>
        <v>PESCADOUX</v>
      </c>
      <c r="E97" s="29" t="s">
        <v>17</v>
      </c>
      <c r="F97" s="31">
        <v>41324</v>
      </c>
      <c r="G97" s="29" t="s">
        <v>58</v>
      </c>
      <c r="H97" s="32" t="s">
        <v>14</v>
      </c>
      <c r="I97" s="24" t="str">
        <f>VLOOKUP(G97,[1]ACHATS!$C:$E,3,0)</f>
        <v>Kg</v>
      </c>
      <c r="J97" s="24" t="str">
        <f>VLOOKUP(G97,[1]ACHATS!$C:$D,2,0)</f>
        <v>AZOTE</v>
      </c>
      <c r="K97" s="29">
        <v>150</v>
      </c>
      <c r="L97" s="33">
        <f>VLOOKUP(E97,[1]PARCELLAIRE!$D$2:$F$29,3,0)</f>
        <v>5.27</v>
      </c>
      <c r="M97" s="33">
        <f t="shared" si="3"/>
        <v>790.49999999999989</v>
      </c>
      <c r="N97" s="34">
        <f t="array" ref="N97">INDEX('[1]COUT MOYEN - STOCK'!$G$2:$G$120,MATCH(A97,IF('[1]COUT MOYEN - STOCK'!$B$2:$B$120=G97,'[1]COUT MOYEN - STOCK'!$A$2:$A$120,""),0))</f>
        <v>0.41460714285714284</v>
      </c>
      <c r="O97" s="35">
        <f t="shared" si="4"/>
        <v>327.74694642857139</v>
      </c>
      <c r="P97" s="36" t="str">
        <f t="shared" si="5"/>
        <v>Bousquet Château</v>
      </c>
      <c r="Q97" s="40" t="s">
        <v>134</v>
      </c>
    </row>
    <row r="98" spans="1:17" ht="16.5" hidden="1" thickTop="1">
      <c r="A98" s="29">
        <v>2013</v>
      </c>
      <c r="B98" s="29" t="s">
        <v>164</v>
      </c>
      <c r="C98" s="30" t="s">
        <v>47</v>
      </c>
      <c r="D98" s="24" t="str">
        <f t="array" ref="D98">INDEX([1]PARCELLAIRE!$C$2:$C$85,MATCH(A98,IF([1]PARCELLAIRE!$D$2:$D$85=E98,[1]PARCELLAIRE!$A$2:$A$85,""),0))</f>
        <v>MIRADOUX</v>
      </c>
      <c r="E98" s="29" t="s">
        <v>38</v>
      </c>
      <c r="F98" s="31">
        <v>41324</v>
      </c>
      <c r="G98" s="29" t="s">
        <v>58</v>
      </c>
      <c r="H98" s="32" t="s">
        <v>14</v>
      </c>
      <c r="I98" s="24" t="str">
        <f>VLOOKUP(G98,[1]ACHATS!$C:$E,3,0)</f>
        <v>Kg</v>
      </c>
      <c r="J98" s="24" t="str">
        <f>VLOOKUP(G98,[1]ACHATS!$C:$D,2,0)</f>
        <v>AZOTE</v>
      </c>
      <c r="K98" s="29">
        <v>150</v>
      </c>
      <c r="L98" s="33">
        <f>VLOOKUP(E98,[1]PARCELLAIRE!$D$2:$F$29,3,0)</f>
        <v>1.26</v>
      </c>
      <c r="M98" s="33">
        <f t="shared" si="3"/>
        <v>189</v>
      </c>
      <c r="N98" s="34">
        <f t="array" ref="N98">INDEX('[1]COUT MOYEN - STOCK'!$G$2:$G$120,MATCH(A98,IF('[1]COUT MOYEN - STOCK'!$B$2:$B$120=G98,'[1]COUT MOYEN - STOCK'!$A$2:$A$120,""),0))</f>
        <v>0.41460714285714284</v>
      </c>
      <c r="O98" s="35">
        <f t="shared" si="4"/>
        <v>78.360749999999996</v>
      </c>
      <c r="P98" s="36" t="str">
        <f t="shared" si="5"/>
        <v>Seillonne</v>
      </c>
      <c r="Q98" s="40" t="s">
        <v>134</v>
      </c>
    </row>
    <row r="99" spans="1:17" ht="16.5" hidden="1" thickTop="1">
      <c r="A99" s="29">
        <v>2013</v>
      </c>
      <c r="B99" s="29" t="s">
        <v>164</v>
      </c>
      <c r="C99" s="30" t="s">
        <v>47</v>
      </c>
      <c r="D99" s="24" t="str">
        <f t="array" ref="D99">INDEX([1]PARCELLAIRE!$C$2:$C$85,MATCH(A99,IF([1]PARCELLAIRE!$D$2:$D$85=E99,[1]PARCELLAIRE!$A$2:$A$85,""),0))</f>
        <v>FABULIS - PESCADOUX</v>
      </c>
      <c r="E99" s="29" t="s">
        <v>30</v>
      </c>
      <c r="F99" s="31">
        <v>41324</v>
      </c>
      <c r="G99" s="29" t="s">
        <v>58</v>
      </c>
      <c r="H99" s="32" t="s">
        <v>14</v>
      </c>
      <c r="I99" s="24" t="str">
        <f>VLOOKUP(G99,[1]ACHATS!$C:$E,3,0)</f>
        <v>Kg</v>
      </c>
      <c r="J99" s="24" t="str">
        <f>VLOOKUP(G99,[1]ACHATS!$C:$D,2,0)</f>
        <v>AZOTE</v>
      </c>
      <c r="K99" s="29">
        <v>150</v>
      </c>
      <c r="L99" s="33">
        <f>VLOOKUP(E99,[1]PARCELLAIRE!$D$2:$F$29,3,0)</f>
        <v>5.07</v>
      </c>
      <c r="M99" s="33">
        <f t="shared" si="3"/>
        <v>760.5</v>
      </c>
      <c r="N99" s="34">
        <f t="array" ref="N99">INDEX('[1]COUT MOYEN - STOCK'!$G$2:$G$120,MATCH(A99,IF('[1]COUT MOYEN - STOCK'!$B$2:$B$120=G99,'[1]COUT MOYEN - STOCK'!$A$2:$A$120,""),0))</f>
        <v>0.41460714285714284</v>
      </c>
      <c r="O99" s="35">
        <f t="shared" si="4"/>
        <v>315.30873214285714</v>
      </c>
      <c r="P99" s="36" t="str">
        <f t="shared" si="5"/>
        <v>Laclos</v>
      </c>
      <c r="Q99" s="40" t="s">
        <v>134</v>
      </c>
    </row>
    <row r="100" spans="1:17" ht="16.5" hidden="1" thickTop="1">
      <c r="A100" s="29">
        <v>2013</v>
      </c>
      <c r="B100" s="29" t="s">
        <v>164</v>
      </c>
      <c r="C100" s="30" t="s">
        <v>43</v>
      </c>
      <c r="D100" s="24" t="str">
        <f t="array" ref="D100">INDEX([1]PARCELLAIRE!$C$2:$C$85,MATCH(A100,IF([1]PARCELLAIRE!$D$2:$D$85=E100,[1]PARCELLAIRE!$A$2:$A$85,""),0))</f>
        <v>SOLEIHO</v>
      </c>
      <c r="E100" s="29" t="s">
        <v>29</v>
      </c>
      <c r="F100" s="31">
        <v>41324</v>
      </c>
      <c r="G100" s="29" t="s">
        <v>58</v>
      </c>
      <c r="H100" s="32" t="s">
        <v>14</v>
      </c>
      <c r="I100" s="24" t="str">
        <f>VLOOKUP(G100,[1]ACHATS!$C:$E,3,0)</f>
        <v>Kg</v>
      </c>
      <c r="J100" s="24" t="str">
        <f>VLOOKUP(G100,[1]ACHATS!$C:$D,2,0)</f>
        <v>AZOTE</v>
      </c>
      <c r="K100" s="29">
        <v>150</v>
      </c>
      <c r="L100" s="33">
        <f>VLOOKUP(E100,[1]PARCELLAIRE!$D$2:$F$29,3,0)</f>
        <v>17.55</v>
      </c>
      <c r="M100" s="33">
        <f t="shared" si="3"/>
        <v>2632.5</v>
      </c>
      <c r="N100" s="34">
        <f t="array" ref="N100">INDEX('[1]COUT MOYEN - STOCK'!$G$2:$G$120,MATCH(A100,IF('[1]COUT MOYEN - STOCK'!$B$2:$B$120=G100,'[1]COUT MOYEN - STOCK'!$A$2:$A$120,""),0))</f>
        <v>0.41460714285714284</v>
      </c>
      <c r="O100" s="35">
        <f t="shared" si="4"/>
        <v>1091.4533035714285</v>
      </c>
      <c r="P100" s="36" t="str">
        <f t="shared" si="5"/>
        <v>Labaou Plaine</v>
      </c>
      <c r="Q100" s="40" t="s">
        <v>134</v>
      </c>
    </row>
    <row r="101" spans="1:17" ht="16.5" hidden="1" thickTop="1">
      <c r="A101" s="29">
        <v>2013</v>
      </c>
      <c r="B101" s="29" t="s">
        <v>164</v>
      </c>
      <c r="C101" s="30" t="s">
        <v>47</v>
      </c>
      <c r="D101" s="24" t="str">
        <f t="array" ref="D101">INDEX([1]PARCELLAIRE!$C$2:$C$85,MATCH(A101,IF([1]PARCELLAIRE!$D$2:$D$85=E101,[1]PARCELLAIRE!$A$2:$A$85,""),0))</f>
        <v>MIRADOUX</v>
      </c>
      <c r="E101" s="29" t="s">
        <v>24</v>
      </c>
      <c r="F101" s="31">
        <v>41325</v>
      </c>
      <c r="G101" s="29" t="s">
        <v>58</v>
      </c>
      <c r="H101" s="32" t="s">
        <v>14</v>
      </c>
      <c r="I101" s="24" t="str">
        <f>VLOOKUP(G101,[1]ACHATS!$C:$E,3,0)</f>
        <v>Kg</v>
      </c>
      <c r="J101" s="24" t="str">
        <f>VLOOKUP(G101,[1]ACHATS!$C:$D,2,0)</f>
        <v>AZOTE</v>
      </c>
      <c r="K101" s="29">
        <v>150</v>
      </c>
      <c r="L101" s="33">
        <f>VLOOKUP(E101,[1]PARCELLAIRE!$D$2:$F$29,3,0)</f>
        <v>1.34</v>
      </c>
      <c r="M101" s="33">
        <f t="shared" si="3"/>
        <v>201</v>
      </c>
      <c r="N101" s="34">
        <f t="array" ref="N101">INDEX('[1]COUT MOYEN - STOCK'!$G$2:$G$120,MATCH(A101,IF('[1]COUT MOYEN - STOCK'!$B$2:$B$120=G101,'[1]COUT MOYEN - STOCK'!$A$2:$A$120,""),0))</f>
        <v>0.41460714285714284</v>
      </c>
      <c r="O101" s="35">
        <f t="shared" si="4"/>
        <v>83.336035714285714</v>
      </c>
      <c r="P101" s="36" t="str">
        <f t="shared" si="5"/>
        <v>Escarcelou Jachère</v>
      </c>
      <c r="Q101" s="40" t="s">
        <v>134</v>
      </c>
    </row>
    <row r="102" spans="1:17" ht="16.5" hidden="1" thickTop="1">
      <c r="A102" s="29">
        <v>2013</v>
      </c>
      <c r="B102" s="29" t="s">
        <v>164</v>
      </c>
      <c r="C102" s="30" t="s">
        <v>47</v>
      </c>
      <c r="D102" s="24" t="str">
        <f t="array" ref="D102">INDEX([1]PARCELLAIRE!$C$2:$C$85,MATCH(A102,IF([1]PARCELLAIRE!$D$2:$D$85=E102,[1]PARCELLAIRE!$A$2:$A$85,""),0))</f>
        <v>PESCADOUX</v>
      </c>
      <c r="E102" s="29" t="s">
        <v>32</v>
      </c>
      <c r="F102" s="31">
        <v>41325</v>
      </c>
      <c r="G102" s="29" t="s">
        <v>58</v>
      </c>
      <c r="H102" s="32" t="s">
        <v>14</v>
      </c>
      <c r="I102" s="24" t="str">
        <f>VLOOKUP(G102,[1]ACHATS!$C:$E,3,0)</f>
        <v>Kg</v>
      </c>
      <c r="J102" s="24" t="str">
        <f>VLOOKUP(G102,[1]ACHATS!$C:$D,2,0)</f>
        <v>AZOTE</v>
      </c>
      <c r="K102" s="29">
        <v>150</v>
      </c>
      <c r="L102" s="33">
        <f>VLOOKUP(E102,[1]PARCELLAIRE!$D$2:$F$29,3,0)</f>
        <v>16.440000000000001</v>
      </c>
      <c r="M102" s="33">
        <f t="shared" si="3"/>
        <v>2466</v>
      </c>
      <c r="N102" s="34">
        <f t="array" ref="N102">INDEX('[1]COUT MOYEN - STOCK'!$G$2:$G$120,MATCH(A102,IF('[1]COUT MOYEN - STOCK'!$B$2:$B$120=G102,'[1]COUT MOYEN - STOCK'!$A$2:$A$120,""),0))</f>
        <v>0.41460714285714284</v>
      </c>
      <c r="O102" s="35">
        <f t="shared" si="4"/>
        <v>1022.4212142857142</v>
      </c>
      <c r="P102" s="36" t="str">
        <f t="shared" si="5"/>
        <v>Lescandes Côteau</v>
      </c>
      <c r="Q102" s="40" t="s">
        <v>134</v>
      </c>
    </row>
    <row r="103" spans="1:17" ht="16.5" hidden="1" thickTop="1">
      <c r="A103" s="29">
        <v>2013</v>
      </c>
      <c r="B103" s="29" t="s">
        <v>164</v>
      </c>
      <c r="C103" s="30" t="s">
        <v>47</v>
      </c>
      <c r="D103" s="24" t="str">
        <f t="array" ref="D103">INDEX([1]PARCELLAIRE!$C$2:$C$85,MATCH(A103,IF([1]PARCELLAIRE!$D$2:$D$85=E103,[1]PARCELLAIRE!$A$2:$A$85,""),0))</f>
        <v>PESCADOUX</v>
      </c>
      <c r="E103" s="29" t="s">
        <v>31</v>
      </c>
      <c r="F103" s="31">
        <v>41325</v>
      </c>
      <c r="G103" s="29" t="s">
        <v>58</v>
      </c>
      <c r="H103" s="32" t="s">
        <v>14</v>
      </c>
      <c r="I103" s="24" t="str">
        <f>VLOOKUP(G103,[1]ACHATS!$C:$E,3,0)</f>
        <v>Kg</v>
      </c>
      <c r="J103" s="24" t="str">
        <f>VLOOKUP(G103,[1]ACHATS!$C:$D,2,0)</f>
        <v>AZOTE</v>
      </c>
      <c r="K103" s="29">
        <v>150</v>
      </c>
      <c r="L103" s="33">
        <f>VLOOKUP(E103,[1]PARCELLAIRE!$D$2:$F$29,3,0)</f>
        <v>2.67</v>
      </c>
      <c r="M103" s="33">
        <f t="shared" si="3"/>
        <v>400.5</v>
      </c>
      <c r="N103" s="34">
        <f t="array" ref="N103">INDEX('[1]COUT MOYEN - STOCK'!$G$2:$G$120,MATCH(A103,IF('[1]COUT MOYEN - STOCK'!$B$2:$B$120=G103,'[1]COUT MOYEN - STOCK'!$A$2:$A$120,""),0))</f>
        <v>0.41460714285714284</v>
      </c>
      <c r="O103" s="35">
        <f t="shared" si="4"/>
        <v>166.05016071428571</v>
      </c>
      <c r="P103" s="36" t="str">
        <f t="shared" si="5"/>
        <v>Lescandes</v>
      </c>
      <c r="Q103" s="40" t="s">
        <v>134</v>
      </c>
    </row>
    <row r="104" spans="1:17" ht="16.5" hidden="1" thickTop="1">
      <c r="A104" s="29">
        <v>2013</v>
      </c>
      <c r="B104" s="29" t="s">
        <v>164</v>
      </c>
      <c r="C104" s="30" t="s">
        <v>47</v>
      </c>
      <c r="D104" s="24" t="str">
        <f t="array" ref="D104">INDEX([1]PARCELLAIRE!$C$2:$C$85,MATCH(A104,IF([1]PARCELLAIRE!$D$2:$D$85=E104,[1]PARCELLAIRE!$A$2:$A$85,""),0))</f>
        <v>MIRADOUX</v>
      </c>
      <c r="E104" s="29" t="s">
        <v>23</v>
      </c>
      <c r="F104" s="31">
        <v>41325</v>
      </c>
      <c r="G104" s="29" t="s">
        <v>58</v>
      </c>
      <c r="H104" s="32" t="s">
        <v>14</v>
      </c>
      <c r="I104" s="24" t="str">
        <f>VLOOKUP(G104,[1]ACHATS!$C:$E,3,0)</f>
        <v>Kg</v>
      </c>
      <c r="J104" s="24" t="str">
        <f>VLOOKUP(G104,[1]ACHATS!$C:$D,2,0)</f>
        <v>AZOTE</v>
      </c>
      <c r="K104" s="29">
        <v>150</v>
      </c>
      <c r="L104" s="33">
        <f>VLOOKUP(E104,[1]PARCELLAIRE!$D$2:$F$29,3,0)</f>
        <v>7.58</v>
      </c>
      <c r="M104" s="33">
        <f t="shared" si="3"/>
        <v>1137</v>
      </c>
      <c r="N104" s="34">
        <f t="array" ref="N104">INDEX('[1]COUT MOYEN - STOCK'!$G$2:$G$120,MATCH(A104,IF('[1]COUT MOYEN - STOCK'!$B$2:$B$120=G104,'[1]COUT MOYEN - STOCK'!$A$2:$A$120,""),0))</f>
        <v>0.41460714285714284</v>
      </c>
      <c r="O104" s="35">
        <f t="shared" si="4"/>
        <v>471.40832142857141</v>
      </c>
      <c r="P104" s="36" t="str">
        <f t="shared" si="5"/>
        <v>Escarcelou</v>
      </c>
      <c r="Q104" s="40" t="s">
        <v>134</v>
      </c>
    </row>
    <row r="105" spans="1:17" ht="16.5" hidden="1" thickTop="1">
      <c r="A105" s="29">
        <v>2013</v>
      </c>
      <c r="B105" s="29" t="s">
        <v>164</v>
      </c>
      <c r="C105" s="30" t="s">
        <v>47</v>
      </c>
      <c r="D105" s="24" t="str">
        <f t="array" ref="D105">INDEX([1]PARCELLAIRE!$C$2:$C$85,MATCH(A105,IF([1]PARCELLAIRE!$D$2:$D$85=E105,[1]PARCELLAIRE!$A$2:$A$85,""),0))</f>
        <v>MIRADOUX</v>
      </c>
      <c r="E105" s="29" t="s">
        <v>28</v>
      </c>
      <c r="F105" s="31">
        <v>41325</v>
      </c>
      <c r="G105" s="29" t="s">
        <v>58</v>
      </c>
      <c r="H105" s="32" t="s">
        <v>14</v>
      </c>
      <c r="I105" s="24" t="str">
        <f>VLOOKUP(G105,[1]ACHATS!$C:$E,3,0)</f>
        <v>Kg</v>
      </c>
      <c r="J105" s="24" t="str">
        <f>VLOOKUP(G105,[1]ACHATS!$C:$D,2,0)</f>
        <v>AZOTE</v>
      </c>
      <c r="K105" s="29">
        <v>150</v>
      </c>
      <c r="L105" s="33">
        <f>VLOOKUP(E105,[1]PARCELLAIRE!$D$2:$F$29,3,0)</f>
        <v>11.9</v>
      </c>
      <c r="M105" s="33">
        <f t="shared" si="3"/>
        <v>1785</v>
      </c>
      <c r="N105" s="34">
        <f t="array" ref="N105">INDEX('[1]COUT MOYEN - STOCK'!$G$2:$G$120,MATCH(A105,IF('[1]COUT MOYEN - STOCK'!$B$2:$B$120=G105,'[1]COUT MOYEN - STOCK'!$A$2:$A$120,""),0))</f>
        <v>0.41460714285714284</v>
      </c>
      <c r="O105" s="35">
        <f t="shared" si="4"/>
        <v>740.07375000000002</v>
      </c>
      <c r="P105" s="36" t="str">
        <f t="shared" si="5"/>
        <v>Labaou Devant</v>
      </c>
      <c r="Q105" s="40" t="s">
        <v>134</v>
      </c>
    </row>
    <row r="106" spans="1:17" ht="16.5" hidden="1" thickTop="1">
      <c r="A106" s="29">
        <v>2013</v>
      </c>
      <c r="B106" s="29" t="s">
        <v>164</v>
      </c>
      <c r="C106" s="30" t="s">
        <v>47</v>
      </c>
      <c r="D106" s="24" t="str">
        <f t="array" ref="D106">INDEX([1]PARCELLAIRE!$C$2:$C$85,MATCH(A106,IF([1]PARCELLAIRE!$D$2:$D$85=E106,[1]PARCELLAIRE!$A$2:$A$85,""),0))</f>
        <v>MIRADOUX</v>
      </c>
      <c r="E106" s="29" t="s">
        <v>25</v>
      </c>
      <c r="F106" s="31">
        <v>41325</v>
      </c>
      <c r="G106" s="29" t="s">
        <v>58</v>
      </c>
      <c r="H106" s="32" t="s">
        <v>14</v>
      </c>
      <c r="I106" s="24" t="str">
        <f>VLOOKUP(G106,[1]ACHATS!$C:$E,3,0)</f>
        <v>Kg</v>
      </c>
      <c r="J106" s="24" t="str">
        <f>VLOOKUP(G106,[1]ACHATS!$C:$D,2,0)</f>
        <v>AZOTE</v>
      </c>
      <c r="K106" s="29">
        <v>150</v>
      </c>
      <c r="L106" s="33">
        <f>VLOOKUP(E106,[1]PARCELLAIRE!$D$2:$F$29,3,0)</f>
        <v>7.5</v>
      </c>
      <c r="M106" s="33">
        <f t="shared" si="3"/>
        <v>1125</v>
      </c>
      <c r="N106" s="34">
        <f t="array" ref="N106">INDEX('[1]COUT MOYEN - STOCK'!$G$2:$G$120,MATCH(A106,IF('[1]COUT MOYEN - STOCK'!$B$2:$B$120=G106,'[1]COUT MOYEN - STOCK'!$A$2:$A$120,""),0))</f>
        <v>0.41460714285714284</v>
      </c>
      <c r="O106" s="35">
        <f t="shared" si="4"/>
        <v>466.43303571428572</v>
      </c>
      <c r="P106" s="36" t="str">
        <f t="shared" si="5"/>
        <v>Escarcelou Pte</v>
      </c>
      <c r="Q106" s="40" t="s">
        <v>134</v>
      </c>
    </row>
    <row r="107" spans="1:17" ht="16.5" hidden="1" thickTop="1">
      <c r="A107" s="29">
        <v>2013</v>
      </c>
      <c r="B107" s="29" t="s">
        <v>164</v>
      </c>
      <c r="C107" s="30" t="s">
        <v>47</v>
      </c>
      <c r="D107" s="24" t="str">
        <f t="array" ref="D107">INDEX([1]PARCELLAIRE!$C$2:$C$85,MATCH(A107,IF([1]PARCELLAIRE!$D$2:$D$85=E107,[1]PARCELLAIRE!$A$2:$A$85,""),0))</f>
        <v>SCULPTUR</v>
      </c>
      <c r="E107" s="29" t="s">
        <v>20</v>
      </c>
      <c r="F107" s="31">
        <v>41325</v>
      </c>
      <c r="G107" s="29" t="s">
        <v>58</v>
      </c>
      <c r="H107" s="32" t="s">
        <v>14</v>
      </c>
      <c r="I107" s="24" t="str">
        <f>VLOOKUP(G107,[1]ACHATS!$C:$E,3,0)</f>
        <v>Kg</v>
      </c>
      <c r="J107" s="24" t="str">
        <f>VLOOKUP(G107,[1]ACHATS!$C:$D,2,0)</f>
        <v>AZOTE</v>
      </c>
      <c r="K107" s="29">
        <v>150</v>
      </c>
      <c r="L107" s="33">
        <f>VLOOKUP(E107,[1]PARCELLAIRE!$D$2:$F$29,3,0)</f>
        <v>12.49</v>
      </c>
      <c r="M107" s="33">
        <f t="shared" si="3"/>
        <v>1873.5</v>
      </c>
      <c r="N107" s="34">
        <f t="array" ref="N107">INDEX('[1]COUT MOYEN - STOCK'!$G$2:$G$120,MATCH(A107,IF('[1]COUT MOYEN - STOCK'!$B$2:$B$120=G107,'[1]COUT MOYEN - STOCK'!$A$2:$A$120,""),0))</f>
        <v>0.41460714285714284</v>
      </c>
      <c r="O107" s="35">
        <f t="shared" si="4"/>
        <v>776.76648214285706</v>
      </c>
      <c r="P107" s="36" t="str">
        <f t="shared" si="5"/>
        <v>Engleyse Bousquet</v>
      </c>
      <c r="Q107" s="40" t="s">
        <v>134</v>
      </c>
    </row>
    <row r="108" spans="1:17" ht="16.5" hidden="1" thickTop="1">
      <c r="A108" s="29">
        <v>2013</v>
      </c>
      <c r="B108" s="29" t="s">
        <v>164</v>
      </c>
      <c r="C108" s="30" t="s">
        <v>39</v>
      </c>
      <c r="D108" s="24" t="str">
        <f t="array" ref="D108">INDEX([1]PARCELLAIRE!$C$2:$C$85,MATCH(A108,IF([1]PARCELLAIRE!$D$2:$D$85=E108,[1]PARCELLAIRE!$A$2:$A$85,""),0))</f>
        <v>SY SAMIN</v>
      </c>
      <c r="E108" s="29" t="s">
        <v>36</v>
      </c>
      <c r="F108" s="31">
        <v>41326</v>
      </c>
      <c r="G108" s="29" t="s">
        <v>44</v>
      </c>
      <c r="H108" s="32" t="s">
        <v>14</v>
      </c>
      <c r="I108" s="24" t="str">
        <f>VLOOKUP(G108,[1]ACHATS!$C:$E,3,0)</f>
        <v>L</v>
      </c>
      <c r="J108" s="24" t="str">
        <f>VLOOKUP(G108,[1]ACHATS!$C:$D,2,0)</f>
        <v>DESHERBANT</v>
      </c>
      <c r="K108" s="33">
        <v>1.5</v>
      </c>
      <c r="L108" s="33">
        <f>VLOOKUP(E108,[1]PARCELLAIRE!$D$2:$F$29,3,0)</f>
        <v>4.42</v>
      </c>
      <c r="M108" s="33">
        <f t="shared" si="3"/>
        <v>6.63</v>
      </c>
      <c r="N108" s="34">
        <f t="array" ref="N108">INDEX('[1]COUT MOYEN - STOCK'!$G$2:$G$120,MATCH(A108,IF('[1]COUT MOYEN - STOCK'!$B$2:$B$120=G108,'[1]COUT MOYEN - STOCK'!$A$2:$A$120,""),0))</f>
        <v>4.9381521739130436</v>
      </c>
      <c r="O108" s="35">
        <f t="shared" si="4"/>
        <v>32.739948913043477</v>
      </c>
      <c r="P108" s="36" t="str">
        <f t="shared" si="5"/>
        <v>Picotalène Nord</v>
      </c>
      <c r="Q108" s="37" t="s">
        <v>14</v>
      </c>
    </row>
    <row r="109" spans="1:17" ht="16.5" hidden="1" thickTop="1">
      <c r="A109" s="29">
        <v>2013</v>
      </c>
      <c r="B109" s="29" t="s">
        <v>164</v>
      </c>
      <c r="C109" s="30" t="s">
        <v>39</v>
      </c>
      <c r="D109" s="24" t="str">
        <f t="array" ref="D109">INDEX([1]PARCELLAIRE!$C$2:$C$85,MATCH(A109,IF([1]PARCELLAIRE!$D$2:$D$85=E109,[1]PARCELLAIRE!$A$2:$A$85,""),0))</f>
        <v>SY SAMIN</v>
      </c>
      <c r="E109" s="29" t="s">
        <v>35</v>
      </c>
      <c r="F109" s="31">
        <v>41326</v>
      </c>
      <c r="G109" s="29" t="s">
        <v>44</v>
      </c>
      <c r="H109" s="32" t="s">
        <v>14</v>
      </c>
      <c r="I109" s="24" t="str">
        <f>VLOOKUP(G109,[1]ACHATS!$C:$E,3,0)</f>
        <v>L</v>
      </c>
      <c r="J109" s="24" t="str">
        <f>VLOOKUP(G109,[1]ACHATS!$C:$D,2,0)</f>
        <v>DESHERBANT</v>
      </c>
      <c r="K109" s="33">
        <v>1.5</v>
      </c>
      <c r="L109" s="33">
        <f>VLOOKUP(E109,[1]PARCELLAIRE!$D$2:$F$29,3,0)</f>
        <v>4.12</v>
      </c>
      <c r="M109" s="33">
        <f t="shared" si="3"/>
        <v>6.18</v>
      </c>
      <c r="N109" s="34">
        <f t="array" ref="N109">INDEX('[1]COUT MOYEN - STOCK'!$G$2:$G$120,MATCH(A109,IF('[1]COUT MOYEN - STOCK'!$B$2:$B$120=G109,'[1]COUT MOYEN - STOCK'!$A$2:$A$120,""),0))</f>
        <v>4.9381521739130436</v>
      </c>
      <c r="O109" s="35">
        <f t="shared" si="4"/>
        <v>30.517780434782608</v>
      </c>
      <c r="P109" s="36" t="str">
        <f t="shared" si="5"/>
        <v>Picotalène Midi</v>
      </c>
      <c r="Q109" s="37" t="s">
        <v>14</v>
      </c>
    </row>
    <row r="110" spans="1:17" ht="16.5" hidden="1" thickTop="1">
      <c r="A110" s="29">
        <v>2013</v>
      </c>
      <c r="B110" s="29" t="s">
        <v>164</v>
      </c>
      <c r="C110" s="30" t="s">
        <v>39</v>
      </c>
      <c r="D110" s="24" t="str">
        <f t="array" ref="D110">INDEX([1]PARCELLAIRE!$C$2:$C$85,MATCH(A110,IF([1]PARCELLAIRE!$D$2:$D$85=E110,[1]PARCELLAIRE!$A$2:$A$85,""),0))</f>
        <v>SY SAMIN</v>
      </c>
      <c r="E110" s="29" t="s">
        <v>37</v>
      </c>
      <c r="F110" s="31">
        <v>41326</v>
      </c>
      <c r="G110" s="29" t="s">
        <v>44</v>
      </c>
      <c r="H110" s="32" t="s">
        <v>14</v>
      </c>
      <c r="I110" s="24" t="str">
        <f>VLOOKUP(G110,[1]ACHATS!$C:$E,3,0)</f>
        <v>L</v>
      </c>
      <c r="J110" s="24" t="str">
        <f>VLOOKUP(G110,[1]ACHATS!$C:$D,2,0)</f>
        <v>DESHERBANT</v>
      </c>
      <c r="K110" s="33">
        <v>1.5</v>
      </c>
      <c r="L110" s="33">
        <f>VLOOKUP(E110,[1]PARCELLAIRE!$D$2:$F$29,3,0)</f>
        <v>12.06</v>
      </c>
      <c r="M110" s="33">
        <f t="shared" si="3"/>
        <v>18.09</v>
      </c>
      <c r="N110" s="34">
        <f t="array" ref="N110">INDEX('[1]COUT MOYEN - STOCK'!$G$2:$G$120,MATCH(A110,IF('[1]COUT MOYEN - STOCK'!$B$2:$B$120=G110,'[1]COUT MOYEN - STOCK'!$A$2:$A$120,""),0))</f>
        <v>4.9381521739130436</v>
      </c>
      <c r="O110" s="35">
        <f t="shared" si="4"/>
        <v>89.331172826086956</v>
      </c>
      <c r="P110" s="36" t="str">
        <f t="shared" si="5"/>
        <v>Pourtanel</v>
      </c>
      <c r="Q110" s="37" t="s">
        <v>14</v>
      </c>
    </row>
    <row r="111" spans="1:17" ht="16.5" hidden="1" thickTop="1">
      <c r="A111" s="29">
        <v>2013</v>
      </c>
      <c r="B111" s="29" t="s">
        <v>164</v>
      </c>
      <c r="C111" s="30" t="s">
        <v>39</v>
      </c>
      <c r="D111" s="24" t="str">
        <f t="array" ref="D111">INDEX([1]PARCELLAIRE!$C$2:$C$85,MATCH(A111,IF([1]PARCELLAIRE!$D$2:$D$85=E111,[1]PARCELLAIRE!$A$2:$A$85,""),0))</f>
        <v>SY SAMIN</v>
      </c>
      <c r="E111" s="29" t="s">
        <v>18</v>
      </c>
      <c r="F111" s="31">
        <v>41326</v>
      </c>
      <c r="G111" s="29" t="s">
        <v>44</v>
      </c>
      <c r="H111" s="32" t="s">
        <v>14</v>
      </c>
      <c r="I111" s="24" t="str">
        <f>VLOOKUP(G111,[1]ACHATS!$C:$E,3,0)</f>
        <v>L</v>
      </c>
      <c r="J111" s="24" t="str">
        <f>VLOOKUP(G111,[1]ACHATS!$C:$D,2,0)</f>
        <v>DESHERBANT</v>
      </c>
      <c r="K111" s="33">
        <v>1.5</v>
      </c>
      <c r="L111" s="33">
        <f>VLOOKUP(E111,[1]PARCELLAIRE!$D$2:$F$29,3,0)</f>
        <v>2.33</v>
      </c>
      <c r="M111" s="33">
        <f t="shared" si="3"/>
        <v>3.4950000000000001</v>
      </c>
      <c r="N111" s="34">
        <f t="array" ref="N111">INDEX('[1]COUT MOYEN - STOCK'!$G$2:$G$120,MATCH(A111,IF('[1]COUT MOYEN - STOCK'!$B$2:$B$120=G111,'[1]COUT MOYEN - STOCK'!$A$2:$A$120,""),0))</f>
        <v>4.9381521739130436</v>
      </c>
      <c r="O111" s="35">
        <f t="shared" si="4"/>
        <v>17.258841847826087</v>
      </c>
      <c r="P111" s="36" t="str">
        <f t="shared" si="5"/>
        <v>Bousquet Pourtanel</v>
      </c>
      <c r="Q111" s="37" t="s">
        <v>14</v>
      </c>
    </row>
    <row r="112" spans="1:17" ht="16.5" hidden="1" thickTop="1">
      <c r="A112" s="29">
        <v>2013</v>
      </c>
      <c r="B112" s="29" t="s">
        <v>164</v>
      </c>
      <c r="C112" s="30" t="s">
        <v>41</v>
      </c>
      <c r="D112" s="24" t="str">
        <f t="array" ref="D112">INDEX([1]PARCELLAIRE!$C$2:$C$85,MATCH(A112,IF([1]PARCELLAIRE!$D$2:$D$85=E112,[1]PARCELLAIRE!$A$2:$A$85,""),0))</f>
        <v>ARDICO</v>
      </c>
      <c r="E112" s="29" t="s">
        <v>21</v>
      </c>
      <c r="F112" s="31">
        <v>41326</v>
      </c>
      <c r="G112" s="29" t="s">
        <v>44</v>
      </c>
      <c r="H112" s="32" t="s">
        <v>14</v>
      </c>
      <c r="I112" s="24" t="str">
        <f>VLOOKUP(G112,[1]ACHATS!$C:$E,3,0)</f>
        <v>L</v>
      </c>
      <c r="J112" s="24" t="str">
        <f>VLOOKUP(G112,[1]ACHATS!$C:$D,2,0)</f>
        <v>DESHERBANT</v>
      </c>
      <c r="K112" s="29">
        <v>1.5</v>
      </c>
      <c r="L112" s="33">
        <f>VLOOKUP(E112,[1]PARCELLAIRE!$D$2:$F$29,3,0)</f>
        <v>10.93</v>
      </c>
      <c r="M112" s="33">
        <f t="shared" si="3"/>
        <v>16.395</v>
      </c>
      <c r="N112" s="34">
        <f t="array" ref="N112">INDEX('[1]COUT MOYEN - STOCK'!$G$2:$G$120,MATCH(A112,IF('[1]COUT MOYEN - STOCK'!$B$2:$B$120=G112,'[1]COUT MOYEN - STOCK'!$A$2:$A$120,""),0))</f>
        <v>4.9381521739130436</v>
      </c>
      <c r="O112" s="35">
        <f t="shared" si="4"/>
        <v>80.961004891304341</v>
      </c>
      <c r="P112" s="36" t="str">
        <f t="shared" si="5"/>
        <v>Engleyse métairie</v>
      </c>
      <c r="Q112" s="37" t="s">
        <v>14</v>
      </c>
    </row>
    <row r="113" spans="1:17" ht="16.5" hidden="1" thickTop="1">
      <c r="A113" s="29">
        <v>2013</v>
      </c>
      <c r="B113" s="29" t="s">
        <v>164</v>
      </c>
      <c r="C113" s="30" t="s">
        <v>39</v>
      </c>
      <c r="D113" s="24" t="str">
        <f t="array" ref="D113">INDEX([1]PARCELLAIRE!$C$2:$C$85,MATCH(A113,IF([1]PARCELLAIRE!$D$2:$D$85=E113,[1]PARCELLAIRE!$A$2:$A$85,""),0))</f>
        <v>SY SAMIN</v>
      </c>
      <c r="E113" s="29" t="s">
        <v>18</v>
      </c>
      <c r="F113" s="31">
        <v>41326</v>
      </c>
      <c r="G113" s="29" t="s">
        <v>45</v>
      </c>
      <c r="H113" s="32" t="s">
        <v>14</v>
      </c>
      <c r="I113" s="24" t="str">
        <f>VLOOKUP(G113,[1]ACHATS!$C:$E,3,0)</f>
        <v>L</v>
      </c>
      <c r="J113" s="24" t="str">
        <f>VLOOKUP(G113,[1]ACHATS!$C:$D,2,0)</f>
        <v>DIVERS</v>
      </c>
      <c r="K113" s="33">
        <v>0.2</v>
      </c>
      <c r="L113" s="33">
        <f>VLOOKUP(E113,[1]PARCELLAIRE!$D$2:$F$29,3,0)</f>
        <v>2.33</v>
      </c>
      <c r="M113" s="33">
        <f t="shared" si="3"/>
        <v>0.46600000000000003</v>
      </c>
      <c r="N113" s="34">
        <f t="array" ref="N113">INDEX('[1]COUT MOYEN - STOCK'!$G$2:$G$120,MATCH(A113,IF('[1]COUT MOYEN - STOCK'!$B$2:$B$120=G113,'[1]COUT MOYEN - STOCK'!$A$2:$A$120,""),0))</f>
        <v>11.01</v>
      </c>
      <c r="O113" s="35">
        <f t="shared" si="4"/>
        <v>5.1306599999999998</v>
      </c>
      <c r="P113" s="36" t="str">
        <f t="shared" si="5"/>
        <v>Bousquet Pourtanel</v>
      </c>
      <c r="Q113" s="37" t="s">
        <v>14</v>
      </c>
    </row>
    <row r="114" spans="1:17" ht="16.5" hidden="1" thickTop="1">
      <c r="A114" s="29">
        <v>2013</v>
      </c>
      <c r="B114" s="29" t="s">
        <v>164</v>
      </c>
      <c r="C114" s="30" t="s">
        <v>39</v>
      </c>
      <c r="D114" s="24" t="str">
        <f t="array" ref="D114">INDEX([1]PARCELLAIRE!$C$2:$C$85,MATCH(A114,IF([1]PARCELLAIRE!$D$2:$D$85=E114,[1]PARCELLAIRE!$A$2:$A$85,""),0))</f>
        <v>SY SAMIN</v>
      </c>
      <c r="E114" s="29" t="s">
        <v>37</v>
      </c>
      <c r="F114" s="31">
        <v>41326</v>
      </c>
      <c r="G114" s="29" t="s">
        <v>45</v>
      </c>
      <c r="H114" s="32" t="s">
        <v>14</v>
      </c>
      <c r="I114" s="24" t="str">
        <f>VLOOKUP(G114,[1]ACHATS!$C:$E,3,0)</f>
        <v>L</v>
      </c>
      <c r="J114" s="24" t="str">
        <f>VLOOKUP(G114,[1]ACHATS!$C:$D,2,0)</f>
        <v>DIVERS</v>
      </c>
      <c r="K114" s="33">
        <v>0.2</v>
      </c>
      <c r="L114" s="33">
        <f>VLOOKUP(E114,[1]PARCELLAIRE!$D$2:$F$29,3,0)</f>
        <v>12.06</v>
      </c>
      <c r="M114" s="33">
        <f t="shared" si="3"/>
        <v>2.4120000000000004</v>
      </c>
      <c r="N114" s="34">
        <f t="array" ref="N114">INDEX('[1]COUT MOYEN - STOCK'!$G$2:$G$120,MATCH(A114,IF('[1]COUT MOYEN - STOCK'!$B$2:$B$120=G114,'[1]COUT MOYEN - STOCK'!$A$2:$A$120,""),0))</f>
        <v>11.01</v>
      </c>
      <c r="O114" s="35">
        <f t="shared" si="4"/>
        <v>26.556120000000004</v>
      </c>
      <c r="P114" s="36" t="str">
        <f t="shared" si="5"/>
        <v>Pourtanel</v>
      </c>
      <c r="Q114" s="37" t="s">
        <v>14</v>
      </c>
    </row>
    <row r="115" spans="1:17" ht="16.5" hidden="1" thickTop="1">
      <c r="A115" s="29">
        <v>2013</v>
      </c>
      <c r="B115" s="29" t="s">
        <v>164</v>
      </c>
      <c r="C115" s="30" t="s">
        <v>39</v>
      </c>
      <c r="D115" s="24" t="str">
        <f t="array" ref="D115">INDEX([1]PARCELLAIRE!$C$2:$C$85,MATCH(A115,IF([1]PARCELLAIRE!$D$2:$D$85=E115,[1]PARCELLAIRE!$A$2:$A$85,""),0))</f>
        <v>SY SAMIN</v>
      </c>
      <c r="E115" s="29" t="s">
        <v>35</v>
      </c>
      <c r="F115" s="31">
        <v>41326</v>
      </c>
      <c r="G115" s="29" t="s">
        <v>45</v>
      </c>
      <c r="H115" s="32" t="s">
        <v>14</v>
      </c>
      <c r="I115" s="24" t="str">
        <f>VLOOKUP(G115,[1]ACHATS!$C:$E,3,0)</f>
        <v>L</v>
      </c>
      <c r="J115" s="24" t="str">
        <f>VLOOKUP(G115,[1]ACHATS!$C:$D,2,0)</f>
        <v>DIVERS</v>
      </c>
      <c r="K115" s="33">
        <v>0.2</v>
      </c>
      <c r="L115" s="33">
        <f>VLOOKUP(E115,[1]PARCELLAIRE!$D$2:$F$29,3,0)</f>
        <v>4.12</v>
      </c>
      <c r="M115" s="33">
        <f t="shared" si="3"/>
        <v>0.82400000000000007</v>
      </c>
      <c r="N115" s="34">
        <f t="array" ref="N115">INDEX('[1]COUT MOYEN - STOCK'!$G$2:$G$120,MATCH(A115,IF('[1]COUT MOYEN - STOCK'!$B$2:$B$120=G115,'[1]COUT MOYEN - STOCK'!$A$2:$A$120,""),0))</f>
        <v>11.01</v>
      </c>
      <c r="O115" s="35">
        <f t="shared" si="4"/>
        <v>9.0722400000000007</v>
      </c>
      <c r="P115" s="36" t="str">
        <f t="shared" si="5"/>
        <v>Picotalène Midi</v>
      </c>
      <c r="Q115" s="37" t="s">
        <v>14</v>
      </c>
    </row>
    <row r="116" spans="1:17" ht="16.5" hidden="1" thickTop="1">
      <c r="A116" s="29">
        <v>2013</v>
      </c>
      <c r="B116" s="29" t="s">
        <v>164</v>
      </c>
      <c r="C116" s="30" t="s">
        <v>39</v>
      </c>
      <c r="D116" s="24" t="str">
        <f t="array" ref="D116">INDEX([1]PARCELLAIRE!$C$2:$C$85,MATCH(A116,IF([1]PARCELLAIRE!$D$2:$D$85=E116,[1]PARCELLAIRE!$A$2:$A$85,""),0))</f>
        <v>SY SAMIN</v>
      </c>
      <c r="E116" s="29" t="s">
        <v>36</v>
      </c>
      <c r="F116" s="31">
        <v>41326</v>
      </c>
      <c r="G116" s="29" t="s">
        <v>45</v>
      </c>
      <c r="H116" s="32" t="s">
        <v>14</v>
      </c>
      <c r="I116" s="24" t="str">
        <f>VLOOKUP(G116,[1]ACHATS!$C:$E,3,0)</f>
        <v>L</v>
      </c>
      <c r="J116" s="24" t="str">
        <f>VLOOKUP(G116,[1]ACHATS!$C:$D,2,0)</f>
        <v>DIVERS</v>
      </c>
      <c r="K116" s="33">
        <v>0.2</v>
      </c>
      <c r="L116" s="33">
        <f>VLOOKUP(E116,[1]PARCELLAIRE!$D$2:$F$29,3,0)</f>
        <v>4.42</v>
      </c>
      <c r="M116" s="33">
        <f t="shared" si="3"/>
        <v>0.88400000000000001</v>
      </c>
      <c r="N116" s="34">
        <f t="array" ref="N116">INDEX('[1]COUT MOYEN - STOCK'!$G$2:$G$120,MATCH(A116,IF('[1]COUT MOYEN - STOCK'!$B$2:$B$120=G116,'[1]COUT MOYEN - STOCK'!$A$2:$A$120,""),0))</f>
        <v>11.01</v>
      </c>
      <c r="O116" s="35">
        <f t="shared" si="4"/>
        <v>9.7328399999999995</v>
      </c>
      <c r="P116" s="36" t="str">
        <f t="shared" si="5"/>
        <v>Picotalène Nord</v>
      </c>
      <c r="Q116" s="37" t="s">
        <v>14</v>
      </c>
    </row>
    <row r="117" spans="1:17" ht="16.5" hidden="1" thickTop="1">
      <c r="A117" s="29">
        <v>2013</v>
      </c>
      <c r="B117" s="29" t="s">
        <v>164</v>
      </c>
      <c r="C117" s="30" t="s">
        <v>43</v>
      </c>
      <c r="D117" s="24" t="str">
        <f t="array" ref="D117">INDEX([1]PARCELLAIRE!$C$2:$C$85,MATCH(A117,IF([1]PARCELLAIRE!$D$2:$D$85=E117,[1]PARCELLAIRE!$A$2:$A$85,""),0))</f>
        <v>SOLEIHO</v>
      </c>
      <c r="E117" s="29" t="s">
        <v>29</v>
      </c>
      <c r="F117" s="31">
        <v>41340</v>
      </c>
      <c r="G117" s="29" t="s">
        <v>59</v>
      </c>
      <c r="H117" s="32" t="s">
        <v>14</v>
      </c>
      <c r="I117" s="24" t="str">
        <f>VLOOKUP(G117,[1]ACHATS!$C:$E,3,0)</f>
        <v>L</v>
      </c>
      <c r="J117" s="24" t="str">
        <f>VLOOKUP(G117,[1]ACHATS!$C:$D,2,0)</f>
        <v>DIVERS</v>
      </c>
      <c r="K117" s="29">
        <v>3</v>
      </c>
      <c r="L117" s="33">
        <f>VLOOKUP(E117,[1]PARCELLAIRE!$D$2:$F$29,3,0)</f>
        <v>17.55</v>
      </c>
      <c r="M117" s="33">
        <f t="shared" si="3"/>
        <v>52.650000000000006</v>
      </c>
      <c r="N117" s="34">
        <f t="array" ref="N117">INDEX('[1]COUT MOYEN - STOCK'!$G$2:$G$120,MATCH(A117,IF('[1]COUT MOYEN - STOCK'!$B$2:$B$120=G117,'[1]COUT MOYEN - STOCK'!$A$2:$A$120,""),0))</f>
        <v>1.66</v>
      </c>
      <c r="O117" s="35">
        <f t="shared" si="4"/>
        <v>87.399000000000001</v>
      </c>
      <c r="P117" s="36" t="str">
        <f t="shared" si="5"/>
        <v>Labaou Plaine</v>
      </c>
      <c r="Q117" s="37" t="s">
        <v>14</v>
      </c>
    </row>
    <row r="118" spans="1:17" ht="16.5" hidden="1" thickTop="1">
      <c r="A118" s="29">
        <v>2013</v>
      </c>
      <c r="B118" s="29" t="s">
        <v>164</v>
      </c>
      <c r="C118" s="30" t="s">
        <v>47</v>
      </c>
      <c r="D118" s="24" t="str">
        <f t="array" ref="D118">INDEX([1]PARCELLAIRE!$C$2:$C$85,MATCH(A118,IF([1]PARCELLAIRE!$D$2:$D$85=E118,[1]PARCELLAIRE!$A$2:$A$85,""),0))</f>
        <v>SCULPTUR</v>
      </c>
      <c r="E118" s="29" t="s">
        <v>20</v>
      </c>
      <c r="F118" s="31">
        <v>41340</v>
      </c>
      <c r="G118" s="29" t="s">
        <v>59</v>
      </c>
      <c r="H118" s="32" t="s">
        <v>14</v>
      </c>
      <c r="I118" s="24" t="str">
        <f>VLOOKUP(G118,[1]ACHATS!$C:$E,3,0)</f>
        <v>L</v>
      </c>
      <c r="J118" s="24" t="str">
        <f>VLOOKUP(G118,[1]ACHATS!$C:$D,2,0)</f>
        <v>DIVERS</v>
      </c>
      <c r="K118" s="29">
        <v>3</v>
      </c>
      <c r="L118" s="33">
        <f>VLOOKUP(E118,[1]PARCELLAIRE!$D$2:$F$29,3,0)</f>
        <v>12.49</v>
      </c>
      <c r="M118" s="33">
        <f t="shared" si="3"/>
        <v>37.47</v>
      </c>
      <c r="N118" s="34">
        <f t="array" ref="N118">INDEX('[1]COUT MOYEN - STOCK'!$G$2:$G$120,MATCH(A118,IF('[1]COUT MOYEN - STOCK'!$B$2:$B$120=G118,'[1]COUT MOYEN - STOCK'!$A$2:$A$120,""),0))</f>
        <v>1.66</v>
      </c>
      <c r="O118" s="35">
        <f t="shared" si="4"/>
        <v>62.200199999999995</v>
      </c>
      <c r="P118" s="36" t="str">
        <f t="shared" si="5"/>
        <v>Engleyse Bousquet</v>
      </c>
      <c r="Q118" s="37" t="s">
        <v>14</v>
      </c>
    </row>
    <row r="119" spans="1:17" ht="16.5" hidden="1" thickTop="1">
      <c r="A119" s="29">
        <v>2013</v>
      </c>
      <c r="B119" s="29" t="s">
        <v>164</v>
      </c>
      <c r="C119" s="30" t="s">
        <v>47</v>
      </c>
      <c r="D119" s="24" t="str">
        <f t="array" ref="D119">INDEX([1]PARCELLAIRE!$C$2:$C$85,MATCH(A119,IF([1]PARCELLAIRE!$D$2:$D$85=E119,[1]PARCELLAIRE!$A$2:$A$85,""),0))</f>
        <v>SCULPTUR</v>
      </c>
      <c r="E119" s="29" t="s">
        <v>20</v>
      </c>
      <c r="F119" s="31">
        <v>41340</v>
      </c>
      <c r="G119" s="29" t="s">
        <v>60</v>
      </c>
      <c r="H119" s="32" t="s">
        <v>14</v>
      </c>
      <c r="I119" s="24" t="str">
        <f>VLOOKUP(G119,[1]ACHATS!$C:$E,3,0)</f>
        <v>L</v>
      </c>
      <c r="J119" s="24" t="str">
        <f>VLOOKUP(G119,[1]ACHATS!$C:$D,2,0)</f>
        <v>DIVERS</v>
      </c>
      <c r="K119" s="29">
        <v>3</v>
      </c>
      <c r="L119" s="33">
        <f>VLOOKUP(E119,[1]PARCELLAIRE!$D$2:$F$29,3,0)</f>
        <v>12.49</v>
      </c>
      <c r="M119" s="33">
        <f t="shared" si="3"/>
        <v>37.47</v>
      </c>
      <c r="N119" s="34">
        <f t="array" ref="N119">INDEX('[1]COUT MOYEN - STOCK'!$G$2:$G$120,MATCH(A119,IF('[1]COUT MOYEN - STOCK'!$B$2:$B$120=G119,'[1]COUT MOYEN - STOCK'!$A$2:$A$120,""),0))</f>
        <v>2.9</v>
      </c>
      <c r="O119" s="35">
        <f t="shared" si="4"/>
        <v>108.663</v>
      </c>
      <c r="P119" s="36" t="str">
        <f t="shared" si="5"/>
        <v>Engleyse Bousquet</v>
      </c>
      <c r="Q119" s="37" t="s">
        <v>14</v>
      </c>
    </row>
    <row r="120" spans="1:17" ht="16.5" hidden="1" thickTop="1">
      <c r="A120" s="29">
        <v>2013</v>
      </c>
      <c r="B120" s="29" t="s">
        <v>164</v>
      </c>
      <c r="C120" s="30" t="s">
        <v>43</v>
      </c>
      <c r="D120" s="24" t="str">
        <f t="array" ref="D120">INDEX([1]PARCELLAIRE!$C$2:$C$85,MATCH(A120,IF([1]PARCELLAIRE!$D$2:$D$85=E120,[1]PARCELLAIRE!$A$2:$A$85,""),0))</f>
        <v>SOLEIHO</v>
      </c>
      <c r="E120" s="29" t="s">
        <v>29</v>
      </c>
      <c r="F120" s="31">
        <v>41340</v>
      </c>
      <c r="G120" s="29" t="s">
        <v>60</v>
      </c>
      <c r="H120" s="32" t="s">
        <v>14</v>
      </c>
      <c r="I120" s="24" t="str">
        <f>VLOOKUP(G120,[1]ACHATS!$C:$E,3,0)</f>
        <v>L</v>
      </c>
      <c r="J120" s="24" t="str">
        <f>VLOOKUP(G120,[1]ACHATS!$C:$D,2,0)</f>
        <v>DIVERS</v>
      </c>
      <c r="K120" s="29">
        <v>3</v>
      </c>
      <c r="L120" s="33">
        <f>VLOOKUP(E120,[1]PARCELLAIRE!$D$2:$F$29,3,0)</f>
        <v>17.55</v>
      </c>
      <c r="M120" s="33">
        <f t="shared" si="3"/>
        <v>52.650000000000006</v>
      </c>
      <c r="N120" s="34">
        <f t="array" ref="N120">INDEX('[1]COUT MOYEN - STOCK'!$G$2:$G$120,MATCH(A120,IF('[1]COUT MOYEN - STOCK'!$B$2:$B$120=G120,'[1]COUT MOYEN - STOCK'!$A$2:$A$120,""),0))</f>
        <v>2.9</v>
      </c>
      <c r="O120" s="35">
        <f t="shared" si="4"/>
        <v>152.685</v>
      </c>
      <c r="P120" s="36" t="str">
        <f t="shared" si="5"/>
        <v>Labaou Plaine</v>
      </c>
      <c r="Q120" s="37" t="s">
        <v>14</v>
      </c>
    </row>
    <row r="121" spans="1:17" ht="16.5" hidden="1" thickTop="1">
      <c r="A121" s="29">
        <v>2013</v>
      </c>
      <c r="B121" s="29" t="s">
        <v>164</v>
      </c>
      <c r="C121" s="30" t="s">
        <v>47</v>
      </c>
      <c r="D121" s="24" t="str">
        <f t="array" ref="D121">INDEX([1]PARCELLAIRE!$C$2:$C$85,MATCH(A121,IF([1]PARCELLAIRE!$D$2:$D$85=E121,[1]PARCELLAIRE!$A$2:$A$85,""),0))</f>
        <v>MIRADOUX</v>
      </c>
      <c r="E121" s="29" t="s">
        <v>24</v>
      </c>
      <c r="F121" s="31">
        <v>41341</v>
      </c>
      <c r="G121" s="29" t="s">
        <v>61</v>
      </c>
      <c r="H121" s="32" t="s">
        <v>14</v>
      </c>
      <c r="I121" s="24" t="str">
        <f>VLOOKUP(G121,[1]ACHATS!$C:$E,3,0)</f>
        <v>L</v>
      </c>
      <c r="J121" s="24" t="str">
        <f>VLOOKUP(G121,[1]ACHATS!$C:$D,2,0)</f>
        <v>DESHERBANT</v>
      </c>
      <c r="K121" s="29">
        <v>0.9</v>
      </c>
      <c r="L121" s="33">
        <f>VLOOKUP(E121,[1]PARCELLAIRE!$D$2:$F$29,3,0)</f>
        <v>1.34</v>
      </c>
      <c r="M121" s="33">
        <f t="shared" si="3"/>
        <v>1.2060000000000002</v>
      </c>
      <c r="N121" s="34">
        <f t="array" ref="N121">INDEX('[1]COUT MOYEN - STOCK'!$G$2:$G$120,MATCH(A121,IF('[1]COUT MOYEN - STOCK'!$B$2:$B$120=G121,'[1]COUT MOYEN - STOCK'!$A$2:$A$120,""),0))</f>
        <v>31</v>
      </c>
      <c r="O121" s="41">
        <f t="shared" si="4"/>
        <v>37.386000000000003</v>
      </c>
      <c r="P121" s="36" t="str">
        <f t="shared" si="5"/>
        <v>Escarcelou Jachère</v>
      </c>
      <c r="Q121" s="37" t="s">
        <v>14</v>
      </c>
    </row>
    <row r="122" spans="1:17" ht="16.5" hidden="1" thickTop="1">
      <c r="A122" s="29">
        <v>2013</v>
      </c>
      <c r="B122" s="29" t="s">
        <v>164</v>
      </c>
      <c r="C122" s="30" t="s">
        <v>47</v>
      </c>
      <c r="D122" s="24" t="str">
        <f t="array" ref="D122">INDEX([1]PARCELLAIRE!$C$2:$C$85,MATCH(A122,IF([1]PARCELLAIRE!$D$2:$D$85=E122,[1]PARCELLAIRE!$A$2:$A$85,""),0))</f>
        <v>MIRADOUX</v>
      </c>
      <c r="E122" s="29" t="s">
        <v>24</v>
      </c>
      <c r="F122" s="31">
        <v>41341</v>
      </c>
      <c r="G122" s="29" t="s">
        <v>62</v>
      </c>
      <c r="H122" s="32" t="s">
        <v>14</v>
      </c>
      <c r="I122" s="24" t="str">
        <f>VLOOKUP(G122,[1]ACHATS!$C:$E,3,0)</f>
        <v>L</v>
      </c>
      <c r="J122" s="24" t="str">
        <f>VLOOKUP(G122,[1]ACHATS!$C:$D,2,0)</f>
        <v>DESHERBANT</v>
      </c>
      <c r="K122" s="29">
        <v>60</v>
      </c>
      <c r="L122" s="33">
        <f>VLOOKUP(E122,[1]PARCELLAIRE!$D$2:$F$29,3,0)</f>
        <v>1.34</v>
      </c>
      <c r="M122" s="33">
        <f t="shared" si="3"/>
        <v>80.400000000000006</v>
      </c>
      <c r="N122" s="34">
        <f t="array" ref="N122">INDEX('[1]COUT MOYEN - STOCK'!$G$2:$G$120,MATCH(A122,IF('[1]COUT MOYEN - STOCK'!$B$2:$B$120=G122,'[1]COUT MOYEN - STOCK'!$A$2:$A$120,""),0))</f>
        <v>0.21666666666666667</v>
      </c>
      <c r="O122" s="41">
        <f t="shared" si="4"/>
        <v>17.420000000000002</v>
      </c>
      <c r="P122" s="36" t="str">
        <f t="shared" si="5"/>
        <v>Escarcelou Jachère</v>
      </c>
      <c r="Q122" s="37" t="s">
        <v>14</v>
      </c>
    </row>
    <row r="123" spans="1:17" ht="16.5" hidden="1" thickTop="1">
      <c r="A123" s="29">
        <v>2013</v>
      </c>
      <c r="B123" s="29" t="s">
        <v>164</v>
      </c>
      <c r="C123" s="30" t="s">
        <v>47</v>
      </c>
      <c r="D123" s="24" t="str">
        <f t="array" ref="D123">INDEX([1]PARCELLAIRE!$C$2:$C$85,MATCH(A123,IF([1]PARCELLAIRE!$D$2:$D$85=E123,[1]PARCELLAIRE!$A$2:$A$85,""),0))</f>
        <v>PESCADOUX</v>
      </c>
      <c r="E123" s="29" t="s">
        <v>17</v>
      </c>
      <c r="F123" s="31">
        <v>41341</v>
      </c>
      <c r="G123" s="29" t="s">
        <v>63</v>
      </c>
      <c r="H123" s="32" t="s">
        <v>14</v>
      </c>
      <c r="I123" s="24" t="str">
        <f>VLOOKUP(G123,[1]ACHATS!$C:$E,3,0)</f>
        <v>g</v>
      </c>
      <c r="J123" s="24" t="str">
        <f>VLOOKUP(G123,[1]ACHATS!$C:$D,2,0)</f>
        <v>DESHERBANT</v>
      </c>
      <c r="K123" s="29">
        <v>20</v>
      </c>
      <c r="L123" s="33">
        <f>VLOOKUP(E123,[1]PARCELLAIRE!$D$2:$F$29,3,0)</f>
        <v>5.27</v>
      </c>
      <c r="M123" s="33">
        <f t="shared" si="3"/>
        <v>105.39999999999999</v>
      </c>
      <c r="N123" s="34">
        <f t="array" ref="N123">INDEX('[1]COUT MOYEN - STOCK'!$G$2:$G$120,MATCH(A123,IF('[1]COUT MOYEN - STOCK'!$B$2:$B$120=G123,'[1]COUT MOYEN - STOCK'!$A$2:$A$120,""),0))</f>
        <v>0.67</v>
      </c>
      <c r="O123" s="35">
        <f t="shared" si="4"/>
        <v>70.617999999999995</v>
      </c>
      <c r="P123" s="36" t="str">
        <f t="shared" si="5"/>
        <v>Bousquet Château</v>
      </c>
      <c r="Q123" s="37" t="s">
        <v>14</v>
      </c>
    </row>
    <row r="124" spans="1:17" ht="16.5" hidden="1" thickTop="1">
      <c r="A124" s="29">
        <v>2013</v>
      </c>
      <c r="B124" s="29" t="s">
        <v>164</v>
      </c>
      <c r="C124" s="30" t="s">
        <v>47</v>
      </c>
      <c r="D124" s="24" t="str">
        <f t="array" ref="D124">INDEX([1]PARCELLAIRE!$C$2:$C$85,MATCH(A124,IF([1]PARCELLAIRE!$D$2:$D$85=E124,[1]PARCELLAIRE!$A$2:$A$85,""),0))</f>
        <v>MIRADOUX</v>
      </c>
      <c r="E124" s="29" t="s">
        <v>19</v>
      </c>
      <c r="F124" s="31">
        <v>41341</v>
      </c>
      <c r="G124" s="29" t="s">
        <v>63</v>
      </c>
      <c r="H124" s="32" t="s">
        <v>14</v>
      </c>
      <c r="I124" s="24" t="str">
        <f>VLOOKUP(G124,[1]ACHATS!$C:$E,3,0)</f>
        <v>g</v>
      </c>
      <c r="J124" s="24" t="str">
        <f>VLOOKUP(G124,[1]ACHATS!$C:$D,2,0)</f>
        <v>DESHERBANT</v>
      </c>
      <c r="K124" s="29">
        <v>20</v>
      </c>
      <c r="L124" s="33">
        <f>VLOOKUP(E124,[1]PARCELLAIRE!$D$2:$F$29,3,0)</f>
        <v>5.67</v>
      </c>
      <c r="M124" s="33">
        <f t="shared" si="3"/>
        <v>113.4</v>
      </c>
      <c r="N124" s="34">
        <f t="array" ref="N124">INDEX('[1]COUT MOYEN - STOCK'!$G$2:$G$120,MATCH(A124,IF('[1]COUT MOYEN - STOCK'!$B$2:$B$120=G124,'[1]COUT MOYEN - STOCK'!$A$2:$A$120,""),0))</f>
        <v>0.67</v>
      </c>
      <c r="O124" s="35">
        <f t="shared" si="4"/>
        <v>75.978000000000009</v>
      </c>
      <c r="P124" s="36" t="str">
        <f t="shared" si="5"/>
        <v>Bousquet Route</v>
      </c>
      <c r="Q124" s="37" t="s">
        <v>14</v>
      </c>
    </row>
    <row r="125" spans="1:17" ht="16.5" hidden="1" thickTop="1">
      <c r="A125" s="29">
        <v>2013</v>
      </c>
      <c r="B125" s="29" t="s">
        <v>164</v>
      </c>
      <c r="C125" s="30" t="s">
        <v>47</v>
      </c>
      <c r="D125" s="24" t="str">
        <f t="array" ref="D125">INDEX([1]PARCELLAIRE!$C$2:$C$85,MATCH(A125,IF([1]PARCELLAIRE!$D$2:$D$85=E125,[1]PARCELLAIRE!$A$2:$A$85,""),0))</f>
        <v>PESCADOUX</v>
      </c>
      <c r="E125" s="29" t="s">
        <v>17</v>
      </c>
      <c r="F125" s="31">
        <v>41341</v>
      </c>
      <c r="G125" s="29" t="s">
        <v>61</v>
      </c>
      <c r="H125" s="32" t="s">
        <v>14</v>
      </c>
      <c r="I125" s="24" t="str">
        <f>VLOOKUP(G125,[1]ACHATS!$C:$E,3,0)</f>
        <v>L</v>
      </c>
      <c r="J125" s="24" t="str">
        <f>VLOOKUP(G125,[1]ACHATS!$C:$D,2,0)</f>
        <v>DESHERBANT</v>
      </c>
      <c r="K125" s="29">
        <v>0.9</v>
      </c>
      <c r="L125" s="33">
        <f>VLOOKUP(E125,[1]PARCELLAIRE!$D$2:$F$29,3,0)</f>
        <v>5.27</v>
      </c>
      <c r="M125" s="33">
        <f t="shared" si="3"/>
        <v>4.7429999999999994</v>
      </c>
      <c r="N125" s="34">
        <f t="array" ref="N125">INDEX('[1]COUT MOYEN - STOCK'!$G$2:$G$120,MATCH(A125,IF('[1]COUT MOYEN - STOCK'!$B$2:$B$120=G125,'[1]COUT MOYEN - STOCK'!$A$2:$A$120,""),0))</f>
        <v>31</v>
      </c>
      <c r="O125" s="35">
        <f t="shared" si="4"/>
        <v>147.03299999999999</v>
      </c>
      <c r="P125" s="36" t="str">
        <f t="shared" si="5"/>
        <v>Bousquet Château</v>
      </c>
      <c r="Q125" s="37" t="s">
        <v>14</v>
      </c>
    </row>
    <row r="126" spans="1:17" ht="16.5" hidden="1" thickTop="1">
      <c r="A126" s="29">
        <v>2013</v>
      </c>
      <c r="B126" s="29" t="s">
        <v>164</v>
      </c>
      <c r="C126" s="30" t="s">
        <v>47</v>
      </c>
      <c r="D126" s="24" t="str">
        <f t="array" ref="D126">INDEX([1]PARCELLAIRE!$C$2:$C$85,MATCH(A126,IF([1]PARCELLAIRE!$D$2:$D$85=E126,[1]PARCELLAIRE!$A$2:$A$85,""),0))</f>
        <v>MIRADOUX</v>
      </c>
      <c r="E126" s="29" t="s">
        <v>19</v>
      </c>
      <c r="F126" s="31">
        <v>41341</v>
      </c>
      <c r="G126" s="29" t="s">
        <v>61</v>
      </c>
      <c r="H126" s="32" t="s">
        <v>14</v>
      </c>
      <c r="I126" s="24" t="str">
        <f>VLOOKUP(G126,[1]ACHATS!$C:$E,3,0)</f>
        <v>L</v>
      </c>
      <c r="J126" s="24" t="str">
        <f>VLOOKUP(G126,[1]ACHATS!$C:$D,2,0)</f>
        <v>DESHERBANT</v>
      </c>
      <c r="K126" s="29">
        <v>0.9</v>
      </c>
      <c r="L126" s="33">
        <f>VLOOKUP(E126,[1]PARCELLAIRE!$D$2:$F$29,3,0)</f>
        <v>5.67</v>
      </c>
      <c r="M126" s="33">
        <f t="shared" si="3"/>
        <v>5.1029999999999998</v>
      </c>
      <c r="N126" s="34">
        <f t="array" ref="N126">INDEX('[1]COUT MOYEN - STOCK'!$G$2:$G$120,MATCH(A126,IF('[1]COUT MOYEN - STOCK'!$B$2:$B$120=G126,'[1]COUT MOYEN - STOCK'!$A$2:$A$120,""),0))</f>
        <v>31</v>
      </c>
      <c r="O126" s="35">
        <f t="shared" si="4"/>
        <v>158.19299999999998</v>
      </c>
      <c r="P126" s="36" t="str">
        <f t="shared" si="5"/>
        <v>Bousquet Route</v>
      </c>
      <c r="Q126" s="37" t="s">
        <v>14</v>
      </c>
    </row>
    <row r="127" spans="1:17" ht="16.5" hidden="1" thickTop="1">
      <c r="A127" s="29">
        <v>2013</v>
      </c>
      <c r="B127" s="29" t="s">
        <v>164</v>
      </c>
      <c r="C127" s="30" t="s">
        <v>47</v>
      </c>
      <c r="D127" s="24" t="str">
        <f t="array" ref="D127">INDEX([1]PARCELLAIRE!$C$2:$C$85,MATCH(A127,IF([1]PARCELLAIRE!$D$2:$D$85=E127,[1]PARCELLAIRE!$A$2:$A$85,""),0))</f>
        <v>MIRADOUX</v>
      </c>
      <c r="E127" s="29" t="s">
        <v>23</v>
      </c>
      <c r="F127" s="31">
        <v>41341</v>
      </c>
      <c r="G127" s="29" t="s">
        <v>61</v>
      </c>
      <c r="H127" s="32" t="s">
        <v>14</v>
      </c>
      <c r="I127" s="24" t="str">
        <f>VLOOKUP(G127,[1]ACHATS!$C:$E,3,0)</f>
        <v>L</v>
      </c>
      <c r="J127" s="24" t="str">
        <f>VLOOKUP(G127,[1]ACHATS!$C:$D,2,0)</f>
        <v>DESHERBANT</v>
      </c>
      <c r="K127" s="29">
        <v>0.9</v>
      </c>
      <c r="L127" s="33">
        <f>VLOOKUP(E127,[1]PARCELLAIRE!$D$2:$F$29,3,0)</f>
        <v>7.58</v>
      </c>
      <c r="M127" s="33">
        <f t="shared" si="3"/>
        <v>6.8220000000000001</v>
      </c>
      <c r="N127" s="34">
        <f t="array" ref="N127">INDEX('[1]COUT MOYEN - STOCK'!$G$2:$G$120,MATCH(A127,IF('[1]COUT MOYEN - STOCK'!$B$2:$B$120=G127,'[1]COUT MOYEN - STOCK'!$A$2:$A$120,""),0))</f>
        <v>31</v>
      </c>
      <c r="O127" s="35">
        <f t="shared" si="4"/>
        <v>211.482</v>
      </c>
      <c r="P127" s="36" t="str">
        <f t="shared" si="5"/>
        <v>Escarcelou</v>
      </c>
      <c r="Q127" s="37" t="s">
        <v>14</v>
      </c>
    </row>
    <row r="128" spans="1:17" ht="16.5" hidden="1" thickTop="1">
      <c r="A128" s="29">
        <v>2013</v>
      </c>
      <c r="B128" s="29" t="s">
        <v>164</v>
      </c>
      <c r="C128" s="30" t="s">
        <v>47</v>
      </c>
      <c r="D128" s="24" t="str">
        <f t="array" ref="D128">INDEX([1]PARCELLAIRE!$C$2:$C$85,MATCH(A128,IF([1]PARCELLAIRE!$D$2:$D$85=E128,[1]PARCELLAIRE!$A$2:$A$85,""),0))</f>
        <v>MIRADOUX</v>
      </c>
      <c r="E128" s="29" t="s">
        <v>25</v>
      </c>
      <c r="F128" s="31">
        <v>41341</v>
      </c>
      <c r="G128" s="29" t="s">
        <v>61</v>
      </c>
      <c r="H128" s="32" t="s">
        <v>14</v>
      </c>
      <c r="I128" s="24" t="str">
        <f>VLOOKUP(G128,[1]ACHATS!$C:$E,3,0)</f>
        <v>L</v>
      </c>
      <c r="J128" s="24" t="str">
        <f>VLOOKUP(G128,[1]ACHATS!$C:$D,2,0)</f>
        <v>DESHERBANT</v>
      </c>
      <c r="K128" s="29">
        <v>0.9</v>
      </c>
      <c r="L128" s="33">
        <f>VLOOKUP(E128,[1]PARCELLAIRE!$D$2:$F$29,3,0)</f>
        <v>7.5</v>
      </c>
      <c r="M128" s="33">
        <f t="shared" si="3"/>
        <v>6.75</v>
      </c>
      <c r="N128" s="34">
        <f t="array" ref="N128">INDEX('[1]COUT MOYEN - STOCK'!$G$2:$G$120,MATCH(A128,IF('[1]COUT MOYEN - STOCK'!$B$2:$B$120=G128,'[1]COUT MOYEN - STOCK'!$A$2:$A$120,""),0))</f>
        <v>31</v>
      </c>
      <c r="O128" s="35">
        <f t="shared" si="4"/>
        <v>209.25</v>
      </c>
      <c r="P128" s="36" t="str">
        <f t="shared" si="5"/>
        <v>Escarcelou Pte</v>
      </c>
      <c r="Q128" s="37" t="s">
        <v>14</v>
      </c>
    </row>
    <row r="129" spans="1:17" ht="16.5" hidden="1" thickTop="1">
      <c r="A129" s="29">
        <v>2013</v>
      </c>
      <c r="B129" s="29" t="s">
        <v>164</v>
      </c>
      <c r="C129" s="30" t="s">
        <v>47</v>
      </c>
      <c r="D129" s="24" t="str">
        <f t="array" ref="D129">INDEX([1]PARCELLAIRE!$C$2:$C$85,MATCH(A129,IF([1]PARCELLAIRE!$D$2:$D$85=E129,[1]PARCELLAIRE!$A$2:$A$85,""),0))</f>
        <v>MIRADOUX</v>
      </c>
      <c r="E129" s="29" t="s">
        <v>23</v>
      </c>
      <c r="F129" s="31">
        <v>41341</v>
      </c>
      <c r="G129" s="29" t="s">
        <v>62</v>
      </c>
      <c r="H129" s="32" t="s">
        <v>14</v>
      </c>
      <c r="I129" s="24" t="str">
        <f>VLOOKUP(G129,[1]ACHATS!$C:$E,3,0)</f>
        <v>L</v>
      </c>
      <c r="J129" s="24" t="str">
        <f>VLOOKUP(G129,[1]ACHATS!$C:$D,2,0)</f>
        <v>DESHERBANT</v>
      </c>
      <c r="K129" s="29">
        <v>60</v>
      </c>
      <c r="L129" s="33">
        <f>VLOOKUP(E129,[1]PARCELLAIRE!$D$2:$F$29,3,0)</f>
        <v>7.58</v>
      </c>
      <c r="M129" s="33">
        <f t="shared" si="3"/>
        <v>454.8</v>
      </c>
      <c r="N129" s="34">
        <f t="array" ref="N129">INDEX('[1]COUT MOYEN - STOCK'!$G$2:$G$120,MATCH(A129,IF('[1]COUT MOYEN - STOCK'!$B$2:$B$120=G129,'[1]COUT MOYEN - STOCK'!$A$2:$A$120,""),0))</f>
        <v>0.21666666666666667</v>
      </c>
      <c r="O129" s="35">
        <f t="shared" si="4"/>
        <v>98.54</v>
      </c>
      <c r="P129" s="36" t="str">
        <f t="shared" si="5"/>
        <v>Escarcelou</v>
      </c>
      <c r="Q129" s="37" t="s">
        <v>14</v>
      </c>
    </row>
    <row r="130" spans="1:17" ht="16.5" hidden="1" thickTop="1">
      <c r="A130" s="29">
        <v>2013</v>
      </c>
      <c r="B130" s="29" t="s">
        <v>164</v>
      </c>
      <c r="C130" s="30" t="s">
        <v>47</v>
      </c>
      <c r="D130" s="24" t="str">
        <f t="array" ref="D130">INDEX([1]PARCELLAIRE!$C$2:$C$85,MATCH(A130,IF([1]PARCELLAIRE!$D$2:$D$85=E130,[1]PARCELLAIRE!$A$2:$A$85,""),0))</f>
        <v>MIRADOUX</v>
      </c>
      <c r="E130" s="29" t="s">
        <v>28</v>
      </c>
      <c r="F130" s="31">
        <v>41341</v>
      </c>
      <c r="G130" s="29" t="s">
        <v>62</v>
      </c>
      <c r="H130" s="32" t="s">
        <v>14</v>
      </c>
      <c r="I130" s="24" t="str">
        <f>VLOOKUP(G130,[1]ACHATS!$C:$E,3,0)</f>
        <v>L</v>
      </c>
      <c r="J130" s="24" t="str">
        <f>VLOOKUP(G130,[1]ACHATS!$C:$D,2,0)</f>
        <v>DESHERBANT</v>
      </c>
      <c r="K130" s="29">
        <v>60</v>
      </c>
      <c r="L130" s="33">
        <f>VLOOKUP(E130,[1]PARCELLAIRE!$D$2:$F$29,3,0)</f>
        <v>11.9</v>
      </c>
      <c r="M130" s="33">
        <f t="shared" ref="M130:M193" si="6">L130*K130</f>
        <v>714</v>
      </c>
      <c r="N130" s="34">
        <f t="array" ref="N130">INDEX('[1]COUT MOYEN - STOCK'!$G$2:$G$120,MATCH(A130,IF('[1]COUT MOYEN - STOCK'!$B$2:$B$120=G130,'[1]COUT MOYEN - STOCK'!$A$2:$A$120,""),0))</f>
        <v>0.21666666666666667</v>
      </c>
      <c r="O130" s="35">
        <f t="shared" ref="O130:O193" si="7">N130*M130</f>
        <v>154.70000000000002</v>
      </c>
      <c r="P130" s="36" t="str">
        <f t="shared" ref="P130:P193" si="8">IF(WHEN=A130,E130,1)</f>
        <v>Labaou Devant</v>
      </c>
      <c r="Q130" s="37" t="s">
        <v>14</v>
      </c>
    </row>
    <row r="131" spans="1:17" ht="16.5" hidden="1" thickTop="1">
      <c r="A131" s="29">
        <v>2013</v>
      </c>
      <c r="B131" s="29" t="s">
        <v>164</v>
      </c>
      <c r="C131" s="30" t="s">
        <v>47</v>
      </c>
      <c r="D131" s="24" t="str">
        <f t="array" ref="D131">INDEX([1]PARCELLAIRE!$C$2:$C$85,MATCH(A131,IF([1]PARCELLAIRE!$D$2:$D$85=E131,[1]PARCELLAIRE!$A$2:$A$85,""),0))</f>
        <v>MIRADOUX</v>
      </c>
      <c r="E131" s="29" t="s">
        <v>25</v>
      </c>
      <c r="F131" s="31">
        <v>41341</v>
      </c>
      <c r="G131" s="29" t="s">
        <v>62</v>
      </c>
      <c r="H131" s="32" t="s">
        <v>14</v>
      </c>
      <c r="I131" s="24" t="str">
        <f>VLOOKUP(G131,[1]ACHATS!$C:$E,3,0)</f>
        <v>L</v>
      </c>
      <c r="J131" s="24" t="str">
        <f>VLOOKUP(G131,[1]ACHATS!$C:$D,2,0)</f>
        <v>DESHERBANT</v>
      </c>
      <c r="K131" s="29">
        <v>60</v>
      </c>
      <c r="L131" s="33">
        <f>VLOOKUP(E131,[1]PARCELLAIRE!$D$2:$F$29,3,0)</f>
        <v>7.5</v>
      </c>
      <c r="M131" s="33">
        <f t="shared" si="6"/>
        <v>450</v>
      </c>
      <c r="N131" s="34">
        <f t="array" ref="N131">INDEX('[1]COUT MOYEN - STOCK'!$G$2:$G$120,MATCH(A131,IF('[1]COUT MOYEN - STOCK'!$B$2:$B$120=G131,'[1]COUT MOYEN - STOCK'!$A$2:$A$120,""),0))</f>
        <v>0.21666666666666667</v>
      </c>
      <c r="O131" s="35">
        <f t="shared" si="7"/>
        <v>97.5</v>
      </c>
      <c r="P131" s="36" t="str">
        <f t="shared" si="8"/>
        <v>Escarcelou Pte</v>
      </c>
      <c r="Q131" s="37" t="s">
        <v>14</v>
      </c>
    </row>
    <row r="132" spans="1:17" ht="16.5" hidden="1" thickTop="1">
      <c r="A132" s="29">
        <v>2013</v>
      </c>
      <c r="B132" s="29" t="s">
        <v>164</v>
      </c>
      <c r="C132" s="30" t="s">
        <v>47</v>
      </c>
      <c r="D132" s="24" t="str">
        <f t="array" ref="D132">INDEX([1]PARCELLAIRE!$C$2:$C$85,MATCH(A132,IF([1]PARCELLAIRE!$D$2:$D$85=E132,[1]PARCELLAIRE!$A$2:$A$85,""),0))</f>
        <v>PESCADOUX</v>
      </c>
      <c r="E132" s="29" t="s">
        <v>31</v>
      </c>
      <c r="F132" s="31">
        <v>41341</v>
      </c>
      <c r="G132" s="29" t="s">
        <v>62</v>
      </c>
      <c r="H132" s="32" t="s">
        <v>14</v>
      </c>
      <c r="I132" s="24" t="str">
        <f>VLOOKUP(G132,[1]ACHATS!$C:$E,3,0)</f>
        <v>L</v>
      </c>
      <c r="J132" s="24" t="str">
        <f>VLOOKUP(G132,[1]ACHATS!$C:$D,2,0)</f>
        <v>DESHERBANT</v>
      </c>
      <c r="K132" s="29">
        <v>60</v>
      </c>
      <c r="L132" s="33">
        <f>VLOOKUP(E132,[1]PARCELLAIRE!$D$2:$F$29,3,0)</f>
        <v>2.67</v>
      </c>
      <c r="M132" s="33">
        <f t="shared" si="6"/>
        <v>160.19999999999999</v>
      </c>
      <c r="N132" s="34">
        <f t="array" ref="N132">INDEX('[1]COUT MOYEN - STOCK'!$G$2:$G$120,MATCH(A132,IF('[1]COUT MOYEN - STOCK'!$B$2:$B$120=G132,'[1]COUT MOYEN - STOCK'!$A$2:$A$120,""),0))</f>
        <v>0.21666666666666667</v>
      </c>
      <c r="O132" s="35">
        <f t="shared" si="7"/>
        <v>34.71</v>
      </c>
      <c r="P132" s="36" t="str">
        <f t="shared" si="8"/>
        <v>Lescandes</v>
      </c>
      <c r="Q132" s="37" t="s">
        <v>14</v>
      </c>
    </row>
    <row r="133" spans="1:17" ht="16.5" hidden="1" thickTop="1">
      <c r="A133" s="29">
        <v>2013</v>
      </c>
      <c r="B133" s="29" t="s">
        <v>164</v>
      </c>
      <c r="C133" s="30" t="s">
        <v>47</v>
      </c>
      <c r="D133" s="24" t="str">
        <f t="array" ref="D133">INDEX([1]PARCELLAIRE!$C$2:$C$85,MATCH(A133,IF([1]PARCELLAIRE!$D$2:$D$85=E133,[1]PARCELLAIRE!$A$2:$A$85,""),0))</f>
        <v>PESCADOUX</v>
      </c>
      <c r="E133" s="29" t="s">
        <v>32</v>
      </c>
      <c r="F133" s="31">
        <v>41341</v>
      </c>
      <c r="G133" s="29" t="s">
        <v>62</v>
      </c>
      <c r="H133" s="32" t="s">
        <v>14</v>
      </c>
      <c r="I133" s="24" t="str">
        <f>VLOOKUP(G133,[1]ACHATS!$C:$E,3,0)</f>
        <v>L</v>
      </c>
      <c r="J133" s="24" t="str">
        <f>VLOOKUP(G133,[1]ACHATS!$C:$D,2,0)</f>
        <v>DESHERBANT</v>
      </c>
      <c r="K133" s="29">
        <v>60</v>
      </c>
      <c r="L133" s="33">
        <f>VLOOKUP(E133,[1]PARCELLAIRE!$D$2:$F$29,3,0)</f>
        <v>16.440000000000001</v>
      </c>
      <c r="M133" s="33">
        <f t="shared" si="6"/>
        <v>986.40000000000009</v>
      </c>
      <c r="N133" s="34">
        <f t="array" ref="N133">INDEX('[1]COUT MOYEN - STOCK'!$G$2:$G$120,MATCH(A133,IF('[1]COUT MOYEN - STOCK'!$B$2:$B$120=G133,'[1]COUT MOYEN - STOCK'!$A$2:$A$120,""),0))</f>
        <v>0.21666666666666667</v>
      </c>
      <c r="O133" s="35">
        <f t="shared" si="7"/>
        <v>213.72000000000003</v>
      </c>
      <c r="P133" s="36" t="str">
        <f t="shared" si="8"/>
        <v>Lescandes Côteau</v>
      </c>
      <c r="Q133" s="37" t="s">
        <v>14</v>
      </c>
    </row>
    <row r="134" spans="1:17" ht="16.5" hidden="1" thickTop="1">
      <c r="A134" s="29">
        <v>2013</v>
      </c>
      <c r="B134" s="29" t="s">
        <v>164</v>
      </c>
      <c r="C134" s="30" t="s">
        <v>39</v>
      </c>
      <c r="D134" s="24" t="str">
        <f t="array" ref="D134">INDEX([1]PARCELLAIRE!$C$2:$C$85,MATCH(A134,IF([1]PARCELLAIRE!$D$2:$D$85=E134,[1]PARCELLAIRE!$A$2:$A$85,""),0))</f>
        <v>LG5474</v>
      </c>
      <c r="E134" s="29" t="s">
        <v>16</v>
      </c>
      <c r="F134" s="31">
        <v>41344</v>
      </c>
      <c r="G134" s="29" t="s">
        <v>45</v>
      </c>
      <c r="H134" s="32" t="s">
        <v>14</v>
      </c>
      <c r="I134" s="24" t="str">
        <f>VLOOKUP(G134,[1]ACHATS!$C:$E,3,0)</f>
        <v>L</v>
      </c>
      <c r="J134" s="24" t="str">
        <f>VLOOKUP(G134,[1]ACHATS!$C:$D,2,0)</f>
        <v>DIVERS</v>
      </c>
      <c r="K134" s="33">
        <v>0.2</v>
      </c>
      <c r="L134" s="33">
        <f>VLOOKUP(E134,[1]PARCELLAIRE!$D$2:$F$29,3,0)</f>
        <v>5.17</v>
      </c>
      <c r="M134" s="33">
        <f t="shared" si="6"/>
        <v>1.034</v>
      </c>
      <c r="N134" s="34">
        <f t="array" ref="N134">INDEX('[1]COUT MOYEN - STOCK'!$G$2:$G$120,MATCH(A134,IF('[1]COUT MOYEN - STOCK'!$B$2:$B$120=G134,'[1]COUT MOYEN - STOCK'!$A$2:$A$120,""),0))</f>
        <v>11.01</v>
      </c>
      <c r="O134" s="35">
        <f t="shared" si="7"/>
        <v>11.38434</v>
      </c>
      <c r="P134" s="36" t="str">
        <f t="shared" si="8"/>
        <v>Andres</v>
      </c>
      <c r="Q134" s="37" t="s">
        <v>14</v>
      </c>
    </row>
    <row r="135" spans="1:17" ht="16.5" hidden="1" thickTop="1">
      <c r="A135" s="29">
        <v>2013</v>
      </c>
      <c r="B135" s="29" t="s">
        <v>164</v>
      </c>
      <c r="C135" s="30" t="s">
        <v>39</v>
      </c>
      <c r="D135" s="24" t="str">
        <f t="array" ref="D135">INDEX([1]PARCELLAIRE!$C$2:$C$85,MATCH(A135,IF([1]PARCELLAIRE!$D$2:$D$85=E135,[1]PARCELLAIRE!$A$2:$A$85,""),0))</f>
        <v>LG5474</v>
      </c>
      <c r="E135" s="29" t="s">
        <v>33</v>
      </c>
      <c r="F135" s="31">
        <v>41344</v>
      </c>
      <c r="G135" s="29" t="s">
        <v>45</v>
      </c>
      <c r="H135" s="32" t="s">
        <v>14</v>
      </c>
      <c r="I135" s="24" t="str">
        <f>VLOOKUP(G135,[1]ACHATS!$C:$E,3,0)</f>
        <v>L</v>
      </c>
      <c r="J135" s="24" t="str">
        <f>VLOOKUP(G135,[1]ACHATS!$C:$D,2,0)</f>
        <v>DIVERS</v>
      </c>
      <c r="K135" s="33">
        <v>0.2</v>
      </c>
      <c r="L135" s="33">
        <f>VLOOKUP(E135,[1]PARCELLAIRE!$D$2:$F$29,3,0)</f>
        <v>21.88</v>
      </c>
      <c r="M135" s="33">
        <f t="shared" si="6"/>
        <v>4.3760000000000003</v>
      </c>
      <c r="N135" s="34">
        <f t="array" ref="N135">INDEX('[1]COUT MOYEN - STOCK'!$G$2:$G$120,MATCH(A135,IF('[1]COUT MOYEN - STOCK'!$B$2:$B$120=G135,'[1]COUT MOYEN - STOCK'!$A$2:$A$120,""),0))</f>
        <v>11.01</v>
      </c>
      <c r="O135" s="35">
        <f t="shared" si="7"/>
        <v>48.179760000000002</v>
      </c>
      <c r="P135" s="36" t="str">
        <f t="shared" si="8"/>
        <v>Moulin Barthes</v>
      </c>
      <c r="Q135" s="37" t="s">
        <v>14</v>
      </c>
    </row>
    <row r="136" spans="1:17" ht="16.5" hidden="1" thickTop="1">
      <c r="A136" s="29">
        <v>2013</v>
      </c>
      <c r="B136" s="29" t="s">
        <v>164</v>
      </c>
      <c r="C136" s="30" t="s">
        <v>39</v>
      </c>
      <c r="D136" s="24" t="str">
        <f t="array" ref="D136">INDEX([1]PARCELLAIRE!$C$2:$C$85,MATCH(A136,IF([1]PARCELLAIRE!$D$2:$D$85=E136,[1]PARCELLAIRE!$A$2:$A$85,""),0))</f>
        <v>MAS 95 OL</v>
      </c>
      <c r="E136" s="29" t="s">
        <v>26</v>
      </c>
      <c r="F136" s="31">
        <v>41344</v>
      </c>
      <c r="G136" s="29" t="s">
        <v>45</v>
      </c>
      <c r="H136" s="32" t="s">
        <v>14</v>
      </c>
      <c r="I136" s="24" t="str">
        <f>VLOOKUP(G136,[1]ACHATS!$C:$E,3,0)</f>
        <v>L</v>
      </c>
      <c r="J136" s="24" t="str">
        <f>VLOOKUP(G136,[1]ACHATS!$C:$D,2,0)</f>
        <v>DIVERS</v>
      </c>
      <c r="K136" s="33">
        <v>0.2</v>
      </c>
      <c r="L136" s="33">
        <f>VLOOKUP(E136,[1]PARCELLAIRE!$D$2:$F$29,3,0)</f>
        <v>5.26</v>
      </c>
      <c r="M136" s="33">
        <f t="shared" si="6"/>
        <v>1.052</v>
      </c>
      <c r="N136" s="34">
        <f t="array" ref="N136">INDEX('[1]COUT MOYEN - STOCK'!$G$2:$G$120,MATCH(A136,IF('[1]COUT MOYEN - STOCK'!$B$2:$B$120=G136,'[1]COUT MOYEN - STOCK'!$A$2:$A$120,""),0))</f>
        <v>11.01</v>
      </c>
      <c r="O136" s="35">
        <f t="shared" si="7"/>
        <v>11.582520000000001</v>
      </c>
      <c r="P136" s="36" t="str">
        <f t="shared" si="8"/>
        <v>L'Aule métairie</v>
      </c>
      <c r="Q136" s="37" t="s">
        <v>14</v>
      </c>
    </row>
    <row r="137" spans="1:17" ht="16.5" hidden="1" thickTop="1">
      <c r="A137" s="29">
        <v>2013</v>
      </c>
      <c r="B137" s="29" t="s">
        <v>164</v>
      </c>
      <c r="C137" s="30" t="s">
        <v>39</v>
      </c>
      <c r="D137" s="24" t="str">
        <f t="array" ref="D137">INDEX([1]PARCELLAIRE!$C$2:$C$85,MATCH(A137,IF([1]PARCELLAIRE!$D$2:$D$85=E137,[1]PARCELLAIRE!$A$2:$A$85,""),0))</f>
        <v>MAS 95 OL</v>
      </c>
      <c r="E137" s="29" t="s">
        <v>27</v>
      </c>
      <c r="F137" s="31">
        <v>41344</v>
      </c>
      <c r="G137" s="29" t="s">
        <v>45</v>
      </c>
      <c r="H137" s="32" t="s">
        <v>14</v>
      </c>
      <c r="I137" s="24" t="str">
        <f>VLOOKUP(G137,[1]ACHATS!$C:$E,3,0)</f>
        <v>L</v>
      </c>
      <c r="J137" s="24" t="str">
        <f>VLOOKUP(G137,[1]ACHATS!$C:$D,2,0)</f>
        <v>DIVERS</v>
      </c>
      <c r="K137" s="33">
        <v>0.2</v>
      </c>
      <c r="L137" s="33">
        <f>VLOOKUP(E137,[1]PARCELLAIRE!$D$2:$F$29,3,0)</f>
        <v>15.64</v>
      </c>
      <c r="M137" s="33">
        <f t="shared" si="6"/>
        <v>3.1280000000000001</v>
      </c>
      <c r="N137" s="34">
        <f t="array" ref="N137">INDEX('[1]COUT MOYEN - STOCK'!$G$2:$G$120,MATCH(A137,IF('[1]COUT MOYEN - STOCK'!$B$2:$B$120=G137,'[1]COUT MOYEN - STOCK'!$A$2:$A$120,""),0))</f>
        <v>11.01</v>
      </c>
      <c r="O137" s="35">
        <f t="shared" si="7"/>
        <v>34.439280000000004</v>
      </c>
      <c r="P137" s="36" t="str">
        <f t="shared" si="8"/>
        <v>L'Aule Plaine</v>
      </c>
      <c r="Q137" s="37" t="s">
        <v>14</v>
      </c>
    </row>
    <row r="138" spans="1:17" ht="16.5" hidden="1" thickTop="1">
      <c r="A138" s="29">
        <v>2013</v>
      </c>
      <c r="B138" s="29" t="s">
        <v>164</v>
      </c>
      <c r="C138" s="30" t="s">
        <v>39</v>
      </c>
      <c r="D138" s="24" t="str">
        <f t="array" ref="D138">INDEX([1]PARCELLAIRE!$C$2:$C$85,MATCH(A138,IF([1]PARCELLAIRE!$D$2:$D$85=E138,[1]PARCELLAIRE!$A$2:$A$85,""),0))</f>
        <v>MAS 95 OL</v>
      </c>
      <c r="E138" s="29" t="s">
        <v>27</v>
      </c>
      <c r="F138" s="31">
        <v>41344</v>
      </c>
      <c r="G138" s="29" t="s">
        <v>44</v>
      </c>
      <c r="H138" s="32" t="s">
        <v>14</v>
      </c>
      <c r="I138" s="24" t="str">
        <f>VLOOKUP(G138,[1]ACHATS!$C:$E,3,0)</f>
        <v>L</v>
      </c>
      <c r="J138" s="24" t="str">
        <f>VLOOKUP(G138,[1]ACHATS!$C:$D,2,0)</f>
        <v>DESHERBANT</v>
      </c>
      <c r="K138" s="33">
        <v>2</v>
      </c>
      <c r="L138" s="33">
        <f>VLOOKUP(E138,[1]PARCELLAIRE!$D$2:$F$29,3,0)</f>
        <v>15.64</v>
      </c>
      <c r="M138" s="33">
        <f t="shared" si="6"/>
        <v>31.28</v>
      </c>
      <c r="N138" s="34">
        <f t="array" ref="N138">INDEX('[1]COUT MOYEN - STOCK'!$G$2:$G$120,MATCH(A138,IF('[1]COUT MOYEN - STOCK'!$B$2:$B$120=G138,'[1]COUT MOYEN - STOCK'!$A$2:$A$120,""),0))</f>
        <v>4.9381521739130436</v>
      </c>
      <c r="O138" s="35">
        <f t="shared" si="7"/>
        <v>154.46540000000002</v>
      </c>
      <c r="P138" s="36" t="str">
        <f t="shared" si="8"/>
        <v>L'Aule Plaine</v>
      </c>
      <c r="Q138" s="37" t="s">
        <v>14</v>
      </c>
    </row>
    <row r="139" spans="1:17" ht="16.5" hidden="1" thickTop="1">
      <c r="A139" s="29">
        <v>2013</v>
      </c>
      <c r="B139" s="29" t="s">
        <v>164</v>
      </c>
      <c r="C139" s="30" t="s">
        <v>39</v>
      </c>
      <c r="D139" s="24" t="str">
        <f t="array" ref="D139">INDEX([1]PARCELLAIRE!$C$2:$C$85,MATCH(A139,IF([1]PARCELLAIRE!$D$2:$D$85=E139,[1]PARCELLAIRE!$A$2:$A$85,""),0))</f>
        <v>MAS 95 OL</v>
      </c>
      <c r="E139" s="29" t="s">
        <v>26</v>
      </c>
      <c r="F139" s="31">
        <v>41344</v>
      </c>
      <c r="G139" s="29" t="s">
        <v>44</v>
      </c>
      <c r="H139" s="32" t="s">
        <v>14</v>
      </c>
      <c r="I139" s="24" t="str">
        <f>VLOOKUP(G139,[1]ACHATS!$C:$E,3,0)</f>
        <v>L</v>
      </c>
      <c r="J139" s="24" t="str">
        <f>VLOOKUP(G139,[1]ACHATS!$C:$D,2,0)</f>
        <v>DESHERBANT</v>
      </c>
      <c r="K139" s="33">
        <v>2</v>
      </c>
      <c r="L139" s="33">
        <f>VLOOKUP(E139,[1]PARCELLAIRE!$D$2:$F$29,3,0)</f>
        <v>5.26</v>
      </c>
      <c r="M139" s="33">
        <f t="shared" si="6"/>
        <v>10.52</v>
      </c>
      <c r="N139" s="34">
        <f t="array" ref="N139">INDEX('[1]COUT MOYEN - STOCK'!$G$2:$G$120,MATCH(A139,IF('[1]COUT MOYEN - STOCK'!$B$2:$B$120=G139,'[1]COUT MOYEN - STOCK'!$A$2:$A$120,""),0))</f>
        <v>4.9381521739130436</v>
      </c>
      <c r="O139" s="35">
        <f t="shared" si="7"/>
        <v>51.949360869565218</v>
      </c>
      <c r="P139" s="36" t="str">
        <f t="shared" si="8"/>
        <v>L'Aule métairie</v>
      </c>
      <c r="Q139" s="37" t="s">
        <v>14</v>
      </c>
    </row>
    <row r="140" spans="1:17" ht="16.5" hidden="1" thickTop="1">
      <c r="A140" s="29">
        <v>2013</v>
      </c>
      <c r="B140" s="29" t="s">
        <v>164</v>
      </c>
      <c r="C140" s="30" t="s">
        <v>39</v>
      </c>
      <c r="D140" s="24" t="str">
        <f t="array" ref="D140">INDEX([1]PARCELLAIRE!$C$2:$C$85,MATCH(A140,IF([1]PARCELLAIRE!$D$2:$D$85=E140,[1]PARCELLAIRE!$A$2:$A$85,""),0))</f>
        <v>LG5474</v>
      </c>
      <c r="E140" s="29" t="s">
        <v>33</v>
      </c>
      <c r="F140" s="31">
        <v>41344</v>
      </c>
      <c r="G140" s="29" t="s">
        <v>44</v>
      </c>
      <c r="H140" s="32" t="s">
        <v>14</v>
      </c>
      <c r="I140" s="24" t="str">
        <f>VLOOKUP(G140,[1]ACHATS!$C:$E,3,0)</f>
        <v>L</v>
      </c>
      <c r="J140" s="24" t="str">
        <f>VLOOKUP(G140,[1]ACHATS!$C:$D,2,0)</f>
        <v>DESHERBANT</v>
      </c>
      <c r="K140" s="33">
        <v>1.5</v>
      </c>
      <c r="L140" s="33">
        <f>VLOOKUP(E140,[1]PARCELLAIRE!$D$2:$F$29,3,0)</f>
        <v>21.88</v>
      </c>
      <c r="M140" s="33">
        <f t="shared" si="6"/>
        <v>32.82</v>
      </c>
      <c r="N140" s="34">
        <f t="array" ref="N140">INDEX('[1]COUT MOYEN - STOCK'!$G$2:$G$120,MATCH(A140,IF('[1]COUT MOYEN - STOCK'!$B$2:$B$120=G140,'[1]COUT MOYEN - STOCK'!$A$2:$A$120,""),0))</f>
        <v>4.9381521739130436</v>
      </c>
      <c r="O140" s="35">
        <f t="shared" si="7"/>
        <v>162.0701543478261</v>
      </c>
      <c r="P140" s="36" t="str">
        <f t="shared" si="8"/>
        <v>Moulin Barthes</v>
      </c>
      <c r="Q140" s="37" t="s">
        <v>14</v>
      </c>
    </row>
    <row r="141" spans="1:17" ht="16.5" hidden="1" thickTop="1">
      <c r="A141" s="29">
        <v>2013</v>
      </c>
      <c r="B141" s="29" t="s">
        <v>164</v>
      </c>
      <c r="C141" s="30" t="s">
        <v>39</v>
      </c>
      <c r="D141" s="24" t="str">
        <f t="array" ref="D141">INDEX([1]PARCELLAIRE!$C$2:$C$85,MATCH(A141,IF([1]PARCELLAIRE!$D$2:$D$85=E141,[1]PARCELLAIRE!$A$2:$A$85,""),0))</f>
        <v>LG5474</v>
      </c>
      <c r="E141" s="29" t="s">
        <v>16</v>
      </c>
      <c r="F141" s="31">
        <v>41344</v>
      </c>
      <c r="G141" s="29" t="s">
        <v>44</v>
      </c>
      <c r="H141" s="32" t="s">
        <v>14</v>
      </c>
      <c r="I141" s="24" t="str">
        <f>VLOOKUP(G141,[1]ACHATS!$C:$E,3,0)</f>
        <v>L</v>
      </c>
      <c r="J141" s="24" t="str">
        <f>VLOOKUP(G141,[1]ACHATS!$C:$D,2,0)</f>
        <v>DESHERBANT</v>
      </c>
      <c r="K141" s="33">
        <v>1.5</v>
      </c>
      <c r="L141" s="33">
        <f>VLOOKUP(E141,[1]PARCELLAIRE!$D$2:$F$29,3,0)</f>
        <v>5.17</v>
      </c>
      <c r="M141" s="33">
        <f t="shared" si="6"/>
        <v>7.7549999999999999</v>
      </c>
      <c r="N141" s="34">
        <f t="array" ref="N141">INDEX('[1]COUT MOYEN - STOCK'!$G$2:$G$120,MATCH(A141,IF('[1]COUT MOYEN - STOCK'!$B$2:$B$120=G141,'[1]COUT MOYEN - STOCK'!$A$2:$A$120,""),0))</f>
        <v>4.9381521739130436</v>
      </c>
      <c r="O141" s="35">
        <f t="shared" si="7"/>
        <v>38.29537010869565</v>
      </c>
      <c r="P141" s="36" t="str">
        <f t="shared" si="8"/>
        <v>Andres</v>
      </c>
      <c r="Q141" s="37" t="s">
        <v>14</v>
      </c>
    </row>
    <row r="142" spans="1:17" ht="16.5" hidden="1" thickTop="1">
      <c r="A142" s="29">
        <v>2013</v>
      </c>
      <c r="B142" s="29" t="s">
        <v>164</v>
      </c>
      <c r="C142" s="30" t="s">
        <v>41</v>
      </c>
      <c r="D142" s="24" t="str">
        <f t="array" ref="D142">INDEX([1]PARCELLAIRE!$C$2:$C$85,MATCH(A142,IF([1]PARCELLAIRE!$D$2:$D$85=E142,[1]PARCELLAIRE!$A$2:$A$85,""),0))</f>
        <v>ARDICO</v>
      </c>
      <c r="E142" s="29" t="s">
        <v>21</v>
      </c>
      <c r="F142" s="31">
        <v>41344</v>
      </c>
      <c r="G142" s="29" t="s">
        <v>45</v>
      </c>
      <c r="H142" s="32" t="s">
        <v>14</v>
      </c>
      <c r="I142" s="24" t="str">
        <f>VLOOKUP(G142,[1]ACHATS!$C:$E,3,0)</f>
        <v>L</v>
      </c>
      <c r="J142" s="24" t="str">
        <f>VLOOKUP(G142,[1]ACHATS!$C:$D,2,0)</f>
        <v>DIVERS</v>
      </c>
      <c r="K142" s="33">
        <v>0.2</v>
      </c>
      <c r="L142" s="33">
        <f>VLOOKUP(E142,[1]PARCELLAIRE!$D$2:$F$29,3,0)</f>
        <v>10.93</v>
      </c>
      <c r="M142" s="33">
        <f t="shared" si="6"/>
        <v>2.1859999999999999</v>
      </c>
      <c r="N142" s="34">
        <f t="array" ref="N142">INDEX('[1]COUT MOYEN - STOCK'!$G$2:$G$120,MATCH(A142,IF('[1]COUT MOYEN - STOCK'!$B$2:$B$120=G142,'[1]COUT MOYEN - STOCK'!$A$2:$A$120,""),0))</f>
        <v>11.01</v>
      </c>
      <c r="O142" s="35">
        <f t="shared" si="7"/>
        <v>24.06786</v>
      </c>
      <c r="P142" s="36" t="str">
        <f t="shared" si="8"/>
        <v>Engleyse métairie</v>
      </c>
      <c r="Q142" s="37" t="s">
        <v>14</v>
      </c>
    </row>
    <row r="143" spans="1:17" ht="16.5" hidden="1" thickTop="1">
      <c r="A143" s="29">
        <v>2013</v>
      </c>
      <c r="B143" s="29" t="s">
        <v>164</v>
      </c>
      <c r="C143" s="30" t="s">
        <v>47</v>
      </c>
      <c r="D143" s="24" t="str">
        <f t="array" ref="D143">INDEX([1]PARCELLAIRE!$C$2:$C$85,MATCH(A143,IF([1]PARCELLAIRE!$D$2:$D$85=E143,[1]PARCELLAIRE!$A$2:$A$85,""),0))</f>
        <v>MIRADOUX</v>
      </c>
      <c r="E143" s="29" t="s">
        <v>24</v>
      </c>
      <c r="F143" s="31">
        <v>41347</v>
      </c>
      <c r="G143" s="29" t="s">
        <v>58</v>
      </c>
      <c r="H143" s="32" t="s">
        <v>14</v>
      </c>
      <c r="I143" s="24" t="str">
        <f>VLOOKUP(G143,[1]ACHATS!$C:$E,3,0)</f>
        <v>Kg</v>
      </c>
      <c r="J143" s="24" t="str">
        <f>VLOOKUP(G143,[1]ACHATS!$C:$D,2,0)</f>
        <v>AZOTE</v>
      </c>
      <c r="K143" s="33">
        <v>180</v>
      </c>
      <c r="L143" s="33">
        <f>VLOOKUP(E143,[1]PARCELLAIRE!$D$2:$F$29,3,0)</f>
        <v>1.34</v>
      </c>
      <c r="M143" s="33">
        <f t="shared" si="6"/>
        <v>241.20000000000002</v>
      </c>
      <c r="N143" s="34">
        <f t="array" ref="N143">INDEX('[1]COUT MOYEN - STOCK'!$G$2:$G$120,MATCH(A143,IF('[1]COUT MOYEN - STOCK'!$B$2:$B$120=G143,'[1]COUT MOYEN - STOCK'!$A$2:$A$120,""),0))</f>
        <v>0.41460714285714284</v>
      </c>
      <c r="O143" s="35">
        <f t="shared" si="7"/>
        <v>100.00324285714287</v>
      </c>
      <c r="P143" s="36" t="str">
        <f t="shared" si="8"/>
        <v>Escarcelou Jachère</v>
      </c>
      <c r="Q143" s="40" t="s">
        <v>135</v>
      </c>
    </row>
    <row r="144" spans="1:17" ht="16.5" hidden="1" thickTop="1">
      <c r="A144" s="29">
        <v>2013</v>
      </c>
      <c r="B144" s="29" t="s">
        <v>164</v>
      </c>
      <c r="C144" s="30" t="s">
        <v>47</v>
      </c>
      <c r="D144" s="24" t="str">
        <f t="array" ref="D144">INDEX([1]PARCELLAIRE!$C$2:$C$85,MATCH(A144,IF([1]PARCELLAIRE!$D$2:$D$85=E144,[1]PARCELLAIRE!$A$2:$A$85,""),0))</f>
        <v>SCULPTUR</v>
      </c>
      <c r="E144" s="29" t="s">
        <v>20</v>
      </c>
      <c r="F144" s="31">
        <v>41347</v>
      </c>
      <c r="G144" s="29" t="s">
        <v>58</v>
      </c>
      <c r="H144" s="32" t="s">
        <v>14</v>
      </c>
      <c r="I144" s="24" t="str">
        <f>VLOOKUP(G144,[1]ACHATS!$C:$E,3,0)</f>
        <v>Kg</v>
      </c>
      <c r="J144" s="24" t="str">
        <f>VLOOKUP(G144,[1]ACHATS!$C:$D,2,0)</f>
        <v>AZOTE</v>
      </c>
      <c r="K144" s="33">
        <v>190</v>
      </c>
      <c r="L144" s="33">
        <f>VLOOKUP(E144,[1]PARCELLAIRE!$D$2:$F$29,3,0)</f>
        <v>12.49</v>
      </c>
      <c r="M144" s="33">
        <f t="shared" si="6"/>
        <v>2373.1</v>
      </c>
      <c r="N144" s="34">
        <f t="array" ref="N144">INDEX('[1]COUT MOYEN - STOCK'!$G$2:$G$120,MATCH(A144,IF('[1]COUT MOYEN - STOCK'!$B$2:$B$120=G144,'[1]COUT MOYEN - STOCK'!$A$2:$A$120,""),0))</f>
        <v>0.41460714285714284</v>
      </c>
      <c r="O144" s="35">
        <f t="shared" si="7"/>
        <v>983.90421071428568</v>
      </c>
      <c r="P144" s="36" t="str">
        <f t="shared" si="8"/>
        <v>Engleyse Bousquet</v>
      </c>
      <c r="Q144" s="40" t="s">
        <v>136</v>
      </c>
    </row>
    <row r="145" spans="1:17" ht="16.5" hidden="1" thickTop="1">
      <c r="A145" s="29">
        <v>2013</v>
      </c>
      <c r="B145" s="29" t="s">
        <v>164</v>
      </c>
      <c r="C145" s="30" t="s">
        <v>47</v>
      </c>
      <c r="D145" s="24" t="str">
        <f t="array" ref="D145">INDEX([1]PARCELLAIRE!$C$2:$C$85,MATCH(A145,IF([1]PARCELLAIRE!$D$2:$D$85=E145,[1]PARCELLAIRE!$A$2:$A$85,""),0))</f>
        <v>MIRADOUX</v>
      </c>
      <c r="E145" s="29" t="s">
        <v>38</v>
      </c>
      <c r="F145" s="31">
        <v>41347</v>
      </c>
      <c r="G145" s="29" t="s">
        <v>58</v>
      </c>
      <c r="H145" s="32" t="s">
        <v>14</v>
      </c>
      <c r="I145" s="24" t="str">
        <f>VLOOKUP(G145,[1]ACHATS!$C:$E,3,0)</f>
        <v>Kg</v>
      </c>
      <c r="J145" s="24" t="str">
        <f>VLOOKUP(G145,[1]ACHATS!$C:$D,2,0)</f>
        <v>AZOTE</v>
      </c>
      <c r="K145" s="33">
        <v>180</v>
      </c>
      <c r="L145" s="33">
        <f>VLOOKUP(E145,[1]PARCELLAIRE!$D$2:$F$29,3,0)</f>
        <v>1.26</v>
      </c>
      <c r="M145" s="33">
        <f t="shared" si="6"/>
        <v>226.8</v>
      </c>
      <c r="N145" s="34">
        <f t="array" ref="N145">INDEX('[1]COUT MOYEN - STOCK'!$G$2:$G$120,MATCH(A145,IF('[1]COUT MOYEN - STOCK'!$B$2:$B$120=G145,'[1]COUT MOYEN - STOCK'!$A$2:$A$120,""),0))</f>
        <v>0.41460714285714284</v>
      </c>
      <c r="O145" s="35">
        <f t="shared" si="7"/>
        <v>94.032899999999998</v>
      </c>
      <c r="P145" s="36" t="str">
        <f t="shared" si="8"/>
        <v>Seillonne</v>
      </c>
      <c r="Q145" s="40" t="s">
        <v>135</v>
      </c>
    </row>
    <row r="146" spans="1:17" ht="16.5" hidden="1" thickTop="1">
      <c r="A146" s="29">
        <v>2013</v>
      </c>
      <c r="B146" s="29" t="s">
        <v>164</v>
      </c>
      <c r="C146" s="30" t="s">
        <v>47</v>
      </c>
      <c r="D146" s="24" t="str">
        <f t="array" ref="D146">INDEX([1]PARCELLAIRE!$C$2:$C$85,MATCH(A146,IF([1]PARCELLAIRE!$D$2:$D$85=E146,[1]PARCELLAIRE!$A$2:$A$85,""),0))</f>
        <v>PESCADOUX</v>
      </c>
      <c r="E146" s="29" t="s">
        <v>32</v>
      </c>
      <c r="F146" s="31">
        <v>41347</v>
      </c>
      <c r="G146" s="29" t="s">
        <v>58</v>
      </c>
      <c r="H146" s="32" t="s">
        <v>14</v>
      </c>
      <c r="I146" s="24" t="str">
        <f>VLOOKUP(G146,[1]ACHATS!$C:$E,3,0)</f>
        <v>Kg</v>
      </c>
      <c r="J146" s="24" t="str">
        <f>VLOOKUP(G146,[1]ACHATS!$C:$D,2,0)</f>
        <v>AZOTE</v>
      </c>
      <c r="K146" s="33">
        <v>180</v>
      </c>
      <c r="L146" s="33">
        <f>VLOOKUP(E146,[1]PARCELLAIRE!$D$2:$F$29,3,0)</f>
        <v>16.440000000000001</v>
      </c>
      <c r="M146" s="33">
        <f t="shared" si="6"/>
        <v>2959.2000000000003</v>
      </c>
      <c r="N146" s="34">
        <f t="array" ref="N146">INDEX('[1]COUT MOYEN - STOCK'!$G$2:$G$120,MATCH(A146,IF('[1]COUT MOYEN - STOCK'!$B$2:$B$120=G146,'[1]COUT MOYEN - STOCK'!$A$2:$A$120,""),0))</f>
        <v>0.41460714285714284</v>
      </c>
      <c r="O146" s="35">
        <f t="shared" si="7"/>
        <v>1226.9054571428571</v>
      </c>
      <c r="P146" s="36" t="str">
        <f t="shared" si="8"/>
        <v>Lescandes Côteau</v>
      </c>
      <c r="Q146" s="40" t="s">
        <v>135</v>
      </c>
    </row>
    <row r="147" spans="1:17" ht="16.5" hidden="1" thickTop="1">
      <c r="A147" s="29">
        <v>2013</v>
      </c>
      <c r="B147" s="29" t="s">
        <v>164</v>
      </c>
      <c r="C147" s="30" t="s">
        <v>47</v>
      </c>
      <c r="D147" s="24" t="str">
        <f t="array" ref="D147">INDEX([1]PARCELLAIRE!$C$2:$C$85,MATCH(A147,IF([1]PARCELLAIRE!$D$2:$D$85=E147,[1]PARCELLAIRE!$A$2:$A$85,""),0))</f>
        <v>PESCADOUX</v>
      </c>
      <c r="E147" s="29" t="s">
        <v>31</v>
      </c>
      <c r="F147" s="31">
        <v>41347</v>
      </c>
      <c r="G147" s="29" t="s">
        <v>58</v>
      </c>
      <c r="H147" s="32" t="s">
        <v>14</v>
      </c>
      <c r="I147" s="24" t="str">
        <f>VLOOKUP(G147,[1]ACHATS!$C:$E,3,0)</f>
        <v>Kg</v>
      </c>
      <c r="J147" s="24" t="str">
        <f>VLOOKUP(G147,[1]ACHATS!$C:$D,2,0)</f>
        <v>AZOTE</v>
      </c>
      <c r="K147" s="33">
        <v>180</v>
      </c>
      <c r="L147" s="33">
        <f>VLOOKUP(E147,[1]PARCELLAIRE!$D$2:$F$29,3,0)</f>
        <v>2.67</v>
      </c>
      <c r="M147" s="33">
        <f t="shared" si="6"/>
        <v>480.59999999999997</v>
      </c>
      <c r="N147" s="34">
        <f t="array" ref="N147">INDEX('[1]COUT MOYEN - STOCK'!$G$2:$G$120,MATCH(A147,IF('[1]COUT MOYEN - STOCK'!$B$2:$B$120=G147,'[1]COUT MOYEN - STOCK'!$A$2:$A$120,""),0))</f>
        <v>0.41460714285714284</v>
      </c>
      <c r="O147" s="35">
        <f t="shared" si="7"/>
        <v>199.26019285714284</v>
      </c>
      <c r="P147" s="36" t="str">
        <f t="shared" si="8"/>
        <v>Lescandes</v>
      </c>
      <c r="Q147" s="40" t="s">
        <v>135</v>
      </c>
    </row>
    <row r="148" spans="1:17" ht="16.5" hidden="1" thickTop="1">
      <c r="A148" s="29">
        <v>2013</v>
      </c>
      <c r="B148" s="29" t="s">
        <v>164</v>
      </c>
      <c r="C148" s="30" t="s">
        <v>47</v>
      </c>
      <c r="D148" s="24" t="str">
        <f t="array" ref="D148">INDEX([1]PARCELLAIRE!$C$2:$C$85,MATCH(A148,IF([1]PARCELLAIRE!$D$2:$D$85=E148,[1]PARCELLAIRE!$A$2:$A$85,""),0))</f>
        <v>FABULIS - PESCADOUX</v>
      </c>
      <c r="E148" s="29" t="s">
        <v>30</v>
      </c>
      <c r="F148" s="31">
        <v>41347</v>
      </c>
      <c r="G148" s="29" t="s">
        <v>58</v>
      </c>
      <c r="H148" s="32" t="s">
        <v>14</v>
      </c>
      <c r="I148" s="24" t="str">
        <f>VLOOKUP(G148,[1]ACHATS!$C:$E,3,0)</f>
        <v>Kg</v>
      </c>
      <c r="J148" s="24" t="str">
        <f>VLOOKUP(G148,[1]ACHATS!$C:$D,2,0)</f>
        <v>AZOTE</v>
      </c>
      <c r="K148" s="33">
        <v>180</v>
      </c>
      <c r="L148" s="33">
        <f>VLOOKUP(E148,[1]PARCELLAIRE!$D$2:$F$29,3,0)</f>
        <v>5.07</v>
      </c>
      <c r="M148" s="33">
        <f t="shared" si="6"/>
        <v>912.6</v>
      </c>
      <c r="N148" s="34">
        <f t="array" ref="N148">INDEX('[1]COUT MOYEN - STOCK'!$G$2:$G$120,MATCH(A148,IF('[1]COUT MOYEN - STOCK'!$B$2:$B$120=G148,'[1]COUT MOYEN - STOCK'!$A$2:$A$120,""),0))</f>
        <v>0.41460714285714284</v>
      </c>
      <c r="O148" s="35">
        <f t="shared" si="7"/>
        <v>378.37047857142858</v>
      </c>
      <c r="P148" s="36" t="str">
        <f t="shared" si="8"/>
        <v>Laclos</v>
      </c>
      <c r="Q148" s="40" t="s">
        <v>135</v>
      </c>
    </row>
    <row r="149" spans="1:17" ht="16.5" hidden="1" thickTop="1">
      <c r="A149" s="29">
        <v>2013</v>
      </c>
      <c r="B149" s="29" t="s">
        <v>164</v>
      </c>
      <c r="C149" s="30" t="s">
        <v>43</v>
      </c>
      <c r="D149" s="24" t="str">
        <f t="array" ref="D149">INDEX([1]PARCELLAIRE!$C$2:$C$85,MATCH(A149,IF([1]PARCELLAIRE!$D$2:$D$85=E149,[1]PARCELLAIRE!$A$2:$A$85,""),0))</f>
        <v>SOLEIHO</v>
      </c>
      <c r="E149" s="29" t="s">
        <v>29</v>
      </c>
      <c r="F149" s="31">
        <v>41347</v>
      </c>
      <c r="G149" s="29" t="s">
        <v>58</v>
      </c>
      <c r="H149" s="32" t="s">
        <v>14</v>
      </c>
      <c r="I149" s="24" t="str">
        <f>VLOOKUP(G149,[1]ACHATS!$C:$E,3,0)</f>
        <v>Kg</v>
      </c>
      <c r="J149" s="24" t="str">
        <f>VLOOKUP(G149,[1]ACHATS!$C:$D,2,0)</f>
        <v>AZOTE</v>
      </c>
      <c r="K149" s="33">
        <v>180</v>
      </c>
      <c r="L149" s="33">
        <f>VLOOKUP(E149,[1]PARCELLAIRE!$D$2:$F$29,3,0)</f>
        <v>17.55</v>
      </c>
      <c r="M149" s="33">
        <f t="shared" si="6"/>
        <v>3159</v>
      </c>
      <c r="N149" s="34">
        <f t="array" ref="N149">INDEX('[1]COUT MOYEN - STOCK'!$G$2:$G$120,MATCH(A149,IF('[1]COUT MOYEN - STOCK'!$B$2:$B$120=G149,'[1]COUT MOYEN - STOCK'!$A$2:$A$120,""),0))</f>
        <v>0.41460714285714284</v>
      </c>
      <c r="O149" s="35">
        <f t="shared" si="7"/>
        <v>1309.7439642857141</v>
      </c>
      <c r="P149" s="36" t="str">
        <f t="shared" si="8"/>
        <v>Labaou Plaine</v>
      </c>
      <c r="Q149" s="40" t="s">
        <v>135</v>
      </c>
    </row>
    <row r="150" spans="1:17" ht="16.5" hidden="1" thickTop="1">
      <c r="A150" s="29">
        <v>2013</v>
      </c>
      <c r="B150" s="29" t="s">
        <v>164</v>
      </c>
      <c r="C150" s="30" t="s">
        <v>47</v>
      </c>
      <c r="D150" s="24" t="str">
        <f t="array" ref="D150">INDEX([1]PARCELLAIRE!$C$2:$C$85,MATCH(A150,IF([1]PARCELLAIRE!$D$2:$D$85=E150,[1]PARCELLAIRE!$A$2:$A$85,""),0))</f>
        <v>MIRADOUX</v>
      </c>
      <c r="E150" s="29" t="s">
        <v>23</v>
      </c>
      <c r="F150" s="31">
        <v>41347</v>
      </c>
      <c r="G150" s="29" t="s">
        <v>58</v>
      </c>
      <c r="H150" s="32" t="s">
        <v>14</v>
      </c>
      <c r="I150" s="24" t="str">
        <f>VLOOKUP(G150,[1]ACHATS!$C:$E,3,0)</f>
        <v>Kg</v>
      </c>
      <c r="J150" s="24" t="str">
        <f>VLOOKUP(G150,[1]ACHATS!$C:$D,2,0)</f>
        <v>AZOTE</v>
      </c>
      <c r="K150" s="33">
        <v>180</v>
      </c>
      <c r="L150" s="33">
        <f>VLOOKUP(E150,[1]PARCELLAIRE!$D$2:$F$29,3,0)</f>
        <v>7.58</v>
      </c>
      <c r="M150" s="33">
        <f t="shared" si="6"/>
        <v>1364.4</v>
      </c>
      <c r="N150" s="34">
        <f t="array" ref="N150">INDEX('[1]COUT MOYEN - STOCK'!$G$2:$G$120,MATCH(A150,IF('[1]COUT MOYEN - STOCK'!$B$2:$B$120=G150,'[1]COUT MOYEN - STOCK'!$A$2:$A$120,""),0))</f>
        <v>0.41460714285714284</v>
      </c>
      <c r="O150" s="35">
        <f t="shared" si="7"/>
        <v>565.68998571428574</v>
      </c>
      <c r="P150" s="36" t="str">
        <f t="shared" si="8"/>
        <v>Escarcelou</v>
      </c>
      <c r="Q150" s="40" t="s">
        <v>135</v>
      </c>
    </row>
    <row r="151" spans="1:17" ht="16.5" hidden="1" thickTop="1">
      <c r="A151" s="29">
        <v>2013</v>
      </c>
      <c r="B151" s="29" t="s">
        <v>164</v>
      </c>
      <c r="C151" s="30" t="s">
        <v>47</v>
      </c>
      <c r="D151" s="24" t="str">
        <f t="array" ref="D151">INDEX([1]PARCELLAIRE!$C$2:$C$85,MATCH(A151,IF([1]PARCELLAIRE!$D$2:$D$85=E151,[1]PARCELLAIRE!$A$2:$A$85,""),0))</f>
        <v>MIRADOUX</v>
      </c>
      <c r="E151" s="29" t="s">
        <v>28</v>
      </c>
      <c r="F151" s="31">
        <v>41347</v>
      </c>
      <c r="G151" s="29" t="s">
        <v>58</v>
      </c>
      <c r="H151" s="32" t="s">
        <v>14</v>
      </c>
      <c r="I151" s="24" t="str">
        <f>VLOOKUP(G151,[1]ACHATS!$C:$E,3,0)</f>
        <v>Kg</v>
      </c>
      <c r="J151" s="24" t="str">
        <f>VLOOKUP(G151,[1]ACHATS!$C:$D,2,0)</f>
        <v>AZOTE</v>
      </c>
      <c r="K151" s="33">
        <v>180</v>
      </c>
      <c r="L151" s="33">
        <f>VLOOKUP(E151,[1]PARCELLAIRE!$D$2:$F$29,3,0)</f>
        <v>11.9</v>
      </c>
      <c r="M151" s="33">
        <f t="shared" si="6"/>
        <v>2142</v>
      </c>
      <c r="N151" s="34">
        <f t="array" ref="N151">INDEX('[1]COUT MOYEN - STOCK'!$G$2:$G$120,MATCH(A151,IF('[1]COUT MOYEN - STOCK'!$B$2:$B$120=G151,'[1]COUT MOYEN - STOCK'!$A$2:$A$120,""),0))</f>
        <v>0.41460714285714284</v>
      </c>
      <c r="O151" s="35">
        <f t="shared" si="7"/>
        <v>888.08849999999995</v>
      </c>
      <c r="P151" s="36" t="str">
        <f t="shared" si="8"/>
        <v>Labaou Devant</v>
      </c>
      <c r="Q151" s="40" t="s">
        <v>135</v>
      </c>
    </row>
    <row r="152" spans="1:17" ht="16.5" hidden="1" thickTop="1">
      <c r="A152" s="29">
        <v>2013</v>
      </c>
      <c r="B152" s="29" t="s">
        <v>164</v>
      </c>
      <c r="C152" s="30" t="s">
        <v>47</v>
      </c>
      <c r="D152" s="24" t="str">
        <f t="array" ref="D152">INDEX([1]PARCELLAIRE!$C$2:$C$85,MATCH(A152,IF([1]PARCELLAIRE!$D$2:$D$85=E152,[1]PARCELLAIRE!$A$2:$A$85,""),0))</f>
        <v>MIRADOUX</v>
      </c>
      <c r="E152" s="29" t="s">
        <v>25</v>
      </c>
      <c r="F152" s="31">
        <v>41347</v>
      </c>
      <c r="G152" s="29" t="s">
        <v>58</v>
      </c>
      <c r="H152" s="32" t="s">
        <v>14</v>
      </c>
      <c r="I152" s="24" t="str">
        <f>VLOOKUP(G152,[1]ACHATS!$C:$E,3,0)</f>
        <v>Kg</v>
      </c>
      <c r="J152" s="24" t="str">
        <f>VLOOKUP(G152,[1]ACHATS!$C:$D,2,0)</f>
        <v>AZOTE</v>
      </c>
      <c r="K152" s="33">
        <v>180</v>
      </c>
      <c r="L152" s="33">
        <f>VLOOKUP(E152,[1]PARCELLAIRE!$D$2:$F$29,3,0)</f>
        <v>7.5</v>
      </c>
      <c r="M152" s="33">
        <f t="shared" si="6"/>
        <v>1350</v>
      </c>
      <c r="N152" s="34">
        <f t="array" ref="N152">INDEX('[1]COUT MOYEN - STOCK'!$G$2:$G$120,MATCH(A152,IF('[1]COUT MOYEN - STOCK'!$B$2:$B$120=G152,'[1]COUT MOYEN - STOCK'!$A$2:$A$120,""),0))</f>
        <v>0.41460714285714284</v>
      </c>
      <c r="O152" s="35">
        <f t="shared" si="7"/>
        <v>559.71964285714284</v>
      </c>
      <c r="P152" s="36" t="str">
        <f t="shared" si="8"/>
        <v>Escarcelou Pte</v>
      </c>
      <c r="Q152" s="40" t="s">
        <v>135</v>
      </c>
    </row>
    <row r="153" spans="1:17" ht="16.5" hidden="1" thickTop="1">
      <c r="A153" s="29">
        <v>2013</v>
      </c>
      <c r="B153" s="29" t="s">
        <v>164</v>
      </c>
      <c r="C153" s="30" t="s">
        <v>47</v>
      </c>
      <c r="D153" s="24" t="str">
        <f t="array" ref="D153">INDEX([1]PARCELLAIRE!$C$2:$C$85,MATCH(A153,IF([1]PARCELLAIRE!$D$2:$D$85=E153,[1]PARCELLAIRE!$A$2:$A$85,""),0))</f>
        <v>MIRADOUX</v>
      </c>
      <c r="E153" s="29" t="s">
        <v>19</v>
      </c>
      <c r="F153" s="31">
        <v>41347</v>
      </c>
      <c r="G153" s="29" t="s">
        <v>58</v>
      </c>
      <c r="H153" s="32" t="s">
        <v>14</v>
      </c>
      <c r="I153" s="24" t="str">
        <f>VLOOKUP(G153,[1]ACHATS!$C:$E,3,0)</f>
        <v>Kg</v>
      </c>
      <c r="J153" s="24" t="str">
        <f>VLOOKUP(G153,[1]ACHATS!$C:$D,2,0)</f>
        <v>AZOTE</v>
      </c>
      <c r="K153" s="33">
        <v>180</v>
      </c>
      <c r="L153" s="33">
        <f>VLOOKUP(E153,[1]PARCELLAIRE!$D$2:$F$29,3,0)</f>
        <v>5.67</v>
      </c>
      <c r="M153" s="33">
        <f t="shared" si="6"/>
        <v>1020.6</v>
      </c>
      <c r="N153" s="34">
        <f t="array" ref="N153">INDEX('[1]COUT MOYEN - STOCK'!$G$2:$G$120,MATCH(A153,IF('[1]COUT MOYEN - STOCK'!$B$2:$B$120=G153,'[1]COUT MOYEN - STOCK'!$A$2:$A$120,""),0))</f>
        <v>0.41460714285714284</v>
      </c>
      <c r="O153" s="35">
        <f t="shared" si="7"/>
        <v>423.14805000000001</v>
      </c>
      <c r="P153" s="36" t="str">
        <f t="shared" si="8"/>
        <v>Bousquet Route</v>
      </c>
      <c r="Q153" s="40" t="s">
        <v>135</v>
      </c>
    </row>
    <row r="154" spans="1:17" ht="16.5" hidden="1" thickTop="1">
      <c r="A154" s="29">
        <v>2013</v>
      </c>
      <c r="B154" s="29" t="s">
        <v>164</v>
      </c>
      <c r="C154" s="30" t="s">
        <v>47</v>
      </c>
      <c r="D154" s="24" t="str">
        <f t="array" ref="D154">INDEX([1]PARCELLAIRE!$C$2:$C$85,MATCH(A154,IF([1]PARCELLAIRE!$D$2:$D$85=E154,[1]PARCELLAIRE!$A$2:$A$85,""),0))</f>
        <v>PESCADOUX</v>
      </c>
      <c r="E154" s="29" t="s">
        <v>17</v>
      </c>
      <c r="F154" s="31">
        <v>41347</v>
      </c>
      <c r="G154" s="29" t="s">
        <v>58</v>
      </c>
      <c r="H154" s="32" t="s">
        <v>14</v>
      </c>
      <c r="I154" s="24" t="str">
        <f>VLOOKUP(G154,[1]ACHATS!$C:$E,3,0)</f>
        <v>Kg</v>
      </c>
      <c r="J154" s="24" t="str">
        <f>VLOOKUP(G154,[1]ACHATS!$C:$D,2,0)</f>
        <v>AZOTE</v>
      </c>
      <c r="K154" s="33">
        <v>180</v>
      </c>
      <c r="L154" s="33">
        <f>VLOOKUP(E154,[1]PARCELLAIRE!$D$2:$F$29,3,0)</f>
        <v>5.27</v>
      </c>
      <c r="M154" s="33">
        <f t="shared" si="6"/>
        <v>948.59999999999991</v>
      </c>
      <c r="N154" s="34">
        <f t="array" ref="N154">INDEX('[1]COUT MOYEN - STOCK'!$G$2:$G$120,MATCH(A154,IF('[1]COUT MOYEN - STOCK'!$B$2:$B$120=G154,'[1]COUT MOYEN - STOCK'!$A$2:$A$120,""),0))</f>
        <v>0.41460714285714284</v>
      </c>
      <c r="O154" s="35">
        <f t="shared" si="7"/>
        <v>393.29633571428565</v>
      </c>
      <c r="P154" s="36" t="str">
        <f t="shared" si="8"/>
        <v>Bousquet Château</v>
      </c>
      <c r="Q154" s="40" t="s">
        <v>135</v>
      </c>
    </row>
    <row r="155" spans="1:17" ht="16.5" hidden="1" thickTop="1">
      <c r="A155" s="29">
        <v>2013</v>
      </c>
      <c r="B155" s="29" t="s">
        <v>164</v>
      </c>
      <c r="C155" s="30" t="s">
        <v>47</v>
      </c>
      <c r="D155" s="24" t="str">
        <f t="array" ref="D155">INDEX([1]PARCELLAIRE!$C$2:$C$85,MATCH(A155,IF([1]PARCELLAIRE!$D$2:$D$85=E155,[1]PARCELLAIRE!$A$2:$A$85,""),0))</f>
        <v>MIRADOUX</v>
      </c>
      <c r="E155" s="29" t="s">
        <v>24</v>
      </c>
      <c r="F155" s="31">
        <v>41352</v>
      </c>
      <c r="G155" s="29" t="s">
        <v>60</v>
      </c>
      <c r="H155" s="32" t="s">
        <v>14</v>
      </c>
      <c r="I155" s="24" t="str">
        <f>VLOOKUP(G155,[1]ACHATS!$C:$E,3,0)</f>
        <v>L</v>
      </c>
      <c r="J155" s="24" t="str">
        <f>VLOOKUP(G155,[1]ACHATS!$C:$D,2,0)</f>
        <v>DIVERS</v>
      </c>
      <c r="K155" s="33">
        <v>3</v>
      </c>
      <c r="L155" s="33">
        <f>VLOOKUP(E155,[1]PARCELLAIRE!$D$2:$F$29,3,0)</f>
        <v>1.34</v>
      </c>
      <c r="M155" s="33">
        <f t="shared" si="6"/>
        <v>4.0200000000000005</v>
      </c>
      <c r="N155" s="34">
        <f t="array" ref="N155">INDEX('[1]COUT MOYEN - STOCK'!$G$2:$G$120,MATCH(A155,IF('[1]COUT MOYEN - STOCK'!$B$2:$B$120=G155,'[1]COUT MOYEN - STOCK'!$A$2:$A$120,""),0))</f>
        <v>2.9</v>
      </c>
      <c r="O155" s="35">
        <f t="shared" si="7"/>
        <v>11.658000000000001</v>
      </c>
      <c r="P155" s="36" t="str">
        <f t="shared" si="8"/>
        <v>Escarcelou Jachère</v>
      </c>
      <c r="Q155" s="37" t="s">
        <v>14</v>
      </c>
    </row>
    <row r="156" spans="1:17" ht="16.5" hidden="1" thickTop="1">
      <c r="A156" s="29">
        <v>2013</v>
      </c>
      <c r="B156" s="29" t="s">
        <v>164</v>
      </c>
      <c r="C156" s="30" t="s">
        <v>47</v>
      </c>
      <c r="D156" s="24" t="str">
        <f t="array" ref="D156">INDEX([1]PARCELLAIRE!$C$2:$C$85,MATCH(A156,IF([1]PARCELLAIRE!$D$2:$D$85=E156,[1]PARCELLAIRE!$A$2:$A$85,""),0))</f>
        <v>MIRADOUX</v>
      </c>
      <c r="E156" s="29" t="s">
        <v>23</v>
      </c>
      <c r="F156" s="31">
        <v>41352</v>
      </c>
      <c r="G156" s="29" t="s">
        <v>60</v>
      </c>
      <c r="H156" s="32" t="s">
        <v>14</v>
      </c>
      <c r="I156" s="24" t="str">
        <f>VLOOKUP(G156,[1]ACHATS!$C:$E,3,0)</f>
        <v>L</v>
      </c>
      <c r="J156" s="24" t="str">
        <f>VLOOKUP(G156,[1]ACHATS!$C:$D,2,0)</f>
        <v>DIVERS</v>
      </c>
      <c r="K156" s="33">
        <v>3</v>
      </c>
      <c r="L156" s="33">
        <f>VLOOKUP(E156,[1]PARCELLAIRE!$D$2:$F$29,3,0)</f>
        <v>7.58</v>
      </c>
      <c r="M156" s="33">
        <f t="shared" si="6"/>
        <v>22.740000000000002</v>
      </c>
      <c r="N156" s="34">
        <f t="array" ref="N156">INDEX('[1]COUT MOYEN - STOCK'!$G$2:$G$120,MATCH(A156,IF('[1]COUT MOYEN - STOCK'!$B$2:$B$120=G156,'[1]COUT MOYEN - STOCK'!$A$2:$A$120,""),0))</f>
        <v>2.9</v>
      </c>
      <c r="O156" s="35">
        <f t="shared" si="7"/>
        <v>65.945999999999998</v>
      </c>
      <c r="P156" s="36" t="str">
        <f t="shared" si="8"/>
        <v>Escarcelou</v>
      </c>
      <c r="Q156" s="37" t="s">
        <v>14</v>
      </c>
    </row>
    <row r="157" spans="1:17" ht="16.5" hidden="1" thickTop="1">
      <c r="A157" s="29">
        <v>2013</v>
      </c>
      <c r="B157" s="29" t="s">
        <v>164</v>
      </c>
      <c r="C157" s="30" t="s">
        <v>47</v>
      </c>
      <c r="D157" s="24" t="str">
        <f t="array" ref="D157">INDEX([1]PARCELLAIRE!$C$2:$C$85,MATCH(A157,IF([1]PARCELLAIRE!$D$2:$D$85=E157,[1]PARCELLAIRE!$A$2:$A$85,""),0))</f>
        <v>MIRADOUX</v>
      </c>
      <c r="E157" s="29" t="s">
        <v>28</v>
      </c>
      <c r="F157" s="31">
        <v>41352</v>
      </c>
      <c r="G157" s="29" t="s">
        <v>60</v>
      </c>
      <c r="H157" s="32" t="s">
        <v>14</v>
      </c>
      <c r="I157" s="24" t="str">
        <f>VLOOKUP(G157,[1]ACHATS!$C:$E,3,0)</f>
        <v>L</v>
      </c>
      <c r="J157" s="24" t="str">
        <f>VLOOKUP(G157,[1]ACHATS!$C:$D,2,0)</f>
        <v>DIVERS</v>
      </c>
      <c r="K157" s="33">
        <v>3</v>
      </c>
      <c r="L157" s="33">
        <f>VLOOKUP(E157,[1]PARCELLAIRE!$D$2:$F$29,3,0)</f>
        <v>11.9</v>
      </c>
      <c r="M157" s="33">
        <f t="shared" si="6"/>
        <v>35.700000000000003</v>
      </c>
      <c r="N157" s="34">
        <f t="array" ref="N157">INDEX('[1]COUT MOYEN - STOCK'!$G$2:$G$120,MATCH(A157,IF('[1]COUT MOYEN - STOCK'!$B$2:$B$120=G157,'[1]COUT MOYEN - STOCK'!$A$2:$A$120,""),0))</f>
        <v>2.9</v>
      </c>
      <c r="O157" s="35">
        <f t="shared" si="7"/>
        <v>103.53</v>
      </c>
      <c r="P157" s="36" t="str">
        <f t="shared" si="8"/>
        <v>Labaou Devant</v>
      </c>
      <c r="Q157" s="37" t="s">
        <v>14</v>
      </c>
    </row>
    <row r="158" spans="1:17" ht="16.5" hidden="1" thickTop="1">
      <c r="A158" s="29">
        <v>2013</v>
      </c>
      <c r="B158" s="29" t="s">
        <v>164</v>
      </c>
      <c r="C158" s="30" t="s">
        <v>47</v>
      </c>
      <c r="D158" s="24" t="str">
        <f t="array" ref="D158">INDEX([1]PARCELLAIRE!$C$2:$C$85,MATCH(A158,IF([1]PARCELLAIRE!$D$2:$D$85=E158,[1]PARCELLAIRE!$A$2:$A$85,""),0))</f>
        <v>MIRADOUX</v>
      </c>
      <c r="E158" s="29" t="s">
        <v>25</v>
      </c>
      <c r="F158" s="31">
        <v>41352</v>
      </c>
      <c r="G158" s="29" t="s">
        <v>60</v>
      </c>
      <c r="H158" s="32" t="s">
        <v>14</v>
      </c>
      <c r="I158" s="24" t="str">
        <f>VLOOKUP(G158,[1]ACHATS!$C:$E,3,0)</f>
        <v>L</v>
      </c>
      <c r="J158" s="24" t="str">
        <f>VLOOKUP(G158,[1]ACHATS!$C:$D,2,0)</f>
        <v>DIVERS</v>
      </c>
      <c r="K158" s="33">
        <v>3</v>
      </c>
      <c r="L158" s="33">
        <f>VLOOKUP(E158,[1]PARCELLAIRE!$D$2:$F$29,3,0)</f>
        <v>7.5</v>
      </c>
      <c r="M158" s="33">
        <f t="shared" si="6"/>
        <v>22.5</v>
      </c>
      <c r="N158" s="34">
        <f t="array" ref="N158">INDEX('[1]COUT MOYEN - STOCK'!$G$2:$G$120,MATCH(A158,IF('[1]COUT MOYEN - STOCK'!$B$2:$B$120=G158,'[1]COUT MOYEN - STOCK'!$A$2:$A$120,""),0))</f>
        <v>2.9</v>
      </c>
      <c r="O158" s="35">
        <f t="shared" si="7"/>
        <v>65.25</v>
      </c>
      <c r="P158" s="36" t="str">
        <f t="shared" si="8"/>
        <v>Escarcelou Pte</v>
      </c>
      <c r="Q158" s="37" t="s">
        <v>14</v>
      </c>
    </row>
    <row r="159" spans="1:17" ht="16.5" hidden="1" thickTop="1">
      <c r="A159" s="29">
        <v>2013</v>
      </c>
      <c r="B159" s="29" t="s">
        <v>164</v>
      </c>
      <c r="C159" s="30" t="s">
        <v>47</v>
      </c>
      <c r="D159" s="24" t="str">
        <f t="array" ref="D159">INDEX([1]PARCELLAIRE!$C$2:$C$85,MATCH(A159,IF([1]PARCELLAIRE!$D$2:$D$85=E159,[1]PARCELLAIRE!$A$2:$A$85,""),0))</f>
        <v>PESCADOUX</v>
      </c>
      <c r="E159" s="29" t="s">
        <v>31</v>
      </c>
      <c r="F159" s="31">
        <v>41352</v>
      </c>
      <c r="G159" s="29" t="s">
        <v>60</v>
      </c>
      <c r="H159" s="32" t="s">
        <v>14</v>
      </c>
      <c r="I159" s="24" t="str">
        <f>VLOOKUP(G159,[1]ACHATS!$C:$E,3,0)</f>
        <v>L</v>
      </c>
      <c r="J159" s="24" t="str">
        <f>VLOOKUP(G159,[1]ACHATS!$C:$D,2,0)</f>
        <v>DIVERS</v>
      </c>
      <c r="K159" s="33">
        <v>3</v>
      </c>
      <c r="L159" s="33">
        <f>VLOOKUP(E159,[1]PARCELLAIRE!$D$2:$F$29,3,0)</f>
        <v>2.67</v>
      </c>
      <c r="M159" s="33">
        <f t="shared" si="6"/>
        <v>8.01</v>
      </c>
      <c r="N159" s="34">
        <f t="array" ref="N159">INDEX('[1]COUT MOYEN - STOCK'!$G$2:$G$120,MATCH(A159,IF('[1]COUT MOYEN - STOCK'!$B$2:$B$120=G159,'[1]COUT MOYEN - STOCK'!$A$2:$A$120,""),0))</f>
        <v>2.9</v>
      </c>
      <c r="O159" s="35">
        <f t="shared" si="7"/>
        <v>23.228999999999999</v>
      </c>
      <c r="P159" s="36" t="str">
        <f t="shared" si="8"/>
        <v>Lescandes</v>
      </c>
      <c r="Q159" s="37" t="s">
        <v>14</v>
      </c>
    </row>
    <row r="160" spans="1:17" ht="16.5" hidden="1" thickTop="1">
      <c r="A160" s="29">
        <v>2013</v>
      </c>
      <c r="B160" s="29" t="s">
        <v>164</v>
      </c>
      <c r="C160" s="30" t="s">
        <v>47</v>
      </c>
      <c r="D160" s="24" t="str">
        <f t="array" ref="D160">INDEX([1]PARCELLAIRE!$C$2:$C$85,MATCH(A160,IF([1]PARCELLAIRE!$D$2:$D$85=E160,[1]PARCELLAIRE!$A$2:$A$85,""),0))</f>
        <v>PESCADOUX</v>
      </c>
      <c r="E160" s="29" t="s">
        <v>32</v>
      </c>
      <c r="F160" s="31">
        <v>41352</v>
      </c>
      <c r="G160" s="29" t="s">
        <v>60</v>
      </c>
      <c r="H160" s="32" t="s">
        <v>14</v>
      </c>
      <c r="I160" s="24" t="str">
        <f>VLOOKUP(G160,[1]ACHATS!$C:$E,3,0)</f>
        <v>L</v>
      </c>
      <c r="J160" s="24" t="str">
        <f>VLOOKUP(G160,[1]ACHATS!$C:$D,2,0)</f>
        <v>DIVERS</v>
      </c>
      <c r="K160" s="33">
        <v>3</v>
      </c>
      <c r="L160" s="33">
        <f>VLOOKUP(E160,[1]PARCELLAIRE!$D$2:$F$29,3,0)</f>
        <v>16.440000000000001</v>
      </c>
      <c r="M160" s="33">
        <f t="shared" si="6"/>
        <v>49.320000000000007</v>
      </c>
      <c r="N160" s="34">
        <f t="array" ref="N160">INDEX('[1]COUT MOYEN - STOCK'!$G$2:$G$120,MATCH(A160,IF('[1]COUT MOYEN - STOCK'!$B$2:$B$120=G160,'[1]COUT MOYEN - STOCK'!$A$2:$A$120,""),0))</f>
        <v>2.9</v>
      </c>
      <c r="O160" s="35">
        <f t="shared" si="7"/>
        <v>143.02800000000002</v>
      </c>
      <c r="P160" s="36" t="str">
        <f t="shared" si="8"/>
        <v>Lescandes Côteau</v>
      </c>
      <c r="Q160" s="37" t="s">
        <v>14</v>
      </c>
    </row>
    <row r="161" spans="1:17" ht="16.5" hidden="1" thickTop="1">
      <c r="A161" s="29">
        <v>2013</v>
      </c>
      <c r="B161" s="29" t="s">
        <v>164</v>
      </c>
      <c r="C161" s="30" t="s">
        <v>47</v>
      </c>
      <c r="D161" s="24" t="str">
        <f t="array" ref="D161">INDEX([1]PARCELLAIRE!$C$2:$C$85,MATCH(A161,IF([1]PARCELLAIRE!$D$2:$D$85=E161,[1]PARCELLAIRE!$A$2:$A$85,""),0))</f>
        <v>PESCADOUX</v>
      </c>
      <c r="E161" s="29" t="s">
        <v>31</v>
      </c>
      <c r="F161" s="31">
        <v>41354</v>
      </c>
      <c r="G161" s="29" t="s">
        <v>64</v>
      </c>
      <c r="H161" s="32" t="s">
        <v>14</v>
      </c>
      <c r="I161" s="24" t="str">
        <f>VLOOKUP(G161,[1]ACHATS!$C:$E,3,0)</f>
        <v>L</v>
      </c>
      <c r="J161" s="24" t="str">
        <f>VLOOKUP(G161,[1]ACHATS!$C:$D,2,0)</f>
        <v>DESHERBANT</v>
      </c>
      <c r="K161" s="33">
        <v>20</v>
      </c>
      <c r="L161" s="33">
        <f>VLOOKUP(E161,[1]PARCELLAIRE!$D$2:$F$29,3,0)</f>
        <v>2.67</v>
      </c>
      <c r="M161" s="33">
        <f t="shared" si="6"/>
        <v>53.4</v>
      </c>
      <c r="N161" s="34">
        <f t="array" ref="N161">INDEX('[1]COUT MOYEN - STOCK'!$G$2:$G$120,MATCH(A161,IF('[1]COUT MOYEN - STOCK'!$B$2:$B$120=G161,'[1]COUT MOYEN - STOCK'!$A$2:$A$120,""),0))</f>
        <v>0.79166666666666663</v>
      </c>
      <c r="O161" s="35">
        <f t="shared" si="7"/>
        <v>42.274999999999999</v>
      </c>
      <c r="P161" s="36" t="str">
        <f t="shared" si="8"/>
        <v>Lescandes</v>
      </c>
      <c r="Q161" s="37" t="s">
        <v>14</v>
      </c>
    </row>
    <row r="162" spans="1:17" ht="16.5" hidden="1" thickTop="1">
      <c r="A162" s="29">
        <v>2013</v>
      </c>
      <c r="B162" s="29" t="s">
        <v>164</v>
      </c>
      <c r="C162" s="30" t="s">
        <v>47</v>
      </c>
      <c r="D162" s="24" t="str">
        <f t="array" ref="D162">INDEX([1]PARCELLAIRE!$C$2:$C$85,MATCH(A162,IF([1]PARCELLAIRE!$D$2:$D$85=E162,[1]PARCELLAIRE!$A$2:$A$85,""),0))</f>
        <v>PESCADOUX</v>
      </c>
      <c r="E162" s="29" t="s">
        <v>32</v>
      </c>
      <c r="F162" s="31">
        <v>41354</v>
      </c>
      <c r="G162" s="29" t="s">
        <v>64</v>
      </c>
      <c r="H162" s="32" t="s">
        <v>14</v>
      </c>
      <c r="I162" s="24" t="str">
        <f>VLOOKUP(G162,[1]ACHATS!$C:$E,3,0)</f>
        <v>L</v>
      </c>
      <c r="J162" s="24" t="str">
        <f>VLOOKUP(G162,[1]ACHATS!$C:$D,2,0)</f>
        <v>DESHERBANT</v>
      </c>
      <c r="K162" s="33">
        <v>20</v>
      </c>
      <c r="L162" s="33">
        <f>VLOOKUP(E162,[1]PARCELLAIRE!$D$2:$F$29,3,0)</f>
        <v>16.440000000000001</v>
      </c>
      <c r="M162" s="33">
        <f t="shared" si="6"/>
        <v>328.8</v>
      </c>
      <c r="N162" s="34">
        <f t="array" ref="N162">INDEX('[1]COUT MOYEN - STOCK'!$G$2:$G$120,MATCH(A162,IF('[1]COUT MOYEN - STOCK'!$B$2:$B$120=G162,'[1]COUT MOYEN - STOCK'!$A$2:$A$120,""),0))</f>
        <v>0.79166666666666663</v>
      </c>
      <c r="O162" s="35">
        <f t="shared" si="7"/>
        <v>260.3</v>
      </c>
      <c r="P162" s="36" t="str">
        <f t="shared" si="8"/>
        <v>Lescandes Côteau</v>
      </c>
      <c r="Q162" s="37" t="s">
        <v>14</v>
      </c>
    </row>
    <row r="163" spans="1:17" ht="16.5" hidden="1" thickTop="1">
      <c r="A163" s="29">
        <v>2013</v>
      </c>
      <c r="B163" s="29" t="s">
        <v>164</v>
      </c>
      <c r="C163" s="30" t="s">
        <v>47</v>
      </c>
      <c r="D163" s="24" t="str">
        <f t="array" ref="D163">INDEX([1]PARCELLAIRE!$C$2:$C$85,MATCH(A163,IF([1]PARCELLAIRE!$D$2:$D$85=E163,[1]PARCELLAIRE!$A$2:$A$85,""),0))</f>
        <v>SCULPTUR</v>
      </c>
      <c r="E163" s="29" t="s">
        <v>20</v>
      </c>
      <c r="F163" s="31">
        <v>41354</v>
      </c>
      <c r="G163" s="29" t="s">
        <v>64</v>
      </c>
      <c r="H163" s="32" t="s">
        <v>14</v>
      </c>
      <c r="I163" s="24" t="str">
        <f>VLOOKUP(G163,[1]ACHATS!$C:$E,3,0)</f>
        <v>L</v>
      </c>
      <c r="J163" s="24" t="str">
        <f>VLOOKUP(G163,[1]ACHATS!$C:$D,2,0)</f>
        <v>DESHERBANT</v>
      </c>
      <c r="K163" s="33">
        <v>20</v>
      </c>
      <c r="L163" s="33">
        <f>VLOOKUP(E163,[1]PARCELLAIRE!$D$2:$F$29,3,0)</f>
        <v>12.49</v>
      </c>
      <c r="M163" s="33">
        <f t="shared" si="6"/>
        <v>249.8</v>
      </c>
      <c r="N163" s="34">
        <f t="array" ref="N163">INDEX('[1]COUT MOYEN - STOCK'!$G$2:$G$120,MATCH(A163,IF('[1]COUT MOYEN - STOCK'!$B$2:$B$120=G163,'[1]COUT MOYEN - STOCK'!$A$2:$A$120,""),0))</f>
        <v>0.79166666666666663</v>
      </c>
      <c r="O163" s="35">
        <f t="shared" si="7"/>
        <v>197.75833333333333</v>
      </c>
      <c r="P163" s="36" t="str">
        <f t="shared" si="8"/>
        <v>Engleyse Bousquet</v>
      </c>
      <c r="Q163" s="37" t="s">
        <v>14</v>
      </c>
    </row>
    <row r="164" spans="1:17" ht="16.5" hidden="1" thickTop="1">
      <c r="A164" s="29">
        <v>2013</v>
      </c>
      <c r="B164" s="29" t="s">
        <v>164</v>
      </c>
      <c r="C164" s="30" t="s">
        <v>47</v>
      </c>
      <c r="D164" s="24" t="str">
        <f t="array" ref="D164">INDEX([1]PARCELLAIRE!$C$2:$C$85,MATCH(A164,IF([1]PARCELLAIRE!$D$2:$D$85=E164,[1]PARCELLAIRE!$A$2:$A$85,""),0))</f>
        <v>PESCADOUX</v>
      </c>
      <c r="E164" s="29" t="s">
        <v>17</v>
      </c>
      <c r="F164" s="31">
        <v>41354</v>
      </c>
      <c r="G164" s="29" t="s">
        <v>60</v>
      </c>
      <c r="H164" s="32" t="s">
        <v>14</v>
      </c>
      <c r="I164" s="24" t="str">
        <f>VLOOKUP(G164,[1]ACHATS!$C:$E,3,0)</f>
        <v>L</v>
      </c>
      <c r="J164" s="24" t="str">
        <f>VLOOKUP(G164,[1]ACHATS!$C:$D,2,0)</f>
        <v>DIVERS</v>
      </c>
      <c r="K164" s="33">
        <v>3</v>
      </c>
      <c r="L164" s="33">
        <f>VLOOKUP(E164,[1]PARCELLAIRE!$D$2:$F$29,3,0)</f>
        <v>5.27</v>
      </c>
      <c r="M164" s="33">
        <f t="shared" si="6"/>
        <v>15.809999999999999</v>
      </c>
      <c r="N164" s="34">
        <f t="array" ref="N164">INDEX('[1]COUT MOYEN - STOCK'!$G$2:$G$120,MATCH(A164,IF('[1]COUT MOYEN - STOCK'!$B$2:$B$120=G164,'[1]COUT MOYEN - STOCK'!$A$2:$A$120,""),0))</f>
        <v>2.9</v>
      </c>
      <c r="O164" s="35">
        <f t="shared" si="7"/>
        <v>45.848999999999997</v>
      </c>
      <c r="P164" s="36" t="str">
        <f t="shared" si="8"/>
        <v>Bousquet Château</v>
      </c>
      <c r="Q164" s="37" t="s">
        <v>14</v>
      </c>
    </row>
    <row r="165" spans="1:17" ht="16.5" hidden="1" thickTop="1">
      <c r="A165" s="29">
        <v>2013</v>
      </c>
      <c r="B165" s="29" t="s">
        <v>164</v>
      </c>
      <c r="C165" s="30" t="s">
        <v>47</v>
      </c>
      <c r="D165" s="24" t="str">
        <f t="array" ref="D165">INDEX([1]PARCELLAIRE!$C$2:$C$85,MATCH(A165,IF([1]PARCELLAIRE!$D$2:$D$85=E165,[1]PARCELLAIRE!$A$2:$A$85,""),0))</f>
        <v>MIRADOUX</v>
      </c>
      <c r="E165" s="29" t="s">
        <v>19</v>
      </c>
      <c r="F165" s="31">
        <v>41354</v>
      </c>
      <c r="G165" s="29" t="s">
        <v>60</v>
      </c>
      <c r="H165" s="32" t="s">
        <v>14</v>
      </c>
      <c r="I165" s="24" t="str">
        <f>VLOOKUP(G165,[1]ACHATS!$C:$E,3,0)</f>
        <v>L</v>
      </c>
      <c r="J165" s="24" t="str">
        <f>VLOOKUP(G165,[1]ACHATS!$C:$D,2,0)</f>
        <v>DIVERS</v>
      </c>
      <c r="K165" s="33">
        <v>3</v>
      </c>
      <c r="L165" s="33">
        <f>VLOOKUP(E165,[1]PARCELLAIRE!$D$2:$F$29,3,0)</f>
        <v>5.67</v>
      </c>
      <c r="M165" s="33">
        <f t="shared" si="6"/>
        <v>17.009999999999998</v>
      </c>
      <c r="N165" s="34">
        <f t="array" ref="N165">INDEX('[1]COUT MOYEN - STOCK'!$G$2:$G$120,MATCH(A165,IF('[1]COUT MOYEN - STOCK'!$B$2:$B$120=G165,'[1]COUT MOYEN - STOCK'!$A$2:$A$120,""),0))</f>
        <v>2.9</v>
      </c>
      <c r="O165" s="35">
        <f t="shared" si="7"/>
        <v>49.328999999999994</v>
      </c>
      <c r="P165" s="36" t="str">
        <f t="shared" si="8"/>
        <v>Bousquet Route</v>
      </c>
      <c r="Q165" s="37" t="s">
        <v>14</v>
      </c>
    </row>
    <row r="166" spans="1:17" ht="16.5" hidden="1" thickTop="1">
      <c r="A166" s="29">
        <v>2013</v>
      </c>
      <c r="B166" s="29" t="s">
        <v>166</v>
      </c>
      <c r="C166" s="30" t="s">
        <v>47</v>
      </c>
      <c r="D166" s="24" t="str">
        <f t="array" ref="D166">INDEX([1]PARCELLAIRE!$C$2:$C$85,MATCH(A166,IF([1]PARCELLAIRE!$D$2:$D$85=E166,[1]PARCELLAIRE!$A$2:$A$85,""),0))</f>
        <v>PESCADOUX</v>
      </c>
      <c r="E166" s="29" t="s">
        <v>31</v>
      </c>
      <c r="F166" s="31">
        <v>41354</v>
      </c>
      <c r="G166" s="29" t="s">
        <v>61</v>
      </c>
      <c r="H166" s="32" t="s">
        <v>14</v>
      </c>
      <c r="I166" s="24" t="str">
        <f>VLOOKUP(G166,[1]ACHATS!$C:$E,3,0)</f>
        <v>L</v>
      </c>
      <c r="J166" s="24" t="str">
        <f>VLOOKUP(G166,[1]ACHATS!$C:$D,2,0)</f>
        <v>DESHERBANT</v>
      </c>
      <c r="K166" s="33">
        <v>0.9</v>
      </c>
      <c r="L166" s="33">
        <f>VLOOKUP(E166,[1]PARCELLAIRE!$D$2:$F$29,3,0)</f>
        <v>2.67</v>
      </c>
      <c r="M166" s="33">
        <f t="shared" si="6"/>
        <v>2.403</v>
      </c>
      <c r="N166" s="34">
        <f t="array" ref="N166">INDEX('[1]COUT MOYEN - STOCK'!$G$2:$G$120,MATCH(A166,IF('[1]COUT MOYEN - STOCK'!$B$2:$B$120=G166,'[1]COUT MOYEN - STOCK'!$A$2:$A$120,""),0))</f>
        <v>31</v>
      </c>
      <c r="O166" s="35">
        <f t="shared" si="7"/>
        <v>74.492999999999995</v>
      </c>
      <c r="P166" s="36" t="str">
        <f t="shared" si="8"/>
        <v>Lescandes</v>
      </c>
      <c r="Q166" s="37" t="s">
        <v>14</v>
      </c>
    </row>
    <row r="167" spans="1:17" ht="16.5" hidden="1" thickTop="1">
      <c r="A167" s="29">
        <v>2013</v>
      </c>
      <c r="B167" s="29" t="s">
        <v>166</v>
      </c>
      <c r="C167" s="30" t="s">
        <v>47</v>
      </c>
      <c r="D167" s="24" t="str">
        <f t="array" ref="D167">INDEX([1]PARCELLAIRE!$C$2:$C$85,MATCH(A167,IF([1]PARCELLAIRE!$D$2:$D$85=E167,[1]PARCELLAIRE!$A$2:$A$85,""),0))</f>
        <v>PESCADOUX</v>
      </c>
      <c r="E167" s="29" t="s">
        <v>32</v>
      </c>
      <c r="F167" s="31">
        <v>41354</v>
      </c>
      <c r="G167" s="29" t="s">
        <v>61</v>
      </c>
      <c r="H167" s="32" t="s">
        <v>14</v>
      </c>
      <c r="I167" s="24" t="str">
        <f>VLOOKUP(G167,[1]ACHATS!$C:$E,3,0)</f>
        <v>L</v>
      </c>
      <c r="J167" s="24" t="str">
        <f>VLOOKUP(G167,[1]ACHATS!$C:$D,2,0)</f>
        <v>DESHERBANT</v>
      </c>
      <c r="K167" s="33">
        <v>0.9</v>
      </c>
      <c r="L167" s="33">
        <f>VLOOKUP(E167,[1]PARCELLAIRE!$D$2:$F$29,3,0)</f>
        <v>16.440000000000001</v>
      </c>
      <c r="M167" s="33">
        <f t="shared" si="6"/>
        <v>14.796000000000001</v>
      </c>
      <c r="N167" s="34">
        <f t="array" ref="N167">INDEX('[1]COUT MOYEN - STOCK'!$G$2:$G$120,MATCH(A167,IF('[1]COUT MOYEN - STOCK'!$B$2:$B$120=G167,'[1]COUT MOYEN - STOCK'!$A$2:$A$120,""),0))</f>
        <v>31</v>
      </c>
      <c r="O167" s="35">
        <f t="shared" si="7"/>
        <v>458.67600000000004</v>
      </c>
      <c r="P167" s="36" t="str">
        <f t="shared" si="8"/>
        <v>Lescandes Côteau</v>
      </c>
      <c r="Q167" s="37" t="s">
        <v>14</v>
      </c>
    </row>
    <row r="168" spans="1:17" ht="16.5" hidden="1" thickTop="1">
      <c r="A168" s="29">
        <v>2013</v>
      </c>
      <c r="B168" s="29" t="s">
        <v>166</v>
      </c>
      <c r="C168" s="30" t="s">
        <v>43</v>
      </c>
      <c r="D168" s="24" t="str">
        <f t="array" ref="D168">INDEX([1]PARCELLAIRE!$C$2:$C$85,MATCH(A168,IF([1]PARCELLAIRE!$D$2:$D$85=E168,[1]PARCELLAIRE!$A$2:$A$85,""),0))</f>
        <v>SOLEIHO</v>
      </c>
      <c r="E168" s="29" t="s">
        <v>29</v>
      </c>
      <c r="F168" s="31">
        <v>41354</v>
      </c>
      <c r="G168" s="29" t="s">
        <v>61</v>
      </c>
      <c r="H168" s="32" t="s">
        <v>14</v>
      </c>
      <c r="I168" s="24" t="str">
        <f>VLOOKUP(G168,[1]ACHATS!$C:$E,3,0)</f>
        <v>L</v>
      </c>
      <c r="J168" s="24" t="str">
        <f>VLOOKUP(G168,[1]ACHATS!$C:$D,2,0)</f>
        <v>DESHERBANT</v>
      </c>
      <c r="K168" s="33">
        <v>0.9</v>
      </c>
      <c r="L168" s="33">
        <f>VLOOKUP(E168,[1]PARCELLAIRE!$D$2:$F$29,3,0)</f>
        <v>17.55</v>
      </c>
      <c r="M168" s="33">
        <f t="shared" si="6"/>
        <v>15.795000000000002</v>
      </c>
      <c r="N168" s="34">
        <f t="array" ref="N168">INDEX('[1]COUT MOYEN - STOCK'!$G$2:$G$120,MATCH(A168,IF('[1]COUT MOYEN - STOCK'!$B$2:$B$120=G168,'[1]COUT MOYEN - STOCK'!$A$2:$A$120,""),0))</f>
        <v>31</v>
      </c>
      <c r="O168" s="35">
        <f t="shared" si="7"/>
        <v>489.64500000000004</v>
      </c>
      <c r="P168" s="36" t="str">
        <f t="shared" si="8"/>
        <v>Labaou Plaine</v>
      </c>
      <c r="Q168" s="37" t="s">
        <v>14</v>
      </c>
    </row>
    <row r="169" spans="1:17" ht="16.5" hidden="1" thickTop="1">
      <c r="A169" s="29">
        <v>2013</v>
      </c>
      <c r="B169" s="29" t="s">
        <v>166</v>
      </c>
      <c r="C169" s="30" t="s">
        <v>47</v>
      </c>
      <c r="D169" s="24" t="str">
        <f t="array" ref="D169">INDEX([1]PARCELLAIRE!$C$2:$C$85,MATCH(A169,IF([1]PARCELLAIRE!$D$2:$D$85=E169,[1]PARCELLAIRE!$A$2:$A$85,""),0))</f>
        <v>SCULPTUR</v>
      </c>
      <c r="E169" s="29" t="s">
        <v>20</v>
      </c>
      <c r="F169" s="31">
        <v>41358</v>
      </c>
      <c r="G169" s="29" t="s">
        <v>63</v>
      </c>
      <c r="H169" s="32" t="s">
        <v>14</v>
      </c>
      <c r="I169" s="24" t="str">
        <f>VLOOKUP(G169,[1]ACHATS!$C:$E,3,0)</f>
        <v>g</v>
      </c>
      <c r="J169" s="24" t="str">
        <f>VLOOKUP(G169,[1]ACHATS!$C:$D,2,0)</f>
        <v>DESHERBANT</v>
      </c>
      <c r="K169" s="33">
        <v>18</v>
      </c>
      <c r="L169" s="33">
        <f>VLOOKUP(E169,[1]PARCELLAIRE!$D$2:$F$29,3,0)</f>
        <v>12.49</v>
      </c>
      <c r="M169" s="33">
        <f t="shared" si="6"/>
        <v>224.82</v>
      </c>
      <c r="N169" s="34">
        <f t="array" ref="N169">INDEX('[1]COUT MOYEN - STOCK'!$G$2:$G$120,MATCH(A169,IF('[1]COUT MOYEN - STOCK'!$B$2:$B$120=G169,'[1]COUT MOYEN - STOCK'!$A$2:$A$120,""),0))</f>
        <v>0.67</v>
      </c>
      <c r="O169" s="35">
        <f t="shared" si="7"/>
        <v>150.6294</v>
      </c>
      <c r="P169" s="36" t="str">
        <f t="shared" si="8"/>
        <v>Engleyse Bousquet</v>
      </c>
      <c r="Q169" s="37" t="s">
        <v>14</v>
      </c>
    </row>
    <row r="170" spans="1:17" ht="16.5" hidden="1" thickTop="1">
      <c r="A170" s="29">
        <v>2013</v>
      </c>
      <c r="B170" s="29" t="s">
        <v>166</v>
      </c>
      <c r="C170" s="30" t="s">
        <v>47</v>
      </c>
      <c r="D170" s="24" t="str">
        <f t="array" ref="D170">INDEX([1]PARCELLAIRE!$C$2:$C$85,MATCH(A170,IF([1]PARCELLAIRE!$D$2:$D$85=E170,[1]PARCELLAIRE!$A$2:$A$85,""),0))</f>
        <v>SCULPTUR</v>
      </c>
      <c r="E170" s="29" t="s">
        <v>20</v>
      </c>
      <c r="F170" s="31">
        <v>41358</v>
      </c>
      <c r="G170" s="29" t="s">
        <v>65</v>
      </c>
      <c r="H170" s="32" t="s">
        <v>14</v>
      </c>
      <c r="I170" s="24" t="str">
        <f>VLOOKUP(G170,[1]ACHATS!$C:$E,3,0)</f>
        <v>L</v>
      </c>
      <c r="J170" s="24" t="str">
        <f>VLOOKUP(G170,[1]ACHATS!$C:$D,2,0)</f>
        <v>DESHERBANT</v>
      </c>
      <c r="K170" s="33">
        <v>0.9</v>
      </c>
      <c r="L170" s="33">
        <f>VLOOKUP(E170,[1]PARCELLAIRE!$D$2:$F$29,3,0)</f>
        <v>12.49</v>
      </c>
      <c r="M170" s="33">
        <f t="shared" si="6"/>
        <v>11.241</v>
      </c>
      <c r="N170" s="34">
        <f t="array" ref="N170">INDEX('[1]COUT MOYEN - STOCK'!$G$2:$G$120,MATCH(A170,IF('[1]COUT MOYEN - STOCK'!$B$2:$B$120=G170,'[1]COUT MOYEN - STOCK'!$A$2:$A$120,""),0))</f>
        <v>31</v>
      </c>
      <c r="O170" s="35">
        <f t="shared" si="7"/>
        <v>348.471</v>
      </c>
      <c r="P170" s="36" t="str">
        <f t="shared" si="8"/>
        <v>Engleyse Bousquet</v>
      </c>
      <c r="Q170" s="37" t="s">
        <v>14</v>
      </c>
    </row>
    <row r="171" spans="1:17" ht="16.5" hidden="1" thickTop="1">
      <c r="A171" s="29">
        <v>2013</v>
      </c>
      <c r="B171" s="29" t="s">
        <v>166</v>
      </c>
      <c r="C171" s="30" t="s">
        <v>47</v>
      </c>
      <c r="D171" s="24" t="str">
        <f t="array" ref="D171">INDEX([1]PARCELLAIRE!$C$2:$C$85,MATCH(A171,IF([1]PARCELLAIRE!$D$2:$D$85=E171,[1]PARCELLAIRE!$A$2:$A$85,""),0))</f>
        <v>PESCADOUX</v>
      </c>
      <c r="E171" s="29" t="s">
        <v>17</v>
      </c>
      <c r="F171" s="31">
        <v>41358</v>
      </c>
      <c r="G171" s="29" t="s">
        <v>65</v>
      </c>
      <c r="H171" s="32" t="s">
        <v>14</v>
      </c>
      <c r="I171" s="24" t="str">
        <f>VLOOKUP(G171,[1]ACHATS!$C:$E,3,0)</f>
        <v>L</v>
      </c>
      <c r="J171" s="24" t="str">
        <f>VLOOKUP(G171,[1]ACHATS!$C:$D,2,0)</f>
        <v>DESHERBANT</v>
      </c>
      <c r="K171" s="33">
        <v>0.9</v>
      </c>
      <c r="L171" s="33">
        <f>VLOOKUP(E171,[1]PARCELLAIRE!$D$2:$F$29,3,0)</f>
        <v>5.27</v>
      </c>
      <c r="M171" s="33">
        <f t="shared" si="6"/>
        <v>4.7429999999999994</v>
      </c>
      <c r="N171" s="34">
        <f t="array" ref="N171">INDEX('[1]COUT MOYEN - STOCK'!$G$2:$G$120,MATCH(A171,IF('[1]COUT MOYEN - STOCK'!$B$2:$B$120=G171,'[1]COUT MOYEN - STOCK'!$A$2:$A$120,""),0))</f>
        <v>31</v>
      </c>
      <c r="O171" s="35">
        <f t="shared" si="7"/>
        <v>147.03299999999999</v>
      </c>
      <c r="P171" s="36" t="str">
        <f t="shared" si="8"/>
        <v>Bousquet Château</v>
      </c>
      <c r="Q171" s="37" t="s">
        <v>14</v>
      </c>
    </row>
    <row r="172" spans="1:17" ht="16.5" hidden="1" thickTop="1">
      <c r="A172" s="29">
        <v>2013</v>
      </c>
      <c r="B172" s="29" t="s">
        <v>166</v>
      </c>
      <c r="C172" s="30" t="s">
        <v>43</v>
      </c>
      <c r="D172" s="24" t="str">
        <f t="array" ref="D172">INDEX([1]PARCELLAIRE!$C$2:$C$85,MATCH(A172,IF([1]PARCELLAIRE!$D$2:$D$85=E172,[1]PARCELLAIRE!$A$2:$A$85,""),0))</f>
        <v>SOLEIHO</v>
      </c>
      <c r="E172" s="29" t="s">
        <v>29</v>
      </c>
      <c r="F172" s="31">
        <v>41358</v>
      </c>
      <c r="G172" s="29" t="s">
        <v>66</v>
      </c>
      <c r="H172" s="32" t="s">
        <v>14</v>
      </c>
      <c r="I172" s="24" t="str">
        <f>VLOOKUP(G172,[1]ACHATS!$C:$E,3,0)</f>
        <v>L</v>
      </c>
      <c r="J172" s="24" t="str">
        <f>VLOOKUP(G172,[1]ACHATS!$C:$D,2,0)</f>
        <v>DESHERBANT</v>
      </c>
      <c r="K172" s="33">
        <v>5.7000000000000002E-2</v>
      </c>
      <c r="L172" s="33">
        <f>VLOOKUP(E172,[1]PARCELLAIRE!$D$2:$F$29,3,0)</f>
        <v>17.55</v>
      </c>
      <c r="M172" s="33">
        <f t="shared" si="6"/>
        <v>1.0003500000000001</v>
      </c>
      <c r="N172" s="34">
        <f t="array" ref="N172">INDEX('[1]COUT MOYEN - STOCK'!$G$2:$G$120,MATCH(A172,IF('[1]COUT MOYEN - STOCK'!$B$2:$B$120=G172,'[1]COUT MOYEN - STOCK'!$A$2:$A$120,""),0))</f>
        <v>320</v>
      </c>
      <c r="O172" s="35">
        <f t="shared" si="7"/>
        <v>320.11200000000002</v>
      </c>
      <c r="P172" s="36" t="str">
        <f t="shared" si="8"/>
        <v>Labaou Plaine</v>
      </c>
      <c r="Q172" s="37" t="s">
        <v>14</v>
      </c>
    </row>
    <row r="173" spans="1:17" ht="16.5" hidden="1" thickTop="1">
      <c r="A173" s="29">
        <v>2013</v>
      </c>
      <c r="B173" s="29" t="s">
        <v>166</v>
      </c>
      <c r="C173" s="30" t="s">
        <v>43</v>
      </c>
      <c r="D173" s="24" t="str">
        <f t="array" ref="D173">INDEX([1]PARCELLAIRE!$C$2:$C$85,MATCH(A173,IF([1]PARCELLAIRE!$D$2:$D$85=E173,[1]PARCELLAIRE!$A$2:$A$85,""),0))</f>
        <v>SOLEIHO</v>
      </c>
      <c r="E173" s="29" t="s">
        <v>29</v>
      </c>
      <c r="F173" s="31">
        <v>41358</v>
      </c>
      <c r="G173" s="29" t="s">
        <v>67</v>
      </c>
      <c r="H173" s="32" t="s">
        <v>14</v>
      </c>
      <c r="I173" s="24" t="str">
        <f>VLOOKUP(G173,[1]ACHATS!$C:$E,3,0)</f>
        <v>L</v>
      </c>
      <c r="J173" s="24" t="str">
        <f>VLOOKUP(G173,[1]ACHATS!$C:$D,2,0)</f>
        <v>DESHERBANT</v>
      </c>
      <c r="K173" s="33">
        <v>68.38</v>
      </c>
      <c r="L173" s="33">
        <f>VLOOKUP(E173,[1]PARCELLAIRE!$D$2:$F$29,3,0)</f>
        <v>17.55</v>
      </c>
      <c r="M173" s="33">
        <f t="shared" si="6"/>
        <v>1200.069</v>
      </c>
      <c r="N173" s="34">
        <f t="array" ref="N173">INDEX('[1]COUT MOYEN - STOCK'!$G$2:$G$120,MATCH(A173,IF('[1]COUT MOYEN - STOCK'!$B$2:$B$120=G173,'[1]COUT MOYEN - STOCK'!$A$2:$A$120,""),0))</f>
        <v>0.33416666666666667</v>
      </c>
      <c r="O173" s="35">
        <f t="shared" si="7"/>
        <v>401.02305749999999</v>
      </c>
      <c r="P173" s="36" t="str">
        <f t="shared" si="8"/>
        <v>Labaou Plaine</v>
      </c>
      <c r="Q173" s="37" t="s">
        <v>14</v>
      </c>
    </row>
    <row r="174" spans="1:17" ht="16.5" hidden="1" thickTop="1">
      <c r="A174" s="29">
        <v>2013</v>
      </c>
      <c r="B174" s="29" t="s">
        <v>166</v>
      </c>
      <c r="C174" s="30" t="s">
        <v>39</v>
      </c>
      <c r="D174" s="24" t="str">
        <f t="array" ref="D174">INDEX([1]PARCELLAIRE!$C$2:$C$85,MATCH(A174,IF([1]PARCELLAIRE!$D$2:$D$85=E174,[1]PARCELLAIRE!$A$2:$A$85,""),0))</f>
        <v>MAS 95 OL</v>
      </c>
      <c r="E174" s="29" t="s">
        <v>26</v>
      </c>
      <c r="F174" s="31">
        <v>41375</v>
      </c>
      <c r="G174" s="29" t="s">
        <v>45</v>
      </c>
      <c r="H174" s="32" t="s">
        <v>14</v>
      </c>
      <c r="I174" s="24" t="str">
        <f>VLOOKUP(G174,[1]ACHATS!$C:$E,3,0)</f>
        <v>L</v>
      </c>
      <c r="J174" s="24" t="str">
        <f>VLOOKUP(G174,[1]ACHATS!$C:$D,2,0)</f>
        <v>DIVERS</v>
      </c>
      <c r="K174" s="33">
        <v>0.5</v>
      </c>
      <c r="L174" s="33">
        <f>VLOOKUP(E174,[1]PARCELLAIRE!$D$2:$F$29,3,0)</f>
        <v>5.26</v>
      </c>
      <c r="M174" s="33">
        <f t="shared" si="6"/>
        <v>2.63</v>
      </c>
      <c r="N174" s="34">
        <f t="array" ref="N174">INDEX('[1]COUT MOYEN - STOCK'!$G$2:$G$120,MATCH(A174,IF('[1]COUT MOYEN - STOCK'!$B$2:$B$120=G174,'[1]COUT MOYEN - STOCK'!$A$2:$A$120,""),0))</f>
        <v>11.01</v>
      </c>
      <c r="O174" s="35">
        <f t="shared" si="7"/>
        <v>28.956299999999999</v>
      </c>
      <c r="P174" s="36" t="str">
        <f t="shared" si="8"/>
        <v>L'Aule métairie</v>
      </c>
      <c r="Q174" s="37" t="s">
        <v>14</v>
      </c>
    </row>
    <row r="175" spans="1:17" ht="16.5" hidden="1" thickTop="1">
      <c r="A175" s="29">
        <v>2013</v>
      </c>
      <c r="B175" s="29" t="s">
        <v>166</v>
      </c>
      <c r="C175" s="30" t="s">
        <v>39</v>
      </c>
      <c r="D175" s="24" t="str">
        <f t="array" ref="D175">INDEX([1]PARCELLAIRE!$C$2:$C$85,MATCH(A175,IF([1]PARCELLAIRE!$D$2:$D$85=E175,[1]PARCELLAIRE!$A$2:$A$85,""),0))</f>
        <v>MAS 95 OL</v>
      </c>
      <c r="E175" s="29" t="s">
        <v>27</v>
      </c>
      <c r="F175" s="31">
        <v>41375</v>
      </c>
      <c r="G175" s="29" t="s">
        <v>45</v>
      </c>
      <c r="H175" s="32" t="s">
        <v>14</v>
      </c>
      <c r="I175" s="24" t="str">
        <f>VLOOKUP(G175,[1]ACHATS!$C:$E,3,0)</f>
        <v>L</v>
      </c>
      <c r="J175" s="24" t="str">
        <f>VLOOKUP(G175,[1]ACHATS!$C:$D,2,0)</f>
        <v>DIVERS</v>
      </c>
      <c r="K175" s="33">
        <v>0.5</v>
      </c>
      <c r="L175" s="33">
        <f>VLOOKUP(E175,[1]PARCELLAIRE!$D$2:$F$29,3,0)</f>
        <v>15.64</v>
      </c>
      <c r="M175" s="33">
        <f t="shared" si="6"/>
        <v>7.82</v>
      </c>
      <c r="N175" s="34">
        <f t="array" ref="N175">INDEX('[1]COUT MOYEN - STOCK'!$G$2:$G$120,MATCH(A175,IF('[1]COUT MOYEN - STOCK'!$B$2:$B$120=G175,'[1]COUT MOYEN - STOCK'!$A$2:$A$120,""),0))</f>
        <v>11.01</v>
      </c>
      <c r="O175" s="35">
        <f t="shared" si="7"/>
        <v>86.098200000000006</v>
      </c>
      <c r="P175" s="36" t="str">
        <f t="shared" si="8"/>
        <v>L'Aule Plaine</v>
      </c>
      <c r="Q175" s="37" t="s">
        <v>14</v>
      </c>
    </row>
    <row r="176" spans="1:17" ht="16.5" hidden="1" thickTop="1">
      <c r="A176" s="29">
        <v>2013</v>
      </c>
      <c r="B176" s="29" t="s">
        <v>166</v>
      </c>
      <c r="C176" s="30" t="s">
        <v>39</v>
      </c>
      <c r="D176" s="24" t="str">
        <f t="array" ref="D176">INDEX([1]PARCELLAIRE!$C$2:$C$85,MATCH(A176,IF([1]PARCELLAIRE!$D$2:$D$85=E176,[1]PARCELLAIRE!$A$2:$A$85,""),0))</f>
        <v>MAS 95 OL</v>
      </c>
      <c r="E176" s="29" t="s">
        <v>27</v>
      </c>
      <c r="F176" s="31">
        <v>41375</v>
      </c>
      <c r="G176" s="29" t="s">
        <v>44</v>
      </c>
      <c r="H176" s="32" t="s">
        <v>14</v>
      </c>
      <c r="I176" s="24" t="str">
        <f>VLOOKUP(G176,[1]ACHATS!$C:$E,3,0)</f>
        <v>L</v>
      </c>
      <c r="J176" s="24" t="str">
        <f>VLOOKUP(G176,[1]ACHATS!$C:$D,2,0)</f>
        <v>DESHERBANT</v>
      </c>
      <c r="K176" s="33">
        <v>2.0099999999999998</v>
      </c>
      <c r="L176" s="33">
        <f>VLOOKUP(E176,[1]PARCELLAIRE!$D$2:$F$29,3,0)</f>
        <v>15.64</v>
      </c>
      <c r="M176" s="33">
        <f t="shared" si="6"/>
        <v>31.436399999999999</v>
      </c>
      <c r="N176" s="34">
        <f t="array" ref="N176">INDEX('[1]COUT MOYEN - STOCK'!$G$2:$G$120,MATCH(A176,IF('[1]COUT MOYEN - STOCK'!$B$2:$B$120=G176,'[1]COUT MOYEN - STOCK'!$A$2:$A$120,""),0))</f>
        <v>4.9381521739130436</v>
      </c>
      <c r="O176" s="35">
        <f t="shared" si="7"/>
        <v>155.23772700000001</v>
      </c>
      <c r="P176" s="36" t="str">
        <f t="shared" si="8"/>
        <v>L'Aule Plaine</v>
      </c>
      <c r="Q176" s="37" t="s">
        <v>14</v>
      </c>
    </row>
    <row r="177" spans="1:17" ht="16.5" hidden="1" thickTop="1">
      <c r="A177" s="29">
        <v>2013</v>
      </c>
      <c r="B177" s="29" t="s">
        <v>166</v>
      </c>
      <c r="C177" s="30" t="s">
        <v>39</v>
      </c>
      <c r="D177" s="24" t="str">
        <f t="array" ref="D177">INDEX([1]PARCELLAIRE!$C$2:$C$85,MATCH(A177,IF([1]PARCELLAIRE!$D$2:$D$85=E177,[1]PARCELLAIRE!$A$2:$A$85,""),0))</f>
        <v>MAS 95 OL</v>
      </c>
      <c r="E177" s="29" t="s">
        <v>26</v>
      </c>
      <c r="F177" s="31">
        <v>41375</v>
      </c>
      <c r="G177" s="29" t="s">
        <v>44</v>
      </c>
      <c r="H177" s="32" t="s">
        <v>14</v>
      </c>
      <c r="I177" s="24" t="str">
        <f>VLOOKUP(G177,[1]ACHATS!$C:$E,3,0)</f>
        <v>L</v>
      </c>
      <c r="J177" s="24" t="str">
        <f>VLOOKUP(G177,[1]ACHATS!$C:$D,2,0)</f>
        <v>DESHERBANT</v>
      </c>
      <c r="K177" s="33">
        <v>2.0099999999999998</v>
      </c>
      <c r="L177" s="33">
        <f>VLOOKUP(E177,[1]PARCELLAIRE!$D$2:$F$29,3,0)</f>
        <v>5.26</v>
      </c>
      <c r="M177" s="33">
        <f t="shared" si="6"/>
        <v>10.572599999999998</v>
      </c>
      <c r="N177" s="34">
        <f t="array" ref="N177">INDEX('[1]COUT MOYEN - STOCK'!$G$2:$G$120,MATCH(A177,IF('[1]COUT MOYEN - STOCK'!$B$2:$B$120=G177,'[1]COUT MOYEN - STOCK'!$A$2:$A$120,""),0))</f>
        <v>4.9381521739130436</v>
      </c>
      <c r="O177" s="35">
        <f t="shared" si="7"/>
        <v>52.209107673913032</v>
      </c>
      <c r="P177" s="36" t="str">
        <f t="shared" si="8"/>
        <v>L'Aule métairie</v>
      </c>
      <c r="Q177" s="37" t="s">
        <v>14</v>
      </c>
    </row>
    <row r="178" spans="1:17" ht="16.5" hidden="1" thickTop="1">
      <c r="A178" s="29">
        <v>2013</v>
      </c>
      <c r="B178" s="29" t="s">
        <v>166</v>
      </c>
      <c r="C178" s="30" t="s">
        <v>39</v>
      </c>
      <c r="D178" s="24" t="str">
        <f t="array" ref="D178">INDEX([1]PARCELLAIRE!$C$2:$C$85,MATCH(A178,IF([1]PARCELLAIRE!$D$2:$D$85=E178,[1]PARCELLAIRE!$A$2:$A$85,""),0))</f>
        <v>MAS 95 OL</v>
      </c>
      <c r="E178" s="29" t="s">
        <v>26</v>
      </c>
      <c r="F178" s="31">
        <v>41375</v>
      </c>
      <c r="G178" s="29" t="s">
        <v>68</v>
      </c>
      <c r="H178" s="32" t="s">
        <v>14</v>
      </c>
      <c r="I178" s="24" t="str">
        <f>VLOOKUP(G178,[1]ACHATS!$C:$E,3,0)</f>
        <v>L</v>
      </c>
      <c r="J178" s="24" t="str">
        <f>VLOOKUP(G178,[1]ACHATS!$C:$D,2,0)</f>
        <v>DIVERS</v>
      </c>
      <c r="K178" s="33">
        <v>0.03</v>
      </c>
      <c r="L178" s="33">
        <f>VLOOKUP(E178,[1]PARCELLAIRE!$D$2:$F$29,3,0)</f>
        <v>5.26</v>
      </c>
      <c r="M178" s="33">
        <f t="shared" si="6"/>
        <v>0.1578</v>
      </c>
      <c r="N178" s="34">
        <f t="array" ref="N178">INDEX('[1]COUT MOYEN - STOCK'!$G$2:$G$120,MATCH(A178,IF('[1]COUT MOYEN - STOCK'!$B$2:$B$120=G178,'[1]COUT MOYEN - STOCK'!$A$2:$A$120,""),0))</f>
        <v>0.88121212121212111</v>
      </c>
      <c r="O178" s="35">
        <f t="shared" si="7"/>
        <v>0.13905527272727272</v>
      </c>
      <c r="P178" s="36" t="str">
        <f t="shared" si="8"/>
        <v>L'Aule métairie</v>
      </c>
      <c r="Q178" s="37" t="s">
        <v>14</v>
      </c>
    </row>
    <row r="179" spans="1:17" ht="16.5" hidden="1" thickTop="1">
      <c r="A179" s="29">
        <v>2013</v>
      </c>
      <c r="B179" s="29" t="s">
        <v>166</v>
      </c>
      <c r="C179" s="30" t="s">
        <v>39</v>
      </c>
      <c r="D179" s="24" t="str">
        <f t="array" ref="D179">INDEX([1]PARCELLAIRE!$C$2:$C$85,MATCH(A179,IF([1]PARCELLAIRE!$D$2:$D$85=E179,[1]PARCELLAIRE!$A$2:$A$85,""),0))</f>
        <v>MAS 95 OL</v>
      </c>
      <c r="E179" s="29" t="s">
        <v>27</v>
      </c>
      <c r="F179" s="31">
        <v>41375</v>
      </c>
      <c r="G179" s="29" t="s">
        <v>68</v>
      </c>
      <c r="H179" s="32" t="s">
        <v>14</v>
      </c>
      <c r="I179" s="24" t="str">
        <f>VLOOKUP(G179,[1]ACHATS!$C:$E,3,0)</f>
        <v>L</v>
      </c>
      <c r="J179" s="24" t="str">
        <f>VLOOKUP(G179,[1]ACHATS!$C:$D,2,0)</f>
        <v>DIVERS</v>
      </c>
      <c r="K179" s="33">
        <v>0.03</v>
      </c>
      <c r="L179" s="33">
        <f>VLOOKUP(E179,[1]PARCELLAIRE!$D$2:$F$29,3,0)</f>
        <v>15.64</v>
      </c>
      <c r="M179" s="33">
        <f t="shared" si="6"/>
        <v>0.46920000000000001</v>
      </c>
      <c r="N179" s="34">
        <f t="array" ref="N179">INDEX('[1]COUT MOYEN - STOCK'!$G$2:$G$120,MATCH(A179,IF('[1]COUT MOYEN - STOCK'!$B$2:$B$120=G179,'[1]COUT MOYEN - STOCK'!$A$2:$A$120,""),0))</f>
        <v>0.88121212121212111</v>
      </c>
      <c r="O179" s="35">
        <f t="shared" si="7"/>
        <v>0.41346472727272721</v>
      </c>
      <c r="P179" s="36" t="str">
        <f t="shared" si="8"/>
        <v>L'Aule Plaine</v>
      </c>
      <c r="Q179" s="37" t="s">
        <v>14</v>
      </c>
    </row>
    <row r="180" spans="1:17" ht="16.5" hidden="1" thickTop="1">
      <c r="A180" s="29">
        <v>2013</v>
      </c>
      <c r="B180" s="29" t="s">
        <v>166</v>
      </c>
      <c r="C180" s="30" t="s">
        <v>47</v>
      </c>
      <c r="D180" s="24" t="str">
        <f t="array" ref="D180">INDEX([1]PARCELLAIRE!$C$2:$C$85,MATCH(A180,IF([1]PARCELLAIRE!$D$2:$D$85=E180,[1]PARCELLAIRE!$A$2:$A$85,""),0))</f>
        <v>MIRADOUX</v>
      </c>
      <c r="E180" s="29" t="s">
        <v>24</v>
      </c>
      <c r="F180" s="31">
        <v>41379</v>
      </c>
      <c r="G180" s="29" t="s">
        <v>69</v>
      </c>
      <c r="H180" s="32" t="s">
        <v>14</v>
      </c>
      <c r="I180" s="24" t="str">
        <f>VLOOKUP(G180,[1]ACHATS!$C:$E,3,0)</f>
        <v>Kg</v>
      </c>
      <c r="J180" s="24" t="str">
        <f>VLOOKUP(G180,[1]ACHATS!$C:$D,2,0)</f>
        <v>FONGICIDES</v>
      </c>
      <c r="K180" s="33">
        <v>0.6</v>
      </c>
      <c r="L180" s="33">
        <f>VLOOKUP(E180,[1]PARCELLAIRE!$D$2:$F$29,3,0)</f>
        <v>1.34</v>
      </c>
      <c r="M180" s="33">
        <f t="shared" si="6"/>
        <v>0.80400000000000005</v>
      </c>
      <c r="N180" s="34">
        <f t="array" ref="N180">INDEX('[1]COUT MOYEN - STOCK'!$G$2:$G$120,MATCH(A180,IF('[1]COUT MOYEN - STOCK'!$B$2:$B$120=G180,'[1]COUT MOYEN - STOCK'!$A$2:$A$120,""),0))</f>
        <v>30.91</v>
      </c>
      <c r="O180" s="35">
        <f t="shared" si="7"/>
        <v>24.851640000000003</v>
      </c>
      <c r="P180" s="36" t="str">
        <f t="shared" si="8"/>
        <v>Escarcelou Jachère</v>
      </c>
      <c r="Q180" s="37" t="s">
        <v>14</v>
      </c>
    </row>
    <row r="181" spans="1:17" ht="16.5" hidden="1" thickTop="1">
      <c r="A181" s="29">
        <v>2013</v>
      </c>
      <c r="B181" s="29" t="s">
        <v>166</v>
      </c>
      <c r="C181" s="30" t="s">
        <v>47</v>
      </c>
      <c r="D181" s="24" t="str">
        <f t="array" ref="D181">INDEX([1]PARCELLAIRE!$C$2:$C$85,MATCH(A181,IF([1]PARCELLAIRE!$D$2:$D$85=E181,[1]PARCELLAIRE!$A$2:$A$85,""),0))</f>
        <v>MIRADOUX</v>
      </c>
      <c r="E181" s="29" t="s">
        <v>24</v>
      </c>
      <c r="F181" s="31">
        <v>41379</v>
      </c>
      <c r="G181" s="29" t="s">
        <v>70</v>
      </c>
      <c r="H181" s="32" t="s">
        <v>14</v>
      </c>
      <c r="I181" s="24" t="str">
        <f>VLOOKUP(G181,[1]ACHATS!$C:$E,3,0)</f>
        <v>Kg</v>
      </c>
      <c r="J181" s="24" t="str">
        <f>VLOOKUP(G181,[1]ACHATS!$C:$D,2,0)</f>
        <v>FONGICIDES</v>
      </c>
      <c r="K181" s="33">
        <v>0.7</v>
      </c>
      <c r="L181" s="33">
        <f>VLOOKUP(E181,[1]PARCELLAIRE!$D$2:$F$29,3,0)</f>
        <v>1.34</v>
      </c>
      <c r="M181" s="33">
        <f t="shared" si="6"/>
        <v>0.93799999999999994</v>
      </c>
      <c r="N181" s="34">
        <f t="array" ref="N181">INDEX('[1]COUT MOYEN - STOCK'!$G$2:$G$120,MATCH(A181,IF('[1]COUT MOYEN - STOCK'!$B$2:$B$120=G181,'[1]COUT MOYEN - STOCK'!$A$2:$A$120,""),0))</f>
        <v>9</v>
      </c>
      <c r="O181" s="35">
        <f t="shared" si="7"/>
        <v>8.4420000000000002</v>
      </c>
      <c r="P181" s="36" t="str">
        <f t="shared" si="8"/>
        <v>Escarcelou Jachère</v>
      </c>
      <c r="Q181" s="37" t="s">
        <v>14</v>
      </c>
    </row>
    <row r="182" spans="1:17" ht="16.5" hidden="1" thickTop="1">
      <c r="A182" s="29">
        <v>2013</v>
      </c>
      <c r="B182" s="29" t="s">
        <v>166</v>
      </c>
      <c r="C182" s="30" t="s">
        <v>47</v>
      </c>
      <c r="D182" s="24" t="str">
        <f t="array" ref="D182">INDEX([1]PARCELLAIRE!$C$2:$C$85,MATCH(A182,IF([1]PARCELLAIRE!$D$2:$D$85=E182,[1]PARCELLAIRE!$A$2:$A$85,""),0))</f>
        <v>PESCADOUX</v>
      </c>
      <c r="E182" s="29" t="s">
        <v>17</v>
      </c>
      <c r="F182" s="31">
        <v>41379</v>
      </c>
      <c r="G182" s="29" t="s">
        <v>45</v>
      </c>
      <c r="H182" s="32" t="s">
        <v>14</v>
      </c>
      <c r="I182" s="24" t="str">
        <f>VLOOKUP(G182,[1]ACHATS!$C:$E,3,0)</f>
        <v>L</v>
      </c>
      <c r="J182" s="24" t="str">
        <f>VLOOKUP(G182,[1]ACHATS!$C:$D,2,0)</f>
        <v>DIVERS</v>
      </c>
      <c r="K182" s="33">
        <v>0.2</v>
      </c>
      <c r="L182" s="33">
        <f>VLOOKUP(E182,[1]PARCELLAIRE!$D$2:$F$29,3,0)</f>
        <v>5.27</v>
      </c>
      <c r="M182" s="33">
        <f t="shared" si="6"/>
        <v>1.054</v>
      </c>
      <c r="N182" s="34">
        <f t="array" ref="N182">INDEX('[1]COUT MOYEN - STOCK'!$G$2:$G$120,MATCH(A182,IF('[1]COUT MOYEN - STOCK'!$B$2:$B$120=G182,'[1]COUT MOYEN - STOCK'!$A$2:$A$120,""),0))</f>
        <v>11.01</v>
      </c>
      <c r="O182" s="35">
        <f t="shared" si="7"/>
        <v>11.60454</v>
      </c>
      <c r="P182" s="36" t="str">
        <f t="shared" si="8"/>
        <v>Bousquet Château</v>
      </c>
      <c r="Q182" s="37" t="s">
        <v>14</v>
      </c>
    </row>
    <row r="183" spans="1:17" ht="16.5" hidden="1" thickTop="1">
      <c r="A183" s="29">
        <v>2013</v>
      </c>
      <c r="B183" s="29" t="s">
        <v>166</v>
      </c>
      <c r="C183" s="30" t="s">
        <v>47</v>
      </c>
      <c r="D183" s="24" t="str">
        <f t="array" ref="D183">INDEX([1]PARCELLAIRE!$C$2:$C$85,MATCH(A183,IF([1]PARCELLAIRE!$D$2:$D$85=E183,[1]PARCELLAIRE!$A$2:$A$85,""),0))</f>
        <v>PESCADOUX</v>
      </c>
      <c r="E183" s="29" t="s">
        <v>17</v>
      </c>
      <c r="F183" s="31">
        <v>41379</v>
      </c>
      <c r="G183" s="29" t="s">
        <v>69</v>
      </c>
      <c r="H183" s="32" t="s">
        <v>14</v>
      </c>
      <c r="I183" s="24" t="str">
        <f>VLOOKUP(G183,[1]ACHATS!$C:$E,3,0)</f>
        <v>Kg</v>
      </c>
      <c r="J183" s="24" t="str">
        <f>VLOOKUP(G183,[1]ACHATS!$C:$D,2,0)</f>
        <v>FONGICIDES</v>
      </c>
      <c r="K183" s="33">
        <v>0.6</v>
      </c>
      <c r="L183" s="33">
        <f>VLOOKUP(E183,[1]PARCELLAIRE!$D$2:$F$29,3,0)</f>
        <v>5.27</v>
      </c>
      <c r="M183" s="33">
        <f t="shared" si="6"/>
        <v>3.1619999999999995</v>
      </c>
      <c r="N183" s="34">
        <f t="array" ref="N183">INDEX('[1]COUT MOYEN - STOCK'!$G$2:$G$120,MATCH(A183,IF('[1]COUT MOYEN - STOCK'!$B$2:$B$120=G183,'[1]COUT MOYEN - STOCK'!$A$2:$A$120,""),0))</f>
        <v>30.91</v>
      </c>
      <c r="O183" s="35">
        <f t="shared" si="7"/>
        <v>97.737419999999986</v>
      </c>
      <c r="P183" s="36" t="str">
        <f t="shared" si="8"/>
        <v>Bousquet Château</v>
      </c>
      <c r="Q183" s="37" t="s">
        <v>14</v>
      </c>
    </row>
    <row r="184" spans="1:17" ht="16.5" hidden="1" thickTop="1">
      <c r="A184" s="29">
        <v>2013</v>
      </c>
      <c r="B184" s="29" t="s">
        <v>166</v>
      </c>
      <c r="C184" s="30" t="s">
        <v>47</v>
      </c>
      <c r="D184" s="24" t="str">
        <f t="array" ref="D184">INDEX([1]PARCELLAIRE!$C$2:$C$85,MATCH(A184,IF([1]PARCELLAIRE!$D$2:$D$85=E184,[1]PARCELLAIRE!$A$2:$A$85,""),0))</f>
        <v>MIRADOUX</v>
      </c>
      <c r="E184" s="29" t="s">
        <v>19</v>
      </c>
      <c r="F184" s="31">
        <v>41379</v>
      </c>
      <c r="G184" s="29" t="s">
        <v>69</v>
      </c>
      <c r="H184" s="32" t="s">
        <v>14</v>
      </c>
      <c r="I184" s="24" t="str">
        <f>VLOOKUP(G184,[1]ACHATS!$C:$E,3,0)</f>
        <v>Kg</v>
      </c>
      <c r="J184" s="24" t="str">
        <f>VLOOKUP(G184,[1]ACHATS!$C:$D,2,0)</f>
        <v>FONGICIDES</v>
      </c>
      <c r="K184" s="33">
        <v>0.6</v>
      </c>
      <c r="L184" s="33">
        <f>VLOOKUP(E184,[1]PARCELLAIRE!$D$2:$F$29,3,0)</f>
        <v>5.67</v>
      </c>
      <c r="M184" s="33">
        <f t="shared" si="6"/>
        <v>3.4019999999999997</v>
      </c>
      <c r="N184" s="34">
        <f t="array" ref="N184">INDEX('[1]COUT MOYEN - STOCK'!$G$2:$G$120,MATCH(A184,IF('[1]COUT MOYEN - STOCK'!$B$2:$B$120=G184,'[1]COUT MOYEN - STOCK'!$A$2:$A$120,""),0))</f>
        <v>30.91</v>
      </c>
      <c r="O184" s="35">
        <f t="shared" si="7"/>
        <v>105.15581999999999</v>
      </c>
      <c r="P184" s="36" t="str">
        <f t="shared" si="8"/>
        <v>Bousquet Route</v>
      </c>
      <c r="Q184" s="37" t="s">
        <v>14</v>
      </c>
    </row>
    <row r="185" spans="1:17" ht="16.5" hidden="1" thickTop="1">
      <c r="A185" s="29">
        <v>2013</v>
      </c>
      <c r="B185" s="29" t="s">
        <v>166</v>
      </c>
      <c r="C185" s="30" t="s">
        <v>47</v>
      </c>
      <c r="D185" s="24" t="str">
        <f t="array" ref="D185">INDEX([1]PARCELLAIRE!$C$2:$C$85,MATCH(A185,IF([1]PARCELLAIRE!$D$2:$D$85=E185,[1]PARCELLAIRE!$A$2:$A$85,""),0))</f>
        <v>MIRADOUX</v>
      </c>
      <c r="E185" s="29" t="s">
        <v>23</v>
      </c>
      <c r="F185" s="31">
        <v>41379</v>
      </c>
      <c r="G185" s="29" t="s">
        <v>69</v>
      </c>
      <c r="H185" s="32" t="s">
        <v>14</v>
      </c>
      <c r="I185" s="24" t="str">
        <f>VLOOKUP(G185,[1]ACHATS!$C:$E,3,0)</f>
        <v>Kg</v>
      </c>
      <c r="J185" s="24" t="str">
        <f>VLOOKUP(G185,[1]ACHATS!$C:$D,2,0)</f>
        <v>FONGICIDES</v>
      </c>
      <c r="K185" s="33">
        <v>0.6</v>
      </c>
      <c r="L185" s="33">
        <f>VLOOKUP(E185,[1]PARCELLAIRE!$D$2:$F$29,3,0)</f>
        <v>7.58</v>
      </c>
      <c r="M185" s="33">
        <f t="shared" si="6"/>
        <v>4.548</v>
      </c>
      <c r="N185" s="34">
        <f t="array" ref="N185">INDEX('[1]COUT MOYEN - STOCK'!$G$2:$G$120,MATCH(A185,IF('[1]COUT MOYEN - STOCK'!$B$2:$B$120=G185,'[1]COUT MOYEN - STOCK'!$A$2:$A$120,""),0))</f>
        <v>30.91</v>
      </c>
      <c r="O185" s="35">
        <f t="shared" si="7"/>
        <v>140.57867999999999</v>
      </c>
      <c r="P185" s="36" t="str">
        <f t="shared" si="8"/>
        <v>Escarcelou</v>
      </c>
      <c r="Q185" s="37" t="s">
        <v>14</v>
      </c>
    </row>
    <row r="186" spans="1:17" ht="16.5" hidden="1" thickTop="1">
      <c r="A186" s="29">
        <v>2013</v>
      </c>
      <c r="B186" s="29" t="s">
        <v>166</v>
      </c>
      <c r="C186" s="30" t="s">
        <v>47</v>
      </c>
      <c r="D186" s="24" t="str">
        <f t="array" ref="D186">INDEX([1]PARCELLAIRE!$C$2:$C$85,MATCH(A186,IF([1]PARCELLAIRE!$D$2:$D$85=E186,[1]PARCELLAIRE!$A$2:$A$85,""),0))</f>
        <v>MIRADOUX</v>
      </c>
      <c r="E186" s="29" t="s">
        <v>28</v>
      </c>
      <c r="F186" s="31">
        <v>41379</v>
      </c>
      <c r="G186" s="29" t="s">
        <v>69</v>
      </c>
      <c r="H186" s="32" t="s">
        <v>14</v>
      </c>
      <c r="I186" s="24" t="str">
        <f>VLOOKUP(G186,[1]ACHATS!$C:$E,3,0)</f>
        <v>Kg</v>
      </c>
      <c r="J186" s="24" t="str">
        <f>VLOOKUP(G186,[1]ACHATS!$C:$D,2,0)</f>
        <v>FONGICIDES</v>
      </c>
      <c r="K186" s="33">
        <v>0.6</v>
      </c>
      <c r="L186" s="33">
        <f>VLOOKUP(E186,[1]PARCELLAIRE!$D$2:$F$29,3,0)</f>
        <v>11.9</v>
      </c>
      <c r="M186" s="33">
        <f t="shared" si="6"/>
        <v>7.14</v>
      </c>
      <c r="N186" s="34">
        <f t="array" ref="N186">INDEX('[1]COUT MOYEN - STOCK'!$G$2:$G$120,MATCH(A186,IF('[1]COUT MOYEN - STOCK'!$B$2:$B$120=G186,'[1]COUT MOYEN - STOCK'!$A$2:$A$120,""),0))</f>
        <v>30.91</v>
      </c>
      <c r="O186" s="35">
        <f t="shared" si="7"/>
        <v>220.69739999999999</v>
      </c>
      <c r="P186" s="36" t="str">
        <f t="shared" si="8"/>
        <v>Labaou Devant</v>
      </c>
      <c r="Q186" s="37" t="s">
        <v>14</v>
      </c>
    </row>
    <row r="187" spans="1:17" ht="16.5" hidden="1" thickTop="1">
      <c r="A187" s="29">
        <v>2013</v>
      </c>
      <c r="B187" s="29" t="s">
        <v>166</v>
      </c>
      <c r="C187" s="30" t="s">
        <v>47</v>
      </c>
      <c r="D187" s="24" t="str">
        <f t="array" ref="D187">INDEX([1]PARCELLAIRE!$C$2:$C$85,MATCH(A187,IF([1]PARCELLAIRE!$D$2:$D$85=E187,[1]PARCELLAIRE!$A$2:$A$85,""),0))</f>
        <v>MIRADOUX</v>
      </c>
      <c r="E187" s="29" t="s">
        <v>25</v>
      </c>
      <c r="F187" s="31">
        <v>41379</v>
      </c>
      <c r="G187" s="29" t="s">
        <v>69</v>
      </c>
      <c r="H187" s="32" t="s">
        <v>14</v>
      </c>
      <c r="I187" s="24" t="str">
        <f>VLOOKUP(G187,[1]ACHATS!$C:$E,3,0)</f>
        <v>Kg</v>
      </c>
      <c r="J187" s="24" t="str">
        <f>VLOOKUP(G187,[1]ACHATS!$C:$D,2,0)</f>
        <v>FONGICIDES</v>
      </c>
      <c r="K187" s="33">
        <v>0.6</v>
      </c>
      <c r="L187" s="33">
        <f>VLOOKUP(E187,[1]PARCELLAIRE!$D$2:$F$29,3,0)</f>
        <v>7.5</v>
      </c>
      <c r="M187" s="33">
        <f t="shared" si="6"/>
        <v>4.5</v>
      </c>
      <c r="N187" s="34">
        <f t="array" ref="N187">INDEX('[1]COUT MOYEN - STOCK'!$G$2:$G$120,MATCH(A187,IF('[1]COUT MOYEN - STOCK'!$B$2:$B$120=G187,'[1]COUT MOYEN - STOCK'!$A$2:$A$120,""),0))</f>
        <v>30.91</v>
      </c>
      <c r="O187" s="35">
        <f t="shared" si="7"/>
        <v>139.095</v>
      </c>
      <c r="P187" s="36" t="str">
        <f t="shared" si="8"/>
        <v>Escarcelou Pte</v>
      </c>
      <c r="Q187" s="37" t="s">
        <v>14</v>
      </c>
    </row>
    <row r="188" spans="1:17" ht="16.5" hidden="1" thickTop="1">
      <c r="A188" s="29">
        <v>2013</v>
      </c>
      <c r="B188" s="29" t="s">
        <v>166</v>
      </c>
      <c r="C188" s="30" t="s">
        <v>47</v>
      </c>
      <c r="D188" s="24" t="str">
        <f t="array" ref="D188">INDEX([1]PARCELLAIRE!$C$2:$C$85,MATCH(A188,IF([1]PARCELLAIRE!$D$2:$D$85=E188,[1]PARCELLAIRE!$A$2:$A$85,""),0))</f>
        <v>FABULIS - PESCADOUX</v>
      </c>
      <c r="E188" s="29" t="s">
        <v>30</v>
      </c>
      <c r="F188" s="31">
        <v>41379</v>
      </c>
      <c r="G188" s="29" t="s">
        <v>69</v>
      </c>
      <c r="H188" s="32" t="s">
        <v>14</v>
      </c>
      <c r="I188" s="24" t="str">
        <f>VLOOKUP(G188,[1]ACHATS!$C:$E,3,0)</f>
        <v>Kg</v>
      </c>
      <c r="J188" s="24" t="str">
        <f>VLOOKUP(G188,[1]ACHATS!$C:$D,2,0)</f>
        <v>FONGICIDES</v>
      </c>
      <c r="K188" s="33">
        <v>0.6</v>
      </c>
      <c r="L188" s="33">
        <f>VLOOKUP(E188,[1]PARCELLAIRE!$D$2:$F$29,3,0)</f>
        <v>5.07</v>
      </c>
      <c r="M188" s="33">
        <f t="shared" si="6"/>
        <v>3.0420000000000003</v>
      </c>
      <c r="N188" s="34">
        <f t="array" ref="N188">INDEX('[1]COUT MOYEN - STOCK'!$G$2:$G$120,MATCH(A188,IF('[1]COUT MOYEN - STOCK'!$B$2:$B$120=G188,'[1]COUT MOYEN - STOCK'!$A$2:$A$120,""),0))</f>
        <v>30.91</v>
      </c>
      <c r="O188" s="35">
        <f t="shared" si="7"/>
        <v>94.028220000000005</v>
      </c>
      <c r="P188" s="36" t="str">
        <f t="shared" si="8"/>
        <v>Laclos</v>
      </c>
      <c r="Q188" s="37" t="s">
        <v>14</v>
      </c>
    </row>
    <row r="189" spans="1:17" ht="16.5" hidden="1" thickTop="1">
      <c r="A189" s="29">
        <v>2013</v>
      </c>
      <c r="B189" s="29" t="s">
        <v>166</v>
      </c>
      <c r="C189" s="30" t="s">
        <v>47</v>
      </c>
      <c r="D189" s="24" t="str">
        <f t="array" ref="D189">INDEX([1]PARCELLAIRE!$C$2:$C$85,MATCH(A189,IF([1]PARCELLAIRE!$D$2:$D$85=E189,[1]PARCELLAIRE!$A$2:$A$85,""),0))</f>
        <v>PESCADOUX</v>
      </c>
      <c r="E189" s="29" t="s">
        <v>31</v>
      </c>
      <c r="F189" s="31">
        <v>41379</v>
      </c>
      <c r="G189" s="29" t="s">
        <v>69</v>
      </c>
      <c r="H189" s="32" t="s">
        <v>14</v>
      </c>
      <c r="I189" s="24" t="str">
        <f>VLOOKUP(G189,[1]ACHATS!$C:$E,3,0)</f>
        <v>Kg</v>
      </c>
      <c r="J189" s="24" t="str">
        <f>VLOOKUP(G189,[1]ACHATS!$C:$D,2,0)</f>
        <v>FONGICIDES</v>
      </c>
      <c r="K189" s="33">
        <v>0.6</v>
      </c>
      <c r="L189" s="33">
        <f>VLOOKUP(E189,[1]PARCELLAIRE!$D$2:$F$29,3,0)</f>
        <v>2.67</v>
      </c>
      <c r="M189" s="33">
        <f t="shared" si="6"/>
        <v>1.6019999999999999</v>
      </c>
      <c r="N189" s="34">
        <f t="array" ref="N189">INDEX('[1]COUT MOYEN - STOCK'!$G$2:$G$120,MATCH(A189,IF('[1]COUT MOYEN - STOCK'!$B$2:$B$120=G189,'[1]COUT MOYEN - STOCK'!$A$2:$A$120,""),0))</f>
        <v>30.91</v>
      </c>
      <c r="O189" s="35">
        <f t="shared" si="7"/>
        <v>49.517819999999993</v>
      </c>
      <c r="P189" s="36" t="str">
        <f t="shared" si="8"/>
        <v>Lescandes</v>
      </c>
      <c r="Q189" s="37" t="s">
        <v>14</v>
      </c>
    </row>
    <row r="190" spans="1:17" ht="16.5" hidden="1" thickTop="1">
      <c r="A190" s="29">
        <v>2013</v>
      </c>
      <c r="B190" s="29" t="s">
        <v>166</v>
      </c>
      <c r="C190" s="30" t="s">
        <v>47</v>
      </c>
      <c r="D190" s="24" t="str">
        <f t="array" ref="D190">INDEX([1]PARCELLAIRE!$C$2:$C$85,MATCH(A190,IF([1]PARCELLAIRE!$D$2:$D$85=E190,[1]PARCELLAIRE!$A$2:$A$85,""),0))</f>
        <v>PESCADOUX</v>
      </c>
      <c r="E190" s="29" t="s">
        <v>32</v>
      </c>
      <c r="F190" s="31">
        <v>41379</v>
      </c>
      <c r="G190" s="29" t="s">
        <v>69</v>
      </c>
      <c r="H190" s="32" t="s">
        <v>14</v>
      </c>
      <c r="I190" s="24" t="str">
        <f>VLOOKUP(G190,[1]ACHATS!$C:$E,3,0)</f>
        <v>Kg</v>
      </c>
      <c r="J190" s="24" t="str">
        <f>VLOOKUP(G190,[1]ACHATS!$C:$D,2,0)</f>
        <v>FONGICIDES</v>
      </c>
      <c r="K190" s="33">
        <v>0.6</v>
      </c>
      <c r="L190" s="33">
        <f>VLOOKUP(E190,[1]PARCELLAIRE!$D$2:$F$29,3,0)</f>
        <v>16.440000000000001</v>
      </c>
      <c r="M190" s="33">
        <f t="shared" si="6"/>
        <v>9.8640000000000008</v>
      </c>
      <c r="N190" s="34">
        <f t="array" ref="N190">INDEX('[1]COUT MOYEN - STOCK'!$G$2:$G$120,MATCH(A190,IF('[1]COUT MOYEN - STOCK'!$B$2:$B$120=G190,'[1]COUT MOYEN - STOCK'!$A$2:$A$120,""),0))</f>
        <v>30.91</v>
      </c>
      <c r="O190" s="35">
        <f t="shared" si="7"/>
        <v>304.89624000000003</v>
      </c>
      <c r="P190" s="36" t="str">
        <f t="shared" si="8"/>
        <v>Lescandes Côteau</v>
      </c>
      <c r="Q190" s="37" t="s">
        <v>14</v>
      </c>
    </row>
    <row r="191" spans="1:17" ht="16.5" hidden="1" thickTop="1">
      <c r="A191" s="29">
        <v>2013</v>
      </c>
      <c r="B191" s="29" t="s">
        <v>166</v>
      </c>
      <c r="C191" s="30" t="s">
        <v>47</v>
      </c>
      <c r="D191" s="24" t="str">
        <f t="array" ref="D191">INDEX([1]PARCELLAIRE!$C$2:$C$85,MATCH(A191,IF([1]PARCELLAIRE!$D$2:$D$85=E191,[1]PARCELLAIRE!$A$2:$A$85,""),0))</f>
        <v>MIRADOUX</v>
      </c>
      <c r="E191" s="29" t="s">
        <v>38</v>
      </c>
      <c r="F191" s="31">
        <v>41379</v>
      </c>
      <c r="G191" s="29" t="s">
        <v>69</v>
      </c>
      <c r="H191" s="32" t="s">
        <v>14</v>
      </c>
      <c r="I191" s="24" t="str">
        <f>VLOOKUP(G191,[1]ACHATS!$C:$E,3,0)</f>
        <v>Kg</v>
      </c>
      <c r="J191" s="24" t="str">
        <f>VLOOKUP(G191,[1]ACHATS!$C:$D,2,0)</f>
        <v>FONGICIDES</v>
      </c>
      <c r="K191" s="33">
        <v>0.6</v>
      </c>
      <c r="L191" s="33">
        <f>VLOOKUP(E191,[1]PARCELLAIRE!$D$2:$F$29,3,0)</f>
        <v>1.26</v>
      </c>
      <c r="M191" s="33">
        <f t="shared" si="6"/>
        <v>0.75600000000000001</v>
      </c>
      <c r="N191" s="34">
        <f t="array" ref="N191">INDEX('[1]COUT MOYEN - STOCK'!$G$2:$G$120,MATCH(A191,IF('[1]COUT MOYEN - STOCK'!$B$2:$B$120=G191,'[1]COUT MOYEN - STOCK'!$A$2:$A$120,""),0))</f>
        <v>30.91</v>
      </c>
      <c r="O191" s="35">
        <f t="shared" si="7"/>
        <v>23.36796</v>
      </c>
      <c r="P191" s="36" t="str">
        <f t="shared" si="8"/>
        <v>Seillonne</v>
      </c>
      <c r="Q191" s="37" t="s">
        <v>14</v>
      </c>
    </row>
    <row r="192" spans="1:17" ht="16.5" hidden="1" thickTop="1">
      <c r="A192" s="29">
        <v>2013</v>
      </c>
      <c r="B192" s="29" t="s">
        <v>166</v>
      </c>
      <c r="C192" s="30" t="s">
        <v>47</v>
      </c>
      <c r="D192" s="24" t="str">
        <f t="array" ref="D192">INDEX([1]PARCELLAIRE!$C$2:$C$85,MATCH(A192,IF([1]PARCELLAIRE!$D$2:$D$85=E192,[1]PARCELLAIRE!$A$2:$A$85,""),0))</f>
        <v>PESCADOUX</v>
      </c>
      <c r="E192" s="29" t="s">
        <v>17</v>
      </c>
      <c r="F192" s="31">
        <v>41379</v>
      </c>
      <c r="G192" s="29" t="s">
        <v>70</v>
      </c>
      <c r="H192" s="32" t="s">
        <v>14</v>
      </c>
      <c r="I192" s="24" t="str">
        <f>VLOOKUP(G192,[1]ACHATS!$C:$E,3,0)</f>
        <v>Kg</v>
      </c>
      <c r="J192" s="24" t="str">
        <f>VLOOKUP(G192,[1]ACHATS!$C:$D,2,0)</f>
        <v>FONGICIDES</v>
      </c>
      <c r="K192" s="33">
        <v>0.7</v>
      </c>
      <c r="L192" s="33">
        <f>VLOOKUP(E192,[1]PARCELLAIRE!$D$2:$F$29,3,0)</f>
        <v>5.27</v>
      </c>
      <c r="M192" s="33">
        <f t="shared" si="6"/>
        <v>3.6889999999999996</v>
      </c>
      <c r="N192" s="34">
        <f t="array" ref="N192">INDEX('[1]COUT MOYEN - STOCK'!$G$2:$G$120,MATCH(A192,IF('[1]COUT MOYEN - STOCK'!$B$2:$B$120=G192,'[1]COUT MOYEN - STOCK'!$A$2:$A$120,""),0))</f>
        <v>9</v>
      </c>
      <c r="O192" s="35">
        <f t="shared" si="7"/>
        <v>33.200999999999993</v>
      </c>
      <c r="P192" s="36" t="str">
        <f t="shared" si="8"/>
        <v>Bousquet Château</v>
      </c>
      <c r="Q192" s="37" t="s">
        <v>14</v>
      </c>
    </row>
    <row r="193" spans="1:17" ht="16.5" hidden="1" thickTop="1">
      <c r="A193" s="29">
        <v>2013</v>
      </c>
      <c r="B193" s="29" t="s">
        <v>166</v>
      </c>
      <c r="C193" s="30" t="s">
        <v>47</v>
      </c>
      <c r="D193" s="24" t="str">
        <f t="array" ref="D193">INDEX([1]PARCELLAIRE!$C$2:$C$85,MATCH(A193,IF([1]PARCELLAIRE!$D$2:$D$85=E193,[1]PARCELLAIRE!$A$2:$A$85,""),0))</f>
        <v>MIRADOUX</v>
      </c>
      <c r="E193" s="29" t="s">
        <v>19</v>
      </c>
      <c r="F193" s="31">
        <v>41379</v>
      </c>
      <c r="G193" s="29" t="s">
        <v>70</v>
      </c>
      <c r="H193" s="32" t="s">
        <v>14</v>
      </c>
      <c r="I193" s="24" t="str">
        <f>VLOOKUP(G193,[1]ACHATS!$C:$E,3,0)</f>
        <v>Kg</v>
      </c>
      <c r="J193" s="24" t="str">
        <f>VLOOKUP(G193,[1]ACHATS!$C:$D,2,0)</f>
        <v>FONGICIDES</v>
      </c>
      <c r="K193" s="33">
        <v>0.7</v>
      </c>
      <c r="L193" s="33">
        <f>VLOOKUP(E193,[1]PARCELLAIRE!$D$2:$F$29,3,0)</f>
        <v>5.67</v>
      </c>
      <c r="M193" s="33">
        <f t="shared" si="6"/>
        <v>3.9689999999999999</v>
      </c>
      <c r="N193" s="34">
        <f t="array" ref="N193">INDEX('[1]COUT MOYEN - STOCK'!$G$2:$G$120,MATCH(A193,IF('[1]COUT MOYEN - STOCK'!$B$2:$B$120=G193,'[1]COUT MOYEN - STOCK'!$A$2:$A$120,""),0))</f>
        <v>9</v>
      </c>
      <c r="O193" s="35">
        <f t="shared" si="7"/>
        <v>35.720999999999997</v>
      </c>
      <c r="P193" s="36" t="str">
        <f t="shared" si="8"/>
        <v>Bousquet Route</v>
      </c>
      <c r="Q193" s="37" t="s">
        <v>14</v>
      </c>
    </row>
    <row r="194" spans="1:17" ht="16.5" hidden="1" thickTop="1">
      <c r="A194" s="29">
        <v>2013</v>
      </c>
      <c r="B194" s="29" t="s">
        <v>166</v>
      </c>
      <c r="C194" s="30" t="s">
        <v>47</v>
      </c>
      <c r="D194" s="24" t="str">
        <f t="array" ref="D194">INDEX([1]PARCELLAIRE!$C$2:$C$85,MATCH(A194,IF([1]PARCELLAIRE!$D$2:$D$85=E194,[1]PARCELLAIRE!$A$2:$A$85,""),0))</f>
        <v>MIRADOUX</v>
      </c>
      <c r="E194" s="29" t="s">
        <v>23</v>
      </c>
      <c r="F194" s="31">
        <v>41379</v>
      </c>
      <c r="G194" s="29" t="s">
        <v>70</v>
      </c>
      <c r="H194" s="32" t="s">
        <v>14</v>
      </c>
      <c r="I194" s="24" t="str">
        <f>VLOOKUP(G194,[1]ACHATS!$C:$E,3,0)</f>
        <v>Kg</v>
      </c>
      <c r="J194" s="24" t="str">
        <f>VLOOKUP(G194,[1]ACHATS!$C:$D,2,0)</f>
        <v>FONGICIDES</v>
      </c>
      <c r="K194" s="33">
        <v>0.7</v>
      </c>
      <c r="L194" s="33">
        <f>VLOOKUP(E194,[1]PARCELLAIRE!$D$2:$F$29,3,0)</f>
        <v>7.58</v>
      </c>
      <c r="M194" s="33">
        <f t="shared" ref="M194:M257" si="9">L194*K194</f>
        <v>5.306</v>
      </c>
      <c r="N194" s="34">
        <f t="array" ref="N194">INDEX('[1]COUT MOYEN - STOCK'!$G$2:$G$120,MATCH(A194,IF('[1]COUT MOYEN - STOCK'!$B$2:$B$120=G194,'[1]COUT MOYEN - STOCK'!$A$2:$A$120,""),0))</f>
        <v>9</v>
      </c>
      <c r="O194" s="35">
        <f t="shared" ref="O194:O257" si="10">N194*M194</f>
        <v>47.753999999999998</v>
      </c>
      <c r="P194" s="36" t="str">
        <f t="shared" ref="P194:P257" si="11">IF(WHEN=A194,E194,1)</f>
        <v>Escarcelou</v>
      </c>
      <c r="Q194" s="37" t="s">
        <v>14</v>
      </c>
    </row>
    <row r="195" spans="1:17" ht="16.5" hidden="1" thickTop="1">
      <c r="A195" s="29">
        <v>2013</v>
      </c>
      <c r="B195" s="29" t="s">
        <v>166</v>
      </c>
      <c r="C195" s="30" t="s">
        <v>47</v>
      </c>
      <c r="D195" s="24" t="str">
        <f t="array" ref="D195">INDEX([1]PARCELLAIRE!$C$2:$C$85,MATCH(A195,IF([1]PARCELLAIRE!$D$2:$D$85=E195,[1]PARCELLAIRE!$A$2:$A$85,""),0))</f>
        <v>MIRADOUX</v>
      </c>
      <c r="E195" s="29" t="s">
        <v>28</v>
      </c>
      <c r="F195" s="31">
        <v>41379</v>
      </c>
      <c r="G195" s="29" t="s">
        <v>70</v>
      </c>
      <c r="H195" s="32" t="s">
        <v>14</v>
      </c>
      <c r="I195" s="24" t="str">
        <f>VLOOKUP(G195,[1]ACHATS!$C:$E,3,0)</f>
        <v>Kg</v>
      </c>
      <c r="J195" s="24" t="str">
        <f>VLOOKUP(G195,[1]ACHATS!$C:$D,2,0)</f>
        <v>FONGICIDES</v>
      </c>
      <c r="K195" s="33">
        <v>0.7</v>
      </c>
      <c r="L195" s="33">
        <f>VLOOKUP(E195,[1]PARCELLAIRE!$D$2:$F$29,3,0)</f>
        <v>11.9</v>
      </c>
      <c r="M195" s="33">
        <f t="shared" si="9"/>
        <v>8.33</v>
      </c>
      <c r="N195" s="34">
        <f t="array" ref="N195">INDEX('[1]COUT MOYEN - STOCK'!$G$2:$G$120,MATCH(A195,IF('[1]COUT MOYEN - STOCK'!$B$2:$B$120=G195,'[1]COUT MOYEN - STOCK'!$A$2:$A$120,""),0))</f>
        <v>9</v>
      </c>
      <c r="O195" s="35">
        <f t="shared" si="10"/>
        <v>74.97</v>
      </c>
      <c r="P195" s="36" t="str">
        <f t="shared" si="11"/>
        <v>Labaou Devant</v>
      </c>
      <c r="Q195" s="37" t="s">
        <v>14</v>
      </c>
    </row>
    <row r="196" spans="1:17" ht="16.5" hidden="1" thickTop="1">
      <c r="A196" s="29">
        <v>2013</v>
      </c>
      <c r="B196" s="29" t="s">
        <v>166</v>
      </c>
      <c r="C196" s="30" t="s">
        <v>47</v>
      </c>
      <c r="D196" s="24" t="str">
        <f t="array" ref="D196">INDEX([1]PARCELLAIRE!$C$2:$C$85,MATCH(A196,IF([1]PARCELLAIRE!$D$2:$D$85=E196,[1]PARCELLAIRE!$A$2:$A$85,""),0))</f>
        <v>FABULIS - PESCADOUX</v>
      </c>
      <c r="E196" s="29" t="s">
        <v>30</v>
      </c>
      <c r="F196" s="31">
        <v>41379</v>
      </c>
      <c r="G196" s="29" t="s">
        <v>70</v>
      </c>
      <c r="H196" s="32" t="s">
        <v>14</v>
      </c>
      <c r="I196" s="24" t="str">
        <f>VLOOKUP(G196,[1]ACHATS!$C:$E,3,0)</f>
        <v>Kg</v>
      </c>
      <c r="J196" s="24" t="str">
        <f>VLOOKUP(G196,[1]ACHATS!$C:$D,2,0)</f>
        <v>FONGICIDES</v>
      </c>
      <c r="K196" s="33">
        <v>0.7</v>
      </c>
      <c r="L196" s="33">
        <f>VLOOKUP(E196,[1]PARCELLAIRE!$D$2:$F$29,3,0)</f>
        <v>5.07</v>
      </c>
      <c r="M196" s="33">
        <f t="shared" si="9"/>
        <v>3.5489999999999999</v>
      </c>
      <c r="N196" s="34">
        <f t="array" ref="N196">INDEX('[1]COUT MOYEN - STOCK'!$G$2:$G$120,MATCH(A196,IF('[1]COUT MOYEN - STOCK'!$B$2:$B$120=G196,'[1]COUT MOYEN - STOCK'!$A$2:$A$120,""),0))</f>
        <v>9</v>
      </c>
      <c r="O196" s="35">
        <f t="shared" si="10"/>
        <v>31.940999999999999</v>
      </c>
      <c r="P196" s="36" t="str">
        <f t="shared" si="11"/>
        <v>Laclos</v>
      </c>
      <c r="Q196" s="37" t="s">
        <v>14</v>
      </c>
    </row>
    <row r="197" spans="1:17" ht="16.5" hidden="1" thickTop="1">
      <c r="A197" s="29">
        <v>2013</v>
      </c>
      <c r="B197" s="29" t="s">
        <v>166</v>
      </c>
      <c r="C197" s="30" t="s">
        <v>47</v>
      </c>
      <c r="D197" s="24" t="str">
        <f t="array" ref="D197">INDEX([1]PARCELLAIRE!$C$2:$C$85,MATCH(A197,IF([1]PARCELLAIRE!$D$2:$D$85=E197,[1]PARCELLAIRE!$A$2:$A$85,""),0))</f>
        <v>PESCADOUX</v>
      </c>
      <c r="E197" s="29" t="s">
        <v>31</v>
      </c>
      <c r="F197" s="31">
        <v>41379</v>
      </c>
      <c r="G197" s="29" t="s">
        <v>70</v>
      </c>
      <c r="H197" s="32" t="s">
        <v>14</v>
      </c>
      <c r="I197" s="24" t="str">
        <f>VLOOKUP(G197,[1]ACHATS!$C:$E,3,0)</f>
        <v>Kg</v>
      </c>
      <c r="J197" s="24" t="str">
        <f>VLOOKUP(G197,[1]ACHATS!$C:$D,2,0)</f>
        <v>FONGICIDES</v>
      </c>
      <c r="K197" s="33">
        <v>0.7</v>
      </c>
      <c r="L197" s="33">
        <f>VLOOKUP(E197,[1]PARCELLAIRE!$D$2:$F$29,3,0)</f>
        <v>2.67</v>
      </c>
      <c r="M197" s="33">
        <f t="shared" si="9"/>
        <v>1.8689999999999998</v>
      </c>
      <c r="N197" s="34">
        <f t="array" ref="N197">INDEX('[1]COUT MOYEN - STOCK'!$G$2:$G$120,MATCH(A197,IF('[1]COUT MOYEN - STOCK'!$B$2:$B$120=G197,'[1]COUT MOYEN - STOCK'!$A$2:$A$120,""),0))</f>
        <v>9</v>
      </c>
      <c r="O197" s="35">
        <f t="shared" si="10"/>
        <v>16.820999999999998</v>
      </c>
      <c r="P197" s="36" t="str">
        <f t="shared" si="11"/>
        <v>Lescandes</v>
      </c>
      <c r="Q197" s="37" t="s">
        <v>14</v>
      </c>
    </row>
    <row r="198" spans="1:17" ht="16.5" hidden="1" thickTop="1">
      <c r="A198" s="29">
        <v>2013</v>
      </c>
      <c r="B198" s="29" t="s">
        <v>166</v>
      </c>
      <c r="C198" s="30" t="s">
        <v>47</v>
      </c>
      <c r="D198" s="24" t="str">
        <f t="array" ref="D198">INDEX([1]PARCELLAIRE!$C$2:$C$85,MATCH(A198,IF([1]PARCELLAIRE!$D$2:$D$85=E198,[1]PARCELLAIRE!$A$2:$A$85,""),0))</f>
        <v>PESCADOUX</v>
      </c>
      <c r="E198" s="29" t="s">
        <v>32</v>
      </c>
      <c r="F198" s="31">
        <v>41379</v>
      </c>
      <c r="G198" s="29" t="s">
        <v>70</v>
      </c>
      <c r="H198" s="32" t="s">
        <v>14</v>
      </c>
      <c r="I198" s="24" t="str">
        <f>VLOOKUP(G198,[1]ACHATS!$C:$E,3,0)</f>
        <v>Kg</v>
      </c>
      <c r="J198" s="24" t="str">
        <f>VLOOKUP(G198,[1]ACHATS!$C:$D,2,0)</f>
        <v>FONGICIDES</v>
      </c>
      <c r="K198" s="33">
        <v>0.7</v>
      </c>
      <c r="L198" s="33">
        <f>VLOOKUP(E198,[1]PARCELLAIRE!$D$2:$F$29,3,0)</f>
        <v>16.440000000000001</v>
      </c>
      <c r="M198" s="33">
        <f t="shared" si="9"/>
        <v>11.508000000000001</v>
      </c>
      <c r="N198" s="34">
        <f t="array" ref="N198">INDEX('[1]COUT MOYEN - STOCK'!$G$2:$G$120,MATCH(A198,IF('[1]COUT MOYEN - STOCK'!$B$2:$B$120=G198,'[1]COUT MOYEN - STOCK'!$A$2:$A$120,""),0))</f>
        <v>9</v>
      </c>
      <c r="O198" s="35">
        <f t="shared" si="10"/>
        <v>103.572</v>
      </c>
      <c r="P198" s="36" t="str">
        <f t="shared" si="11"/>
        <v>Lescandes Côteau</v>
      </c>
      <c r="Q198" s="37" t="s">
        <v>14</v>
      </c>
    </row>
    <row r="199" spans="1:17" ht="16.5" hidden="1" thickTop="1">
      <c r="A199" s="29">
        <v>2013</v>
      </c>
      <c r="B199" s="29" t="s">
        <v>166</v>
      </c>
      <c r="C199" s="30" t="s">
        <v>47</v>
      </c>
      <c r="D199" s="24" t="str">
        <f t="array" ref="D199">INDEX([1]PARCELLAIRE!$C$2:$C$85,MATCH(A199,IF([1]PARCELLAIRE!$D$2:$D$85=E199,[1]PARCELLAIRE!$A$2:$A$85,""),0))</f>
        <v>MIRADOUX</v>
      </c>
      <c r="E199" s="29" t="s">
        <v>38</v>
      </c>
      <c r="F199" s="31">
        <v>41379</v>
      </c>
      <c r="G199" s="29" t="s">
        <v>70</v>
      </c>
      <c r="H199" s="32" t="s">
        <v>14</v>
      </c>
      <c r="I199" s="24" t="str">
        <f>VLOOKUP(G199,[1]ACHATS!$C:$E,3,0)</f>
        <v>Kg</v>
      </c>
      <c r="J199" s="24" t="str">
        <f>VLOOKUP(G199,[1]ACHATS!$C:$D,2,0)</f>
        <v>FONGICIDES</v>
      </c>
      <c r="K199" s="33">
        <v>0.7</v>
      </c>
      <c r="L199" s="33">
        <f>VLOOKUP(E199,[1]PARCELLAIRE!$D$2:$F$29,3,0)</f>
        <v>1.26</v>
      </c>
      <c r="M199" s="33">
        <f t="shared" si="9"/>
        <v>0.8819999999999999</v>
      </c>
      <c r="N199" s="34">
        <f t="array" ref="N199">INDEX('[1]COUT MOYEN - STOCK'!$G$2:$G$120,MATCH(A199,IF('[1]COUT MOYEN - STOCK'!$B$2:$B$120=G199,'[1]COUT MOYEN - STOCK'!$A$2:$A$120,""),0))</f>
        <v>9</v>
      </c>
      <c r="O199" s="35">
        <f t="shared" si="10"/>
        <v>7.9379999999999988</v>
      </c>
      <c r="P199" s="36" t="str">
        <f t="shared" si="11"/>
        <v>Seillonne</v>
      </c>
      <c r="Q199" s="37" t="s">
        <v>14</v>
      </c>
    </row>
    <row r="200" spans="1:17" ht="16.5" hidden="1" thickTop="1">
      <c r="A200" s="29">
        <v>2013</v>
      </c>
      <c r="B200" s="29" t="s">
        <v>166</v>
      </c>
      <c r="C200" s="30" t="s">
        <v>47</v>
      </c>
      <c r="D200" s="24" t="str">
        <f t="array" ref="D200">INDEX([1]PARCELLAIRE!$C$2:$C$85,MATCH(A200,IF([1]PARCELLAIRE!$D$2:$D$85=E200,[1]PARCELLAIRE!$A$2:$A$85,""),0))</f>
        <v>MIRADOUX</v>
      </c>
      <c r="E200" s="29" t="s">
        <v>25</v>
      </c>
      <c r="F200" s="31">
        <v>41379</v>
      </c>
      <c r="G200" s="29" t="s">
        <v>70</v>
      </c>
      <c r="H200" s="32" t="s">
        <v>14</v>
      </c>
      <c r="I200" s="24" t="str">
        <f>VLOOKUP(G200,[1]ACHATS!$C:$E,3,0)</f>
        <v>Kg</v>
      </c>
      <c r="J200" s="24" t="str">
        <f>VLOOKUP(G200,[1]ACHATS!$C:$D,2,0)</f>
        <v>FONGICIDES</v>
      </c>
      <c r="K200" s="33">
        <v>0.7</v>
      </c>
      <c r="L200" s="33">
        <f>VLOOKUP(E200,[1]PARCELLAIRE!$D$2:$F$29,3,0)</f>
        <v>7.5</v>
      </c>
      <c r="M200" s="33">
        <f t="shared" si="9"/>
        <v>5.25</v>
      </c>
      <c r="N200" s="34">
        <f t="array" ref="N200">INDEX('[1]COUT MOYEN - STOCK'!$G$2:$G$120,MATCH(A200,IF('[1]COUT MOYEN - STOCK'!$B$2:$B$120=G200,'[1]COUT MOYEN - STOCK'!$A$2:$A$120,""),0))</f>
        <v>9</v>
      </c>
      <c r="O200" s="35">
        <f t="shared" si="10"/>
        <v>47.25</v>
      </c>
      <c r="P200" s="36" t="str">
        <f t="shared" si="11"/>
        <v>Escarcelou Pte</v>
      </c>
      <c r="Q200" s="37" t="s">
        <v>14</v>
      </c>
    </row>
    <row r="201" spans="1:17" ht="16.5" hidden="1" thickTop="1">
      <c r="A201" s="29">
        <v>2013</v>
      </c>
      <c r="B201" s="29" t="s">
        <v>166</v>
      </c>
      <c r="C201" s="30" t="s">
        <v>47</v>
      </c>
      <c r="D201" s="24" t="str">
        <f t="array" ref="D201">INDEX([1]PARCELLAIRE!$C$2:$C$85,MATCH(A201,IF([1]PARCELLAIRE!$D$2:$D$85=E201,[1]PARCELLAIRE!$A$2:$A$85,""),0))</f>
        <v>MIRADOUX</v>
      </c>
      <c r="E201" s="29" t="s">
        <v>19</v>
      </c>
      <c r="F201" s="31">
        <v>41379</v>
      </c>
      <c r="G201" s="29" t="s">
        <v>45</v>
      </c>
      <c r="H201" s="32" t="s">
        <v>14</v>
      </c>
      <c r="I201" s="24" t="str">
        <f>VLOOKUP(G201,[1]ACHATS!$C:$E,3,0)</f>
        <v>L</v>
      </c>
      <c r="J201" s="24" t="str">
        <f>VLOOKUP(G201,[1]ACHATS!$C:$D,2,0)</f>
        <v>DIVERS</v>
      </c>
      <c r="K201" s="33">
        <v>0.2</v>
      </c>
      <c r="L201" s="33">
        <f>VLOOKUP(E201,[1]PARCELLAIRE!$D$2:$F$29,3,0)</f>
        <v>5.67</v>
      </c>
      <c r="M201" s="33">
        <f t="shared" si="9"/>
        <v>1.1340000000000001</v>
      </c>
      <c r="N201" s="34">
        <f t="array" ref="N201">INDEX('[1]COUT MOYEN - STOCK'!$G$2:$G$120,MATCH(A201,IF('[1]COUT MOYEN - STOCK'!$B$2:$B$120=G201,'[1]COUT MOYEN - STOCK'!$A$2:$A$120,""),0))</f>
        <v>11.01</v>
      </c>
      <c r="O201" s="35">
        <f t="shared" si="10"/>
        <v>12.485340000000001</v>
      </c>
      <c r="P201" s="36" t="str">
        <f t="shared" si="11"/>
        <v>Bousquet Route</v>
      </c>
      <c r="Q201" s="37" t="s">
        <v>14</v>
      </c>
    </row>
    <row r="202" spans="1:17" ht="16.5" hidden="1" thickTop="1">
      <c r="A202" s="29">
        <v>2013</v>
      </c>
      <c r="B202" s="29" t="s">
        <v>166</v>
      </c>
      <c r="C202" s="30" t="s">
        <v>47</v>
      </c>
      <c r="D202" s="24" t="str">
        <f t="array" ref="D202">INDEX([1]PARCELLAIRE!$C$2:$C$85,MATCH(A202,IF([1]PARCELLAIRE!$D$2:$D$85=E202,[1]PARCELLAIRE!$A$2:$A$85,""),0))</f>
        <v>MIRADOUX</v>
      </c>
      <c r="E202" s="29" t="s">
        <v>23</v>
      </c>
      <c r="F202" s="31">
        <v>41379</v>
      </c>
      <c r="G202" s="29" t="s">
        <v>45</v>
      </c>
      <c r="H202" s="32" t="s">
        <v>14</v>
      </c>
      <c r="I202" s="24" t="str">
        <f>VLOOKUP(G202,[1]ACHATS!$C:$E,3,0)</f>
        <v>L</v>
      </c>
      <c r="J202" s="24" t="str">
        <f>VLOOKUP(G202,[1]ACHATS!$C:$D,2,0)</f>
        <v>DIVERS</v>
      </c>
      <c r="K202" s="33">
        <v>0.2</v>
      </c>
      <c r="L202" s="33">
        <f>VLOOKUP(E202,[1]PARCELLAIRE!$D$2:$F$29,3,0)</f>
        <v>7.58</v>
      </c>
      <c r="M202" s="33">
        <f t="shared" si="9"/>
        <v>1.516</v>
      </c>
      <c r="N202" s="34">
        <f t="array" ref="N202">INDEX('[1]COUT MOYEN - STOCK'!$G$2:$G$120,MATCH(A202,IF('[1]COUT MOYEN - STOCK'!$B$2:$B$120=G202,'[1]COUT MOYEN - STOCK'!$A$2:$A$120,""),0))</f>
        <v>11.01</v>
      </c>
      <c r="O202" s="35">
        <f t="shared" si="10"/>
        <v>16.69116</v>
      </c>
      <c r="P202" s="36" t="str">
        <f t="shared" si="11"/>
        <v>Escarcelou</v>
      </c>
      <c r="Q202" s="37" t="s">
        <v>14</v>
      </c>
    </row>
    <row r="203" spans="1:17" ht="16.5" hidden="1" thickTop="1">
      <c r="A203" s="29">
        <v>2013</v>
      </c>
      <c r="B203" s="29" t="s">
        <v>166</v>
      </c>
      <c r="C203" s="30" t="s">
        <v>47</v>
      </c>
      <c r="D203" s="24" t="str">
        <f t="array" ref="D203">INDEX([1]PARCELLAIRE!$C$2:$C$85,MATCH(A203,IF([1]PARCELLAIRE!$D$2:$D$85=E203,[1]PARCELLAIRE!$A$2:$A$85,""),0))</f>
        <v>MIRADOUX</v>
      </c>
      <c r="E203" s="29" t="s">
        <v>28</v>
      </c>
      <c r="F203" s="31">
        <v>41379</v>
      </c>
      <c r="G203" s="29" t="s">
        <v>45</v>
      </c>
      <c r="H203" s="32" t="s">
        <v>14</v>
      </c>
      <c r="I203" s="24" t="str">
        <f>VLOOKUP(G203,[1]ACHATS!$C:$E,3,0)</f>
        <v>L</v>
      </c>
      <c r="J203" s="24" t="str">
        <f>VLOOKUP(G203,[1]ACHATS!$C:$D,2,0)</f>
        <v>DIVERS</v>
      </c>
      <c r="K203" s="33">
        <v>0.2</v>
      </c>
      <c r="L203" s="33">
        <f>VLOOKUP(E203,[1]PARCELLAIRE!$D$2:$F$29,3,0)</f>
        <v>11.9</v>
      </c>
      <c r="M203" s="33">
        <f t="shared" si="9"/>
        <v>2.3800000000000003</v>
      </c>
      <c r="N203" s="34">
        <f t="array" ref="N203">INDEX('[1]COUT MOYEN - STOCK'!$G$2:$G$120,MATCH(A203,IF('[1]COUT MOYEN - STOCK'!$B$2:$B$120=G203,'[1]COUT MOYEN - STOCK'!$A$2:$A$120,""),0))</f>
        <v>11.01</v>
      </c>
      <c r="O203" s="35">
        <f t="shared" si="10"/>
        <v>26.203800000000005</v>
      </c>
      <c r="P203" s="36" t="str">
        <f t="shared" si="11"/>
        <v>Labaou Devant</v>
      </c>
      <c r="Q203" s="37" t="s">
        <v>14</v>
      </c>
    </row>
    <row r="204" spans="1:17" ht="16.5" hidden="1" thickTop="1">
      <c r="A204" s="29">
        <v>2013</v>
      </c>
      <c r="B204" s="29" t="s">
        <v>166</v>
      </c>
      <c r="C204" s="30" t="s">
        <v>47</v>
      </c>
      <c r="D204" s="24" t="str">
        <f t="array" ref="D204">INDEX([1]PARCELLAIRE!$C$2:$C$85,MATCH(A204,IF([1]PARCELLAIRE!$D$2:$D$85=E204,[1]PARCELLAIRE!$A$2:$A$85,""),0))</f>
        <v>MIRADOUX</v>
      </c>
      <c r="E204" s="29" t="s">
        <v>25</v>
      </c>
      <c r="F204" s="31">
        <v>41379</v>
      </c>
      <c r="G204" s="29" t="s">
        <v>45</v>
      </c>
      <c r="H204" s="32" t="s">
        <v>14</v>
      </c>
      <c r="I204" s="24" t="str">
        <f>VLOOKUP(G204,[1]ACHATS!$C:$E,3,0)</f>
        <v>L</v>
      </c>
      <c r="J204" s="24" t="str">
        <f>VLOOKUP(G204,[1]ACHATS!$C:$D,2,0)</f>
        <v>DIVERS</v>
      </c>
      <c r="K204" s="33">
        <v>0.2</v>
      </c>
      <c r="L204" s="33">
        <f>VLOOKUP(E204,[1]PARCELLAIRE!$D$2:$F$29,3,0)</f>
        <v>7.5</v>
      </c>
      <c r="M204" s="33">
        <f t="shared" si="9"/>
        <v>1.5</v>
      </c>
      <c r="N204" s="34">
        <f t="array" ref="N204">INDEX('[1]COUT MOYEN - STOCK'!$G$2:$G$120,MATCH(A204,IF('[1]COUT MOYEN - STOCK'!$B$2:$B$120=G204,'[1]COUT MOYEN - STOCK'!$A$2:$A$120,""),0))</f>
        <v>11.01</v>
      </c>
      <c r="O204" s="35">
        <f t="shared" si="10"/>
        <v>16.515000000000001</v>
      </c>
      <c r="P204" s="36" t="str">
        <f t="shared" si="11"/>
        <v>Escarcelou Pte</v>
      </c>
      <c r="Q204" s="37" t="s">
        <v>14</v>
      </c>
    </row>
    <row r="205" spans="1:17" ht="16.5" hidden="1" thickTop="1">
      <c r="A205" s="29">
        <v>2013</v>
      </c>
      <c r="B205" s="29" t="s">
        <v>166</v>
      </c>
      <c r="C205" s="30" t="s">
        <v>47</v>
      </c>
      <c r="D205" s="24" t="str">
        <f t="array" ref="D205">INDEX([1]PARCELLAIRE!$C$2:$C$85,MATCH(A205,IF([1]PARCELLAIRE!$D$2:$D$85=E205,[1]PARCELLAIRE!$A$2:$A$85,""),0))</f>
        <v>FABULIS - PESCADOUX</v>
      </c>
      <c r="E205" s="29" t="s">
        <v>30</v>
      </c>
      <c r="F205" s="31">
        <v>41379</v>
      </c>
      <c r="G205" s="29" t="s">
        <v>45</v>
      </c>
      <c r="H205" s="32" t="s">
        <v>14</v>
      </c>
      <c r="I205" s="24" t="str">
        <f>VLOOKUP(G205,[1]ACHATS!$C:$E,3,0)</f>
        <v>L</v>
      </c>
      <c r="J205" s="24" t="str">
        <f>VLOOKUP(G205,[1]ACHATS!$C:$D,2,0)</f>
        <v>DIVERS</v>
      </c>
      <c r="K205" s="33">
        <v>0.2</v>
      </c>
      <c r="L205" s="33">
        <f>VLOOKUP(E205,[1]PARCELLAIRE!$D$2:$F$29,3,0)</f>
        <v>5.07</v>
      </c>
      <c r="M205" s="33">
        <f t="shared" si="9"/>
        <v>1.014</v>
      </c>
      <c r="N205" s="34">
        <f t="array" ref="N205">INDEX('[1]COUT MOYEN - STOCK'!$G$2:$G$120,MATCH(A205,IF('[1]COUT MOYEN - STOCK'!$B$2:$B$120=G205,'[1]COUT MOYEN - STOCK'!$A$2:$A$120,""),0))</f>
        <v>11.01</v>
      </c>
      <c r="O205" s="35">
        <f t="shared" si="10"/>
        <v>11.16414</v>
      </c>
      <c r="P205" s="36" t="str">
        <f t="shared" si="11"/>
        <v>Laclos</v>
      </c>
      <c r="Q205" s="37" t="s">
        <v>14</v>
      </c>
    </row>
    <row r="206" spans="1:17" ht="16.5" thickTop="1">
      <c r="A206" s="29">
        <v>2013</v>
      </c>
      <c r="B206" s="29" t="s">
        <v>165</v>
      </c>
      <c r="C206" s="30" t="s">
        <v>47</v>
      </c>
      <c r="D206" s="24" t="str">
        <f t="array" ref="D206">INDEX([1]PARCELLAIRE!$C$2:$C$85,MATCH(A206,IF([1]PARCELLAIRE!$D$2:$D$85=E206,[1]PARCELLAIRE!$A$2:$A$85,""),0))</f>
        <v>PESCADOUX</v>
      </c>
      <c r="E206" s="29" t="s">
        <v>31</v>
      </c>
      <c r="F206" s="31">
        <v>41379</v>
      </c>
      <c r="G206" s="29" t="s">
        <v>45</v>
      </c>
      <c r="H206" s="32" t="s">
        <v>14</v>
      </c>
      <c r="I206" s="24" t="str">
        <f>VLOOKUP(G206,[1]ACHATS!$C:$E,3,0)</f>
        <v>L</v>
      </c>
      <c r="J206" s="24" t="str">
        <f>VLOOKUP(G206,[1]ACHATS!$C:$D,2,0)</f>
        <v>DIVERS</v>
      </c>
      <c r="K206" s="33">
        <v>0.2</v>
      </c>
      <c r="L206" s="33">
        <f>VLOOKUP(E206,[1]PARCELLAIRE!$D$2:$F$29,3,0)</f>
        <v>2.67</v>
      </c>
      <c r="M206" s="33">
        <f t="shared" si="9"/>
        <v>0.53400000000000003</v>
      </c>
      <c r="N206" s="34">
        <f t="array" ref="N206">INDEX('[1]COUT MOYEN - STOCK'!$G$2:$G$120,MATCH(A206,IF('[1]COUT MOYEN - STOCK'!$B$2:$B$120=G206,'[1]COUT MOYEN - STOCK'!$A$2:$A$120,""),0))</f>
        <v>11.01</v>
      </c>
      <c r="O206" s="35">
        <f t="shared" si="10"/>
        <v>5.87934</v>
      </c>
      <c r="P206" s="36" t="str">
        <f t="shared" si="11"/>
        <v>Lescandes</v>
      </c>
      <c r="Q206" s="37" t="s">
        <v>14</v>
      </c>
    </row>
    <row r="207" spans="1:17">
      <c r="A207" s="29">
        <v>2013</v>
      </c>
      <c r="B207" s="29" t="s">
        <v>165</v>
      </c>
      <c r="C207" s="30" t="s">
        <v>47</v>
      </c>
      <c r="D207" s="24" t="str">
        <f t="array" ref="D207">INDEX([1]PARCELLAIRE!$C$2:$C$85,MATCH(A207,IF([1]PARCELLAIRE!$D$2:$D$85=E207,[1]PARCELLAIRE!$A$2:$A$85,""),0))</f>
        <v>PESCADOUX</v>
      </c>
      <c r="E207" s="29" t="s">
        <v>32</v>
      </c>
      <c r="F207" s="31">
        <v>41379</v>
      </c>
      <c r="G207" s="29" t="s">
        <v>45</v>
      </c>
      <c r="H207" s="32" t="s">
        <v>14</v>
      </c>
      <c r="I207" s="24" t="str">
        <f>VLOOKUP(G207,[1]ACHATS!$C:$E,3,0)</f>
        <v>L</v>
      </c>
      <c r="J207" s="24" t="str">
        <f>VLOOKUP(G207,[1]ACHATS!$C:$D,2,0)</f>
        <v>DIVERS</v>
      </c>
      <c r="K207" s="33">
        <v>0.2</v>
      </c>
      <c r="L207" s="33">
        <f>VLOOKUP(E207,[1]PARCELLAIRE!$D$2:$F$29,3,0)</f>
        <v>16.440000000000001</v>
      </c>
      <c r="M207" s="33">
        <f t="shared" si="9"/>
        <v>3.2880000000000003</v>
      </c>
      <c r="N207" s="34">
        <f t="array" ref="N207">INDEX('[1]COUT MOYEN - STOCK'!$G$2:$G$120,MATCH(A207,IF('[1]COUT MOYEN - STOCK'!$B$2:$B$120=G207,'[1]COUT MOYEN - STOCK'!$A$2:$A$120,""),0))</f>
        <v>11.01</v>
      </c>
      <c r="O207" s="35">
        <f t="shared" si="10"/>
        <v>36.200880000000005</v>
      </c>
      <c r="P207" s="36" t="str">
        <f t="shared" si="11"/>
        <v>Lescandes Côteau</v>
      </c>
      <c r="Q207" s="37" t="s">
        <v>14</v>
      </c>
    </row>
    <row r="208" spans="1:17">
      <c r="A208" s="29">
        <v>2013</v>
      </c>
      <c r="B208" s="29" t="s">
        <v>165</v>
      </c>
      <c r="C208" s="30" t="s">
        <v>47</v>
      </c>
      <c r="D208" s="24" t="str">
        <f t="array" ref="D208">INDEX([1]PARCELLAIRE!$C$2:$C$85,MATCH(A208,IF([1]PARCELLAIRE!$D$2:$D$85=E208,[1]PARCELLAIRE!$A$2:$A$85,""),0))</f>
        <v>MIRADOUX</v>
      </c>
      <c r="E208" s="29" t="s">
        <v>38</v>
      </c>
      <c r="F208" s="31">
        <v>41379</v>
      </c>
      <c r="G208" s="29" t="s">
        <v>45</v>
      </c>
      <c r="H208" s="32" t="s">
        <v>14</v>
      </c>
      <c r="I208" s="24" t="str">
        <f>VLOOKUP(G208,[1]ACHATS!$C:$E,3,0)</f>
        <v>L</v>
      </c>
      <c r="J208" s="24" t="str">
        <f>VLOOKUP(G208,[1]ACHATS!$C:$D,2,0)</f>
        <v>DIVERS</v>
      </c>
      <c r="K208" s="33">
        <v>0.2</v>
      </c>
      <c r="L208" s="33">
        <f>VLOOKUP(E208,[1]PARCELLAIRE!$D$2:$F$29,3,0)</f>
        <v>1.26</v>
      </c>
      <c r="M208" s="33">
        <f t="shared" si="9"/>
        <v>0.252</v>
      </c>
      <c r="N208" s="34">
        <f t="array" ref="N208">INDEX('[1]COUT MOYEN - STOCK'!$G$2:$G$120,MATCH(A208,IF('[1]COUT MOYEN - STOCK'!$B$2:$B$120=G208,'[1]COUT MOYEN - STOCK'!$A$2:$A$120,""),0))</f>
        <v>11.01</v>
      </c>
      <c r="O208" s="35">
        <f t="shared" si="10"/>
        <v>2.7745199999999999</v>
      </c>
      <c r="P208" s="36" t="str">
        <f t="shared" si="11"/>
        <v>Seillonne</v>
      </c>
      <c r="Q208" s="37" t="s">
        <v>14</v>
      </c>
    </row>
    <row r="209" spans="1:17">
      <c r="A209" s="29">
        <v>2013</v>
      </c>
      <c r="B209" s="29" t="s">
        <v>165</v>
      </c>
      <c r="C209" s="30" t="s">
        <v>47</v>
      </c>
      <c r="D209" s="24" t="str">
        <f t="array" ref="D209">INDEX([1]PARCELLAIRE!$C$2:$C$85,MATCH(A209,IF([1]PARCELLAIRE!$D$2:$D$85=E209,[1]PARCELLAIRE!$A$2:$A$85,""),0))</f>
        <v>MIRADOUX</v>
      </c>
      <c r="E209" s="29" t="s">
        <v>24</v>
      </c>
      <c r="F209" s="31">
        <v>41379</v>
      </c>
      <c r="G209" s="29" t="s">
        <v>45</v>
      </c>
      <c r="H209" s="32" t="s">
        <v>14</v>
      </c>
      <c r="I209" s="24" t="str">
        <f>VLOOKUP(G209,[1]ACHATS!$C:$E,3,0)</f>
        <v>L</v>
      </c>
      <c r="J209" s="24" t="str">
        <f>VLOOKUP(G209,[1]ACHATS!$C:$D,2,0)</f>
        <v>DIVERS</v>
      </c>
      <c r="K209" s="33">
        <v>0.2</v>
      </c>
      <c r="L209" s="33">
        <f>VLOOKUP(E209,[1]PARCELLAIRE!$D$2:$F$29,3,0)</f>
        <v>1.34</v>
      </c>
      <c r="M209" s="33">
        <f t="shared" si="9"/>
        <v>0.26800000000000002</v>
      </c>
      <c r="N209" s="34">
        <f t="array" ref="N209">INDEX('[1]COUT MOYEN - STOCK'!$G$2:$G$120,MATCH(A209,IF('[1]COUT MOYEN - STOCK'!$B$2:$B$120=G209,'[1]COUT MOYEN - STOCK'!$A$2:$A$120,""),0))</f>
        <v>11.01</v>
      </c>
      <c r="O209" s="35">
        <f t="shared" si="10"/>
        <v>2.9506800000000002</v>
      </c>
      <c r="P209" s="36" t="str">
        <f t="shared" si="11"/>
        <v>Escarcelou Jachère</v>
      </c>
      <c r="Q209" s="37" t="s">
        <v>14</v>
      </c>
    </row>
    <row r="210" spans="1:17">
      <c r="A210" s="29">
        <v>2013</v>
      </c>
      <c r="B210" s="29" t="s">
        <v>165</v>
      </c>
      <c r="C210" s="30" t="s">
        <v>47</v>
      </c>
      <c r="D210" s="24" t="str">
        <f t="array" ref="D210">INDEX([1]PARCELLAIRE!$C$2:$C$85,MATCH(A210,IF([1]PARCELLAIRE!$D$2:$D$85=E210,[1]PARCELLAIRE!$A$2:$A$85,""),0))</f>
        <v>SCULPTUR</v>
      </c>
      <c r="E210" s="29" t="s">
        <v>20</v>
      </c>
      <c r="F210" s="31">
        <v>41380</v>
      </c>
      <c r="G210" s="29" t="s">
        <v>71</v>
      </c>
      <c r="H210" s="32" t="s">
        <v>14</v>
      </c>
      <c r="I210" s="24" t="str">
        <f>VLOOKUP(G210,[1]ACHATS!$C:$E,3,0)</f>
        <v>L</v>
      </c>
      <c r="J210" s="24" t="str">
        <f>VLOOKUP(G210,[1]ACHATS!$C:$D,2,0)</f>
        <v>FONGICIDES</v>
      </c>
      <c r="K210" s="33">
        <v>1.3</v>
      </c>
      <c r="L210" s="33">
        <f>VLOOKUP(E210,[1]PARCELLAIRE!$D$2:$F$29,3,0)</f>
        <v>12.49</v>
      </c>
      <c r="M210" s="33">
        <f t="shared" si="9"/>
        <v>16.237000000000002</v>
      </c>
      <c r="N210" s="34">
        <f t="array" ref="N210">INDEX('[1]COUT MOYEN - STOCK'!$G$2:$G$120,MATCH(A210,IF('[1]COUT MOYEN - STOCK'!$B$2:$B$120=G210,'[1]COUT MOYEN - STOCK'!$A$2:$A$120,""),0))</f>
        <v>14.4</v>
      </c>
      <c r="O210" s="35">
        <f t="shared" si="10"/>
        <v>233.81280000000004</v>
      </c>
      <c r="P210" s="36" t="str">
        <f t="shared" si="11"/>
        <v>Engleyse Bousquet</v>
      </c>
      <c r="Q210" s="37" t="s">
        <v>14</v>
      </c>
    </row>
    <row r="211" spans="1:17">
      <c r="A211" s="29">
        <v>2013</v>
      </c>
      <c r="B211" s="29" t="s">
        <v>165</v>
      </c>
      <c r="C211" s="30" t="s">
        <v>43</v>
      </c>
      <c r="D211" s="24" t="str">
        <f t="array" ref="D211">INDEX([1]PARCELLAIRE!$C$2:$C$85,MATCH(A211,IF([1]PARCELLAIRE!$D$2:$D$85=E211,[1]PARCELLAIRE!$A$2:$A$85,""),0))</f>
        <v>SOLEIHO</v>
      </c>
      <c r="E211" s="29" t="s">
        <v>29</v>
      </c>
      <c r="F211" s="31">
        <v>41380</v>
      </c>
      <c r="G211" s="29" t="s">
        <v>71</v>
      </c>
      <c r="H211" s="32" t="s">
        <v>14</v>
      </c>
      <c r="I211" s="24" t="str">
        <f>VLOOKUP(G211,[1]ACHATS!$C:$E,3,0)</f>
        <v>L</v>
      </c>
      <c r="J211" s="24" t="str">
        <f>VLOOKUP(G211,[1]ACHATS!$C:$D,2,0)</f>
        <v>FONGICIDES</v>
      </c>
      <c r="K211" s="33">
        <v>1.3</v>
      </c>
      <c r="L211" s="33">
        <f>VLOOKUP(E211,[1]PARCELLAIRE!$D$2:$F$29,3,0)</f>
        <v>17.55</v>
      </c>
      <c r="M211" s="33">
        <f t="shared" si="9"/>
        <v>22.815000000000001</v>
      </c>
      <c r="N211" s="34">
        <f t="array" ref="N211">INDEX('[1]COUT MOYEN - STOCK'!$G$2:$G$120,MATCH(A211,IF('[1]COUT MOYEN - STOCK'!$B$2:$B$120=G211,'[1]COUT MOYEN - STOCK'!$A$2:$A$120,""),0))</f>
        <v>14.4</v>
      </c>
      <c r="O211" s="35">
        <f t="shared" si="10"/>
        <v>328.536</v>
      </c>
      <c r="P211" s="36" t="str">
        <f t="shared" si="11"/>
        <v>Labaou Plaine</v>
      </c>
      <c r="Q211" s="37" t="s">
        <v>14</v>
      </c>
    </row>
    <row r="212" spans="1:17">
      <c r="A212" s="29">
        <v>2013</v>
      </c>
      <c r="B212" s="29" t="s">
        <v>165</v>
      </c>
      <c r="C212" s="30" t="s">
        <v>47</v>
      </c>
      <c r="D212" s="24" t="str">
        <f t="array" ref="D212">INDEX([1]PARCELLAIRE!$C$2:$C$85,MATCH(A212,IF([1]PARCELLAIRE!$D$2:$D$85=E212,[1]PARCELLAIRE!$A$2:$A$85,""),0))</f>
        <v>SCULPTUR</v>
      </c>
      <c r="E212" s="29" t="s">
        <v>20</v>
      </c>
      <c r="F212" s="31">
        <v>41380</v>
      </c>
      <c r="G212" s="29" t="s">
        <v>70</v>
      </c>
      <c r="H212" s="32" t="s">
        <v>14</v>
      </c>
      <c r="I212" s="24" t="str">
        <f>VLOOKUP(G212,[1]ACHATS!$C:$E,3,0)</f>
        <v>Kg</v>
      </c>
      <c r="J212" s="24" t="str">
        <f>VLOOKUP(G212,[1]ACHATS!$C:$D,2,0)</f>
        <v>FONGICIDES</v>
      </c>
      <c r="K212" s="33">
        <v>0.7</v>
      </c>
      <c r="L212" s="33">
        <f>VLOOKUP(E212,[1]PARCELLAIRE!$D$2:$F$29,3,0)</f>
        <v>12.49</v>
      </c>
      <c r="M212" s="33">
        <f t="shared" si="9"/>
        <v>8.7430000000000003</v>
      </c>
      <c r="N212" s="34">
        <f t="array" ref="N212">INDEX('[1]COUT MOYEN - STOCK'!$G$2:$G$120,MATCH(A212,IF('[1]COUT MOYEN - STOCK'!$B$2:$B$120=G212,'[1]COUT MOYEN - STOCK'!$A$2:$A$120,""),0))</f>
        <v>9</v>
      </c>
      <c r="O212" s="35">
        <f t="shared" si="10"/>
        <v>78.686999999999998</v>
      </c>
      <c r="P212" s="36" t="str">
        <f t="shared" si="11"/>
        <v>Engleyse Bousquet</v>
      </c>
      <c r="Q212" s="37" t="s">
        <v>14</v>
      </c>
    </row>
    <row r="213" spans="1:17">
      <c r="A213" s="29">
        <v>2013</v>
      </c>
      <c r="B213" s="29" t="s">
        <v>165</v>
      </c>
      <c r="C213" s="30" t="s">
        <v>43</v>
      </c>
      <c r="D213" s="24" t="str">
        <f t="array" ref="D213">INDEX([1]PARCELLAIRE!$C$2:$C$85,MATCH(A213,IF([1]PARCELLAIRE!$D$2:$D$85=E213,[1]PARCELLAIRE!$A$2:$A$85,""),0))</f>
        <v>SOLEIHO</v>
      </c>
      <c r="E213" s="29" t="s">
        <v>29</v>
      </c>
      <c r="F213" s="31">
        <v>41380</v>
      </c>
      <c r="G213" s="29" t="s">
        <v>70</v>
      </c>
      <c r="H213" s="32" t="s">
        <v>14</v>
      </c>
      <c r="I213" s="24" t="str">
        <f>VLOOKUP(G213,[1]ACHATS!$C:$E,3,0)</f>
        <v>Kg</v>
      </c>
      <c r="J213" s="24" t="str">
        <f>VLOOKUP(G213,[1]ACHATS!$C:$D,2,0)</f>
        <v>FONGICIDES</v>
      </c>
      <c r="K213" s="33">
        <v>0.7</v>
      </c>
      <c r="L213" s="33">
        <f>VLOOKUP(E213,[1]PARCELLAIRE!$D$2:$F$29,3,0)</f>
        <v>17.55</v>
      </c>
      <c r="M213" s="33">
        <f t="shared" si="9"/>
        <v>12.285</v>
      </c>
      <c r="N213" s="34">
        <f t="array" ref="N213">INDEX('[1]COUT MOYEN - STOCK'!$G$2:$G$120,MATCH(A213,IF('[1]COUT MOYEN - STOCK'!$B$2:$B$120=G213,'[1]COUT MOYEN - STOCK'!$A$2:$A$120,""),0))</f>
        <v>9</v>
      </c>
      <c r="O213" s="35">
        <f t="shared" si="10"/>
        <v>110.565</v>
      </c>
      <c r="P213" s="36" t="str">
        <f t="shared" si="11"/>
        <v>Labaou Plaine</v>
      </c>
      <c r="Q213" s="37" t="s">
        <v>14</v>
      </c>
    </row>
    <row r="214" spans="1:17">
      <c r="A214" s="29">
        <v>2013</v>
      </c>
      <c r="B214" s="29" t="s">
        <v>165</v>
      </c>
      <c r="C214" s="30" t="s">
        <v>47</v>
      </c>
      <c r="D214" s="24" t="str">
        <f t="array" ref="D214">INDEX([1]PARCELLAIRE!$C$2:$C$85,MATCH(A214,IF([1]PARCELLAIRE!$D$2:$D$85=E214,[1]PARCELLAIRE!$A$2:$A$85,""),0))</f>
        <v>SCULPTUR</v>
      </c>
      <c r="E214" s="29" t="s">
        <v>20</v>
      </c>
      <c r="F214" s="31">
        <v>41380</v>
      </c>
      <c r="G214" s="29" t="s">
        <v>45</v>
      </c>
      <c r="H214" s="32" t="s">
        <v>14</v>
      </c>
      <c r="I214" s="24" t="str">
        <f>VLOOKUP(G214,[1]ACHATS!$C:$E,3,0)</f>
        <v>L</v>
      </c>
      <c r="J214" s="24" t="str">
        <f>VLOOKUP(G214,[1]ACHATS!$C:$D,2,0)</f>
        <v>DIVERS</v>
      </c>
      <c r="K214" s="33">
        <v>0.2</v>
      </c>
      <c r="L214" s="33">
        <f>VLOOKUP(E214,[1]PARCELLAIRE!$D$2:$F$29,3,0)</f>
        <v>12.49</v>
      </c>
      <c r="M214" s="33">
        <f t="shared" si="9"/>
        <v>2.4980000000000002</v>
      </c>
      <c r="N214" s="34">
        <f t="array" ref="N214">INDEX('[1]COUT MOYEN - STOCK'!$G$2:$G$120,MATCH(A214,IF('[1]COUT MOYEN - STOCK'!$B$2:$B$120=G214,'[1]COUT MOYEN - STOCK'!$A$2:$A$120,""),0))</f>
        <v>11.01</v>
      </c>
      <c r="O214" s="35">
        <f t="shared" si="10"/>
        <v>27.502980000000001</v>
      </c>
      <c r="P214" s="36" t="str">
        <f t="shared" si="11"/>
        <v>Engleyse Bousquet</v>
      </c>
      <c r="Q214" s="37" t="s">
        <v>14</v>
      </c>
    </row>
    <row r="215" spans="1:17">
      <c r="A215" s="29">
        <v>2013</v>
      </c>
      <c r="B215" s="29" t="s">
        <v>165</v>
      </c>
      <c r="C215" s="30" t="s">
        <v>43</v>
      </c>
      <c r="D215" s="24" t="str">
        <f t="array" ref="D215">INDEX([1]PARCELLAIRE!$C$2:$C$85,MATCH(A215,IF([1]PARCELLAIRE!$D$2:$D$85=E215,[1]PARCELLAIRE!$A$2:$A$85,""),0))</f>
        <v>SOLEIHO</v>
      </c>
      <c r="E215" s="29" t="s">
        <v>29</v>
      </c>
      <c r="F215" s="31">
        <v>41380</v>
      </c>
      <c r="G215" s="29" t="s">
        <v>45</v>
      </c>
      <c r="H215" s="32" t="s">
        <v>14</v>
      </c>
      <c r="I215" s="24" t="str">
        <f>VLOOKUP(G215,[1]ACHATS!$C:$E,3,0)</f>
        <v>L</v>
      </c>
      <c r="J215" s="24" t="str">
        <f>VLOOKUP(G215,[1]ACHATS!$C:$D,2,0)</f>
        <v>DIVERS</v>
      </c>
      <c r="K215" s="33">
        <v>0.2</v>
      </c>
      <c r="L215" s="33">
        <f>VLOOKUP(E215,[1]PARCELLAIRE!$D$2:$F$29,3,0)</f>
        <v>17.55</v>
      </c>
      <c r="M215" s="33">
        <f t="shared" si="9"/>
        <v>3.5100000000000002</v>
      </c>
      <c r="N215" s="34">
        <f t="array" ref="N215">INDEX('[1]COUT MOYEN - STOCK'!$G$2:$G$120,MATCH(A215,IF('[1]COUT MOYEN - STOCK'!$B$2:$B$120=G215,'[1]COUT MOYEN - STOCK'!$A$2:$A$120,""),0))</f>
        <v>11.01</v>
      </c>
      <c r="O215" s="35">
        <f t="shared" si="10"/>
        <v>38.645099999999999</v>
      </c>
      <c r="P215" s="36" t="str">
        <f t="shared" si="11"/>
        <v>Labaou Plaine</v>
      </c>
      <c r="Q215" s="37" t="s">
        <v>14</v>
      </c>
    </row>
    <row r="216" spans="1:17">
      <c r="A216" s="29">
        <v>2013</v>
      </c>
      <c r="B216" s="29" t="s">
        <v>165</v>
      </c>
      <c r="C216" s="30" t="s">
        <v>39</v>
      </c>
      <c r="D216" s="24" t="str">
        <f t="array" ref="D216">INDEX([1]PARCELLAIRE!$C$2:$C$85,MATCH(A216,IF([1]PARCELLAIRE!$D$2:$D$85=E216,[1]PARCELLAIRE!$A$2:$A$85,""),0))</f>
        <v>SY SAMIN</v>
      </c>
      <c r="E216" s="29" t="s">
        <v>36</v>
      </c>
      <c r="F216" s="31">
        <v>41382</v>
      </c>
      <c r="G216" s="29" t="s">
        <v>72</v>
      </c>
      <c r="H216" s="32" t="s">
        <v>14</v>
      </c>
      <c r="I216" s="24" t="str">
        <f>VLOOKUP(G216,[1]ACHATS!$C:$E,3,0)</f>
        <v>L</v>
      </c>
      <c r="J216" s="24" t="str">
        <f>VLOOKUP(G216,[1]ACHATS!$C:$D,2,0)</f>
        <v>DESHERBANT</v>
      </c>
      <c r="K216" s="33">
        <v>1.0900000000000001</v>
      </c>
      <c r="L216" s="33">
        <f>VLOOKUP(E216,[1]PARCELLAIRE!$D$2:$F$29,3,0)</f>
        <v>4.42</v>
      </c>
      <c r="M216" s="33">
        <f t="shared" si="9"/>
        <v>4.8178000000000001</v>
      </c>
      <c r="N216" s="34">
        <f t="array" ref="N216">INDEX('[1]COUT MOYEN - STOCK'!$G$2:$G$120,MATCH(A216,IF('[1]COUT MOYEN - STOCK'!$B$2:$B$120=G216,'[1]COUT MOYEN - STOCK'!$A$2:$A$120,""),0))</f>
        <v>24.884999999999998</v>
      </c>
      <c r="O216" s="35">
        <f t="shared" si="10"/>
        <v>119.890953</v>
      </c>
      <c r="P216" s="36" t="str">
        <f t="shared" si="11"/>
        <v>Picotalène Nord</v>
      </c>
      <c r="Q216" s="37" t="s">
        <v>14</v>
      </c>
    </row>
    <row r="217" spans="1:17">
      <c r="A217" s="29">
        <v>2013</v>
      </c>
      <c r="B217" s="29" t="s">
        <v>165</v>
      </c>
      <c r="C217" s="30" t="s">
        <v>39</v>
      </c>
      <c r="D217" s="24" t="str">
        <f t="array" ref="D217">INDEX([1]PARCELLAIRE!$C$2:$C$85,MATCH(A217,IF([1]PARCELLAIRE!$D$2:$D$85=E217,[1]PARCELLAIRE!$A$2:$A$85,""),0))</f>
        <v>SY SAMIN</v>
      </c>
      <c r="E217" s="29" t="s">
        <v>37</v>
      </c>
      <c r="F217" s="31">
        <v>41382</v>
      </c>
      <c r="G217" s="29" t="s">
        <v>72</v>
      </c>
      <c r="H217" s="32" t="s">
        <v>14</v>
      </c>
      <c r="I217" s="24" t="str">
        <f>VLOOKUP(G217,[1]ACHATS!$C:$E,3,0)</f>
        <v>L</v>
      </c>
      <c r="J217" s="24" t="str">
        <f>VLOOKUP(G217,[1]ACHATS!$C:$D,2,0)</f>
        <v>DESHERBANT</v>
      </c>
      <c r="K217" s="33">
        <v>1.0900000000000001</v>
      </c>
      <c r="L217" s="33">
        <f>VLOOKUP(E217,[1]PARCELLAIRE!$D$2:$F$29,3,0)</f>
        <v>12.06</v>
      </c>
      <c r="M217" s="33">
        <f t="shared" si="9"/>
        <v>13.145400000000002</v>
      </c>
      <c r="N217" s="34">
        <f t="array" ref="N217">INDEX('[1]COUT MOYEN - STOCK'!$G$2:$G$120,MATCH(A217,IF('[1]COUT MOYEN - STOCK'!$B$2:$B$120=G217,'[1]COUT MOYEN - STOCK'!$A$2:$A$120,""),0))</f>
        <v>24.884999999999998</v>
      </c>
      <c r="O217" s="35">
        <f t="shared" si="10"/>
        <v>327.12327900000003</v>
      </c>
      <c r="P217" s="36" t="str">
        <f t="shared" si="11"/>
        <v>Pourtanel</v>
      </c>
      <c r="Q217" s="37" t="s">
        <v>14</v>
      </c>
    </row>
    <row r="218" spans="1:17">
      <c r="A218" s="29">
        <v>2013</v>
      </c>
      <c r="B218" s="29" t="s">
        <v>165</v>
      </c>
      <c r="C218" s="30" t="s">
        <v>39</v>
      </c>
      <c r="D218" s="24" t="str">
        <f t="array" ref="D218">INDEX([1]PARCELLAIRE!$C$2:$C$85,MATCH(A218,IF([1]PARCELLAIRE!$D$2:$D$85=E218,[1]PARCELLAIRE!$A$2:$A$85,""),0))</f>
        <v>SY SAMIN</v>
      </c>
      <c r="E218" s="29" t="s">
        <v>35</v>
      </c>
      <c r="F218" s="31">
        <v>41382</v>
      </c>
      <c r="G218" s="29" t="s">
        <v>72</v>
      </c>
      <c r="H218" s="32" t="s">
        <v>14</v>
      </c>
      <c r="I218" s="24" t="str">
        <f>VLOOKUP(G218,[1]ACHATS!$C:$E,3,0)</f>
        <v>L</v>
      </c>
      <c r="J218" s="24" t="str">
        <f>VLOOKUP(G218,[1]ACHATS!$C:$D,2,0)</f>
        <v>DESHERBANT</v>
      </c>
      <c r="K218" s="33">
        <v>1.0900000000000001</v>
      </c>
      <c r="L218" s="33">
        <f>VLOOKUP(E218,[1]PARCELLAIRE!$D$2:$F$29,3,0)</f>
        <v>4.12</v>
      </c>
      <c r="M218" s="33">
        <f t="shared" si="9"/>
        <v>4.4908000000000001</v>
      </c>
      <c r="N218" s="34">
        <f t="array" ref="N218">INDEX('[1]COUT MOYEN - STOCK'!$G$2:$G$120,MATCH(A218,IF('[1]COUT MOYEN - STOCK'!$B$2:$B$120=G218,'[1]COUT MOYEN - STOCK'!$A$2:$A$120,""),0))</f>
        <v>24.884999999999998</v>
      </c>
      <c r="O218" s="35">
        <f t="shared" si="10"/>
        <v>111.753558</v>
      </c>
      <c r="P218" s="36" t="str">
        <f t="shared" si="11"/>
        <v>Picotalène Midi</v>
      </c>
      <c r="Q218" s="37" t="s">
        <v>14</v>
      </c>
    </row>
    <row r="219" spans="1:17">
      <c r="A219" s="29">
        <v>2013</v>
      </c>
      <c r="B219" s="29" t="s">
        <v>165</v>
      </c>
      <c r="C219" s="30" t="s">
        <v>39</v>
      </c>
      <c r="D219" s="24" t="str">
        <f t="array" ref="D219">INDEX([1]PARCELLAIRE!$C$2:$C$85,MATCH(A219,IF([1]PARCELLAIRE!$D$2:$D$85=E219,[1]PARCELLAIRE!$A$2:$A$85,""),0))</f>
        <v>SY SAMIN</v>
      </c>
      <c r="E219" s="29" t="s">
        <v>18</v>
      </c>
      <c r="F219" s="31">
        <v>41382</v>
      </c>
      <c r="G219" s="29" t="s">
        <v>72</v>
      </c>
      <c r="H219" s="32" t="s">
        <v>14</v>
      </c>
      <c r="I219" s="24" t="str">
        <f>VLOOKUP(G219,[1]ACHATS!$C:$E,3,0)</f>
        <v>L</v>
      </c>
      <c r="J219" s="24" t="str">
        <f>VLOOKUP(G219,[1]ACHATS!$C:$D,2,0)</f>
        <v>DESHERBANT</v>
      </c>
      <c r="K219" s="33">
        <v>1.0900000000000001</v>
      </c>
      <c r="L219" s="33">
        <f>VLOOKUP(E219,[1]PARCELLAIRE!$D$2:$F$29,3,0)</f>
        <v>2.33</v>
      </c>
      <c r="M219" s="33">
        <f t="shared" si="9"/>
        <v>2.5397000000000003</v>
      </c>
      <c r="N219" s="34">
        <f t="array" ref="N219">INDEX('[1]COUT MOYEN - STOCK'!$G$2:$G$120,MATCH(A219,IF('[1]COUT MOYEN - STOCK'!$B$2:$B$120=G219,'[1]COUT MOYEN - STOCK'!$A$2:$A$120,""),0))</f>
        <v>24.884999999999998</v>
      </c>
      <c r="O219" s="35">
        <f t="shared" si="10"/>
        <v>63.2004345</v>
      </c>
      <c r="P219" s="36" t="str">
        <f t="shared" si="11"/>
        <v>Bousquet Pourtanel</v>
      </c>
      <c r="Q219" s="37" t="s">
        <v>14</v>
      </c>
    </row>
    <row r="220" spans="1:17">
      <c r="A220" s="29">
        <v>2013</v>
      </c>
      <c r="B220" s="29" t="s">
        <v>165</v>
      </c>
      <c r="C220" s="30" t="s">
        <v>39</v>
      </c>
      <c r="D220" s="24" t="str">
        <f t="array" ref="D220">INDEX([1]PARCELLAIRE!$C$2:$C$85,MATCH(A220,IF([1]PARCELLAIRE!$D$2:$D$85=E220,[1]PARCELLAIRE!$A$2:$A$85,""),0))</f>
        <v>LG5474</v>
      </c>
      <c r="E220" s="29" t="s">
        <v>16</v>
      </c>
      <c r="F220" s="31">
        <v>41386</v>
      </c>
      <c r="G220" s="29" t="s">
        <v>73</v>
      </c>
      <c r="H220" s="32" t="s">
        <v>14</v>
      </c>
      <c r="I220" s="24" t="str">
        <f>VLOOKUP(G220,[1]ACHATS!$C:$E,3,0)</f>
        <v>Dose</v>
      </c>
      <c r="J220" s="24" t="str">
        <f>VLOOKUP(G220,[1]ACHATS!$C:$D,2,0)</f>
        <v>SEMENCES</v>
      </c>
      <c r="K220" s="33">
        <v>0.4</v>
      </c>
      <c r="L220" s="33">
        <f>VLOOKUP(E220,[1]PARCELLAIRE!$D$2:$F$29,3,0)</f>
        <v>5.17</v>
      </c>
      <c r="M220" s="33">
        <f t="shared" si="9"/>
        <v>2.0680000000000001</v>
      </c>
      <c r="N220" s="34">
        <f t="array" ref="N220">INDEX('[1]COUT MOYEN - STOCK'!$G$2:$G$120,MATCH(A220,IF('[1]COUT MOYEN - STOCK'!$B$2:$B$120=G220,'[1]COUT MOYEN - STOCK'!$A$2:$A$120,""),0))</f>
        <v>176</v>
      </c>
      <c r="O220" s="35">
        <f t="shared" si="10"/>
        <v>363.96800000000002</v>
      </c>
      <c r="P220" s="36" t="str">
        <f t="shared" si="11"/>
        <v>Andres</v>
      </c>
      <c r="Q220" s="37" t="s">
        <v>14</v>
      </c>
    </row>
    <row r="221" spans="1:17">
      <c r="A221" s="29">
        <v>2013</v>
      </c>
      <c r="B221" s="29" t="s">
        <v>165</v>
      </c>
      <c r="C221" s="30" t="s">
        <v>39</v>
      </c>
      <c r="D221" s="24" t="str">
        <f t="array" ref="D221">INDEX([1]PARCELLAIRE!$C$2:$C$85,MATCH(A221,IF([1]PARCELLAIRE!$D$2:$D$85=E221,[1]PARCELLAIRE!$A$2:$A$85,""),0))</f>
        <v>LG5474</v>
      </c>
      <c r="E221" s="29" t="s">
        <v>33</v>
      </c>
      <c r="F221" s="31">
        <v>41386</v>
      </c>
      <c r="G221" s="29" t="s">
        <v>73</v>
      </c>
      <c r="H221" s="32" t="s">
        <v>14</v>
      </c>
      <c r="I221" s="24" t="str">
        <f>VLOOKUP(G221,[1]ACHATS!$C:$E,3,0)</f>
        <v>Dose</v>
      </c>
      <c r="J221" s="24" t="str">
        <f>VLOOKUP(G221,[1]ACHATS!$C:$D,2,0)</f>
        <v>SEMENCES</v>
      </c>
      <c r="K221" s="33">
        <v>0.4</v>
      </c>
      <c r="L221" s="33">
        <f>VLOOKUP(E221,[1]PARCELLAIRE!$D$2:$F$29,3,0)</f>
        <v>21.88</v>
      </c>
      <c r="M221" s="33">
        <f t="shared" si="9"/>
        <v>8.7520000000000007</v>
      </c>
      <c r="N221" s="34">
        <f t="array" ref="N221">INDEX('[1]COUT MOYEN - STOCK'!$G$2:$G$120,MATCH(A221,IF('[1]COUT MOYEN - STOCK'!$B$2:$B$120=G221,'[1]COUT MOYEN - STOCK'!$A$2:$A$120,""),0))</f>
        <v>176</v>
      </c>
      <c r="O221" s="35">
        <f t="shared" si="10"/>
        <v>1540.3520000000001</v>
      </c>
      <c r="P221" s="36" t="str">
        <f t="shared" si="11"/>
        <v>Moulin Barthes</v>
      </c>
      <c r="Q221" s="37" t="s">
        <v>14</v>
      </c>
    </row>
    <row r="222" spans="1:17">
      <c r="A222" s="29">
        <v>2013</v>
      </c>
      <c r="B222" s="29" t="s">
        <v>165</v>
      </c>
      <c r="C222" s="30" t="s">
        <v>39</v>
      </c>
      <c r="D222" s="24" t="str">
        <f t="array" ref="D222">INDEX([1]PARCELLAIRE!$C$2:$C$85,MATCH(A222,IF([1]PARCELLAIRE!$D$2:$D$85=E222,[1]PARCELLAIRE!$A$2:$A$85,""),0))</f>
        <v>LG5474</v>
      </c>
      <c r="E222" s="29" t="s">
        <v>34</v>
      </c>
      <c r="F222" s="31">
        <v>41386</v>
      </c>
      <c r="G222" s="29" t="s">
        <v>73</v>
      </c>
      <c r="H222" s="32" t="s">
        <v>14</v>
      </c>
      <c r="I222" s="24" t="str">
        <f>VLOOKUP(G222,[1]ACHATS!$C:$E,3,0)</f>
        <v>Dose</v>
      </c>
      <c r="J222" s="24" t="str">
        <f>VLOOKUP(G222,[1]ACHATS!$C:$D,2,0)</f>
        <v>SEMENCES</v>
      </c>
      <c r="K222" s="33">
        <v>0.4</v>
      </c>
      <c r="L222" s="33">
        <f>VLOOKUP(E222,[1]PARCELLAIRE!$D$2:$F$29,3,0)</f>
        <v>5.67</v>
      </c>
      <c r="M222" s="33">
        <f t="shared" si="9"/>
        <v>2.2680000000000002</v>
      </c>
      <c r="N222" s="34">
        <f t="array" ref="N222">INDEX('[1]COUT MOYEN - STOCK'!$G$2:$G$120,MATCH(A222,IF('[1]COUT MOYEN - STOCK'!$B$2:$B$120=G222,'[1]COUT MOYEN - STOCK'!$A$2:$A$120,""),0))</f>
        <v>176</v>
      </c>
      <c r="O222" s="35">
        <f t="shared" si="10"/>
        <v>399.16800000000006</v>
      </c>
      <c r="P222" s="36" t="str">
        <f t="shared" si="11"/>
        <v>Moulin Côteau</v>
      </c>
      <c r="Q222" s="37" t="s">
        <v>14</v>
      </c>
    </row>
    <row r="223" spans="1:17">
      <c r="A223" s="29">
        <v>2013</v>
      </c>
      <c r="B223" s="29" t="s">
        <v>165</v>
      </c>
      <c r="C223" s="30" t="s">
        <v>39</v>
      </c>
      <c r="D223" s="24" t="str">
        <f t="array" ref="D223">INDEX([1]PARCELLAIRE!$C$2:$C$85,MATCH(A223,IF([1]PARCELLAIRE!$D$2:$D$85=E223,[1]PARCELLAIRE!$A$2:$A$85,""),0))</f>
        <v>LG5474</v>
      </c>
      <c r="E223" s="29" t="s">
        <v>16</v>
      </c>
      <c r="F223" s="31">
        <v>41386</v>
      </c>
      <c r="G223" s="29" t="s">
        <v>74</v>
      </c>
      <c r="H223" s="32" t="s">
        <v>14</v>
      </c>
      <c r="I223" s="24" t="str">
        <f>VLOOKUP(G223,[1]ACHATS!$C:$E,3,0)</f>
        <v>Dose</v>
      </c>
      <c r="J223" s="24" t="str">
        <f>VLOOKUP(G223,[1]ACHATS!$C:$D,2,0)</f>
        <v>SEMENCES</v>
      </c>
      <c r="K223" s="33">
        <v>0.65</v>
      </c>
      <c r="L223" s="33">
        <f>VLOOKUP(E223,[1]PARCELLAIRE!$D$2:$F$29,3,0)</f>
        <v>5.17</v>
      </c>
      <c r="M223" s="33">
        <f t="shared" si="9"/>
        <v>3.3605</v>
      </c>
      <c r="N223" s="34">
        <f t="array" ref="N223">INDEX('[1]COUT MOYEN - STOCK'!$G$2:$G$120,MATCH(A223,IF('[1]COUT MOYEN - STOCK'!$B$2:$B$120=G223,'[1]COUT MOYEN - STOCK'!$A$2:$A$120,""),0))</f>
        <v>225.00333333333333</v>
      </c>
      <c r="O223" s="35">
        <f t="shared" si="10"/>
        <v>756.12370166666665</v>
      </c>
      <c r="P223" s="36" t="str">
        <f t="shared" si="11"/>
        <v>Andres</v>
      </c>
      <c r="Q223" s="37" t="s">
        <v>14</v>
      </c>
    </row>
    <row r="224" spans="1:17">
      <c r="A224" s="29">
        <v>2013</v>
      </c>
      <c r="B224" s="29" t="s">
        <v>165</v>
      </c>
      <c r="C224" s="30" t="s">
        <v>39</v>
      </c>
      <c r="D224" s="24" t="str">
        <f t="array" ref="D224">INDEX([1]PARCELLAIRE!$C$2:$C$85,MATCH(A224,IF([1]PARCELLAIRE!$D$2:$D$85=E224,[1]PARCELLAIRE!$A$2:$A$85,""),0))</f>
        <v>LG5474</v>
      </c>
      <c r="E224" s="29" t="s">
        <v>16</v>
      </c>
      <c r="F224" s="31">
        <v>41387</v>
      </c>
      <c r="G224" s="29" t="s">
        <v>44</v>
      </c>
      <c r="H224" s="32" t="s">
        <v>14</v>
      </c>
      <c r="I224" s="24" t="str">
        <f>VLOOKUP(G224,[1]ACHATS!$C:$E,3,0)</f>
        <v>L</v>
      </c>
      <c r="J224" s="24" t="str">
        <f>VLOOKUP(G224,[1]ACHATS!$C:$D,2,0)</f>
        <v>DESHERBANT</v>
      </c>
      <c r="K224" s="33">
        <v>1</v>
      </c>
      <c r="L224" s="33">
        <f>VLOOKUP(E224,[1]PARCELLAIRE!$D$2:$F$29,3,0)</f>
        <v>5.17</v>
      </c>
      <c r="M224" s="33">
        <f t="shared" si="9"/>
        <v>5.17</v>
      </c>
      <c r="N224" s="34">
        <f t="array" ref="N224">INDEX('[1]COUT MOYEN - STOCK'!$G$2:$G$120,MATCH(A224,IF('[1]COUT MOYEN - STOCK'!$B$2:$B$120=G224,'[1]COUT MOYEN - STOCK'!$A$2:$A$120,""),0))</f>
        <v>4.9381521739130436</v>
      </c>
      <c r="O224" s="35">
        <f t="shared" si="10"/>
        <v>25.530246739130437</v>
      </c>
      <c r="P224" s="36" t="str">
        <f t="shared" si="11"/>
        <v>Andres</v>
      </c>
      <c r="Q224" s="37" t="s">
        <v>14</v>
      </c>
    </row>
    <row r="225" spans="1:17">
      <c r="A225" s="29">
        <v>2013</v>
      </c>
      <c r="B225" s="29" t="s">
        <v>165</v>
      </c>
      <c r="C225" s="30" t="s">
        <v>39</v>
      </c>
      <c r="D225" s="24" t="str">
        <f t="array" ref="D225">INDEX([1]PARCELLAIRE!$C$2:$C$85,MATCH(A225,IF([1]PARCELLAIRE!$D$2:$D$85=E225,[1]PARCELLAIRE!$A$2:$A$85,""),0))</f>
        <v>LG5474</v>
      </c>
      <c r="E225" s="29" t="s">
        <v>33</v>
      </c>
      <c r="F225" s="31">
        <v>41387</v>
      </c>
      <c r="G225" s="29" t="s">
        <v>44</v>
      </c>
      <c r="H225" s="32" t="s">
        <v>14</v>
      </c>
      <c r="I225" s="24" t="str">
        <f>VLOOKUP(G225,[1]ACHATS!$C:$E,3,0)</f>
        <v>L</v>
      </c>
      <c r="J225" s="24" t="str">
        <f>VLOOKUP(G225,[1]ACHATS!$C:$D,2,0)</f>
        <v>DESHERBANT</v>
      </c>
      <c r="K225" s="33">
        <v>1</v>
      </c>
      <c r="L225" s="33">
        <f>VLOOKUP(E225,[1]PARCELLAIRE!$D$2:$F$29,3,0)</f>
        <v>21.88</v>
      </c>
      <c r="M225" s="33">
        <f t="shared" si="9"/>
        <v>21.88</v>
      </c>
      <c r="N225" s="34">
        <f t="array" ref="N225">INDEX('[1]COUT MOYEN - STOCK'!$G$2:$G$120,MATCH(A225,IF('[1]COUT MOYEN - STOCK'!$B$2:$B$120=G225,'[1]COUT MOYEN - STOCK'!$A$2:$A$120,""),0))</f>
        <v>4.9381521739130436</v>
      </c>
      <c r="O225" s="35">
        <f t="shared" si="10"/>
        <v>108.04676956521739</v>
      </c>
      <c r="P225" s="36" t="str">
        <f t="shared" si="11"/>
        <v>Moulin Barthes</v>
      </c>
      <c r="Q225" s="37" t="s">
        <v>14</v>
      </c>
    </row>
    <row r="226" spans="1:17">
      <c r="A226" s="29">
        <v>2013</v>
      </c>
      <c r="B226" s="29" t="s">
        <v>165</v>
      </c>
      <c r="C226" s="30" t="s">
        <v>39</v>
      </c>
      <c r="D226" s="24" t="str">
        <f t="array" ref="D226">INDEX([1]PARCELLAIRE!$C$2:$C$85,MATCH(A226,IF([1]PARCELLAIRE!$D$2:$D$85=E226,[1]PARCELLAIRE!$A$2:$A$85,""),0))</f>
        <v>LG5474</v>
      </c>
      <c r="E226" s="29" t="s">
        <v>34</v>
      </c>
      <c r="F226" s="31">
        <v>41387</v>
      </c>
      <c r="G226" s="29" t="s">
        <v>44</v>
      </c>
      <c r="H226" s="32" t="s">
        <v>14</v>
      </c>
      <c r="I226" s="24" t="str">
        <f>VLOOKUP(G226,[1]ACHATS!$C:$E,3,0)</f>
        <v>L</v>
      </c>
      <c r="J226" s="24" t="str">
        <f>VLOOKUP(G226,[1]ACHATS!$C:$D,2,0)</f>
        <v>DESHERBANT</v>
      </c>
      <c r="K226" s="33">
        <v>1</v>
      </c>
      <c r="L226" s="33">
        <f>VLOOKUP(E226,[1]PARCELLAIRE!$D$2:$F$29,3,0)</f>
        <v>5.67</v>
      </c>
      <c r="M226" s="33">
        <f t="shared" si="9"/>
        <v>5.67</v>
      </c>
      <c r="N226" s="34">
        <f t="array" ref="N226">INDEX('[1]COUT MOYEN - STOCK'!$G$2:$G$120,MATCH(A226,IF('[1]COUT MOYEN - STOCK'!$B$2:$B$120=G226,'[1]COUT MOYEN - STOCK'!$A$2:$A$120,""),0))</f>
        <v>4.9381521739130436</v>
      </c>
      <c r="O226" s="35">
        <f t="shared" si="10"/>
        <v>27.999322826086956</v>
      </c>
      <c r="P226" s="36" t="str">
        <f t="shared" si="11"/>
        <v>Moulin Côteau</v>
      </c>
      <c r="Q226" s="37" t="s">
        <v>14</v>
      </c>
    </row>
    <row r="227" spans="1:17">
      <c r="A227" s="29">
        <v>2013</v>
      </c>
      <c r="B227" s="29" t="s">
        <v>165</v>
      </c>
      <c r="C227" s="30" t="s">
        <v>39</v>
      </c>
      <c r="D227" s="24" t="str">
        <f t="array" ref="D227">INDEX([1]PARCELLAIRE!$C$2:$C$85,MATCH(A227,IF([1]PARCELLAIRE!$D$2:$D$85=E227,[1]PARCELLAIRE!$A$2:$A$85,""),0))</f>
        <v>LG5474</v>
      </c>
      <c r="E227" s="29" t="s">
        <v>16</v>
      </c>
      <c r="F227" s="31">
        <v>41387</v>
      </c>
      <c r="G227" s="29" t="s">
        <v>75</v>
      </c>
      <c r="H227" s="32" t="s">
        <v>14</v>
      </c>
      <c r="I227" s="24" t="str">
        <f>VLOOKUP(G227,[1]ACHATS!$C:$E,3,0)</f>
        <v>Kg</v>
      </c>
      <c r="J227" s="24" t="str">
        <f>VLOOKUP(G227,[1]ACHATS!$C:$D,2,0)</f>
        <v>DESHERBANT</v>
      </c>
      <c r="K227" s="33">
        <v>2.5</v>
      </c>
      <c r="L227" s="33">
        <f>VLOOKUP(E227,[1]PARCELLAIRE!$D$2:$F$29,3,0)</f>
        <v>5.17</v>
      </c>
      <c r="M227" s="33">
        <f t="shared" si="9"/>
        <v>12.925000000000001</v>
      </c>
      <c r="N227" s="34">
        <f t="array" ref="N227">INDEX('[1]COUT MOYEN - STOCK'!$G$2:$G$120,MATCH(A227,IF('[1]COUT MOYEN - STOCK'!$B$2:$B$120=G227,'[1]COUT MOYEN - STOCK'!$A$2:$A$120,""),0))</f>
        <v>20.059999999999999</v>
      </c>
      <c r="O227" s="35">
        <f t="shared" si="10"/>
        <v>259.27550000000002</v>
      </c>
      <c r="P227" s="36" t="str">
        <f t="shared" si="11"/>
        <v>Andres</v>
      </c>
      <c r="Q227" s="37" t="s">
        <v>14</v>
      </c>
    </row>
    <row r="228" spans="1:17">
      <c r="A228" s="29">
        <v>2013</v>
      </c>
      <c r="B228" s="29" t="s">
        <v>165</v>
      </c>
      <c r="C228" s="30" t="s">
        <v>39</v>
      </c>
      <c r="D228" s="24" t="str">
        <f t="array" ref="D228">INDEX([1]PARCELLAIRE!$C$2:$C$85,MATCH(A228,IF([1]PARCELLAIRE!$D$2:$D$85=E228,[1]PARCELLAIRE!$A$2:$A$85,""),0))</f>
        <v>LG5474</v>
      </c>
      <c r="E228" s="29" t="s">
        <v>33</v>
      </c>
      <c r="F228" s="31">
        <v>41387</v>
      </c>
      <c r="G228" s="29" t="s">
        <v>75</v>
      </c>
      <c r="H228" s="32" t="s">
        <v>14</v>
      </c>
      <c r="I228" s="24" t="str">
        <f>VLOOKUP(G228,[1]ACHATS!$C:$E,3,0)</f>
        <v>Kg</v>
      </c>
      <c r="J228" s="24" t="str">
        <f>VLOOKUP(G228,[1]ACHATS!$C:$D,2,0)</f>
        <v>DESHERBANT</v>
      </c>
      <c r="K228" s="33">
        <v>2.5</v>
      </c>
      <c r="L228" s="33">
        <f>VLOOKUP(E228,[1]PARCELLAIRE!$D$2:$F$29,3,0)</f>
        <v>21.88</v>
      </c>
      <c r="M228" s="33">
        <f t="shared" si="9"/>
        <v>54.699999999999996</v>
      </c>
      <c r="N228" s="34">
        <f t="array" ref="N228">INDEX('[1]COUT MOYEN - STOCK'!$G$2:$G$120,MATCH(A228,IF('[1]COUT MOYEN - STOCK'!$B$2:$B$120=G228,'[1]COUT MOYEN - STOCK'!$A$2:$A$120,""),0))</f>
        <v>20.059999999999999</v>
      </c>
      <c r="O228" s="35">
        <f t="shared" si="10"/>
        <v>1097.2819999999999</v>
      </c>
      <c r="P228" s="36" t="str">
        <f t="shared" si="11"/>
        <v>Moulin Barthes</v>
      </c>
      <c r="Q228" s="37" t="s">
        <v>14</v>
      </c>
    </row>
    <row r="229" spans="1:17">
      <c r="A229" s="29">
        <v>2013</v>
      </c>
      <c r="B229" s="29" t="s">
        <v>165</v>
      </c>
      <c r="C229" s="30" t="s">
        <v>39</v>
      </c>
      <c r="D229" s="24" t="str">
        <f t="array" ref="D229">INDEX([1]PARCELLAIRE!$C$2:$C$85,MATCH(A229,IF([1]PARCELLAIRE!$D$2:$D$85=E229,[1]PARCELLAIRE!$A$2:$A$85,""),0))</f>
        <v>LG5474</v>
      </c>
      <c r="E229" s="29" t="s">
        <v>34</v>
      </c>
      <c r="F229" s="31">
        <v>41387</v>
      </c>
      <c r="G229" s="29" t="s">
        <v>75</v>
      </c>
      <c r="H229" s="32" t="s">
        <v>14</v>
      </c>
      <c r="I229" s="24" t="str">
        <f>VLOOKUP(G229,[1]ACHATS!$C:$E,3,0)</f>
        <v>Kg</v>
      </c>
      <c r="J229" s="24" t="str">
        <f>VLOOKUP(G229,[1]ACHATS!$C:$D,2,0)</f>
        <v>DESHERBANT</v>
      </c>
      <c r="K229" s="33">
        <v>2.5</v>
      </c>
      <c r="L229" s="33">
        <f>VLOOKUP(E229,[1]PARCELLAIRE!$D$2:$F$29,3,0)</f>
        <v>5.67</v>
      </c>
      <c r="M229" s="33">
        <f t="shared" si="9"/>
        <v>14.175000000000001</v>
      </c>
      <c r="N229" s="34">
        <f t="array" ref="N229">INDEX('[1]COUT MOYEN - STOCK'!$G$2:$G$120,MATCH(A229,IF('[1]COUT MOYEN - STOCK'!$B$2:$B$120=G229,'[1]COUT MOYEN - STOCK'!$A$2:$A$120,""),0))</f>
        <v>20.059999999999999</v>
      </c>
      <c r="O229" s="35">
        <f t="shared" si="10"/>
        <v>284.35050000000001</v>
      </c>
      <c r="P229" s="36" t="str">
        <f t="shared" si="11"/>
        <v>Moulin Côteau</v>
      </c>
      <c r="Q229" s="37" t="s">
        <v>14</v>
      </c>
    </row>
    <row r="230" spans="1:17">
      <c r="A230" s="29">
        <v>2013</v>
      </c>
      <c r="B230" s="29" t="s">
        <v>165</v>
      </c>
      <c r="C230" s="30" t="s">
        <v>39</v>
      </c>
      <c r="D230" s="24" t="str">
        <f t="array" ref="D230">INDEX([1]PARCELLAIRE!$C$2:$C$85,MATCH(A230,IF([1]PARCELLAIRE!$D$2:$D$85=E230,[1]PARCELLAIRE!$A$2:$A$85,""),0))</f>
        <v>LG5474</v>
      </c>
      <c r="E230" s="29" t="s">
        <v>16</v>
      </c>
      <c r="F230" s="31">
        <v>41387</v>
      </c>
      <c r="G230" s="29" t="s">
        <v>76</v>
      </c>
      <c r="H230" s="32" t="s">
        <v>14</v>
      </c>
      <c r="I230" s="24" t="str">
        <f>VLOOKUP(G230,[1]ACHATS!$C:$E,3,0)</f>
        <v>Kg</v>
      </c>
      <c r="J230" s="24" t="str">
        <f>VLOOKUP(G230,[1]ACHATS!$C:$D,2,0)</f>
        <v>DESHERBANT</v>
      </c>
      <c r="K230" s="33">
        <v>1.5</v>
      </c>
      <c r="L230" s="33">
        <f>VLOOKUP(E230,[1]PARCELLAIRE!$D$2:$F$29,3,0)</f>
        <v>5.17</v>
      </c>
      <c r="M230" s="33">
        <f t="shared" si="9"/>
        <v>7.7549999999999999</v>
      </c>
      <c r="N230" s="34">
        <f t="array" ref="N230">INDEX('[1]COUT MOYEN - STOCK'!$G$2:$G$120,MATCH(A230,IF('[1]COUT MOYEN - STOCK'!$B$2:$B$120=G230,'[1]COUT MOYEN - STOCK'!$A$2:$A$120,""),0))</f>
        <v>34.299999999999997</v>
      </c>
      <c r="O230" s="35">
        <f t="shared" si="10"/>
        <v>265.99649999999997</v>
      </c>
      <c r="P230" s="36" t="str">
        <f t="shared" si="11"/>
        <v>Andres</v>
      </c>
      <c r="Q230" s="37" t="s">
        <v>14</v>
      </c>
    </row>
    <row r="231" spans="1:17">
      <c r="A231" s="29">
        <v>2013</v>
      </c>
      <c r="B231" s="29" t="s">
        <v>165</v>
      </c>
      <c r="C231" s="30" t="s">
        <v>39</v>
      </c>
      <c r="D231" s="24" t="str">
        <f t="array" ref="D231">INDEX([1]PARCELLAIRE!$C$2:$C$85,MATCH(A231,IF([1]PARCELLAIRE!$D$2:$D$85=E231,[1]PARCELLAIRE!$A$2:$A$85,""),0))</f>
        <v>LG5474</v>
      </c>
      <c r="E231" s="29" t="s">
        <v>33</v>
      </c>
      <c r="F231" s="31">
        <v>41387</v>
      </c>
      <c r="G231" s="29" t="s">
        <v>76</v>
      </c>
      <c r="H231" s="32" t="s">
        <v>14</v>
      </c>
      <c r="I231" s="24" t="str">
        <f>VLOOKUP(G231,[1]ACHATS!$C:$E,3,0)</f>
        <v>Kg</v>
      </c>
      <c r="J231" s="24" t="str">
        <f>VLOOKUP(G231,[1]ACHATS!$C:$D,2,0)</f>
        <v>DESHERBANT</v>
      </c>
      <c r="K231" s="33">
        <v>1.5</v>
      </c>
      <c r="L231" s="33">
        <f>VLOOKUP(E231,[1]PARCELLAIRE!$D$2:$F$29,3,0)</f>
        <v>21.88</v>
      </c>
      <c r="M231" s="33">
        <f t="shared" si="9"/>
        <v>32.82</v>
      </c>
      <c r="N231" s="34">
        <f t="array" ref="N231">INDEX('[1]COUT MOYEN - STOCK'!$G$2:$G$120,MATCH(A231,IF('[1]COUT MOYEN - STOCK'!$B$2:$B$120=G231,'[1]COUT MOYEN - STOCK'!$A$2:$A$120,""),0))</f>
        <v>34.299999999999997</v>
      </c>
      <c r="O231" s="35">
        <f t="shared" si="10"/>
        <v>1125.7259999999999</v>
      </c>
      <c r="P231" s="36" t="str">
        <f t="shared" si="11"/>
        <v>Moulin Barthes</v>
      </c>
      <c r="Q231" s="37" t="s">
        <v>14</v>
      </c>
    </row>
    <row r="232" spans="1:17">
      <c r="A232" s="29">
        <v>2013</v>
      </c>
      <c r="B232" s="29" t="s">
        <v>165</v>
      </c>
      <c r="C232" s="30" t="s">
        <v>39</v>
      </c>
      <c r="D232" s="24" t="str">
        <f t="array" ref="D232">INDEX([1]PARCELLAIRE!$C$2:$C$85,MATCH(A232,IF([1]PARCELLAIRE!$D$2:$D$85=E232,[1]PARCELLAIRE!$A$2:$A$85,""),0))</f>
        <v>LG5474</v>
      </c>
      <c r="E232" s="29" t="s">
        <v>34</v>
      </c>
      <c r="F232" s="31">
        <v>41387</v>
      </c>
      <c r="G232" s="29" t="s">
        <v>76</v>
      </c>
      <c r="H232" s="32" t="s">
        <v>14</v>
      </c>
      <c r="I232" s="24" t="str">
        <f>VLOOKUP(G232,[1]ACHATS!$C:$E,3,0)</f>
        <v>Kg</v>
      </c>
      <c r="J232" s="24" t="str">
        <f>VLOOKUP(G232,[1]ACHATS!$C:$D,2,0)</f>
        <v>DESHERBANT</v>
      </c>
      <c r="K232" s="33">
        <v>1.5</v>
      </c>
      <c r="L232" s="33">
        <f>VLOOKUP(E232,[1]PARCELLAIRE!$D$2:$F$29,3,0)</f>
        <v>5.67</v>
      </c>
      <c r="M232" s="33">
        <f t="shared" si="9"/>
        <v>8.504999999999999</v>
      </c>
      <c r="N232" s="34">
        <f t="array" ref="N232">INDEX('[1]COUT MOYEN - STOCK'!$G$2:$G$120,MATCH(A232,IF('[1]COUT MOYEN - STOCK'!$B$2:$B$120=G232,'[1]COUT MOYEN - STOCK'!$A$2:$A$120,""),0))</f>
        <v>34.299999999999997</v>
      </c>
      <c r="O232" s="35">
        <f t="shared" si="10"/>
        <v>291.72149999999993</v>
      </c>
      <c r="P232" s="36" t="str">
        <f t="shared" si="11"/>
        <v>Moulin Côteau</v>
      </c>
      <c r="Q232" s="37" t="s">
        <v>14</v>
      </c>
    </row>
    <row r="233" spans="1:17">
      <c r="A233" s="29">
        <v>2013</v>
      </c>
      <c r="B233" s="29" t="s">
        <v>165</v>
      </c>
      <c r="C233" s="30" t="s">
        <v>39</v>
      </c>
      <c r="D233" s="24" t="str">
        <f t="array" ref="D233">INDEX([1]PARCELLAIRE!$C$2:$C$85,MATCH(A233,IF([1]PARCELLAIRE!$D$2:$D$85=E233,[1]PARCELLAIRE!$A$2:$A$85,""),0))</f>
        <v>SY SAMIN</v>
      </c>
      <c r="E233" s="29" t="s">
        <v>18</v>
      </c>
      <c r="F233" s="31">
        <v>41388</v>
      </c>
      <c r="G233" s="29" t="s">
        <v>77</v>
      </c>
      <c r="H233" s="32" t="s">
        <v>14</v>
      </c>
      <c r="I233" s="24" t="str">
        <f>VLOOKUP(G233,[1]ACHATS!$C:$E,3,0)</f>
        <v>Dose</v>
      </c>
      <c r="J233" s="24" t="str">
        <f>VLOOKUP(G233,[1]ACHATS!$C:$D,2,0)</f>
        <v>SEMENCES</v>
      </c>
      <c r="K233" s="33">
        <v>0.44</v>
      </c>
      <c r="L233" s="33">
        <f>VLOOKUP(E233,[1]PARCELLAIRE!$D$2:$F$29,3,0)</f>
        <v>2.33</v>
      </c>
      <c r="M233" s="33">
        <f t="shared" si="9"/>
        <v>1.0252000000000001</v>
      </c>
      <c r="N233" s="34">
        <f t="array" ref="N233">INDEX('[1]COUT MOYEN - STOCK'!$G$2:$G$120,MATCH(A233,IF('[1]COUT MOYEN - STOCK'!$B$2:$B$120=G233,'[1]COUT MOYEN - STOCK'!$A$2:$A$120,""),0))</f>
        <v>248.577</v>
      </c>
      <c r="O233" s="35">
        <f t="shared" si="10"/>
        <v>254.84114040000003</v>
      </c>
      <c r="P233" s="36" t="str">
        <f t="shared" si="11"/>
        <v>Bousquet Pourtanel</v>
      </c>
      <c r="Q233" s="37" t="s">
        <v>14</v>
      </c>
    </row>
    <row r="234" spans="1:17">
      <c r="A234" s="29">
        <v>2013</v>
      </c>
      <c r="B234" s="29" t="s">
        <v>165</v>
      </c>
      <c r="C234" s="30" t="s">
        <v>39</v>
      </c>
      <c r="D234" s="24" t="str">
        <f t="array" ref="D234">INDEX([1]PARCELLAIRE!$C$2:$C$85,MATCH(A234,IF([1]PARCELLAIRE!$D$2:$D$85=E234,[1]PARCELLAIRE!$A$2:$A$85,""),0))</f>
        <v>SY SAMIN</v>
      </c>
      <c r="E234" s="29" t="s">
        <v>35</v>
      </c>
      <c r="F234" s="31">
        <v>41388</v>
      </c>
      <c r="G234" s="29" t="s">
        <v>77</v>
      </c>
      <c r="H234" s="32" t="s">
        <v>14</v>
      </c>
      <c r="I234" s="24" t="str">
        <f>VLOOKUP(G234,[1]ACHATS!$C:$E,3,0)</f>
        <v>Dose</v>
      </c>
      <c r="J234" s="24" t="str">
        <f>VLOOKUP(G234,[1]ACHATS!$C:$D,2,0)</f>
        <v>SEMENCES</v>
      </c>
      <c r="K234" s="33">
        <v>0.44</v>
      </c>
      <c r="L234" s="33">
        <f>VLOOKUP(E234,[1]PARCELLAIRE!$D$2:$F$29,3,0)</f>
        <v>4.12</v>
      </c>
      <c r="M234" s="33">
        <f t="shared" si="9"/>
        <v>1.8128</v>
      </c>
      <c r="N234" s="34">
        <f t="array" ref="N234">INDEX('[1]COUT MOYEN - STOCK'!$G$2:$G$120,MATCH(A234,IF('[1]COUT MOYEN - STOCK'!$B$2:$B$120=G234,'[1]COUT MOYEN - STOCK'!$A$2:$A$120,""),0))</f>
        <v>248.577</v>
      </c>
      <c r="O234" s="35">
        <f t="shared" si="10"/>
        <v>450.62038559999996</v>
      </c>
      <c r="P234" s="36" t="str">
        <f t="shared" si="11"/>
        <v>Picotalène Midi</v>
      </c>
      <c r="Q234" s="37" t="s">
        <v>14</v>
      </c>
    </row>
    <row r="235" spans="1:17">
      <c r="A235" s="29">
        <v>2013</v>
      </c>
      <c r="B235" s="29" t="s">
        <v>165</v>
      </c>
      <c r="C235" s="30" t="s">
        <v>39</v>
      </c>
      <c r="D235" s="24" t="str">
        <f t="array" ref="D235">INDEX([1]PARCELLAIRE!$C$2:$C$85,MATCH(A235,IF([1]PARCELLAIRE!$D$2:$D$85=E235,[1]PARCELLAIRE!$A$2:$A$85,""),0))</f>
        <v>SY SAMIN</v>
      </c>
      <c r="E235" s="29" t="s">
        <v>36</v>
      </c>
      <c r="F235" s="31">
        <v>41388</v>
      </c>
      <c r="G235" s="29" t="s">
        <v>77</v>
      </c>
      <c r="H235" s="32" t="s">
        <v>14</v>
      </c>
      <c r="I235" s="24" t="str">
        <f>VLOOKUP(G235,[1]ACHATS!$C:$E,3,0)</f>
        <v>Dose</v>
      </c>
      <c r="J235" s="24" t="str">
        <f>VLOOKUP(G235,[1]ACHATS!$C:$D,2,0)</f>
        <v>SEMENCES</v>
      </c>
      <c r="K235" s="33">
        <v>0.44</v>
      </c>
      <c r="L235" s="33">
        <f>VLOOKUP(E235,[1]PARCELLAIRE!$D$2:$F$29,3,0)</f>
        <v>4.42</v>
      </c>
      <c r="M235" s="33">
        <f t="shared" si="9"/>
        <v>1.9448000000000001</v>
      </c>
      <c r="N235" s="34">
        <f t="array" ref="N235">INDEX('[1]COUT MOYEN - STOCK'!$G$2:$G$120,MATCH(A235,IF('[1]COUT MOYEN - STOCK'!$B$2:$B$120=G235,'[1]COUT MOYEN - STOCK'!$A$2:$A$120,""),0))</f>
        <v>248.577</v>
      </c>
      <c r="O235" s="35">
        <f t="shared" si="10"/>
        <v>483.43254960000002</v>
      </c>
      <c r="P235" s="36" t="str">
        <f t="shared" si="11"/>
        <v>Picotalène Nord</v>
      </c>
      <c r="Q235" s="37" t="s">
        <v>14</v>
      </c>
    </row>
    <row r="236" spans="1:17">
      <c r="A236" s="29">
        <v>2013</v>
      </c>
      <c r="B236" s="29" t="s">
        <v>165</v>
      </c>
      <c r="C236" s="30" t="s">
        <v>39</v>
      </c>
      <c r="D236" s="24" t="str">
        <f t="array" ref="D236">INDEX([1]PARCELLAIRE!$C$2:$C$85,MATCH(A236,IF([1]PARCELLAIRE!$D$2:$D$85=E236,[1]PARCELLAIRE!$A$2:$A$85,""),0))</f>
        <v>SY SAMIN</v>
      </c>
      <c r="E236" s="29" t="s">
        <v>37</v>
      </c>
      <c r="F236" s="31">
        <v>41388</v>
      </c>
      <c r="G236" s="29" t="s">
        <v>77</v>
      </c>
      <c r="H236" s="32" t="s">
        <v>14</v>
      </c>
      <c r="I236" s="24" t="str">
        <f>VLOOKUP(G236,[1]ACHATS!$C:$E,3,0)</f>
        <v>Dose</v>
      </c>
      <c r="J236" s="24" t="str">
        <f>VLOOKUP(G236,[1]ACHATS!$C:$D,2,0)</f>
        <v>SEMENCES</v>
      </c>
      <c r="K236" s="33">
        <v>0.44</v>
      </c>
      <c r="L236" s="33">
        <f>VLOOKUP(E236,[1]PARCELLAIRE!$D$2:$F$29,3,0)</f>
        <v>12.06</v>
      </c>
      <c r="M236" s="33">
        <f t="shared" si="9"/>
        <v>5.3064</v>
      </c>
      <c r="N236" s="34">
        <f t="array" ref="N236">INDEX('[1]COUT MOYEN - STOCK'!$G$2:$G$120,MATCH(A236,IF('[1]COUT MOYEN - STOCK'!$B$2:$B$120=G236,'[1]COUT MOYEN - STOCK'!$A$2:$A$120,""),0))</f>
        <v>248.577</v>
      </c>
      <c r="O236" s="35">
        <f t="shared" si="10"/>
        <v>1319.0489928</v>
      </c>
      <c r="P236" s="36" t="str">
        <f t="shared" si="11"/>
        <v>Pourtanel</v>
      </c>
      <c r="Q236" s="37" t="s">
        <v>14</v>
      </c>
    </row>
    <row r="237" spans="1:17">
      <c r="A237" s="29">
        <v>2013</v>
      </c>
      <c r="B237" s="29" t="s">
        <v>165</v>
      </c>
      <c r="C237" s="30" t="s">
        <v>47</v>
      </c>
      <c r="D237" s="24" t="str">
        <f t="array" ref="D237">INDEX([1]PARCELLAIRE!$C$2:$C$85,MATCH(A237,IF([1]PARCELLAIRE!$D$2:$D$85=E237,[1]PARCELLAIRE!$A$2:$A$85,""),0))</f>
        <v>MIRADOUX</v>
      </c>
      <c r="E237" s="29" t="s">
        <v>24</v>
      </c>
      <c r="F237" s="31">
        <v>41389</v>
      </c>
      <c r="G237" s="29" t="s">
        <v>58</v>
      </c>
      <c r="H237" s="32" t="s">
        <v>14</v>
      </c>
      <c r="I237" s="24" t="str">
        <f>VLOOKUP(G237,[1]ACHATS!$C:$E,3,0)</f>
        <v>Kg</v>
      </c>
      <c r="J237" s="24" t="str">
        <f>VLOOKUP(G237,[1]ACHATS!$C:$D,2,0)</f>
        <v>AZOTE</v>
      </c>
      <c r="K237" s="33">
        <v>130</v>
      </c>
      <c r="L237" s="33">
        <f>VLOOKUP(E237,[1]PARCELLAIRE!$D$2:$F$29,3,0)</f>
        <v>1.34</v>
      </c>
      <c r="M237" s="33">
        <f t="shared" si="9"/>
        <v>174.20000000000002</v>
      </c>
      <c r="N237" s="34">
        <f t="array" ref="N237">INDEX('[1]COUT MOYEN - STOCK'!$G$2:$G$120,MATCH(A237,IF('[1]COUT MOYEN - STOCK'!$B$2:$B$120=G237,'[1]COUT MOYEN - STOCK'!$A$2:$A$120,""),0))</f>
        <v>0.41460714285714284</v>
      </c>
      <c r="O237" s="35">
        <f t="shared" si="10"/>
        <v>72.224564285714294</v>
      </c>
      <c r="P237" s="36" t="str">
        <f t="shared" si="11"/>
        <v>Escarcelou Jachère</v>
      </c>
      <c r="Q237" s="40" t="s">
        <v>137</v>
      </c>
    </row>
    <row r="238" spans="1:17">
      <c r="A238" s="29">
        <v>2013</v>
      </c>
      <c r="B238" s="29" t="s">
        <v>165</v>
      </c>
      <c r="C238" s="30" t="s">
        <v>47</v>
      </c>
      <c r="D238" s="24" t="str">
        <f t="array" ref="D238">INDEX([1]PARCELLAIRE!$C$2:$C$85,MATCH(A238,IF([1]PARCELLAIRE!$D$2:$D$85=E238,[1]PARCELLAIRE!$A$2:$A$85,""),0))</f>
        <v>MIRADOUX</v>
      </c>
      <c r="E238" s="29" t="s">
        <v>23</v>
      </c>
      <c r="F238" s="31">
        <v>41389</v>
      </c>
      <c r="G238" s="29" t="s">
        <v>58</v>
      </c>
      <c r="H238" s="32" t="s">
        <v>14</v>
      </c>
      <c r="I238" s="24" t="str">
        <f>VLOOKUP(G238,[1]ACHATS!$C:$E,3,0)</f>
        <v>Kg</v>
      </c>
      <c r="J238" s="24" t="str">
        <f>VLOOKUP(G238,[1]ACHATS!$C:$D,2,0)</f>
        <v>AZOTE</v>
      </c>
      <c r="K238" s="33">
        <v>130</v>
      </c>
      <c r="L238" s="33">
        <f>VLOOKUP(E238,[1]PARCELLAIRE!$D$2:$F$29,3,0)</f>
        <v>7.58</v>
      </c>
      <c r="M238" s="33">
        <f t="shared" si="9"/>
        <v>985.4</v>
      </c>
      <c r="N238" s="34">
        <f t="array" ref="N238">INDEX('[1]COUT MOYEN - STOCK'!$G$2:$G$120,MATCH(A238,IF('[1]COUT MOYEN - STOCK'!$B$2:$B$120=G238,'[1]COUT MOYEN - STOCK'!$A$2:$A$120,""),0))</f>
        <v>0.41460714285714284</v>
      </c>
      <c r="O238" s="35">
        <f t="shared" si="10"/>
        <v>408.55387857142853</v>
      </c>
      <c r="P238" s="36" t="str">
        <f t="shared" si="11"/>
        <v>Escarcelou</v>
      </c>
      <c r="Q238" s="40" t="s">
        <v>137</v>
      </c>
    </row>
    <row r="239" spans="1:17">
      <c r="A239" s="29">
        <v>2013</v>
      </c>
      <c r="B239" s="29" t="s">
        <v>165</v>
      </c>
      <c r="C239" s="30" t="s">
        <v>47</v>
      </c>
      <c r="D239" s="24" t="str">
        <f t="array" ref="D239">INDEX([1]PARCELLAIRE!$C$2:$C$85,MATCH(A239,IF([1]PARCELLAIRE!$D$2:$D$85=E239,[1]PARCELLAIRE!$A$2:$A$85,""),0))</f>
        <v>MIRADOUX</v>
      </c>
      <c r="E239" s="29" t="s">
        <v>28</v>
      </c>
      <c r="F239" s="31">
        <v>41389</v>
      </c>
      <c r="G239" s="29" t="s">
        <v>58</v>
      </c>
      <c r="H239" s="32" t="s">
        <v>14</v>
      </c>
      <c r="I239" s="24" t="str">
        <f>VLOOKUP(G239,[1]ACHATS!$C:$E,3,0)</f>
        <v>Kg</v>
      </c>
      <c r="J239" s="24" t="str">
        <f>VLOOKUP(G239,[1]ACHATS!$C:$D,2,0)</f>
        <v>AZOTE</v>
      </c>
      <c r="K239" s="33">
        <v>130</v>
      </c>
      <c r="L239" s="33">
        <f>VLOOKUP(E239,[1]PARCELLAIRE!$D$2:$F$29,3,0)</f>
        <v>11.9</v>
      </c>
      <c r="M239" s="33">
        <f t="shared" si="9"/>
        <v>1547</v>
      </c>
      <c r="N239" s="34">
        <f t="array" ref="N239">INDEX('[1]COUT MOYEN - STOCK'!$G$2:$G$120,MATCH(A239,IF('[1]COUT MOYEN - STOCK'!$B$2:$B$120=G239,'[1]COUT MOYEN - STOCK'!$A$2:$A$120,""),0))</f>
        <v>0.41460714285714284</v>
      </c>
      <c r="O239" s="35">
        <f t="shared" si="10"/>
        <v>641.39724999999999</v>
      </c>
      <c r="P239" s="36" t="str">
        <f t="shared" si="11"/>
        <v>Labaou Devant</v>
      </c>
      <c r="Q239" s="40" t="s">
        <v>137</v>
      </c>
    </row>
    <row r="240" spans="1:17">
      <c r="A240" s="29">
        <v>2013</v>
      </c>
      <c r="B240" s="29" t="s">
        <v>165</v>
      </c>
      <c r="C240" s="30" t="s">
        <v>47</v>
      </c>
      <c r="D240" s="24" t="str">
        <f t="array" ref="D240">INDEX([1]PARCELLAIRE!$C$2:$C$85,MATCH(A240,IF([1]PARCELLAIRE!$D$2:$D$85=E240,[1]PARCELLAIRE!$A$2:$A$85,""),0))</f>
        <v>MIRADOUX</v>
      </c>
      <c r="E240" s="29" t="s">
        <v>25</v>
      </c>
      <c r="F240" s="31">
        <v>41389</v>
      </c>
      <c r="G240" s="29" t="s">
        <v>58</v>
      </c>
      <c r="H240" s="32" t="s">
        <v>14</v>
      </c>
      <c r="I240" s="24" t="str">
        <f>VLOOKUP(G240,[1]ACHATS!$C:$E,3,0)</f>
        <v>Kg</v>
      </c>
      <c r="J240" s="24" t="str">
        <f>VLOOKUP(G240,[1]ACHATS!$C:$D,2,0)</f>
        <v>AZOTE</v>
      </c>
      <c r="K240" s="33">
        <v>130</v>
      </c>
      <c r="L240" s="33">
        <f>VLOOKUP(E240,[1]PARCELLAIRE!$D$2:$F$29,3,0)</f>
        <v>7.5</v>
      </c>
      <c r="M240" s="33">
        <f t="shared" si="9"/>
        <v>975</v>
      </c>
      <c r="N240" s="34">
        <f t="array" ref="N240">INDEX('[1]COUT MOYEN - STOCK'!$G$2:$G$120,MATCH(A240,IF('[1]COUT MOYEN - STOCK'!$B$2:$B$120=G240,'[1]COUT MOYEN - STOCK'!$A$2:$A$120,""),0))</f>
        <v>0.41460714285714284</v>
      </c>
      <c r="O240" s="35">
        <f t="shared" si="10"/>
        <v>404.24196428571429</v>
      </c>
      <c r="P240" s="36" t="str">
        <f t="shared" si="11"/>
        <v>Escarcelou Pte</v>
      </c>
      <c r="Q240" s="40" t="s">
        <v>137</v>
      </c>
    </row>
    <row r="241" spans="1:17">
      <c r="A241" s="29">
        <v>2013</v>
      </c>
      <c r="B241" s="29" t="s">
        <v>165</v>
      </c>
      <c r="C241" s="30" t="s">
        <v>47</v>
      </c>
      <c r="D241" s="24" t="str">
        <f t="array" ref="D241">INDEX([1]PARCELLAIRE!$C$2:$C$85,MATCH(A241,IF([1]PARCELLAIRE!$D$2:$D$85=E241,[1]PARCELLAIRE!$A$2:$A$85,""),0))</f>
        <v>FABULIS - PESCADOUX</v>
      </c>
      <c r="E241" s="29" t="s">
        <v>30</v>
      </c>
      <c r="F241" s="31">
        <v>41389</v>
      </c>
      <c r="G241" s="29" t="s">
        <v>58</v>
      </c>
      <c r="H241" s="32" t="s">
        <v>14</v>
      </c>
      <c r="I241" s="24" t="str">
        <f>VLOOKUP(G241,[1]ACHATS!$C:$E,3,0)</f>
        <v>Kg</v>
      </c>
      <c r="J241" s="24" t="str">
        <f>VLOOKUP(G241,[1]ACHATS!$C:$D,2,0)</f>
        <v>AZOTE</v>
      </c>
      <c r="K241" s="33">
        <v>130</v>
      </c>
      <c r="L241" s="33">
        <f>VLOOKUP(E241,[1]PARCELLAIRE!$D$2:$F$29,3,0)</f>
        <v>5.07</v>
      </c>
      <c r="M241" s="33">
        <f t="shared" si="9"/>
        <v>659.1</v>
      </c>
      <c r="N241" s="34">
        <f t="array" ref="N241">INDEX('[1]COUT MOYEN - STOCK'!$G$2:$G$120,MATCH(A241,IF('[1]COUT MOYEN - STOCK'!$B$2:$B$120=G241,'[1]COUT MOYEN - STOCK'!$A$2:$A$120,""),0))</f>
        <v>0.41460714285714284</v>
      </c>
      <c r="O241" s="35">
        <f t="shared" si="10"/>
        <v>273.26756785714286</v>
      </c>
      <c r="P241" s="36" t="str">
        <f t="shared" si="11"/>
        <v>Laclos</v>
      </c>
      <c r="Q241" s="40" t="s">
        <v>137</v>
      </c>
    </row>
    <row r="242" spans="1:17">
      <c r="A242" s="29">
        <v>2013</v>
      </c>
      <c r="B242" s="29" t="s">
        <v>165</v>
      </c>
      <c r="C242" s="30" t="s">
        <v>47</v>
      </c>
      <c r="D242" s="24" t="str">
        <f t="array" ref="D242">INDEX([1]PARCELLAIRE!$C$2:$C$85,MATCH(A242,IF([1]PARCELLAIRE!$D$2:$D$85=E242,[1]PARCELLAIRE!$A$2:$A$85,""),0))</f>
        <v>MIRADOUX</v>
      </c>
      <c r="E242" s="29" t="s">
        <v>38</v>
      </c>
      <c r="F242" s="31">
        <v>41389</v>
      </c>
      <c r="G242" s="29" t="s">
        <v>58</v>
      </c>
      <c r="H242" s="32" t="s">
        <v>14</v>
      </c>
      <c r="I242" s="24" t="str">
        <f>VLOOKUP(G242,[1]ACHATS!$C:$E,3,0)</f>
        <v>Kg</v>
      </c>
      <c r="J242" s="24" t="str">
        <f>VLOOKUP(G242,[1]ACHATS!$C:$D,2,0)</f>
        <v>AZOTE</v>
      </c>
      <c r="K242" s="33">
        <v>130</v>
      </c>
      <c r="L242" s="33">
        <f>VLOOKUP(E242,[1]PARCELLAIRE!$D$2:$F$29,3,0)</f>
        <v>1.26</v>
      </c>
      <c r="M242" s="33">
        <f t="shared" si="9"/>
        <v>163.80000000000001</v>
      </c>
      <c r="N242" s="34">
        <f t="array" ref="N242">INDEX('[1]COUT MOYEN - STOCK'!$G$2:$G$120,MATCH(A242,IF('[1]COUT MOYEN - STOCK'!$B$2:$B$120=G242,'[1]COUT MOYEN - STOCK'!$A$2:$A$120,""),0))</f>
        <v>0.41460714285714284</v>
      </c>
      <c r="O242" s="35">
        <f t="shared" si="10"/>
        <v>67.912649999999999</v>
      </c>
      <c r="P242" s="36" t="str">
        <f t="shared" si="11"/>
        <v>Seillonne</v>
      </c>
      <c r="Q242" s="40" t="s">
        <v>137</v>
      </c>
    </row>
    <row r="243" spans="1:17">
      <c r="A243" s="29">
        <v>2013</v>
      </c>
      <c r="B243" s="29" t="s">
        <v>165</v>
      </c>
      <c r="C243" s="30" t="s">
        <v>47</v>
      </c>
      <c r="D243" s="24" t="str">
        <f t="array" ref="D243">INDEX([1]PARCELLAIRE!$C$2:$C$85,MATCH(A243,IF([1]PARCELLAIRE!$D$2:$D$85=E243,[1]PARCELLAIRE!$A$2:$A$85,""),0))</f>
        <v>PESCADOUX</v>
      </c>
      <c r="E243" s="29" t="s">
        <v>31</v>
      </c>
      <c r="F243" s="31">
        <v>41389</v>
      </c>
      <c r="G243" s="29" t="s">
        <v>58</v>
      </c>
      <c r="H243" s="32" t="s">
        <v>14</v>
      </c>
      <c r="I243" s="24" t="str">
        <f>VLOOKUP(G243,[1]ACHATS!$C:$E,3,0)</f>
        <v>Kg</v>
      </c>
      <c r="J243" s="24" t="str">
        <f>VLOOKUP(G243,[1]ACHATS!$C:$D,2,0)</f>
        <v>AZOTE</v>
      </c>
      <c r="K243" s="33">
        <v>130</v>
      </c>
      <c r="L243" s="33">
        <f>VLOOKUP(E243,[1]PARCELLAIRE!$D$2:$F$29,3,0)</f>
        <v>2.67</v>
      </c>
      <c r="M243" s="33">
        <f t="shared" si="9"/>
        <v>347.09999999999997</v>
      </c>
      <c r="N243" s="34">
        <f t="array" ref="N243">INDEX('[1]COUT MOYEN - STOCK'!$G$2:$G$120,MATCH(A243,IF('[1]COUT MOYEN - STOCK'!$B$2:$B$120=G243,'[1]COUT MOYEN - STOCK'!$A$2:$A$120,""),0))</f>
        <v>0.41460714285714284</v>
      </c>
      <c r="O243" s="35">
        <f t="shared" si="10"/>
        <v>143.91013928571428</v>
      </c>
      <c r="P243" s="36" t="str">
        <f t="shared" si="11"/>
        <v>Lescandes</v>
      </c>
      <c r="Q243" s="40" t="s">
        <v>137</v>
      </c>
    </row>
    <row r="244" spans="1:17">
      <c r="A244" s="29">
        <v>2013</v>
      </c>
      <c r="B244" s="29" t="s">
        <v>165</v>
      </c>
      <c r="C244" s="30" t="s">
        <v>47</v>
      </c>
      <c r="D244" s="24" t="str">
        <f t="array" ref="D244">INDEX([1]PARCELLAIRE!$C$2:$C$85,MATCH(A244,IF([1]PARCELLAIRE!$D$2:$D$85=E244,[1]PARCELLAIRE!$A$2:$A$85,""),0))</f>
        <v>PESCADOUX</v>
      </c>
      <c r="E244" s="29" t="s">
        <v>32</v>
      </c>
      <c r="F244" s="31">
        <v>41389</v>
      </c>
      <c r="G244" s="29" t="s">
        <v>58</v>
      </c>
      <c r="H244" s="32" t="s">
        <v>14</v>
      </c>
      <c r="I244" s="24" t="str">
        <f>VLOOKUP(G244,[1]ACHATS!$C:$E,3,0)</f>
        <v>Kg</v>
      </c>
      <c r="J244" s="24" t="str">
        <f>VLOOKUP(G244,[1]ACHATS!$C:$D,2,0)</f>
        <v>AZOTE</v>
      </c>
      <c r="K244" s="33">
        <v>130</v>
      </c>
      <c r="L244" s="33">
        <f>VLOOKUP(E244,[1]PARCELLAIRE!$D$2:$F$29,3,0)</f>
        <v>16.440000000000001</v>
      </c>
      <c r="M244" s="33">
        <f t="shared" si="9"/>
        <v>2137.2000000000003</v>
      </c>
      <c r="N244" s="34">
        <f t="array" ref="N244">INDEX('[1]COUT MOYEN - STOCK'!$G$2:$G$120,MATCH(A244,IF('[1]COUT MOYEN - STOCK'!$B$2:$B$120=G244,'[1]COUT MOYEN - STOCK'!$A$2:$A$120,""),0))</f>
        <v>0.41460714285714284</v>
      </c>
      <c r="O244" s="35">
        <f t="shared" si="10"/>
        <v>886.09838571428577</v>
      </c>
      <c r="P244" s="36" t="str">
        <f t="shared" si="11"/>
        <v>Lescandes Côteau</v>
      </c>
      <c r="Q244" s="40" t="s">
        <v>137</v>
      </c>
    </row>
    <row r="245" spans="1:17">
      <c r="A245" s="29">
        <v>2013</v>
      </c>
      <c r="B245" s="29" t="s">
        <v>165</v>
      </c>
      <c r="C245" s="30" t="s">
        <v>47</v>
      </c>
      <c r="D245" s="24" t="str">
        <f t="array" ref="D245">INDEX([1]PARCELLAIRE!$C$2:$C$85,MATCH(A245,IF([1]PARCELLAIRE!$D$2:$D$85=E245,[1]PARCELLAIRE!$A$2:$A$85,""),0))</f>
        <v>PESCADOUX</v>
      </c>
      <c r="E245" s="29" t="s">
        <v>17</v>
      </c>
      <c r="F245" s="31">
        <v>41389</v>
      </c>
      <c r="G245" s="29" t="s">
        <v>58</v>
      </c>
      <c r="H245" s="32" t="s">
        <v>14</v>
      </c>
      <c r="I245" s="24" t="str">
        <f>VLOOKUP(G245,[1]ACHATS!$C:$E,3,0)</f>
        <v>Kg</v>
      </c>
      <c r="J245" s="24" t="str">
        <f>VLOOKUP(G245,[1]ACHATS!$C:$D,2,0)</f>
        <v>AZOTE</v>
      </c>
      <c r="K245" s="33">
        <v>145</v>
      </c>
      <c r="L245" s="33">
        <f>VLOOKUP(E245,[1]PARCELLAIRE!$D$2:$F$29,3,0)</f>
        <v>5.27</v>
      </c>
      <c r="M245" s="33">
        <f t="shared" si="9"/>
        <v>764.15</v>
      </c>
      <c r="N245" s="34">
        <f t="array" ref="N245">INDEX('[1]COUT MOYEN - STOCK'!$G$2:$G$120,MATCH(A245,IF('[1]COUT MOYEN - STOCK'!$B$2:$B$120=G245,'[1]COUT MOYEN - STOCK'!$A$2:$A$120,""),0))</f>
        <v>0.41460714285714284</v>
      </c>
      <c r="O245" s="35">
        <f t="shared" si="10"/>
        <v>316.8220482142857</v>
      </c>
      <c r="P245" s="36" t="str">
        <f t="shared" si="11"/>
        <v>Bousquet Château</v>
      </c>
      <c r="Q245" s="40" t="s">
        <v>138</v>
      </c>
    </row>
    <row r="246" spans="1:17">
      <c r="A246" s="29">
        <v>2013</v>
      </c>
      <c r="B246" s="29" t="s">
        <v>165</v>
      </c>
      <c r="C246" s="30" t="s">
        <v>47</v>
      </c>
      <c r="D246" s="24" t="str">
        <f t="array" ref="D246">INDEX([1]PARCELLAIRE!$C$2:$C$85,MATCH(A246,IF([1]PARCELLAIRE!$D$2:$D$85=E246,[1]PARCELLAIRE!$A$2:$A$85,""),0))</f>
        <v>MIRADOUX</v>
      </c>
      <c r="E246" s="29" t="s">
        <v>19</v>
      </c>
      <c r="F246" s="31">
        <v>41389</v>
      </c>
      <c r="G246" s="29" t="s">
        <v>58</v>
      </c>
      <c r="H246" s="32" t="s">
        <v>14</v>
      </c>
      <c r="I246" s="24" t="str">
        <f>VLOOKUP(G246,[1]ACHATS!$C:$E,3,0)</f>
        <v>Kg</v>
      </c>
      <c r="J246" s="24" t="str">
        <f>VLOOKUP(G246,[1]ACHATS!$C:$D,2,0)</f>
        <v>AZOTE</v>
      </c>
      <c r="K246" s="33">
        <v>145</v>
      </c>
      <c r="L246" s="33">
        <f>VLOOKUP(E246,[1]PARCELLAIRE!$D$2:$F$29,3,0)</f>
        <v>5.67</v>
      </c>
      <c r="M246" s="33">
        <f t="shared" si="9"/>
        <v>822.15</v>
      </c>
      <c r="N246" s="34">
        <f t="array" ref="N246">INDEX('[1]COUT MOYEN - STOCK'!$G$2:$G$120,MATCH(A246,IF('[1]COUT MOYEN - STOCK'!$B$2:$B$120=G246,'[1]COUT MOYEN - STOCK'!$A$2:$A$120,""),0))</f>
        <v>0.41460714285714284</v>
      </c>
      <c r="O246" s="35">
        <f t="shared" si="10"/>
        <v>340.86926249999999</v>
      </c>
      <c r="P246" s="36" t="str">
        <f t="shared" si="11"/>
        <v>Bousquet Route</v>
      </c>
      <c r="Q246" s="40" t="s">
        <v>138</v>
      </c>
    </row>
    <row r="247" spans="1:17">
      <c r="A247" s="29">
        <v>2013</v>
      </c>
      <c r="B247" s="29" t="s">
        <v>165</v>
      </c>
      <c r="C247" s="30" t="s">
        <v>47</v>
      </c>
      <c r="D247" s="24" t="str">
        <f t="array" ref="D247">INDEX([1]PARCELLAIRE!$C$2:$C$85,MATCH(A247,IF([1]PARCELLAIRE!$D$2:$D$85=E247,[1]PARCELLAIRE!$A$2:$A$85,""),0))</f>
        <v>SCULPTUR</v>
      </c>
      <c r="E247" s="29" t="s">
        <v>20</v>
      </c>
      <c r="F247" s="31">
        <v>41389</v>
      </c>
      <c r="G247" s="29" t="s">
        <v>58</v>
      </c>
      <c r="H247" s="32" t="s">
        <v>14</v>
      </c>
      <c r="I247" s="24" t="str">
        <f>VLOOKUP(G247,[1]ACHATS!$C:$E,3,0)</f>
        <v>Kg</v>
      </c>
      <c r="J247" s="24" t="str">
        <f>VLOOKUP(G247,[1]ACHATS!$C:$D,2,0)</f>
        <v>AZOTE</v>
      </c>
      <c r="K247" s="33">
        <v>160</v>
      </c>
      <c r="L247" s="33">
        <f>VLOOKUP(E247,[1]PARCELLAIRE!$D$2:$F$29,3,0)</f>
        <v>12.49</v>
      </c>
      <c r="M247" s="33">
        <f t="shared" si="9"/>
        <v>1998.4</v>
      </c>
      <c r="N247" s="34">
        <f t="array" ref="N247">INDEX('[1]COUT MOYEN - STOCK'!$G$2:$G$120,MATCH(A247,IF('[1]COUT MOYEN - STOCK'!$B$2:$B$120=G247,'[1]COUT MOYEN - STOCK'!$A$2:$A$120,""),0))</f>
        <v>0.41460714285714284</v>
      </c>
      <c r="O247" s="35">
        <f t="shared" si="10"/>
        <v>828.55091428571427</v>
      </c>
      <c r="P247" s="36" t="str">
        <f t="shared" si="11"/>
        <v>Engleyse Bousquet</v>
      </c>
      <c r="Q247" s="40" t="s">
        <v>139</v>
      </c>
    </row>
    <row r="248" spans="1:17">
      <c r="A248" s="29">
        <v>2013</v>
      </c>
      <c r="B248" s="29" t="s">
        <v>165</v>
      </c>
      <c r="C248" s="30" t="s">
        <v>43</v>
      </c>
      <c r="D248" s="24" t="str">
        <f t="array" ref="D248">INDEX([1]PARCELLAIRE!$C$2:$C$85,MATCH(A248,IF([1]PARCELLAIRE!$D$2:$D$85=E248,[1]PARCELLAIRE!$A$2:$A$85,""),0))</f>
        <v>SOLEIHO</v>
      </c>
      <c r="E248" s="29" t="s">
        <v>29</v>
      </c>
      <c r="F248" s="31">
        <v>41389</v>
      </c>
      <c r="G248" s="29" t="s">
        <v>58</v>
      </c>
      <c r="H248" s="32" t="s">
        <v>14</v>
      </c>
      <c r="I248" s="24" t="str">
        <f>VLOOKUP(G248,[1]ACHATS!$C:$E,3,0)</f>
        <v>Kg</v>
      </c>
      <c r="J248" s="24" t="str">
        <f>VLOOKUP(G248,[1]ACHATS!$C:$D,2,0)</f>
        <v>AZOTE</v>
      </c>
      <c r="K248" s="33">
        <v>130</v>
      </c>
      <c r="L248" s="33">
        <f>VLOOKUP(E248,[1]PARCELLAIRE!$D$2:$F$29,3,0)</f>
        <v>17.55</v>
      </c>
      <c r="M248" s="33">
        <f t="shared" si="9"/>
        <v>2281.5</v>
      </c>
      <c r="N248" s="34">
        <f t="array" ref="N248">INDEX('[1]COUT MOYEN - STOCK'!$G$2:$G$120,MATCH(A248,IF('[1]COUT MOYEN - STOCK'!$B$2:$B$120=G248,'[1]COUT MOYEN - STOCK'!$A$2:$A$120,""),0))</f>
        <v>0.41460714285714284</v>
      </c>
      <c r="O248" s="35">
        <f t="shared" si="10"/>
        <v>945.92619642857142</v>
      </c>
      <c r="P248" s="36" t="str">
        <f t="shared" si="11"/>
        <v>Labaou Plaine</v>
      </c>
      <c r="Q248" s="40" t="s">
        <v>137</v>
      </c>
    </row>
    <row r="249" spans="1:17">
      <c r="A249" s="29">
        <v>2013</v>
      </c>
      <c r="B249" s="29" t="s">
        <v>165</v>
      </c>
      <c r="C249" s="30" t="s">
        <v>47</v>
      </c>
      <c r="D249" s="24" t="str">
        <f t="array" ref="D249">INDEX([1]PARCELLAIRE!$C$2:$C$85,MATCH(A249,IF([1]PARCELLAIRE!$D$2:$D$85=E249,[1]PARCELLAIRE!$A$2:$A$85,""),0))</f>
        <v>MIRADOUX</v>
      </c>
      <c r="E249" s="29" t="s">
        <v>24</v>
      </c>
      <c r="F249" s="31">
        <v>41396</v>
      </c>
      <c r="G249" s="29" t="s">
        <v>78</v>
      </c>
      <c r="H249" s="32" t="s">
        <v>14</v>
      </c>
      <c r="I249" s="24" t="str">
        <f>VLOOKUP(G249,[1]ACHATS!$C:$E,3,0)</f>
        <v>L</v>
      </c>
      <c r="J249" s="24" t="str">
        <f>VLOOKUP(G249,[1]ACHATS!$C:$D,2,0)</f>
        <v>FONGICIDES</v>
      </c>
      <c r="K249" s="33">
        <v>0.3</v>
      </c>
      <c r="L249" s="33">
        <f>VLOOKUP(E249,[1]PARCELLAIRE!$D$2:$F$29,3,0)</f>
        <v>1.34</v>
      </c>
      <c r="M249" s="33">
        <f t="shared" si="9"/>
        <v>0.40200000000000002</v>
      </c>
      <c r="N249" s="34">
        <f t="array" ref="N249">INDEX('[1]COUT MOYEN - STOCK'!$G$2:$G$120,MATCH(A249,IF('[1]COUT MOYEN - STOCK'!$B$2:$B$120=G249,'[1]COUT MOYEN - STOCK'!$A$2:$A$120,""),0))</f>
        <v>37</v>
      </c>
      <c r="O249" s="35">
        <f t="shared" si="10"/>
        <v>14.874000000000001</v>
      </c>
      <c r="P249" s="36" t="str">
        <f t="shared" si="11"/>
        <v>Escarcelou Jachère</v>
      </c>
      <c r="Q249" s="37" t="s">
        <v>14</v>
      </c>
    </row>
    <row r="250" spans="1:17">
      <c r="A250" s="29">
        <v>2013</v>
      </c>
      <c r="B250" s="29" t="s">
        <v>165</v>
      </c>
      <c r="C250" s="30" t="s">
        <v>47</v>
      </c>
      <c r="D250" s="24" t="str">
        <f t="array" ref="D250">INDEX([1]PARCELLAIRE!$C$2:$C$85,MATCH(A250,IF([1]PARCELLAIRE!$D$2:$D$85=E250,[1]PARCELLAIRE!$A$2:$A$85,""),0))</f>
        <v>MIRADOUX</v>
      </c>
      <c r="E250" s="29" t="s">
        <v>24</v>
      </c>
      <c r="F250" s="31">
        <v>41396</v>
      </c>
      <c r="G250" s="29" t="s">
        <v>71</v>
      </c>
      <c r="H250" s="32" t="s">
        <v>14</v>
      </c>
      <c r="I250" s="24" t="str">
        <f>VLOOKUP(G250,[1]ACHATS!$C:$E,3,0)</f>
        <v>L</v>
      </c>
      <c r="J250" s="24" t="str">
        <f>VLOOKUP(G250,[1]ACHATS!$C:$D,2,0)</f>
        <v>FONGICIDES</v>
      </c>
      <c r="K250" s="33">
        <v>1</v>
      </c>
      <c r="L250" s="33">
        <f>VLOOKUP(E250,[1]PARCELLAIRE!$D$2:$F$29,3,0)</f>
        <v>1.34</v>
      </c>
      <c r="M250" s="33">
        <f t="shared" si="9"/>
        <v>1.34</v>
      </c>
      <c r="N250" s="34">
        <f t="array" ref="N250">INDEX('[1]COUT MOYEN - STOCK'!$G$2:$G$120,MATCH(A250,IF('[1]COUT MOYEN - STOCK'!$B$2:$B$120=G250,'[1]COUT MOYEN - STOCK'!$A$2:$A$120,""),0))</f>
        <v>14.4</v>
      </c>
      <c r="O250" s="35">
        <f t="shared" si="10"/>
        <v>19.296000000000003</v>
      </c>
      <c r="P250" s="36" t="str">
        <f t="shared" si="11"/>
        <v>Escarcelou Jachère</v>
      </c>
      <c r="Q250" s="37" t="s">
        <v>14</v>
      </c>
    </row>
    <row r="251" spans="1:17">
      <c r="A251" s="29">
        <v>2013</v>
      </c>
      <c r="B251" s="29" t="s">
        <v>165</v>
      </c>
      <c r="C251" s="30" t="s">
        <v>43</v>
      </c>
      <c r="D251" s="24" t="str">
        <f t="array" ref="D251">INDEX([1]PARCELLAIRE!$C$2:$C$85,MATCH(A251,IF([1]PARCELLAIRE!$D$2:$D$85=E251,[1]PARCELLAIRE!$A$2:$A$85,""),0))</f>
        <v>SOLEIHO</v>
      </c>
      <c r="E251" s="29" t="s">
        <v>29</v>
      </c>
      <c r="F251" s="31">
        <v>41396</v>
      </c>
      <c r="G251" s="29" t="s">
        <v>78</v>
      </c>
      <c r="H251" s="32" t="s">
        <v>14</v>
      </c>
      <c r="I251" s="24" t="str">
        <f>VLOOKUP(G251,[1]ACHATS!$C:$E,3,0)</f>
        <v>L</v>
      </c>
      <c r="J251" s="24" t="str">
        <f>VLOOKUP(G251,[1]ACHATS!$C:$D,2,0)</f>
        <v>FONGICIDES</v>
      </c>
      <c r="K251" s="33">
        <v>0.3</v>
      </c>
      <c r="L251" s="33">
        <f>VLOOKUP(E251,[1]PARCELLAIRE!$D$2:$F$29,3,0)</f>
        <v>17.55</v>
      </c>
      <c r="M251" s="33">
        <f t="shared" si="9"/>
        <v>5.2649999999999997</v>
      </c>
      <c r="N251" s="34">
        <f t="array" ref="N251">INDEX('[1]COUT MOYEN - STOCK'!$G$2:$G$120,MATCH(A251,IF('[1]COUT MOYEN - STOCK'!$B$2:$B$120=G251,'[1]COUT MOYEN - STOCK'!$A$2:$A$120,""),0))</f>
        <v>37</v>
      </c>
      <c r="O251" s="35">
        <f t="shared" si="10"/>
        <v>194.80499999999998</v>
      </c>
      <c r="P251" s="36" t="str">
        <f t="shared" si="11"/>
        <v>Labaou Plaine</v>
      </c>
      <c r="Q251" s="37" t="s">
        <v>14</v>
      </c>
    </row>
    <row r="252" spans="1:17">
      <c r="A252" s="29">
        <v>2013</v>
      </c>
      <c r="B252" s="29" t="s">
        <v>165</v>
      </c>
      <c r="C252" s="30" t="s">
        <v>47</v>
      </c>
      <c r="D252" s="24" t="str">
        <f t="array" ref="D252">INDEX([1]PARCELLAIRE!$C$2:$C$85,MATCH(A252,IF([1]PARCELLAIRE!$D$2:$D$85=E252,[1]PARCELLAIRE!$A$2:$A$85,""),0))</f>
        <v>PESCADOUX</v>
      </c>
      <c r="E252" s="29" t="s">
        <v>17</v>
      </c>
      <c r="F252" s="31">
        <v>41396</v>
      </c>
      <c r="G252" s="29" t="s">
        <v>78</v>
      </c>
      <c r="H252" s="32" t="s">
        <v>14</v>
      </c>
      <c r="I252" s="24" t="str">
        <f>VLOOKUP(G252,[1]ACHATS!$C:$E,3,0)</f>
        <v>L</v>
      </c>
      <c r="J252" s="24" t="str">
        <f>VLOOKUP(G252,[1]ACHATS!$C:$D,2,0)</f>
        <v>FONGICIDES</v>
      </c>
      <c r="K252" s="33">
        <v>0.3</v>
      </c>
      <c r="L252" s="33">
        <f>VLOOKUP(E252,[1]PARCELLAIRE!$D$2:$F$29,3,0)</f>
        <v>5.27</v>
      </c>
      <c r="M252" s="33">
        <f t="shared" si="9"/>
        <v>1.5809999999999997</v>
      </c>
      <c r="N252" s="34">
        <f t="array" ref="N252">INDEX('[1]COUT MOYEN - STOCK'!$G$2:$G$120,MATCH(A252,IF('[1]COUT MOYEN - STOCK'!$B$2:$B$120=G252,'[1]COUT MOYEN - STOCK'!$A$2:$A$120,""),0))</f>
        <v>37</v>
      </c>
      <c r="O252" s="35">
        <f t="shared" si="10"/>
        <v>58.496999999999993</v>
      </c>
      <c r="P252" s="36" t="str">
        <f t="shared" si="11"/>
        <v>Bousquet Château</v>
      </c>
      <c r="Q252" s="37" t="s">
        <v>14</v>
      </c>
    </row>
    <row r="253" spans="1:17">
      <c r="A253" s="29">
        <v>2013</v>
      </c>
      <c r="B253" s="29" t="s">
        <v>165</v>
      </c>
      <c r="C253" s="30" t="s">
        <v>47</v>
      </c>
      <c r="D253" s="24" t="str">
        <f t="array" ref="D253">INDEX([1]PARCELLAIRE!$C$2:$C$85,MATCH(A253,IF([1]PARCELLAIRE!$D$2:$D$85=E253,[1]PARCELLAIRE!$A$2:$A$85,""),0))</f>
        <v>MIRADOUX</v>
      </c>
      <c r="E253" s="29" t="s">
        <v>19</v>
      </c>
      <c r="F253" s="31">
        <v>41396</v>
      </c>
      <c r="G253" s="29" t="s">
        <v>78</v>
      </c>
      <c r="H253" s="32" t="s">
        <v>14</v>
      </c>
      <c r="I253" s="24" t="str">
        <f>VLOOKUP(G253,[1]ACHATS!$C:$E,3,0)</f>
        <v>L</v>
      </c>
      <c r="J253" s="24" t="str">
        <f>VLOOKUP(G253,[1]ACHATS!$C:$D,2,0)</f>
        <v>FONGICIDES</v>
      </c>
      <c r="K253" s="33">
        <v>0.3</v>
      </c>
      <c r="L253" s="33">
        <f>VLOOKUP(E253,[1]PARCELLAIRE!$D$2:$F$29,3,0)</f>
        <v>5.67</v>
      </c>
      <c r="M253" s="33">
        <f t="shared" si="9"/>
        <v>1.7009999999999998</v>
      </c>
      <c r="N253" s="34">
        <f t="array" ref="N253">INDEX('[1]COUT MOYEN - STOCK'!$G$2:$G$120,MATCH(A253,IF('[1]COUT MOYEN - STOCK'!$B$2:$B$120=G253,'[1]COUT MOYEN - STOCK'!$A$2:$A$120,""),0))</f>
        <v>37</v>
      </c>
      <c r="O253" s="35">
        <f t="shared" si="10"/>
        <v>62.936999999999998</v>
      </c>
      <c r="P253" s="36" t="str">
        <f t="shared" si="11"/>
        <v>Bousquet Route</v>
      </c>
      <c r="Q253" s="37" t="s">
        <v>14</v>
      </c>
    </row>
    <row r="254" spans="1:17">
      <c r="A254" s="29">
        <v>2013</v>
      </c>
      <c r="B254" s="29" t="s">
        <v>165</v>
      </c>
      <c r="C254" s="30" t="s">
        <v>47</v>
      </c>
      <c r="D254" s="24" t="str">
        <f t="array" ref="D254">INDEX([1]PARCELLAIRE!$C$2:$C$85,MATCH(A254,IF([1]PARCELLAIRE!$D$2:$D$85=E254,[1]PARCELLAIRE!$A$2:$A$85,""),0))</f>
        <v>SCULPTUR</v>
      </c>
      <c r="E254" s="29" t="s">
        <v>20</v>
      </c>
      <c r="F254" s="31">
        <v>41396</v>
      </c>
      <c r="G254" s="29" t="s">
        <v>78</v>
      </c>
      <c r="H254" s="32" t="s">
        <v>14</v>
      </c>
      <c r="I254" s="24" t="str">
        <f>VLOOKUP(G254,[1]ACHATS!$C:$E,3,0)</f>
        <v>L</v>
      </c>
      <c r="J254" s="24" t="str">
        <f>VLOOKUP(G254,[1]ACHATS!$C:$D,2,0)</f>
        <v>FONGICIDES</v>
      </c>
      <c r="K254" s="33">
        <v>0.3</v>
      </c>
      <c r="L254" s="33">
        <f>VLOOKUP(E254,[1]PARCELLAIRE!$D$2:$F$29,3,0)</f>
        <v>12.49</v>
      </c>
      <c r="M254" s="33">
        <f t="shared" si="9"/>
        <v>3.7469999999999999</v>
      </c>
      <c r="N254" s="34">
        <f t="array" ref="N254">INDEX('[1]COUT MOYEN - STOCK'!$G$2:$G$120,MATCH(A254,IF('[1]COUT MOYEN - STOCK'!$B$2:$B$120=G254,'[1]COUT MOYEN - STOCK'!$A$2:$A$120,""),0))</f>
        <v>37</v>
      </c>
      <c r="O254" s="35">
        <f t="shared" si="10"/>
        <v>138.63900000000001</v>
      </c>
      <c r="P254" s="36" t="str">
        <f t="shared" si="11"/>
        <v>Engleyse Bousquet</v>
      </c>
      <c r="Q254" s="37" t="s">
        <v>14</v>
      </c>
    </row>
    <row r="255" spans="1:17">
      <c r="A255" s="29">
        <v>2013</v>
      </c>
      <c r="B255" s="29" t="s">
        <v>165</v>
      </c>
      <c r="C255" s="30" t="s">
        <v>47</v>
      </c>
      <c r="D255" s="24" t="str">
        <f t="array" ref="D255">INDEX([1]PARCELLAIRE!$C$2:$C$85,MATCH(A255,IF([1]PARCELLAIRE!$D$2:$D$85=E255,[1]PARCELLAIRE!$A$2:$A$85,""),0))</f>
        <v>MIRADOUX</v>
      </c>
      <c r="E255" s="29" t="s">
        <v>23</v>
      </c>
      <c r="F255" s="31">
        <v>41396</v>
      </c>
      <c r="G255" s="29" t="s">
        <v>78</v>
      </c>
      <c r="H255" s="32" t="s">
        <v>14</v>
      </c>
      <c r="I255" s="24" t="str">
        <f>VLOOKUP(G255,[1]ACHATS!$C:$E,3,0)</f>
        <v>L</v>
      </c>
      <c r="J255" s="24" t="str">
        <f>VLOOKUP(G255,[1]ACHATS!$C:$D,2,0)</f>
        <v>FONGICIDES</v>
      </c>
      <c r="K255" s="33">
        <v>0.3</v>
      </c>
      <c r="L255" s="33">
        <f>VLOOKUP(E255,[1]PARCELLAIRE!$D$2:$F$29,3,0)</f>
        <v>7.58</v>
      </c>
      <c r="M255" s="33">
        <f t="shared" si="9"/>
        <v>2.274</v>
      </c>
      <c r="N255" s="34">
        <f t="array" ref="N255">INDEX('[1]COUT MOYEN - STOCK'!$G$2:$G$120,MATCH(A255,IF('[1]COUT MOYEN - STOCK'!$B$2:$B$120=G255,'[1]COUT MOYEN - STOCK'!$A$2:$A$120,""),0))</f>
        <v>37</v>
      </c>
      <c r="O255" s="35">
        <f t="shared" si="10"/>
        <v>84.138000000000005</v>
      </c>
      <c r="P255" s="36" t="str">
        <f t="shared" si="11"/>
        <v>Escarcelou</v>
      </c>
      <c r="Q255" s="37" t="s">
        <v>14</v>
      </c>
    </row>
    <row r="256" spans="1:17">
      <c r="A256" s="29">
        <v>2013</v>
      </c>
      <c r="B256" s="29" t="s">
        <v>165</v>
      </c>
      <c r="C256" s="30" t="s">
        <v>47</v>
      </c>
      <c r="D256" s="24" t="str">
        <f t="array" ref="D256">INDEX([1]PARCELLAIRE!$C$2:$C$85,MATCH(A256,IF([1]PARCELLAIRE!$D$2:$D$85=E256,[1]PARCELLAIRE!$A$2:$A$85,""),0))</f>
        <v>MIRADOUX</v>
      </c>
      <c r="E256" s="29" t="s">
        <v>28</v>
      </c>
      <c r="F256" s="31">
        <v>41396</v>
      </c>
      <c r="G256" s="29" t="s">
        <v>78</v>
      </c>
      <c r="H256" s="32" t="s">
        <v>14</v>
      </c>
      <c r="I256" s="24" t="str">
        <f>VLOOKUP(G256,[1]ACHATS!$C:$E,3,0)</f>
        <v>L</v>
      </c>
      <c r="J256" s="24" t="str">
        <f>VLOOKUP(G256,[1]ACHATS!$C:$D,2,0)</f>
        <v>FONGICIDES</v>
      </c>
      <c r="K256" s="33">
        <v>0.3</v>
      </c>
      <c r="L256" s="33">
        <f>VLOOKUP(E256,[1]PARCELLAIRE!$D$2:$F$29,3,0)</f>
        <v>11.9</v>
      </c>
      <c r="M256" s="33">
        <f t="shared" si="9"/>
        <v>3.57</v>
      </c>
      <c r="N256" s="34">
        <f t="array" ref="N256">INDEX('[1]COUT MOYEN - STOCK'!$G$2:$G$120,MATCH(A256,IF('[1]COUT MOYEN - STOCK'!$B$2:$B$120=G256,'[1]COUT MOYEN - STOCK'!$A$2:$A$120,""),0))</f>
        <v>37</v>
      </c>
      <c r="O256" s="35">
        <f t="shared" si="10"/>
        <v>132.09</v>
      </c>
      <c r="P256" s="36" t="str">
        <f t="shared" si="11"/>
        <v>Labaou Devant</v>
      </c>
      <c r="Q256" s="37" t="s">
        <v>14</v>
      </c>
    </row>
    <row r="257" spans="1:17">
      <c r="A257" s="29">
        <v>2013</v>
      </c>
      <c r="B257" s="29" t="s">
        <v>165</v>
      </c>
      <c r="C257" s="30" t="s">
        <v>47</v>
      </c>
      <c r="D257" s="24" t="str">
        <f t="array" ref="D257">INDEX([1]PARCELLAIRE!$C$2:$C$85,MATCH(A257,IF([1]PARCELLAIRE!$D$2:$D$85=E257,[1]PARCELLAIRE!$A$2:$A$85,""),0))</f>
        <v>MIRADOUX</v>
      </c>
      <c r="E257" s="29" t="s">
        <v>25</v>
      </c>
      <c r="F257" s="31">
        <v>41396</v>
      </c>
      <c r="G257" s="29" t="s">
        <v>78</v>
      </c>
      <c r="H257" s="32" t="s">
        <v>14</v>
      </c>
      <c r="I257" s="24" t="str">
        <f>VLOOKUP(G257,[1]ACHATS!$C:$E,3,0)</f>
        <v>L</v>
      </c>
      <c r="J257" s="24" t="str">
        <f>VLOOKUP(G257,[1]ACHATS!$C:$D,2,0)</f>
        <v>FONGICIDES</v>
      </c>
      <c r="K257" s="33">
        <v>0.3</v>
      </c>
      <c r="L257" s="33">
        <f>VLOOKUP(E257,[1]PARCELLAIRE!$D$2:$F$29,3,0)</f>
        <v>7.5</v>
      </c>
      <c r="M257" s="33">
        <f t="shared" si="9"/>
        <v>2.25</v>
      </c>
      <c r="N257" s="34">
        <f t="array" ref="N257">INDEX('[1]COUT MOYEN - STOCK'!$G$2:$G$120,MATCH(A257,IF('[1]COUT MOYEN - STOCK'!$B$2:$B$120=G257,'[1]COUT MOYEN - STOCK'!$A$2:$A$120,""),0))</f>
        <v>37</v>
      </c>
      <c r="O257" s="35">
        <f t="shared" si="10"/>
        <v>83.25</v>
      </c>
      <c r="P257" s="36" t="str">
        <f t="shared" si="11"/>
        <v>Escarcelou Pte</v>
      </c>
      <c r="Q257" s="37" t="s">
        <v>14</v>
      </c>
    </row>
    <row r="258" spans="1:17">
      <c r="A258" s="29">
        <v>2013</v>
      </c>
      <c r="B258" s="29" t="s">
        <v>165</v>
      </c>
      <c r="C258" s="30" t="s">
        <v>47</v>
      </c>
      <c r="D258" s="24" t="str">
        <f t="array" ref="D258">INDEX([1]PARCELLAIRE!$C$2:$C$85,MATCH(A258,IF([1]PARCELLAIRE!$D$2:$D$85=E258,[1]PARCELLAIRE!$A$2:$A$85,""),0))</f>
        <v>FABULIS - PESCADOUX</v>
      </c>
      <c r="E258" s="29" t="s">
        <v>30</v>
      </c>
      <c r="F258" s="31">
        <v>41396</v>
      </c>
      <c r="G258" s="29" t="s">
        <v>78</v>
      </c>
      <c r="H258" s="32" t="s">
        <v>14</v>
      </c>
      <c r="I258" s="24" t="str">
        <f>VLOOKUP(G258,[1]ACHATS!$C:$E,3,0)</f>
        <v>L</v>
      </c>
      <c r="J258" s="24" t="str">
        <f>VLOOKUP(G258,[1]ACHATS!$C:$D,2,0)</f>
        <v>FONGICIDES</v>
      </c>
      <c r="K258" s="33">
        <v>0.3</v>
      </c>
      <c r="L258" s="33">
        <f>VLOOKUP(E258,[1]PARCELLAIRE!$D$2:$F$29,3,0)</f>
        <v>5.07</v>
      </c>
      <c r="M258" s="33">
        <f t="shared" ref="M258:M321" si="12">L258*K258</f>
        <v>1.5210000000000001</v>
      </c>
      <c r="N258" s="34">
        <f t="array" ref="N258">INDEX('[1]COUT MOYEN - STOCK'!$G$2:$G$120,MATCH(A258,IF('[1]COUT MOYEN - STOCK'!$B$2:$B$120=G258,'[1]COUT MOYEN - STOCK'!$A$2:$A$120,""),0))</f>
        <v>37</v>
      </c>
      <c r="O258" s="35">
        <f t="shared" ref="O258:O321" si="13">N258*M258</f>
        <v>56.277000000000008</v>
      </c>
      <c r="P258" s="36" t="str">
        <f t="shared" ref="P258:P321" si="14">IF(WHEN=A258,E258,1)</f>
        <v>Laclos</v>
      </c>
      <c r="Q258" s="37" t="s">
        <v>14</v>
      </c>
    </row>
    <row r="259" spans="1:17">
      <c r="A259" s="29">
        <v>2013</v>
      </c>
      <c r="B259" s="29" t="s">
        <v>165</v>
      </c>
      <c r="C259" s="30" t="s">
        <v>47</v>
      </c>
      <c r="D259" s="24" t="str">
        <f t="array" ref="D259">INDEX([1]PARCELLAIRE!$C$2:$C$85,MATCH(A259,IF([1]PARCELLAIRE!$D$2:$D$85=E259,[1]PARCELLAIRE!$A$2:$A$85,""),0))</f>
        <v>PESCADOUX</v>
      </c>
      <c r="E259" s="29" t="s">
        <v>31</v>
      </c>
      <c r="F259" s="31">
        <v>41396</v>
      </c>
      <c r="G259" s="29" t="s">
        <v>78</v>
      </c>
      <c r="H259" s="32" t="s">
        <v>14</v>
      </c>
      <c r="I259" s="24" t="str">
        <f>VLOOKUP(G259,[1]ACHATS!$C:$E,3,0)</f>
        <v>L</v>
      </c>
      <c r="J259" s="24" t="str">
        <f>VLOOKUP(G259,[1]ACHATS!$C:$D,2,0)</f>
        <v>FONGICIDES</v>
      </c>
      <c r="K259" s="33">
        <v>0.3</v>
      </c>
      <c r="L259" s="33">
        <f>VLOOKUP(E259,[1]PARCELLAIRE!$D$2:$F$29,3,0)</f>
        <v>2.67</v>
      </c>
      <c r="M259" s="33">
        <f t="shared" si="12"/>
        <v>0.80099999999999993</v>
      </c>
      <c r="N259" s="34">
        <f t="array" ref="N259">INDEX('[1]COUT MOYEN - STOCK'!$G$2:$G$120,MATCH(A259,IF('[1]COUT MOYEN - STOCK'!$B$2:$B$120=G259,'[1]COUT MOYEN - STOCK'!$A$2:$A$120,""),0))</f>
        <v>37</v>
      </c>
      <c r="O259" s="35">
        <f t="shared" si="13"/>
        <v>29.636999999999997</v>
      </c>
      <c r="P259" s="36" t="str">
        <f t="shared" si="14"/>
        <v>Lescandes</v>
      </c>
      <c r="Q259" s="37" t="s">
        <v>14</v>
      </c>
    </row>
    <row r="260" spans="1:17">
      <c r="A260" s="29">
        <v>2013</v>
      </c>
      <c r="B260" s="29" t="s">
        <v>165</v>
      </c>
      <c r="C260" s="30" t="s">
        <v>47</v>
      </c>
      <c r="D260" s="24" t="str">
        <f t="array" ref="D260">INDEX([1]PARCELLAIRE!$C$2:$C$85,MATCH(A260,IF([1]PARCELLAIRE!$D$2:$D$85=E260,[1]PARCELLAIRE!$A$2:$A$85,""),0))</f>
        <v>PESCADOUX</v>
      </c>
      <c r="E260" s="29" t="s">
        <v>32</v>
      </c>
      <c r="F260" s="31">
        <v>41396</v>
      </c>
      <c r="G260" s="29" t="s">
        <v>78</v>
      </c>
      <c r="H260" s="32" t="s">
        <v>14</v>
      </c>
      <c r="I260" s="24" t="str">
        <f>VLOOKUP(G260,[1]ACHATS!$C:$E,3,0)</f>
        <v>L</v>
      </c>
      <c r="J260" s="24" t="str">
        <f>VLOOKUP(G260,[1]ACHATS!$C:$D,2,0)</f>
        <v>FONGICIDES</v>
      </c>
      <c r="K260" s="33">
        <v>0.3</v>
      </c>
      <c r="L260" s="33">
        <f>VLOOKUP(E260,[1]PARCELLAIRE!$D$2:$F$29,3,0)</f>
        <v>16.440000000000001</v>
      </c>
      <c r="M260" s="33">
        <f t="shared" si="12"/>
        <v>4.9320000000000004</v>
      </c>
      <c r="N260" s="34">
        <f t="array" ref="N260">INDEX('[1]COUT MOYEN - STOCK'!$G$2:$G$120,MATCH(A260,IF('[1]COUT MOYEN - STOCK'!$B$2:$B$120=G260,'[1]COUT MOYEN - STOCK'!$A$2:$A$120,""),0))</f>
        <v>37</v>
      </c>
      <c r="O260" s="35">
        <f t="shared" si="13"/>
        <v>182.48400000000001</v>
      </c>
      <c r="P260" s="36" t="str">
        <f t="shared" si="14"/>
        <v>Lescandes Côteau</v>
      </c>
      <c r="Q260" s="37" t="s">
        <v>14</v>
      </c>
    </row>
    <row r="261" spans="1:17">
      <c r="A261" s="29">
        <v>2013</v>
      </c>
      <c r="B261" s="29" t="s">
        <v>165</v>
      </c>
      <c r="C261" s="30" t="s">
        <v>47</v>
      </c>
      <c r="D261" s="24" t="str">
        <f t="array" ref="D261">INDEX([1]PARCELLAIRE!$C$2:$C$85,MATCH(A261,IF([1]PARCELLAIRE!$D$2:$D$85=E261,[1]PARCELLAIRE!$A$2:$A$85,""),0))</f>
        <v>MIRADOUX</v>
      </c>
      <c r="E261" s="29" t="s">
        <v>38</v>
      </c>
      <c r="F261" s="31">
        <v>41396</v>
      </c>
      <c r="G261" s="29" t="s">
        <v>78</v>
      </c>
      <c r="H261" s="32" t="s">
        <v>14</v>
      </c>
      <c r="I261" s="24" t="str">
        <f>VLOOKUP(G261,[1]ACHATS!$C:$E,3,0)</f>
        <v>L</v>
      </c>
      <c r="J261" s="24" t="str">
        <f>VLOOKUP(G261,[1]ACHATS!$C:$D,2,0)</f>
        <v>FONGICIDES</v>
      </c>
      <c r="K261" s="33">
        <v>0.3</v>
      </c>
      <c r="L261" s="33">
        <f>VLOOKUP(E261,[1]PARCELLAIRE!$D$2:$F$29,3,0)</f>
        <v>1.26</v>
      </c>
      <c r="M261" s="33">
        <f t="shared" si="12"/>
        <v>0.378</v>
      </c>
      <c r="N261" s="34">
        <f t="array" ref="N261">INDEX('[1]COUT MOYEN - STOCK'!$G$2:$G$120,MATCH(A261,IF('[1]COUT MOYEN - STOCK'!$B$2:$B$120=G261,'[1]COUT MOYEN - STOCK'!$A$2:$A$120,""),0))</f>
        <v>37</v>
      </c>
      <c r="O261" s="35">
        <f t="shared" si="13"/>
        <v>13.986000000000001</v>
      </c>
      <c r="P261" s="36" t="str">
        <f t="shared" si="14"/>
        <v>Seillonne</v>
      </c>
      <c r="Q261" s="37" t="s">
        <v>14</v>
      </c>
    </row>
    <row r="262" spans="1:17">
      <c r="A262" s="29">
        <v>2013</v>
      </c>
      <c r="B262" s="29" t="s">
        <v>165</v>
      </c>
      <c r="C262" s="30" t="s">
        <v>43</v>
      </c>
      <c r="D262" s="24" t="str">
        <f t="array" ref="D262">INDEX([1]PARCELLAIRE!$C$2:$C$85,MATCH(A262,IF([1]PARCELLAIRE!$D$2:$D$85=E262,[1]PARCELLAIRE!$A$2:$A$85,""),0))</f>
        <v>SOLEIHO</v>
      </c>
      <c r="E262" s="29" t="s">
        <v>29</v>
      </c>
      <c r="F262" s="31">
        <v>41396</v>
      </c>
      <c r="G262" s="29" t="s">
        <v>69</v>
      </c>
      <c r="H262" s="32" t="s">
        <v>14</v>
      </c>
      <c r="I262" s="24" t="str">
        <f>VLOOKUP(G262,[1]ACHATS!$C:$E,3,0)</f>
        <v>Kg</v>
      </c>
      <c r="J262" s="24" t="str">
        <f>VLOOKUP(G262,[1]ACHATS!$C:$D,2,0)</f>
        <v>FONGICIDES</v>
      </c>
      <c r="K262" s="33">
        <v>0.6</v>
      </c>
      <c r="L262" s="33">
        <f>VLOOKUP(E262,[1]PARCELLAIRE!$D$2:$F$29,3,0)</f>
        <v>17.55</v>
      </c>
      <c r="M262" s="33">
        <f t="shared" si="12"/>
        <v>10.53</v>
      </c>
      <c r="N262" s="34">
        <f t="array" ref="N262">INDEX('[1]COUT MOYEN - STOCK'!$G$2:$G$120,MATCH(A262,IF('[1]COUT MOYEN - STOCK'!$B$2:$B$120=G262,'[1]COUT MOYEN - STOCK'!$A$2:$A$120,""),0))</f>
        <v>30.91</v>
      </c>
      <c r="O262" s="35">
        <f t="shared" si="13"/>
        <v>325.48230000000001</v>
      </c>
      <c r="P262" s="36" t="str">
        <f t="shared" si="14"/>
        <v>Labaou Plaine</v>
      </c>
      <c r="Q262" s="37" t="s">
        <v>14</v>
      </c>
    </row>
    <row r="263" spans="1:17">
      <c r="A263" s="29">
        <v>2013</v>
      </c>
      <c r="B263" s="29" t="s">
        <v>165</v>
      </c>
      <c r="C263" s="30" t="s">
        <v>47</v>
      </c>
      <c r="D263" s="24" t="str">
        <f t="array" ref="D263">INDEX([1]PARCELLAIRE!$C$2:$C$85,MATCH(A263,IF([1]PARCELLAIRE!$D$2:$D$85=E263,[1]PARCELLAIRE!$A$2:$A$85,""),0))</f>
        <v>SCULPTUR</v>
      </c>
      <c r="E263" s="29" t="s">
        <v>20</v>
      </c>
      <c r="F263" s="31">
        <v>41396</v>
      </c>
      <c r="G263" s="29" t="s">
        <v>69</v>
      </c>
      <c r="H263" s="32" t="s">
        <v>14</v>
      </c>
      <c r="I263" s="24" t="str">
        <f>VLOOKUP(G263,[1]ACHATS!$C:$E,3,0)</f>
        <v>Kg</v>
      </c>
      <c r="J263" s="24" t="str">
        <f>VLOOKUP(G263,[1]ACHATS!$C:$D,2,0)</f>
        <v>FONGICIDES</v>
      </c>
      <c r="K263" s="33">
        <v>0.6</v>
      </c>
      <c r="L263" s="33">
        <f>VLOOKUP(E263,[1]PARCELLAIRE!$D$2:$F$29,3,0)</f>
        <v>12.49</v>
      </c>
      <c r="M263" s="33">
        <f t="shared" si="12"/>
        <v>7.4939999999999998</v>
      </c>
      <c r="N263" s="34">
        <f t="array" ref="N263">INDEX('[1]COUT MOYEN - STOCK'!$G$2:$G$120,MATCH(A263,IF('[1]COUT MOYEN - STOCK'!$B$2:$B$120=G263,'[1]COUT MOYEN - STOCK'!$A$2:$A$120,""),0))</f>
        <v>30.91</v>
      </c>
      <c r="O263" s="35">
        <f t="shared" si="13"/>
        <v>231.63953999999998</v>
      </c>
      <c r="P263" s="36" t="str">
        <f t="shared" si="14"/>
        <v>Engleyse Bousquet</v>
      </c>
      <c r="Q263" s="37" t="s">
        <v>14</v>
      </c>
    </row>
    <row r="264" spans="1:17">
      <c r="A264" s="29">
        <v>2013</v>
      </c>
      <c r="B264" s="29" t="s">
        <v>165</v>
      </c>
      <c r="C264" s="30" t="s">
        <v>47</v>
      </c>
      <c r="D264" s="24" t="str">
        <f t="array" ref="D264">INDEX([1]PARCELLAIRE!$C$2:$C$85,MATCH(A264,IF([1]PARCELLAIRE!$D$2:$D$85=E264,[1]PARCELLAIRE!$A$2:$A$85,""),0))</f>
        <v>PESCADOUX</v>
      </c>
      <c r="E264" s="29" t="s">
        <v>17</v>
      </c>
      <c r="F264" s="31">
        <v>41396</v>
      </c>
      <c r="G264" s="29" t="s">
        <v>71</v>
      </c>
      <c r="H264" s="32" t="s">
        <v>14</v>
      </c>
      <c r="I264" s="24" t="str">
        <f>VLOOKUP(G264,[1]ACHATS!$C:$E,3,0)</f>
        <v>L</v>
      </c>
      <c r="J264" s="24" t="str">
        <f>VLOOKUP(G264,[1]ACHATS!$C:$D,2,0)</f>
        <v>FONGICIDES</v>
      </c>
      <c r="K264" s="33">
        <v>1</v>
      </c>
      <c r="L264" s="33">
        <f>VLOOKUP(E264,[1]PARCELLAIRE!$D$2:$F$29,3,0)</f>
        <v>5.27</v>
      </c>
      <c r="M264" s="33">
        <f t="shared" si="12"/>
        <v>5.27</v>
      </c>
      <c r="N264" s="34">
        <f t="array" ref="N264">INDEX('[1]COUT MOYEN - STOCK'!$G$2:$G$120,MATCH(A264,IF('[1]COUT MOYEN - STOCK'!$B$2:$B$120=G264,'[1]COUT MOYEN - STOCK'!$A$2:$A$120,""),0))</f>
        <v>14.4</v>
      </c>
      <c r="O264" s="35">
        <f t="shared" si="13"/>
        <v>75.887999999999991</v>
      </c>
      <c r="P264" s="36" t="str">
        <f t="shared" si="14"/>
        <v>Bousquet Château</v>
      </c>
      <c r="Q264" s="37" t="s">
        <v>14</v>
      </c>
    </row>
    <row r="265" spans="1:17">
      <c r="A265" s="29">
        <v>2013</v>
      </c>
      <c r="B265" s="29" t="s">
        <v>165</v>
      </c>
      <c r="C265" s="30" t="s">
        <v>47</v>
      </c>
      <c r="D265" s="24" t="str">
        <f t="array" ref="D265">INDEX([1]PARCELLAIRE!$C$2:$C$85,MATCH(A265,IF([1]PARCELLAIRE!$D$2:$D$85=E265,[1]PARCELLAIRE!$A$2:$A$85,""),0))</f>
        <v>MIRADOUX</v>
      </c>
      <c r="E265" s="29" t="s">
        <v>19</v>
      </c>
      <c r="F265" s="31">
        <v>41396</v>
      </c>
      <c r="G265" s="29" t="s">
        <v>71</v>
      </c>
      <c r="H265" s="32" t="s">
        <v>14</v>
      </c>
      <c r="I265" s="24" t="str">
        <f>VLOOKUP(G265,[1]ACHATS!$C:$E,3,0)</f>
        <v>L</v>
      </c>
      <c r="J265" s="24" t="str">
        <f>VLOOKUP(G265,[1]ACHATS!$C:$D,2,0)</f>
        <v>FONGICIDES</v>
      </c>
      <c r="K265" s="33">
        <v>1</v>
      </c>
      <c r="L265" s="33">
        <f>VLOOKUP(E265,[1]PARCELLAIRE!$D$2:$F$29,3,0)</f>
        <v>5.67</v>
      </c>
      <c r="M265" s="33">
        <f t="shared" si="12"/>
        <v>5.67</v>
      </c>
      <c r="N265" s="34">
        <f t="array" ref="N265">INDEX('[1]COUT MOYEN - STOCK'!$G$2:$G$120,MATCH(A265,IF('[1]COUT MOYEN - STOCK'!$B$2:$B$120=G265,'[1]COUT MOYEN - STOCK'!$A$2:$A$120,""),0))</f>
        <v>14.4</v>
      </c>
      <c r="O265" s="35">
        <f t="shared" si="13"/>
        <v>81.647999999999996</v>
      </c>
      <c r="P265" s="36" t="str">
        <f t="shared" si="14"/>
        <v>Bousquet Route</v>
      </c>
      <c r="Q265" s="37" t="s">
        <v>14</v>
      </c>
    </row>
    <row r="266" spans="1:17">
      <c r="A266" s="29">
        <v>2013</v>
      </c>
      <c r="B266" s="29" t="s">
        <v>165</v>
      </c>
      <c r="C266" s="30" t="s">
        <v>47</v>
      </c>
      <c r="D266" s="24" t="str">
        <f t="array" ref="D266">INDEX([1]PARCELLAIRE!$C$2:$C$85,MATCH(A266,IF([1]PARCELLAIRE!$D$2:$D$85=E266,[1]PARCELLAIRE!$A$2:$A$85,""),0))</f>
        <v>MIRADOUX</v>
      </c>
      <c r="E266" s="29" t="s">
        <v>23</v>
      </c>
      <c r="F266" s="31">
        <v>41396</v>
      </c>
      <c r="G266" s="29" t="s">
        <v>71</v>
      </c>
      <c r="H266" s="32" t="s">
        <v>14</v>
      </c>
      <c r="I266" s="24" t="str">
        <f>VLOOKUP(G266,[1]ACHATS!$C:$E,3,0)</f>
        <v>L</v>
      </c>
      <c r="J266" s="24" t="str">
        <f>VLOOKUP(G266,[1]ACHATS!$C:$D,2,0)</f>
        <v>FONGICIDES</v>
      </c>
      <c r="K266" s="33">
        <v>1</v>
      </c>
      <c r="L266" s="33">
        <f>VLOOKUP(E266,[1]PARCELLAIRE!$D$2:$F$29,3,0)</f>
        <v>7.58</v>
      </c>
      <c r="M266" s="33">
        <f t="shared" si="12"/>
        <v>7.58</v>
      </c>
      <c r="N266" s="34">
        <f t="array" ref="N266">INDEX('[1]COUT MOYEN - STOCK'!$G$2:$G$120,MATCH(A266,IF('[1]COUT MOYEN - STOCK'!$B$2:$B$120=G266,'[1]COUT MOYEN - STOCK'!$A$2:$A$120,""),0))</f>
        <v>14.4</v>
      </c>
      <c r="O266" s="35">
        <f t="shared" si="13"/>
        <v>109.152</v>
      </c>
      <c r="P266" s="36" t="str">
        <f t="shared" si="14"/>
        <v>Escarcelou</v>
      </c>
      <c r="Q266" s="37" t="s">
        <v>14</v>
      </c>
    </row>
    <row r="267" spans="1:17">
      <c r="A267" s="29">
        <v>2013</v>
      </c>
      <c r="B267" s="29" t="s">
        <v>165</v>
      </c>
      <c r="C267" s="30" t="s">
        <v>47</v>
      </c>
      <c r="D267" s="24" t="str">
        <f t="array" ref="D267">INDEX([1]PARCELLAIRE!$C$2:$C$85,MATCH(A267,IF([1]PARCELLAIRE!$D$2:$D$85=E267,[1]PARCELLAIRE!$A$2:$A$85,""),0))</f>
        <v>MIRADOUX</v>
      </c>
      <c r="E267" s="29" t="s">
        <v>28</v>
      </c>
      <c r="F267" s="31">
        <v>41396</v>
      </c>
      <c r="G267" s="29" t="s">
        <v>71</v>
      </c>
      <c r="H267" s="32" t="s">
        <v>14</v>
      </c>
      <c r="I267" s="24" t="str">
        <f>VLOOKUP(G267,[1]ACHATS!$C:$E,3,0)</f>
        <v>L</v>
      </c>
      <c r="J267" s="24" t="str">
        <f>VLOOKUP(G267,[1]ACHATS!$C:$D,2,0)</f>
        <v>FONGICIDES</v>
      </c>
      <c r="K267" s="33">
        <v>1</v>
      </c>
      <c r="L267" s="33">
        <f>VLOOKUP(E267,[1]PARCELLAIRE!$D$2:$F$29,3,0)</f>
        <v>11.9</v>
      </c>
      <c r="M267" s="33">
        <f t="shared" si="12"/>
        <v>11.9</v>
      </c>
      <c r="N267" s="34">
        <f t="array" ref="N267">INDEX('[1]COUT MOYEN - STOCK'!$G$2:$G$120,MATCH(A267,IF('[1]COUT MOYEN - STOCK'!$B$2:$B$120=G267,'[1]COUT MOYEN - STOCK'!$A$2:$A$120,""),0))</f>
        <v>14.4</v>
      </c>
      <c r="O267" s="35">
        <f t="shared" si="13"/>
        <v>171.36</v>
      </c>
      <c r="P267" s="36" t="str">
        <f t="shared" si="14"/>
        <v>Labaou Devant</v>
      </c>
      <c r="Q267" s="37" t="s">
        <v>14</v>
      </c>
    </row>
    <row r="268" spans="1:17">
      <c r="A268" s="29">
        <v>2013</v>
      </c>
      <c r="B268" s="29" t="s">
        <v>165</v>
      </c>
      <c r="C268" s="30" t="s">
        <v>47</v>
      </c>
      <c r="D268" s="24" t="str">
        <f t="array" ref="D268">INDEX([1]PARCELLAIRE!$C$2:$C$85,MATCH(A268,IF([1]PARCELLAIRE!$D$2:$D$85=E268,[1]PARCELLAIRE!$A$2:$A$85,""),0))</f>
        <v>MIRADOUX</v>
      </c>
      <c r="E268" s="29" t="s">
        <v>25</v>
      </c>
      <c r="F268" s="31">
        <v>41396</v>
      </c>
      <c r="G268" s="29" t="s">
        <v>71</v>
      </c>
      <c r="H268" s="32" t="s">
        <v>14</v>
      </c>
      <c r="I268" s="24" t="str">
        <f>VLOOKUP(G268,[1]ACHATS!$C:$E,3,0)</f>
        <v>L</v>
      </c>
      <c r="J268" s="24" t="str">
        <f>VLOOKUP(G268,[1]ACHATS!$C:$D,2,0)</f>
        <v>FONGICIDES</v>
      </c>
      <c r="K268" s="33">
        <v>1</v>
      </c>
      <c r="L268" s="33">
        <f>VLOOKUP(E268,[1]PARCELLAIRE!$D$2:$F$29,3,0)</f>
        <v>7.5</v>
      </c>
      <c r="M268" s="33">
        <f t="shared" si="12"/>
        <v>7.5</v>
      </c>
      <c r="N268" s="34">
        <f t="array" ref="N268">INDEX('[1]COUT MOYEN - STOCK'!$G$2:$G$120,MATCH(A268,IF('[1]COUT MOYEN - STOCK'!$B$2:$B$120=G268,'[1]COUT MOYEN - STOCK'!$A$2:$A$120,""),0))</f>
        <v>14.4</v>
      </c>
      <c r="O268" s="35">
        <f t="shared" si="13"/>
        <v>108</v>
      </c>
      <c r="P268" s="36" t="str">
        <f t="shared" si="14"/>
        <v>Escarcelou Pte</v>
      </c>
      <c r="Q268" s="37" t="s">
        <v>14</v>
      </c>
    </row>
    <row r="269" spans="1:17">
      <c r="A269" s="29">
        <v>2013</v>
      </c>
      <c r="B269" s="29" t="s">
        <v>165</v>
      </c>
      <c r="C269" s="30" t="s">
        <v>47</v>
      </c>
      <c r="D269" s="24" t="str">
        <f t="array" ref="D269">INDEX([1]PARCELLAIRE!$C$2:$C$85,MATCH(A269,IF([1]PARCELLAIRE!$D$2:$D$85=E269,[1]PARCELLAIRE!$A$2:$A$85,""),0))</f>
        <v>FABULIS - PESCADOUX</v>
      </c>
      <c r="E269" s="29" t="s">
        <v>30</v>
      </c>
      <c r="F269" s="31">
        <v>41396</v>
      </c>
      <c r="G269" s="29" t="s">
        <v>79</v>
      </c>
      <c r="H269" s="32" t="s">
        <v>14</v>
      </c>
      <c r="I269" s="24" t="str">
        <f>VLOOKUP(G269,[1]ACHATS!$C:$E,3,0)</f>
        <v>L</v>
      </c>
      <c r="J269" s="24" t="str">
        <f>VLOOKUP(G269,[1]ACHATS!$C:$D,2,0)</f>
        <v>FONGICIDES</v>
      </c>
      <c r="K269" s="33">
        <v>0.6</v>
      </c>
      <c r="L269" s="33">
        <f>VLOOKUP(E269,[1]PARCELLAIRE!$D$2:$F$29,3,0)</f>
        <v>5.07</v>
      </c>
      <c r="M269" s="33">
        <f t="shared" si="12"/>
        <v>3.0420000000000003</v>
      </c>
      <c r="N269" s="34">
        <f t="array" ref="N269">INDEX('[1]COUT MOYEN - STOCK'!$G$2:$G$120,MATCH(A269,IF('[1]COUT MOYEN - STOCK'!$B$2:$B$120=G269,'[1]COUT MOYEN - STOCK'!$A$2:$A$120,""),0))</f>
        <v>59</v>
      </c>
      <c r="O269" s="35">
        <f t="shared" si="13"/>
        <v>179.47800000000001</v>
      </c>
      <c r="P269" s="36" t="str">
        <f t="shared" si="14"/>
        <v>Laclos</v>
      </c>
      <c r="Q269" s="37" t="s">
        <v>14</v>
      </c>
    </row>
    <row r="270" spans="1:17">
      <c r="A270" s="29">
        <v>2013</v>
      </c>
      <c r="B270" s="29" t="s">
        <v>165</v>
      </c>
      <c r="C270" s="30" t="s">
        <v>47</v>
      </c>
      <c r="D270" s="24" t="str">
        <f t="array" ref="D270">INDEX([1]PARCELLAIRE!$C$2:$C$85,MATCH(A270,IF([1]PARCELLAIRE!$D$2:$D$85=E270,[1]PARCELLAIRE!$A$2:$A$85,""),0))</f>
        <v>PESCADOUX</v>
      </c>
      <c r="E270" s="29" t="s">
        <v>31</v>
      </c>
      <c r="F270" s="31">
        <v>41396</v>
      </c>
      <c r="G270" s="29" t="s">
        <v>79</v>
      </c>
      <c r="H270" s="32" t="s">
        <v>14</v>
      </c>
      <c r="I270" s="24" t="str">
        <f>VLOOKUP(G270,[1]ACHATS!$C:$E,3,0)</f>
        <v>L</v>
      </c>
      <c r="J270" s="24" t="str">
        <f>VLOOKUP(G270,[1]ACHATS!$C:$D,2,0)</f>
        <v>FONGICIDES</v>
      </c>
      <c r="K270" s="33">
        <v>0.6</v>
      </c>
      <c r="L270" s="33">
        <f>VLOOKUP(E270,[1]PARCELLAIRE!$D$2:$F$29,3,0)</f>
        <v>2.67</v>
      </c>
      <c r="M270" s="33">
        <f t="shared" si="12"/>
        <v>1.6019999999999999</v>
      </c>
      <c r="N270" s="34">
        <f t="array" ref="N270">INDEX('[1]COUT MOYEN - STOCK'!$G$2:$G$120,MATCH(A270,IF('[1]COUT MOYEN - STOCK'!$B$2:$B$120=G270,'[1]COUT MOYEN - STOCK'!$A$2:$A$120,""),0))</f>
        <v>59</v>
      </c>
      <c r="O270" s="35">
        <f t="shared" si="13"/>
        <v>94.517999999999986</v>
      </c>
      <c r="P270" s="36" t="str">
        <f t="shared" si="14"/>
        <v>Lescandes</v>
      </c>
      <c r="Q270" s="37" t="s">
        <v>14</v>
      </c>
    </row>
    <row r="271" spans="1:17">
      <c r="A271" s="29">
        <v>2013</v>
      </c>
      <c r="B271" s="29" t="s">
        <v>165</v>
      </c>
      <c r="C271" s="30" t="s">
        <v>47</v>
      </c>
      <c r="D271" s="24" t="str">
        <f t="array" ref="D271">INDEX([1]PARCELLAIRE!$C$2:$C$85,MATCH(A271,IF([1]PARCELLAIRE!$D$2:$D$85=E271,[1]PARCELLAIRE!$A$2:$A$85,""),0))</f>
        <v>PESCADOUX</v>
      </c>
      <c r="E271" s="29" t="s">
        <v>32</v>
      </c>
      <c r="F271" s="31">
        <v>41396</v>
      </c>
      <c r="G271" s="29" t="s">
        <v>79</v>
      </c>
      <c r="H271" s="32" t="s">
        <v>14</v>
      </c>
      <c r="I271" s="24" t="str">
        <f>VLOOKUP(G271,[1]ACHATS!$C:$E,3,0)</f>
        <v>L</v>
      </c>
      <c r="J271" s="24" t="str">
        <f>VLOOKUP(G271,[1]ACHATS!$C:$D,2,0)</f>
        <v>FONGICIDES</v>
      </c>
      <c r="K271" s="33">
        <v>0.6</v>
      </c>
      <c r="L271" s="33">
        <f>VLOOKUP(E271,[1]PARCELLAIRE!$D$2:$F$29,3,0)</f>
        <v>16.440000000000001</v>
      </c>
      <c r="M271" s="33">
        <f t="shared" si="12"/>
        <v>9.8640000000000008</v>
      </c>
      <c r="N271" s="34">
        <f t="array" ref="N271">INDEX('[1]COUT MOYEN - STOCK'!$G$2:$G$120,MATCH(A271,IF('[1]COUT MOYEN - STOCK'!$B$2:$B$120=G271,'[1]COUT MOYEN - STOCK'!$A$2:$A$120,""),0))</f>
        <v>59</v>
      </c>
      <c r="O271" s="35">
        <f t="shared" si="13"/>
        <v>581.976</v>
      </c>
      <c r="P271" s="36" t="str">
        <f t="shared" si="14"/>
        <v>Lescandes Côteau</v>
      </c>
      <c r="Q271" s="37" t="s">
        <v>14</v>
      </c>
    </row>
    <row r="272" spans="1:17">
      <c r="A272" s="29">
        <v>2013</v>
      </c>
      <c r="B272" s="29" t="s">
        <v>165</v>
      </c>
      <c r="C272" s="30" t="s">
        <v>47</v>
      </c>
      <c r="D272" s="24" t="str">
        <f t="array" ref="D272">INDEX([1]PARCELLAIRE!$C$2:$C$85,MATCH(A272,IF([1]PARCELLAIRE!$D$2:$D$85=E272,[1]PARCELLAIRE!$A$2:$A$85,""),0))</f>
        <v>MIRADOUX</v>
      </c>
      <c r="E272" s="29" t="s">
        <v>38</v>
      </c>
      <c r="F272" s="31">
        <v>41396</v>
      </c>
      <c r="G272" s="29" t="s">
        <v>79</v>
      </c>
      <c r="H272" s="32" t="s">
        <v>14</v>
      </c>
      <c r="I272" s="24" t="str">
        <f>VLOOKUP(G272,[1]ACHATS!$C:$E,3,0)</f>
        <v>L</v>
      </c>
      <c r="J272" s="24" t="str">
        <f>VLOOKUP(G272,[1]ACHATS!$C:$D,2,0)</f>
        <v>FONGICIDES</v>
      </c>
      <c r="K272" s="33">
        <v>0.6</v>
      </c>
      <c r="L272" s="33">
        <f>VLOOKUP(E272,[1]PARCELLAIRE!$D$2:$F$29,3,0)</f>
        <v>1.26</v>
      </c>
      <c r="M272" s="33">
        <f t="shared" si="12"/>
        <v>0.75600000000000001</v>
      </c>
      <c r="N272" s="34">
        <f t="array" ref="N272">INDEX('[1]COUT MOYEN - STOCK'!$G$2:$G$120,MATCH(A272,IF('[1]COUT MOYEN - STOCK'!$B$2:$B$120=G272,'[1]COUT MOYEN - STOCK'!$A$2:$A$120,""),0))</f>
        <v>59</v>
      </c>
      <c r="O272" s="35">
        <f t="shared" si="13"/>
        <v>44.603999999999999</v>
      </c>
      <c r="P272" s="36" t="str">
        <f t="shared" si="14"/>
        <v>Seillonne</v>
      </c>
      <c r="Q272" s="37" t="s">
        <v>14</v>
      </c>
    </row>
    <row r="273" spans="1:17">
      <c r="A273" s="29">
        <v>2013</v>
      </c>
      <c r="B273" s="29" t="s">
        <v>165</v>
      </c>
      <c r="C273" s="30" t="s">
        <v>47</v>
      </c>
      <c r="D273" s="24" t="str">
        <f t="array" ref="D273">INDEX([1]PARCELLAIRE!$C$2:$C$85,MATCH(A273,IF([1]PARCELLAIRE!$D$2:$D$85=E273,[1]PARCELLAIRE!$A$2:$A$85,""),0))</f>
        <v>PESCADOUX</v>
      </c>
      <c r="E273" s="29" t="s">
        <v>17</v>
      </c>
      <c r="F273" s="31">
        <v>41400</v>
      </c>
      <c r="G273" s="29" t="s">
        <v>80</v>
      </c>
      <c r="H273" s="32" t="s">
        <v>14</v>
      </c>
      <c r="I273" s="24" t="str">
        <f>VLOOKUP(G273,[1]ACHATS!$C:$E,3,0)</f>
        <v>L</v>
      </c>
      <c r="J273" s="24" t="str">
        <f>VLOOKUP(G273,[1]ACHATS!$C:$D,2,0)</f>
        <v>DIVERS</v>
      </c>
      <c r="K273" s="33">
        <v>3</v>
      </c>
      <c r="L273" s="33">
        <f>VLOOKUP(E273,[1]PARCELLAIRE!$D$2:$F$29,3,0)</f>
        <v>5.27</v>
      </c>
      <c r="M273" s="33">
        <f t="shared" si="12"/>
        <v>15.809999999999999</v>
      </c>
      <c r="N273" s="34">
        <f t="array" ref="N273">INDEX('[1]COUT MOYEN - STOCK'!$G$2:$G$120,MATCH(A273,IF('[1]COUT MOYEN - STOCK'!$B$2:$B$120=G273,'[1]COUT MOYEN - STOCK'!$A$2:$A$120,""),0))</f>
        <v>12.3</v>
      </c>
      <c r="O273" s="35">
        <f t="shared" si="13"/>
        <v>194.46299999999999</v>
      </c>
      <c r="P273" s="36" t="str">
        <f t="shared" si="14"/>
        <v>Bousquet Château</v>
      </c>
      <c r="Q273" s="37" t="s">
        <v>14</v>
      </c>
    </row>
    <row r="274" spans="1:17">
      <c r="A274" s="29">
        <v>2013</v>
      </c>
      <c r="B274" s="29" t="s">
        <v>165</v>
      </c>
      <c r="C274" s="30" t="s">
        <v>43</v>
      </c>
      <c r="D274" s="24" t="str">
        <f t="array" ref="D274">INDEX([1]PARCELLAIRE!$C$2:$C$85,MATCH(A274,IF([1]PARCELLAIRE!$D$2:$D$85=E274,[1]PARCELLAIRE!$A$2:$A$85,""),0))</f>
        <v>SOLEIHO</v>
      </c>
      <c r="E274" s="29" t="s">
        <v>29</v>
      </c>
      <c r="F274" s="31">
        <v>41400</v>
      </c>
      <c r="G274" s="29" t="s">
        <v>80</v>
      </c>
      <c r="H274" s="32" t="s">
        <v>14</v>
      </c>
      <c r="I274" s="24" t="str">
        <f>VLOOKUP(G274,[1]ACHATS!$C:$E,3,0)</f>
        <v>L</v>
      </c>
      <c r="J274" s="24" t="str">
        <f>VLOOKUP(G274,[1]ACHATS!$C:$D,2,0)</f>
        <v>DIVERS</v>
      </c>
      <c r="K274" s="33">
        <v>3</v>
      </c>
      <c r="L274" s="33">
        <f>VLOOKUP(E274,[1]PARCELLAIRE!$D$2:$F$29,3,0)</f>
        <v>17.55</v>
      </c>
      <c r="M274" s="33">
        <f t="shared" si="12"/>
        <v>52.650000000000006</v>
      </c>
      <c r="N274" s="34">
        <f t="array" ref="N274">INDEX('[1]COUT MOYEN - STOCK'!$G$2:$G$120,MATCH(A274,IF('[1]COUT MOYEN - STOCK'!$B$2:$B$120=G274,'[1]COUT MOYEN - STOCK'!$A$2:$A$120,""),0))</f>
        <v>12.3</v>
      </c>
      <c r="O274" s="35">
        <f t="shared" si="13"/>
        <v>647.59500000000014</v>
      </c>
      <c r="P274" s="36" t="str">
        <f t="shared" si="14"/>
        <v>Labaou Plaine</v>
      </c>
      <c r="Q274" s="37" t="s">
        <v>14</v>
      </c>
    </row>
    <row r="275" spans="1:17">
      <c r="A275" s="29">
        <v>2013</v>
      </c>
      <c r="B275" s="29" t="s">
        <v>165</v>
      </c>
      <c r="C275" s="30" t="s">
        <v>4</v>
      </c>
      <c r="D275" s="24" t="str">
        <f t="array" ref="D275">INDEX([1]PARCELLAIRE!$C$2:$C$85,MATCH(A275,IF([1]PARCELLAIRE!$D$2:$D$85=E275,[1]PARCELLAIRE!$A$2:$A$85,""),0))</f>
        <v>ISIDOR</v>
      </c>
      <c r="E275" s="29" t="s">
        <v>22</v>
      </c>
      <c r="F275" s="31">
        <v>41407</v>
      </c>
      <c r="G275" s="29" t="s">
        <v>44</v>
      </c>
      <c r="H275" s="32" t="s">
        <v>14</v>
      </c>
      <c r="I275" s="24" t="str">
        <f>VLOOKUP(G275,[1]ACHATS!$C:$E,3,0)</f>
        <v>L</v>
      </c>
      <c r="J275" s="24" t="str">
        <f>VLOOKUP(G275,[1]ACHATS!$C:$D,2,0)</f>
        <v>DESHERBANT</v>
      </c>
      <c r="K275" s="33">
        <v>1.5</v>
      </c>
      <c r="L275" s="33">
        <f>VLOOKUP(E275,[1]PARCELLAIRE!$D$2:$F$29,3,0)</f>
        <v>8.58</v>
      </c>
      <c r="M275" s="33">
        <f t="shared" si="12"/>
        <v>12.870000000000001</v>
      </c>
      <c r="N275" s="34">
        <f t="array" ref="N275">INDEX('[1]COUT MOYEN - STOCK'!$G$2:$G$120,MATCH(A275,IF('[1]COUT MOYEN - STOCK'!$B$2:$B$120=G275,'[1]COUT MOYEN - STOCK'!$A$2:$A$120,""),0))</f>
        <v>4.9381521739130436</v>
      </c>
      <c r="O275" s="35">
        <f t="shared" si="13"/>
        <v>63.554018478260879</v>
      </c>
      <c r="P275" s="36" t="str">
        <f t="shared" si="14"/>
        <v>Engleyse Route</v>
      </c>
      <c r="Q275" s="37" t="s">
        <v>14</v>
      </c>
    </row>
    <row r="276" spans="1:17">
      <c r="A276" s="29">
        <v>2013</v>
      </c>
      <c r="B276" s="29" t="s">
        <v>165</v>
      </c>
      <c r="C276" s="30" t="s">
        <v>41</v>
      </c>
      <c r="D276" s="24" t="str">
        <f t="array" ref="D276">INDEX([1]PARCELLAIRE!$C$2:$C$85,MATCH(A276,IF([1]PARCELLAIRE!$D$2:$D$85=E276,[1]PARCELLAIRE!$A$2:$A$85,""),0))</f>
        <v>ARDICO</v>
      </c>
      <c r="E276" s="29" t="s">
        <v>21</v>
      </c>
      <c r="F276" s="31">
        <v>41407</v>
      </c>
      <c r="G276" s="29" t="s">
        <v>44</v>
      </c>
      <c r="H276" s="32" t="s">
        <v>14</v>
      </c>
      <c r="I276" s="24" t="str">
        <f>VLOOKUP(G276,[1]ACHATS!$C:$E,3,0)</f>
        <v>L</v>
      </c>
      <c r="J276" s="24" t="str">
        <f>VLOOKUP(G276,[1]ACHATS!$C:$D,2,0)</f>
        <v>DESHERBANT</v>
      </c>
      <c r="K276" s="33">
        <v>3</v>
      </c>
      <c r="L276" s="33">
        <f>VLOOKUP(E276,[1]PARCELLAIRE!$D$2:$F$29,3,0)</f>
        <v>10.93</v>
      </c>
      <c r="M276" s="33">
        <f t="shared" si="12"/>
        <v>32.79</v>
      </c>
      <c r="N276" s="34">
        <f t="array" ref="N276">INDEX('[1]COUT MOYEN - STOCK'!$G$2:$G$120,MATCH(A276,IF('[1]COUT MOYEN - STOCK'!$B$2:$B$120=G276,'[1]COUT MOYEN - STOCK'!$A$2:$A$120,""),0))</f>
        <v>4.9381521739130436</v>
      </c>
      <c r="O276" s="35">
        <f t="shared" si="13"/>
        <v>161.92200978260868</v>
      </c>
      <c r="P276" s="36" t="str">
        <f t="shared" si="14"/>
        <v>Engleyse métairie</v>
      </c>
      <c r="Q276" s="37" t="s">
        <v>14</v>
      </c>
    </row>
    <row r="277" spans="1:17">
      <c r="A277" s="29">
        <v>2013</v>
      </c>
      <c r="B277" s="29" t="s">
        <v>165</v>
      </c>
      <c r="C277" s="30" t="s">
        <v>4</v>
      </c>
      <c r="D277" s="24" t="str">
        <f t="array" ref="D277">INDEX([1]PARCELLAIRE!$C$2:$C$85,MATCH(A277,IF([1]PARCELLAIRE!$D$2:$D$85=E277,[1]PARCELLAIRE!$A$2:$A$85,""),0))</f>
        <v>ISIDOR</v>
      </c>
      <c r="E277" s="29" t="s">
        <v>22</v>
      </c>
      <c r="F277" s="31">
        <v>41407</v>
      </c>
      <c r="G277" s="29" t="s">
        <v>45</v>
      </c>
      <c r="H277" s="32" t="s">
        <v>14</v>
      </c>
      <c r="I277" s="24" t="str">
        <f>VLOOKUP(G277,[1]ACHATS!$C:$E,3,0)</f>
        <v>L</v>
      </c>
      <c r="J277" s="24" t="str">
        <f>VLOOKUP(G277,[1]ACHATS!$C:$D,2,0)</f>
        <v>DIVERS</v>
      </c>
      <c r="K277" s="33">
        <v>0.2</v>
      </c>
      <c r="L277" s="33">
        <f>VLOOKUP(E277,[1]PARCELLAIRE!$D$2:$F$29,3,0)</f>
        <v>8.58</v>
      </c>
      <c r="M277" s="33">
        <f t="shared" si="12"/>
        <v>1.7160000000000002</v>
      </c>
      <c r="N277" s="34">
        <f t="array" ref="N277">INDEX('[1]COUT MOYEN - STOCK'!$G$2:$G$120,MATCH(A277,IF('[1]COUT MOYEN - STOCK'!$B$2:$B$120=G277,'[1]COUT MOYEN - STOCK'!$A$2:$A$120,""),0))</f>
        <v>11.01</v>
      </c>
      <c r="O277" s="35">
        <f t="shared" si="13"/>
        <v>18.893160000000002</v>
      </c>
      <c r="P277" s="36" t="str">
        <f t="shared" si="14"/>
        <v>Engleyse Route</v>
      </c>
      <c r="Q277" s="37" t="s">
        <v>14</v>
      </c>
    </row>
    <row r="278" spans="1:17">
      <c r="A278" s="29">
        <v>2013</v>
      </c>
      <c r="B278" s="29" t="s">
        <v>165</v>
      </c>
      <c r="C278" s="30" t="s">
        <v>41</v>
      </c>
      <c r="D278" s="24" t="str">
        <f t="array" ref="D278">INDEX([1]PARCELLAIRE!$C$2:$C$85,MATCH(A278,IF([1]PARCELLAIRE!$D$2:$D$85=E278,[1]PARCELLAIRE!$A$2:$A$85,""),0))</f>
        <v>ARDICO</v>
      </c>
      <c r="E278" s="29" t="s">
        <v>21</v>
      </c>
      <c r="F278" s="31">
        <v>41407</v>
      </c>
      <c r="G278" s="29" t="s">
        <v>45</v>
      </c>
      <c r="H278" s="32" t="s">
        <v>14</v>
      </c>
      <c r="I278" s="24" t="str">
        <f>VLOOKUP(G278,[1]ACHATS!$C:$E,3,0)</f>
        <v>L</v>
      </c>
      <c r="J278" s="24" t="str">
        <f>VLOOKUP(G278,[1]ACHATS!$C:$D,2,0)</f>
        <v>DIVERS</v>
      </c>
      <c r="K278" s="33">
        <v>0.2</v>
      </c>
      <c r="L278" s="33">
        <f>VLOOKUP(E278,[1]PARCELLAIRE!$D$2:$F$29,3,0)</f>
        <v>10.93</v>
      </c>
      <c r="M278" s="33">
        <f t="shared" si="12"/>
        <v>2.1859999999999999</v>
      </c>
      <c r="N278" s="34">
        <f t="array" ref="N278">INDEX('[1]COUT MOYEN - STOCK'!$G$2:$G$120,MATCH(A278,IF('[1]COUT MOYEN - STOCK'!$B$2:$B$120=G278,'[1]COUT MOYEN - STOCK'!$A$2:$A$120,""),0))</f>
        <v>11.01</v>
      </c>
      <c r="O278" s="35">
        <f t="shared" si="13"/>
        <v>24.06786</v>
      </c>
      <c r="P278" s="36" t="str">
        <f t="shared" si="14"/>
        <v>Engleyse métairie</v>
      </c>
      <c r="Q278" s="37" t="s">
        <v>14</v>
      </c>
    </row>
    <row r="279" spans="1:17">
      <c r="A279" s="29">
        <v>2013</v>
      </c>
      <c r="B279" s="29" t="s">
        <v>165</v>
      </c>
      <c r="C279" s="30" t="s">
        <v>39</v>
      </c>
      <c r="D279" s="24" t="str">
        <f t="array" ref="D279">INDEX([1]PARCELLAIRE!$C$2:$C$85,MATCH(A279,IF([1]PARCELLAIRE!$D$2:$D$85=E279,[1]PARCELLAIRE!$A$2:$A$85,""),0))</f>
        <v>MAS 95 OL</v>
      </c>
      <c r="E279" s="29" t="s">
        <v>26</v>
      </c>
      <c r="F279" s="31">
        <v>41407</v>
      </c>
      <c r="G279" s="29" t="s">
        <v>81</v>
      </c>
      <c r="H279" s="32" t="s">
        <v>14</v>
      </c>
      <c r="I279" s="24" t="str">
        <f>VLOOKUP(G279,[1]ACHATS!$C:$E,3,0)</f>
        <v>Dose</v>
      </c>
      <c r="J279" s="24" t="str">
        <f>VLOOKUP(G279,[1]ACHATS!$C:$D,2,0)</f>
        <v>SEMENCES</v>
      </c>
      <c r="K279" s="33">
        <v>0.38</v>
      </c>
      <c r="L279" s="33">
        <f>VLOOKUP(E279,[1]PARCELLAIRE!$D$2:$F$29,3,0)</f>
        <v>5.26</v>
      </c>
      <c r="M279" s="33">
        <f t="shared" si="12"/>
        <v>1.9987999999999999</v>
      </c>
      <c r="N279" s="34">
        <f t="array" ref="N279">INDEX('[1]COUT MOYEN - STOCK'!$G$2:$G$120,MATCH(A279,IF('[1]COUT MOYEN - STOCK'!$B$2:$B$120=G279,'[1]COUT MOYEN - STOCK'!$A$2:$A$120,""),0))</f>
        <v>188</v>
      </c>
      <c r="O279" s="35">
        <f t="shared" si="13"/>
        <v>375.77439999999996</v>
      </c>
      <c r="P279" s="36" t="str">
        <f t="shared" si="14"/>
        <v>L'Aule métairie</v>
      </c>
      <c r="Q279" s="37" t="s">
        <v>14</v>
      </c>
    </row>
    <row r="280" spans="1:17">
      <c r="A280" s="29">
        <v>2013</v>
      </c>
      <c r="B280" s="29" t="s">
        <v>165</v>
      </c>
      <c r="C280" s="30" t="s">
        <v>39</v>
      </c>
      <c r="D280" s="24" t="str">
        <f t="array" ref="D280">INDEX([1]PARCELLAIRE!$C$2:$C$85,MATCH(A280,IF([1]PARCELLAIRE!$D$2:$D$85=E280,[1]PARCELLAIRE!$A$2:$A$85,""),0))</f>
        <v>MAS 95 OL</v>
      </c>
      <c r="E280" s="29" t="s">
        <v>27</v>
      </c>
      <c r="F280" s="31">
        <v>41407</v>
      </c>
      <c r="G280" s="29" t="s">
        <v>81</v>
      </c>
      <c r="H280" s="32" t="s">
        <v>14</v>
      </c>
      <c r="I280" s="24" t="str">
        <f>VLOOKUP(G280,[1]ACHATS!$C:$E,3,0)</f>
        <v>Dose</v>
      </c>
      <c r="J280" s="24" t="str">
        <f>VLOOKUP(G280,[1]ACHATS!$C:$D,2,0)</f>
        <v>SEMENCES</v>
      </c>
      <c r="K280" s="33">
        <v>0.38</v>
      </c>
      <c r="L280" s="33">
        <f>VLOOKUP(E280,[1]PARCELLAIRE!$D$2:$F$29,3,0)</f>
        <v>15.64</v>
      </c>
      <c r="M280" s="33">
        <f t="shared" si="12"/>
        <v>5.9432</v>
      </c>
      <c r="N280" s="34">
        <f t="array" ref="N280">INDEX('[1]COUT MOYEN - STOCK'!$G$2:$G$120,MATCH(A280,IF('[1]COUT MOYEN - STOCK'!$B$2:$B$120=G280,'[1]COUT MOYEN - STOCK'!$A$2:$A$120,""),0))</f>
        <v>188</v>
      </c>
      <c r="O280" s="35">
        <f t="shared" si="13"/>
        <v>1117.3216</v>
      </c>
      <c r="P280" s="36" t="str">
        <f t="shared" si="14"/>
        <v>L'Aule Plaine</v>
      </c>
      <c r="Q280" s="37" t="s">
        <v>14</v>
      </c>
    </row>
    <row r="281" spans="1:17">
      <c r="A281" s="29">
        <v>2013</v>
      </c>
      <c r="B281" s="29" t="s">
        <v>165</v>
      </c>
      <c r="C281" s="30" t="s">
        <v>39</v>
      </c>
      <c r="D281" s="24" t="str">
        <f t="array" ref="D281">INDEX([1]PARCELLAIRE!$C$2:$C$85,MATCH(A281,IF([1]PARCELLAIRE!$D$2:$D$85=E281,[1]PARCELLAIRE!$A$2:$A$85,""),0))</f>
        <v>MAS 95 OL</v>
      </c>
      <c r="E281" s="29" t="s">
        <v>27</v>
      </c>
      <c r="F281" s="31">
        <v>41408</v>
      </c>
      <c r="G281" s="29" t="s">
        <v>82</v>
      </c>
      <c r="H281" s="32" t="s">
        <v>14</v>
      </c>
      <c r="I281" s="24" t="str">
        <f>VLOOKUP(G281,[1]ACHATS!$C:$E,3,0)</f>
        <v>L</v>
      </c>
      <c r="J281" s="24" t="str">
        <f>VLOOKUP(G281,[1]ACHATS!$C:$D,2,0)</f>
        <v>DESHERBANT</v>
      </c>
      <c r="K281" s="33">
        <v>2.87</v>
      </c>
      <c r="L281" s="33">
        <f>VLOOKUP(E281,[1]PARCELLAIRE!$D$2:$F$29,3,0)</f>
        <v>15.64</v>
      </c>
      <c r="M281" s="33">
        <f t="shared" si="12"/>
        <v>44.886800000000001</v>
      </c>
      <c r="N281" s="34">
        <f t="array" ref="N281">INDEX('[1]COUT MOYEN - STOCK'!$G$2:$G$120,MATCH(A281,IF('[1]COUT MOYEN - STOCK'!$B$2:$B$120=G281,'[1]COUT MOYEN - STOCK'!$A$2:$A$120,""),0))</f>
        <v>10.66</v>
      </c>
      <c r="O281" s="35">
        <f t="shared" si="13"/>
        <v>478.49328800000001</v>
      </c>
      <c r="P281" s="36" t="str">
        <f t="shared" si="14"/>
        <v>L'Aule Plaine</v>
      </c>
      <c r="Q281" s="37" t="s">
        <v>14</v>
      </c>
    </row>
    <row r="282" spans="1:17">
      <c r="A282" s="29">
        <v>2013</v>
      </c>
      <c r="B282" s="29" t="s">
        <v>165</v>
      </c>
      <c r="C282" s="30" t="s">
        <v>39</v>
      </c>
      <c r="D282" s="24" t="str">
        <f t="array" ref="D282">INDEX([1]PARCELLAIRE!$C$2:$C$85,MATCH(A282,IF([1]PARCELLAIRE!$D$2:$D$85=E282,[1]PARCELLAIRE!$A$2:$A$85,""),0))</f>
        <v>MAS 95 OL</v>
      </c>
      <c r="E282" s="29" t="s">
        <v>26</v>
      </c>
      <c r="F282" s="31">
        <v>41408</v>
      </c>
      <c r="G282" s="29" t="s">
        <v>82</v>
      </c>
      <c r="H282" s="32" t="s">
        <v>14</v>
      </c>
      <c r="I282" s="24" t="str">
        <f>VLOOKUP(G282,[1]ACHATS!$C:$E,3,0)</f>
        <v>L</v>
      </c>
      <c r="J282" s="24" t="str">
        <f>VLOOKUP(G282,[1]ACHATS!$C:$D,2,0)</f>
        <v>DESHERBANT</v>
      </c>
      <c r="K282" s="33">
        <v>2.87</v>
      </c>
      <c r="L282" s="33">
        <f>VLOOKUP(E282,[1]PARCELLAIRE!$D$2:$F$29,3,0)</f>
        <v>5.26</v>
      </c>
      <c r="M282" s="33">
        <f t="shared" si="12"/>
        <v>15.0962</v>
      </c>
      <c r="N282" s="34">
        <f t="array" ref="N282">INDEX('[1]COUT MOYEN - STOCK'!$G$2:$G$120,MATCH(A282,IF('[1]COUT MOYEN - STOCK'!$B$2:$B$120=G282,'[1]COUT MOYEN - STOCK'!$A$2:$A$120,""),0))</f>
        <v>10.66</v>
      </c>
      <c r="O282" s="35">
        <f t="shared" si="13"/>
        <v>160.92549199999999</v>
      </c>
      <c r="P282" s="36" t="str">
        <f t="shared" si="14"/>
        <v>L'Aule métairie</v>
      </c>
      <c r="Q282" s="37" t="s">
        <v>14</v>
      </c>
    </row>
    <row r="283" spans="1:17">
      <c r="A283" s="29">
        <v>2013</v>
      </c>
      <c r="B283" s="29" t="s">
        <v>165</v>
      </c>
      <c r="C283" s="30" t="s">
        <v>39</v>
      </c>
      <c r="D283" s="24" t="str">
        <f t="array" ref="D283">INDEX([1]PARCELLAIRE!$C$2:$C$85,MATCH(A283,IF([1]PARCELLAIRE!$D$2:$D$85=E283,[1]PARCELLAIRE!$A$2:$A$85,""),0))</f>
        <v>MAS 95 OL</v>
      </c>
      <c r="E283" s="29" t="s">
        <v>26</v>
      </c>
      <c r="F283" s="31">
        <v>41417</v>
      </c>
      <c r="G283" s="29" t="s">
        <v>75</v>
      </c>
      <c r="H283" s="32" t="s">
        <v>14</v>
      </c>
      <c r="I283" s="24" t="str">
        <f>VLOOKUP(G283,[1]ACHATS!$C:$E,3,0)</f>
        <v>Kg</v>
      </c>
      <c r="J283" s="24" t="str">
        <f>VLOOKUP(G283,[1]ACHATS!$C:$D,2,0)</f>
        <v>DESHERBANT</v>
      </c>
      <c r="K283" s="33">
        <v>2.5</v>
      </c>
      <c r="L283" s="33">
        <f>VLOOKUP(E283,[1]PARCELLAIRE!$D$2:$F$29,3,0)</f>
        <v>5.26</v>
      </c>
      <c r="M283" s="33">
        <f t="shared" si="12"/>
        <v>13.149999999999999</v>
      </c>
      <c r="N283" s="34">
        <f t="array" ref="N283">INDEX('[1]COUT MOYEN - STOCK'!$G$2:$G$120,MATCH(A283,IF('[1]COUT MOYEN - STOCK'!$B$2:$B$120=G283,'[1]COUT MOYEN - STOCK'!$A$2:$A$120,""),0))</f>
        <v>20.059999999999999</v>
      </c>
      <c r="O283" s="35">
        <f t="shared" si="13"/>
        <v>263.78899999999993</v>
      </c>
      <c r="P283" s="36" t="str">
        <f t="shared" si="14"/>
        <v>L'Aule métairie</v>
      </c>
      <c r="Q283" s="37" t="s">
        <v>14</v>
      </c>
    </row>
    <row r="284" spans="1:17">
      <c r="A284" s="29">
        <v>2013</v>
      </c>
      <c r="B284" s="29" t="s">
        <v>165</v>
      </c>
      <c r="C284" s="30" t="s">
        <v>39</v>
      </c>
      <c r="D284" s="24" t="str">
        <f t="array" ref="D284">INDEX([1]PARCELLAIRE!$C$2:$C$85,MATCH(A284,IF([1]PARCELLAIRE!$D$2:$D$85=E284,[1]PARCELLAIRE!$A$2:$A$85,""),0))</f>
        <v>MAS 95 OL</v>
      </c>
      <c r="E284" s="29" t="s">
        <v>27</v>
      </c>
      <c r="F284" s="31">
        <v>41417</v>
      </c>
      <c r="G284" s="29" t="s">
        <v>75</v>
      </c>
      <c r="H284" s="32" t="s">
        <v>14</v>
      </c>
      <c r="I284" s="24" t="str">
        <f>VLOOKUP(G284,[1]ACHATS!$C:$E,3,0)</f>
        <v>Kg</v>
      </c>
      <c r="J284" s="24" t="str">
        <f>VLOOKUP(G284,[1]ACHATS!$C:$D,2,0)</f>
        <v>DESHERBANT</v>
      </c>
      <c r="K284" s="33">
        <v>2.5</v>
      </c>
      <c r="L284" s="33">
        <f>VLOOKUP(E284,[1]PARCELLAIRE!$D$2:$F$29,3,0)</f>
        <v>15.64</v>
      </c>
      <c r="M284" s="33">
        <f t="shared" si="12"/>
        <v>39.1</v>
      </c>
      <c r="N284" s="34">
        <f t="array" ref="N284">INDEX('[1]COUT MOYEN - STOCK'!$G$2:$G$120,MATCH(A284,IF('[1]COUT MOYEN - STOCK'!$B$2:$B$120=G284,'[1]COUT MOYEN - STOCK'!$A$2:$A$120,""),0))</f>
        <v>20.059999999999999</v>
      </c>
      <c r="O284" s="35">
        <f t="shared" si="13"/>
        <v>784.346</v>
      </c>
      <c r="P284" s="36" t="str">
        <f t="shared" si="14"/>
        <v>L'Aule Plaine</v>
      </c>
      <c r="Q284" s="37" t="s">
        <v>14</v>
      </c>
    </row>
    <row r="285" spans="1:17">
      <c r="A285" s="29">
        <v>2013</v>
      </c>
      <c r="B285" s="29" t="s">
        <v>165</v>
      </c>
      <c r="C285" s="30" t="s">
        <v>39</v>
      </c>
      <c r="D285" s="24" t="str">
        <f t="array" ref="D285">INDEX([1]PARCELLAIRE!$C$2:$C$85,MATCH(A285,IF([1]PARCELLAIRE!$D$2:$D$85=E285,[1]PARCELLAIRE!$A$2:$A$85,""),0))</f>
        <v>MAS 95 OL</v>
      </c>
      <c r="E285" s="29" t="s">
        <v>26</v>
      </c>
      <c r="F285" s="31">
        <v>41417</v>
      </c>
      <c r="G285" s="29" t="s">
        <v>76</v>
      </c>
      <c r="H285" s="32" t="s">
        <v>14</v>
      </c>
      <c r="I285" s="24" t="str">
        <f>VLOOKUP(G285,[1]ACHATS!$C:$E,3,0)</f>
        <v>Kg</v>
      </c>
      <c r="J285" s="24" t="str">
        <f>VLOOKUP(G285,[1]ACHATS!$C:$D,2,0)</f>
        <v>DESHERBANT</v>
      </c>
      <c r="K285" s="33">
        <v>1.5</v>
      </c>
      <c r="L285" s="33">
        <f>VLOOKUP(E285,[1]PARCELLAIRE!$D$2:$F$29,3,0)</f>
        <v>5.26</v>
      </c>
      <c r="M285" s="33">
        <f t="shared" si="12"/>
        <v>7.89</v>
      </c>
      <c r="N285" s="34">
        <f t="array" ref="N285">INDEX('[1]COUT MOYEN - STOCK'!$G$2:$G$120,MATCH(A285,IF('[1]COUT MOYEN - STOCK'!$B$2:$B$120=G285,'[1]COUT MOYEN - STOCK'!$A$2:$A$120,""),0))</f>
        <v>34.299999999999997</v>
      </c>
      <c r="O285" s="35">
        <f t="shared" si="13"/>
        <v>270.62699999999995</v>
      </c>
      <c r="P285" s="36" t="str">
        <f t="shared" si="14"/>
        <v>L'Aule métairie</v>
      </c>
      <c r="Q285" s="37" t="s">
        <v>14</v>
      </c>
    </row>
    <row r="286" spans="1:17">
      <c r="A286" s="29">
        <v>2013</v>
      </c>
      <c r="B286" s="29" t="s">
        <v>165</v>
      </c>
      <c r="C286" s="30" t="s">
        <v>39</v>
      </c>
      <c r="D286" s="24" t="str">
        <f t="array" ref="D286">INDEX([1]PARCELLAIRE!$C$2:$C$85,MATCH(A286,IF([1]PARCELLAIRE!$D$2:$D$85=E286,[1]PARCELLAIRE!$A$2:$A$85,""),0))</f>
        <v>MAS 95 OL</v>
      </c>
      <c r="E286" s="29" t="s">
        <v>27</v>
      </c>
      <c r="F286" s="31">
        <v>41417</v>
      </c>
      <c r="G286" s="29" t="s">
        <v>76</v>
      </c>
      <c r="H286" s="32" t="s">
        <v>14</v>
      </c>
      <c r="I286" s="24" t="str">
        <f>VLOOKUP(G286,[1]ACHATS!$C:$E,3,0)</f>
        <v>Kg</v>
      </c>
      <c r="J286" s="24" t="str">
        <f>VLOOKUP(G286,[1]ACHATS!$C:$D,2,0)</f>
        <v>DESHERBANT</v>
      </c>
      <c r="K286" s="33">
        <v>1.5</v>
      </c>
      <c r="L286" s="33">
        <f>VLOOKUP(E286,[1]PARCELLAIRE!$D$2:$F$29,3,0)</f>
        <v>15.64</v>
      </c>
      <c r="M286" s="33">
        <f t="shared" si="12"/>
        <v>23.46</v>
      </c>
      <c r="N286" s="34">
        <f t="array" ref="N286">INDEX('[1]COUT MOYEN - STOCK'!$G$2:$G$120,MATCH(A286,IF('[1]COUT MOYEN - STOCK'!$B$2:$B$120=G286,'[1]COUT MOYEN - STOCK'!$A$2:$A$120,""),0))</f>
        <v>34.299999999999997</v>
      </c>
      <c r="O286" s="35">
        <f t="shared" si="13"/>
        <v>804.678</v>
      </c>
      <c r="P286" s="36" t="str">
        <f t="shared" si="14"/>
        <v>L'Aule Plaine</v>
      </c>
      <c r="Q286" s="37" t="s">
        <v>14</v>
      </c>
    </row>
    <row r="287" spans="1:17">
      <c r="A287" s="29">
        <v>2013</v>
      </c>
      <c r="B287" s="29" t="s">
        <v>165</v>
      </c>
      <c r="C287" s="30" t="s">
        <v>43</v>
      </c>
      <c r="D287" s="24" t="str">
        <f t="array" ref="D287">INDEX([1]PARCELLAIRE!$C$2:$C$85,MATCH(A287,IF([1]PARCELLAIRE!$D$2:$D$85=E287,[1]PARCELLAIRE!$A$2:$A$85,""),0))</f>
        <v>SOLEIHO</v>
      </c>
      <c r="E287" s="29" t="s">
        <v>29</v>
      </c>
      <c r="F287" s="31">
        <v>41421</v>
      </c>
      <c r="G287" s="29" t="s">
        <v>83</v>
      </c>
      <c r="H287" s="32" t="s">
        <v>14</v>
      </c>
      <c r="I287" s="24" t="str">
        <f>VLOOKUP(G287,[1]ACHATS!$C:$E,3,0)</f>
        <v>L</v>
      </c>
      <c r="J287" s="24" t="str">
        <f>VLOOKUP(G287,[1]ACHATS!$C:$D,2,0)</f>
        <v>FONGICIDES</v>
      </c>
      <c r="K287" s="33">
        <v>0.57040000000000002</v>
      </c>
      <c r="L287" s="33">
        <f>VLOOKUP(E287,[1]PARCELLAIRE!$D$2:$F$29,3,0)</f>
        <v>17.55</v>
      </c>
      <c r="M287" s="33">
        <f t="shared" si="12"/>
        <v>10.010520000000001</v>
      </c>
      <c r="N287" s="34">
        <f t="array" ref="N287">INDEX('[1]COUT MOYEN - STOCK'!$G$2:$G$120,MATCH(A287,IF('[1]COUT MOYEN - STOCK'!$B$2:$B$120=G287,'[1]COUT MOYEN - STOCK'!$A$2:$A$120,""),0))</f>
        <v>39.669999999999995</v>
      </c>
      <c r="O287" s="35">
        <f t="shared" si="13"/>
        <v>397.11732840000002</v>
      </c>
      <c r="P287" s="36" t="str">
        <f t="shared" si="14"/>
        <v>Labaou Plaine</v>
      </c>
      <c r="Q287" s="37" t="s">
        <v>14</v>
      </c>
    </row>
    <row r="288" spans="1:17">
      <c r="A288" s="29">
        <v>2013</v>
      </c>
      <c r="B288" s="29" t="s">
        <v>165</v>
      </c>
      <c r="C288" s="30" t="s">
        <v>47</v>
      </c>
      <c r="D288" s="24" t="str">
        <f t="array" ref="D288">INDEX([1]PARCELLAIRE!$C$2:$C$85,MATCH(A288,IF([1]PARCELLAIRE!$D$2:$D$85=E288,[1]PARCELLAIRE!$A$2:$A$85,""),0))</f>
        <v>PESCADOUX</v>
      </c>
      <c r="E288" s="29" t="s">
        <v>17</v>
      </c>
      <c r="F288" s="31">
        <v>41421</v>
      </c>
      <c r="G288" s="29" t="s">
        <v>83</v>
      </c>
      <c r="H288" s="32" t="s">
        <v>14</v>
      </c>
      <c r="I288" s="24" t="str">
        <f>VLOOKUP(G288,[1]ACHATS!$C:$E,3,0)</f>
        <v>L</v>
      </c>
      <c r="J288" s="24" t="str">
        <f>VLOOKUP(G288,[1]ACHATS!$C:$D,2,0)</f>
        <v>FONGICIDES</v>
      </c>
      <c r="K288" s="33">
        <v>1.1399999999999999</v>
      </c>
      <c r="L288" s="33">
        <f>VLOOKUP(E288,[1]PARCELLAIRE!$D$2:$F$29,3,0)</f>
        <v>5.27</v>
      </c>
      <c r="M288" s="33">
        <f t="shared" si="12"/>
        <v>6.0077999999999987</v>
      </c>
      <c r="N288" s="34">
        <f t="array" ref="N288">INDEX('[1]COUT MOYEN - STOCK'!$G$2:$G$120,MATCH(A288,IF('[1]COUT MOYEN - STOCK'!$B$2:$B$120=G288,'[1]COUT MOYEN - STOCK'!$A$2:$A$120,""),0))</f>
        <v>39.669999999999995</v>
      </c>
      <c r="O288" s="35">
        <f t="shared" si="13"/>
        <v>238.32942599999993</v>
      </c>
      <c r="P288" s="36" t="str">
        <f t="shared" si="14"/>
        <v>Bousquet Château</v>
      </c>
      <c r="Q288" s="37" t="s">
        <v>14</v>
      </c>
    </row>
    <row r="289" spans="1:17">
      <c r="A289" s="29">
        <v>2013</v>
      </c>
      <c r="B289" s="29" t="s">
        <v>165</v>
      </c>
      <c r="C289" s="30" t="s">
        <v>47</v>
      </c>
      <c r="D289" s="24" t="str">
        <f t="array" ref="D289">INDEX([1]PARCELLAIRE!$C$2:$C$85,MATCH(A289,IF([1]PARCELLAIRE!$D$2:$D$85=E289,[1]PARCELLAIRE!$A$2:$A$85,""),0))</f>
        <v>SCULPTUR</v>
      </c>
      <c r="E289" s="29" t="s">
        <v>20</v>
      </c>
      <c r="F289" s="31">
        <v>41421</v>
      </c>
      <c r="G289" s="29" t="s">
        <v>84</v>
      </c>
      <c r="H289" s="32" t="s">
        <v>14</v>
      </c>
      <c r="I289" s="24" t="str">
        <f>VLOOKUP(G289,[1]ACHATS!$C:$E,3,0)</f>
        <v>L</v>
      </c>
      <c r="J289" s="24" t="str">
        <f>VLOOKUP(G289,[1]ACHATS!$C:$D,2,0)</f>
        <v>FONGICIDES</v>
      </c>
      <c r="K289" s="33">
        <v>0.8</v>
      </c>
      <c r="L289" s="33">
        <f>VLOOKUP(E289,[1]PARCELLAIRE!$D$2:$F$29,3,0)</f>
        <v>12.49</v>
      </c>
      <c r="M289" s="33">
        <f t="shared" si="12"/>
        <v>9.9920000000000009</v>
      </c>
      <c r="N289" s="34">
        <f t="array" ref="N289">INDEX('[1]COUT MOYEN - STOCK'!$G$2:$G$120,MATCH(A289,IF('[1]COUT MOYEN - STOCK'!$B$2:$B$120=G289,'[1]COUT MOYEN - STOCK'!$A$2:$A$120,""),0))</f>
        <v>54</v>
      </c>
      <c r="O289" s="35">
        <f t="shared" si="13"/>
        <v>539.5680000000001</v>
      </c>
      <c r="P289" s="36" t="str">
        <f t="shared" si="14"/>
        <v>Engleyse Bousquet</v>
      </c>
      <c r="Q289" s="37" t="s">
        <v>14</v>
      </c>
    </row>
    <row r="290" spans="1:17">
      <c r="A290" s="29">
        <v>2013</v>
      </c>
      <c r="B290" s="29" t="s">
        <v>165</v>
      </c>
      <c r="C290" s="30" t="s">
        <v>47</v>
      </c>
      <c r="D290" s="24" t="str">
        <f t="array" ref="D290">INDEX([1]PARCELLAIRE!$C$2:$C$85,MATCH(A290,IF([1]PARCELLAIRE!$D$2:$D$85=E290,[1]PARCELLAIRE!$A$2:$A$85,""),0))</f>
        <v>MIRADOUX</v>
      </c>
      <c r="E290" s="29" t="s">
        <v>19</v>
      </c>
      <c r="F290" s="31">
        <v>41421</v>
      </c>
      <c r="G290" s="29" t="s">
        <v>84</v>
      </c>
      <c r="H290" s="32" t="s">
        <v>14</v>
      </c>
      <c r="I290" s="24" t="str">
        <f>VLOOKUP(G290,[1]ACHATS!$C:$E,3,0)</f>
        <v>L</v>
      </c>
      <c r="J290" s="24" t="str">
        <f>VLOOKUP(G290,[1]ACHATS!$C:$D,2,0)</f>
        <v>FONGICIDES</v>
      </c>
      <c r="K290" s="33">
        <v>0.8</v>
      </c>
      <c r="L290" s="33">
        <f>VLOOKUP(E290,[1]PARCELLAIRE!$D$2:$F$29,3,0)</f>
        <v>5.67</v>
      </c>
      <c r="M290" s="33">
        <f t="shared" si="12"/>
        <v>4.5360000000000005</v>
      </c>
      <c r="N290" s="34">
        <f t="array" ref="N290">INDEX('[1]COUT MOYEN - STOCK'!$G$2:$G$120,MATCH(A290,IF('[1]COUT MOYEN - STOCK'!$B$2:$B$120=G290,'[1]COUT MOYEN - STOCK'!$A$2:$A$120,""),0))</f>
        <v>54</v>
      </c>
      <c r="O290" s="35">
        <f t="shared" si="13"/>
        <v>244.94400000000002</v>
      </c>
      <c r="P290" s="36" t="str">
        <f t="shared" si="14"/>
        <v>Bousquet Route</v>
      </c>
      <c r="Q290" s="37" t="s">
        <v>14</v>
      </c>
    </row>
    <row r="291" spans="1:17">
      <c r="A291" s="29">
        <v>2013</v>
      </c>
      <c r="B291" s="29" t="s">
        <v>165</v>
      </c>
      <c r="C291" s="30" t="s">
        <v>47</v>
      </c>
      <c r="D291" s="24" t="str">
        <f t="array" ref="D291">INDEX([1]PARCELLAIRE!$C$2:$C$85,MATCH(A291,IF([1]PARCELLAIRE!$D$2:$D$85=E291,[1]PARCELLAIRE!$A$2:$A$85,""),0))</f>
        <v>MIRADOUX</v>
      </c>
      <c r="E291" s="29" t="s">
        <v>23</v>
      </c>
      <c r="F291" s="31">
        <v>41421</v>
      </c>
      <c r="G291" s="29" t="s">
        <v>84</v>
      </c>
      <c r="H291" s="32" t="s">
        <v>14</v>
      </c>
      <c r="I291" s="24" t="str">
        <f>VLOOKUP(G291,[1]ACHATS!$C:$E,3,0)</f>
        <v>L</v>
      </c>
      <c r="J291" s="24" t="str">
        <f>VLOOKUP(G291,[1]ACHATS!$C:$D,2,0)</f>
        <v>FONGICIDES</v>
      </c>
      <c r="K291" s="33">
        <v>0.8</v>
      </c>
      <c r="L291" s="33">
        <f>VLOOKUP(E291,[1]PARCELLAIRE!$D$2:$F$29,3,0)</f>
        <v>7.58</v>
      </c>
      <c r="M291" s="33">
        <f t="shared" si="12"/>
        <v>6.0640000000000001</v>
      </c>
      <c r="N291" s="34">
        <f t="array" ref="N291">INDEX('[1]COUT MOYEN - STOCK'!$G$2:$G$120,MATCH(A291,IF('[1]COUT MOYEN - STOCK'!$B$2:$B$120=G291,'[1]COUT MOYEN - STOCK'!$A$2:$A$120,""),0))</f>
        <v>54</v>
      </c>
      <c r="O291" s="35">
        <f t="shared" si="13"/>
        <v>327.45600000000002</v>
      </c>
      <c r="P291" s="36" t="str">
        <f t="shared" si="14"/>
        <v>Escarcelou</v>
      </c>
      <c r="Q291" s="37" t="s">
        <v>14</v>
      </c>
    </row>
    <row r="292" spans="1:17">
      <c r="A292" s="29">
        <v>2013</v>
      </c>
      <c r="B292" s="29" t="s">
        <v>165</v>
      </c>
      <c r="C292" s="30" t="s">
        <v>47</v>
      </c>
      <c r="D292" s="24" t="str">
        <f t="array" ref="D292">INDEX([1]PARCELLAIRE!$C$2:$C$85,MATCH(A292,IF([1]PARCELLAIRE!$D$2:$D$85=E292,[1]PARCELLAIRE!$A$2:$A$85,""),0))</f>
        <v>MIRADOUX</v>
      </c>
      <c r="E292" s="29" t="s">
        <v>28</v>
      </c>
      <c r="F292" s="31">
        <v>41421</v>
      </c>
      <c r="G292" s="29" t="s">
        <v>84</v>
      </c>
      <c r="H292" s="32" t="s">
        <v>14</v>
      </c>
      <c r="I292" s="24" t="str">
        <f>VLOOKUP(G292,[1]ACHATS!$C:$E,3,0)</f>
        <v>L</v>
      </c>
      <c r="J292" s="24" t="str">
        <f>VLOOKUP(G292,[1]ACHATS!$C:$D,2,0)</f>
        <v>FONGICIDES</v>
      </c>
      <c r="K292" s="33">
        <v>0.8</v>
      </c>
      <c r="L292" s="33">
        <f>VLOOKUP(E292,[1]PARCELLAIRE!$D$2:$F$29,3,0)</f>
        <v>11.9</v>
      </c>
      <c r="M292" s="33">
        <f t="shared" si="12"/>
        <v>9.5200000000000014</v>
      </c>
      <c r="N292" s="34">
        <f t="array" ref="N292">INDEX('[1]COUT MOYEN - STOCK'!$G$2:$G$120,MATCH(A292,IF('[1]COUT MOYEN - STOCK'!$B$2:$B$120=G292,'[1]COUT MOYEN - STOCK'!$A$2:$A$120,""),0))</f>
        <v>54</v>
      </c>
      <c r="O292" s="35">
        <f t="shared" si="13"/>
        <v>514.08000000000004</v>
      </c>
      <c r="P292" s="36" t="str">
        <f t="shared" si="14"/>
        <v>Labaou Devant</v>
      </c>
      <c r="Q292" s="37" t="s">
        <v>14</v>
      </c>
    </row>
    <row r="293" spans="1:17">
      <c r="A293" s="29">
        <v>2013</v>
      </c>
      <c r="B293" s="29" t="s">
        <v>165</v>
      </c>
      <c r="C293" s="30" t="s">
        <v>47</v>
      </c>
      <c r="D293" s="24" t="str">
        <f t="array" ref="D293">INDEX([1]PARCELLAIRE!$C$2:$C$85,MATCH(A293,IF([1]PARCELLAIRE!$D$2:$D$85=E293,[1]PARCELLAIRE!$A$2:$A$85,""),0))</f>
        <v>MIRADOUX</v>
      </c>
      <c r="E293" s="29" t="s">
        <v>25</v>
      </c>
      <c r="F293" s="31">
        <v>41421</v>
      </c>
      <c r="G293" s="29" t="s">
        <v>84</v>
      </c>
      <c r="H293" s="32" t="s">
        <v>14</v>
      </c>
      <c r="I293" s="24" t="str">
        <f>VLOOKUP(G293,[1]ACHATS!$C:$E,3,0)</f>
        <v>L</v>
      </c>
      <c r="J293" s="24" t="str">
        <f>VLOOKUP(G293,[1]ACHATS!$C:$D,2,0)</f>
        <v>FONGICIDES</v>
      </c>
      <c r="K293" s="33">
        <v>0.8</v>
      </c>
      <c r="L293" s="33">
        <f>VLOOKUP(E293,[1]PARCELLAIRE!$D$2:$F$29,3,0)</f>
        <v>7.5</v>
      </c>
      <c r="M293" s="33">
        <f t="shared" si="12"/>
        <v>6</v>
      </c>
      <c r="N293" s="34">
        <f t="array" ref="N293">INDEX('[1]COUT MOYEN - STOCK'!$G$2:$G$120,MATCH(A293,IF('[1]COUT MOYEN - STOCK'!$B$2:$B$120=G293,'[1]COUT MOYEN - STOCK'!$A$2:$A$120,""),0))</f>
        <v>54</v>
      </c>
      <c r="O293" s="35">
        <f t="shared" si="13"/>
        <v>324</v>
      </c>
      <c r="P293" s="36" t="str">
        <f t="shared" si="14"/>
        <v>Escarcelou Pte</v>
      </c>
      <c r="Q293" s="37" t="s">
        <v>14</v>
      </c>
    </row>
    <row r="294" spans="1:17">
      <c r="A294" s="29">
        <v>2013</v>
      </c>
      <c r="B294" s="29" t="s">
        <v>165</v>
      </c>
      <c r="C294" s="30" t="s">
        <v>47</v>
      </c>
      <c r="D294" s="24" t="str">
        <f t="array" ref="D294">INDEX([1]PARCELLAIRE!$C$2:$C$85,MATCH(A294,IF([1]PARCELLAIRE!$D$2:$D$85=E294,[1]PARCELLAIRE!$A$2:$A$85,""),0))</f>
        <v>FABULIS - PESCADOUX</v>
      </c>
      <c r="E294" s="29" t="s">
        <v>30</v>
      </c>
      <c r="F294" s="31">
        <v>41421</v>
      </c>
      <c r="G294" s="29" t="s">
        <v>84</v>
      </c>
      <c r="H294" s="32" t="s">
        <v>14</v>
      </c>
      <c r="I294" s="24" t="str">
        <f>VLOOKUP(G294,[1]ACHATS!$C:$E,3,0)</f>
        <v>L</v>
      </c>
      <c r="J294" s="24" t="str">
        <f>VLOOKUP(G294,[1]ACHATS!$C:$D,2,0)</f>
        <v>FONGICIDES</v>
      </c>
      <c r="K294" s="33">
        <v>0.8</v>
      </c>
      <c r="L294" s="33">
        <f>VLOOKUP(E294,[1]PARCELLAIRE!$D$2:$F$29,3,0)</f>
        <v>5.07</v>
      </c>
      <c r="M294" s="33">
        <f t="shared" si="12"/>
        <v>4.056</v>
      </c>
      <c r="N294" s="34">
        <f t="array" ref="N294">INDEX('[1]COUT MOYEN - STOCK'!$G$2:$G$120,MATCH(A294,IF('[1]COUT MOYEN - STOCK'!$B$2:$B$120=G294,'[1]COUT MOYEN - STOCK'!$A$2:$A$120,""),0))</f>
        <v>54</v>
      </c>
      <c r="O294" s="35">
        <f t="shared" si="13"/>
        <v>219.024</v>
      </c>
      <c r="P294" s="36" t="str">
        <f t="shared" si="14"/>
        <v>Laclos</v>
      </c>
      <c r="Q294" s="37" t="s">
        <v>14</v>
      </c>
    </row>
    <row r="295" spans="1:17">
      <c r="A295" s="29">
        <v>2013</v>
      </c>
      <c r="B295" s="29" t="s">
        <v>165</v>
      </c>
      <c r="C295" s="30" t="s">
        <v>47</v>
      </c>
      <c r="D295" s="24" t="str">
        <f t="array" ref="D295">INDEX([1]PARCELLAIRE!$C$2:$C$85,MATCH(A295,IF([1]PARCELLAIRE!$D$2:$D$85=E295,[1]PARCELLAIRE!$A$2:$A$85,""),0))</f>
        <v>PESCADOUX</v>
      </c>
      <c r="E295" s="29" t="s">
        <v>31</v>
      </c>
      <c r="F295" s="31">
        <v>41421</v>
      </c>
      <c r="G295" s="29" t="s">
        <v>84</v>
      </c>
      <c r="H295" s="32" t="s">
        <v>14</v>
      </c>
      <c r="I295" s="24" t="str">
        <f>VLOOKUP(G295,[1]ACHATS!$C:$E,3,0)</f>
        <v>L</v>
      </c>
      <c r="J295" s="24" t="str">
        <f>VLOOKUP(G295,[1]ACHATS!$C:$D,2,0)</f>
        <v>FONGICIDES</v>
      </c>
      <c r="K295" s="33">
        <v>0.8</v>
      </c>
      <c r="L295" s="33">
        <f>VLOOKUP(E295,[1]PARCELLAIRE!$D$2:$F$29,3,0)</f>
        <v>2.67</v>
      </c>
      <c r="M295" s="33">
        <f t="shared" si="12"/>
        <v>2.1360000000000001</v>
      </c>
      <c r="N295" s="34">
        <f t="array" ref="N295">INDEX('[1]COUT MOYEN - STOCK'!$G$2:$G$120,MATCH(A295,IF('[1]COUT MOYEN - STOCK'!$B$2:$B$120=G295,'[1]COUT MOYEN - STOCK'!$A$2:$A$120,""),0))</f>
        <v>54</v>
      </c>
      <c r="O295" s="35">
        <f t="shared" si="13"/>
        <v>115.34400000000001</v>
      </c>
      <c r="P295" s="36" t="str">
        <f t="shared" si="14"/>
        <v>Lescandes</v>
      </c>
      <c r="Q295" s="37" t="s">
        <v>14</v>
      </c>
    </row>
    <row r="296" spans="1:17">
      <c r="A296" s="29">
        <v>2013</v>
      </c>
      <c r="B296" s="29" t="s">
        <v>165</v>
      </c>
      <c r="C296" s="30" t="s">
        <v>47</v>
      </c>
      <c r="D296" s="24" t="str">
        <f t="array" ref="D296">INDEX([1]PARCELLAIRE!$C$2:$C$85,MATCH(A296,IF([1]PARCELLAIRE!$D$2:$D$85=E296,[1]PARCELLAIRE!$A$2:$A$85,""),0))</f>
        <v>PESCADOUX</v>
      </c>
      <c r="E296" s="29" t="s">
        <v>32</v>
      </c>
      <c r="F296" s="31">
        <v>41421</v>
      </c>
      <c r="G296" s="29" t="s">
        <v>84</v>
      </c>
      <c r="H296" s="32" t="s">
        <v>14</v>
      </c>
      <c r="I296" s="24" t="str">
        <f>VLOOKUP(G296,[1]ACHATS!$C:$E,3,0)</f>
        <v>L</v>
      </c>
      <c r="J296" s="24" t="str">
        <f>VLOOKUP(G296,[1]ACHATS!$C:$D,2,0)</f>
        <v>FONGICIDES</v>
      </c>
      <c r="K296" s="33">
        <v>0.8</v>
      </c>
      <c r="L296" s="33">
        <f>VLOOKUP(E296,[1]PARCELLAIRE!$D$2:$F$29,3,0)</f>
        <v>16.440000000000001</v>
      </c>
      <c r="M296" s="33">
        <f t="shared" si="12"/>
        <v>13.152000000000001</v>
      </c>
      <c r="N296" s="34">
        <f t="array" ref="N296">INDEX('[1]COUT MOYEN - STOCK'!$G$2:$G$120,MATCH(A296,IF('[1]COUT MOYEN - STOCK'!$B$2:$B$120=G296,'[1]COUT MOYEN - STOCK'!$A$2:$A$120,""),0))</f>
        <v>54</v>
      </c>
      <c r="O296" s="35">
        <f t="shared" si="13"/>
        <v>710.20800000000008</v>
      </c>
      <c r="P296" s="36" t="str">
        <f t="shared" si="14"/>
        <v>Lescandes Côteau</v>
      </c>
      <c r="Q296" s="37" t="s">
        <v>14</v>
      </c>
    </row>
    <row r="297" spans="1:17">
      <c r="A297" s="29">
        <v>2013</v>
      </c>
      <c r="B297" s="29" t="s">
        <v>165</v>
      </c>
      <c r="C297" s="30" t="s">
        <v>47</v>
      </c>
      <c r="D297" s="24" t="str">
        <f t="array" ref="D297">INDEX([1]PARCELLAIRE!$C$2:$C$85,MATCH(A297,IF([1]PARCELLAIRE!$D$2:$D$85=E297,[1]PARCELLAIRE!$A$2:$A$85,""),0))</f>
        <v>MIRADOUX</v>
      </c>
      <c r="E297" s="29" t="s">
        <v>38</v>
      </c>
      <c r="F297" s="31">
        <v>41421</v>
      </c>
      <c r="G297" s="29" t="s">
        <v>84</v>
      </c>
      <c r="H297" s="32" t="s">
        <v>14</v>
      </c>
      <c r="I297" s="24" t="str">
        <f>VLOOKUP(G297,[1]ACHATS!$C:$E,3,0)</f>
        <v>L</v>
      </c>
      <c r="J297" s="24" t="str">
        <f>VLOOKUP(G297,[1]ACHATS!$C:$D,2,0)</f>
        <v>FONGICIDES</v>
      </c>
      <c r="K297" s="33">
        <v>0.8</v>
      </c>
      <c r="L297" s="33">
        <f>VLOOKUP(E297,[1]PARCELLAIRE!$D$2:$F$29,3,0)</f>
        <v>1.26</v>
      </c>
      <c r="M297" s="33">
        <f t="shared" si="12"/>
        <v>1.008</v>
      </c>
      <c r="N297" s="34">
        <f t="array" ref="N297">INDEX('[1]COUT MOYEN - STOCK'!$G$2:$G$120,MATCH(A297,IF('[1]COUT MOYEN - STOCK'!$B$2:$B$120=G297,'[1]COUT MOYEN - STOCK'!$A$2:$A$120,""),0))</f>
        <v>54</v>
      </c>
      <c r="O297" s="35">
        <f t="shared" si="13"/>
        <v>54.432000000000002</v>
      </c>
      <c r="P297" s="36" t="str">
        <f t="shared" si="14"/>
        <v>Seillonne</v>
      </c>
      <c r="Q297" s="37" t="s">
        <v>14</v>
      </c>
    </row>
    <row r="298" spans="1:17">
      <c r="A298" s="29">
        <v>2013</v>
      </c>
      <c r="B298" s="29" t="s">
        <v>165</v>
      </c>
      <c r="C298" s="30" t="s">
        <v>4</v>
      </c>
      <c r="D298" s="24" t="str">
        <f t="array" ref="D298">INDEX([1]PARCELLAIRE!$C$2:$C$85,MATCH(A298,IF([1]PARCELLAIRE!$D$2:$D$85=E298,[1]PARCELLAIRE!$A$2:$A$85,""),0))</f>
        <v>ISIDOR</v>
      </c>
      <c r="E298" s="29" t="s">
        <v>22</v>
      </c>
      <c r="F298" s="31">
        <v>41421</v>
      </c>
      <c r="G298" s="29" t="s">
        <v>85</v>
      </c>
      <c r="H298" s="32" t="s">
        <v>14</v>
      </c>
      <c r="I298" s="24" t="str">
        <f>VLOOKUP(G298,[1]ACHATS!$C:$E,3,0)</f>
        <v>Kg</v>
      </c>
      <c r="J298" s="24" t="str">
        <f>VLOOKUP(G298,[1]ACHATS!$C:$D,2,0)</f>
        <v>SEMENCES</v>
      </c>
      <c r="K298" s="33">
        <v>100</v>
      </c>
      <c r="L298" s="33">
        <f>8.58-2.7</f>
        <v>5.88</v>
      </c>
      <c r="M298" s="33">
        <f t="shared" si="12"/>
        <v>588</v>
      </c>
      <c r="N298" s="34">
        <f t="array" ref="N298">INDEX('[1]COUT MOYEN - STOCK'!$G$2:$G$120,MATCH(A298,IF('[1]COUT MOYEN - STOCK'!$B$2:$B$120=G298,'[1]COUT MOYEN - STOCK'!$A$2:$A$120,""),0))</f>
        <v>0.26</v>
      </c>
      <c r="O298" s="35">
        <f t="shared" si="13"/>
        <v>152.88</v>
      </c>
      <c r="P298" s="36" t="str">
        <f t="shared" si="14"/>
        <v>Engleyse Route</v>
      </c>
      <c r="Q298" s="37" t="s">
        <v>14</v>
      </c>
    </row>
    <row r="299" spans="1:17">
      <c r="A299" s="29">
        <v>2013</v>
      </c>
      <c r="B299" s="29" t="s">
        <v>165</v>
      </c>
      <c r="C299" s="30" t="s">
        <v>4</v>
      </c>
      <c r="D299" s="24" t="str">
        <f t="array" ref="D299">INDEX([1]PARCELLAIRE!$C$2:$C$85,MATCH(A299,IF([1]PARCELLAIRE!$D$2:$D$85=E299,[1]PARCELLAIRE!$A$2:$A$85,""),0))</f>
        <v>ISIDOR</v>
      </c>
      <c r="E299" s="29" t="s">
        <v>22</v>
      </c>
      <c r="F299" s="31">
        <v>41421</v>
      </c>
      <c r="G299" s="29" t="s">
        <v>86</v>
      </c>
      <c r="H299" s="32" t="s">
        <v>14</v>
      </c>
      <c r="I299" s="24" t="str">
        <f>VLOOKUP(G299,[1]ACHATS!$C:$E,3,0)</f>
        <v>Kg</v>
      </c>
      <c r="J299" s="24" t="str">
        <f>VLOOKUP(G299,[1]ACHATS!$C:$D,2,0)</f>
        <v>SEMENCES</v>
      </c>
      <c r="K299" s="33">
        <v>100</v>
      </c>
      <c r="L299" s="33">
        <v>2.7</v>
      </c>
      <c r="M299" s="33">
        <f t="shared" si="12"/>
        <v>270</v>
      </c>
      <c r="N299" s="34">
        <f t="array" ref="N299">INDEX('[1]COUT MOYEN - STOCK'!$G$2:$G$120,MATCH(A299,IF('[1]COUT MOYEN - STOCK'!$B$2:$B$120=G299,'[1]COUT MOYEN - STOCK'!$A$2:$A$120,""),0))</f>
        <v>0.71099999999999997</v>
      </c>
      <c r="O299" s="35">
        <f t="shared" si="13"/>
        <v>191.97</v>
      </c>
      <c r="P299" s="36" t="str">
        <f t="shared" si="14"/>
        <v>Engleyse Route</v>
      </c>
      <c r="Q299" s="37" t="s">
        <v>14</v>
      </c>
    </row>
    <row r="300" spans="1:17">
      <c r="A300" s="29">
        <v>2013</v>
      </c>
      <c r="B300" s="29" t="s">
        <v>165</v>
      </c>
      <c r="C300" s="30" t="s">
        <v>4</v>
      </c>
      <c r="D300" s="24" t="str">
        <f t="array" ref="D300">INDEX([1]PARCELLAIRE!$C$2:$C$85,MATCH(A300,IF([1]PARCELLAIRE!$D$2:$D$85=E300,[1]PARCELLAIRE!$A$2:$A$85,""),0))</f>
        <v>ISIDOR</v>
      </c>
      <c r="E300" s="29" t="s">
        <v>22</v>
      </c>
      <c r="F300" s="31">
        <v>41421</v>
      </c>
      <c r="G300" s="29" t="s">
        <v>87</v>
      </c>
      <c r="H300" s="32" t="s">
        <v>14</v>
      </c>
      <c r="I300" s="24" t="str">
        <f>VLOOKUP(G300,[1]ACHATS!$C:$E,3,0)</f>
        <v>Kg</v>
      </c>
      <c r="J300" s="24" t="str">
        <f>VLOOKUP(G300,[1]ACHATS!$C:$D,2,0)</f>
        <v>DIVERS</v>
      </c>
      <c r="K300" s="33"/>
      <c r="L300" s="33">
        <f>VLOOKUP(E300,[1]PARCELLAIRE!$D$2:$F$29,3,0)</f>
        <v>8.58</v>
      </c>
      <c r="M300" s="33">
        <f t="shared" si="12"/>
        <v>0</v>
      </c>
      <c r="N300" s="34">
        <f t="array" ref="N300">INDEX('[1]COUT MOYEN - STOCK'!$G$2:$G$120,MATCH(A300,IF('[1]COUT MOYEN - STOCK'!$B$2:$B$120=G300,'[1]COUT MOYEN - STOCK'!$A$2:$A$120,""),0))</f>
        <v>33.07</v>
      </c>
      <c r="O300" s="35">
        <f t="shared" si="13"/>
        <v>0</v>
      </c>
      <c r="P300" s="36" t="str">
        <f t="shared" si="14"/>
        <v>Engleyse Route</v>
      </c>
      <c r="Q300" s="37" t="s">
        <v>14</v>
      </c>
    </row>
    <row r="301" spans="1:17">
      <c r="A301" s="29">
        <v>2013</v>
      </c>
      <c r="B301" s="29" t="s">
        <v>165</v>
      </c>
      <c r="C301" s="30" t="s">
        <v>47</v>
      </c>
      <c r="D301" s="24" t="str">
        <f t="array" ref="D301">INDEX([1]PARCELLAIRE!$C$2:$C$85,MATCH(A301,IF([1]PARCELLAIRE!$D$2:$D$85=E301,[1]PARCELLAIRE!$A$2:$A$85,""),0))</f>
        <v>MIRADOUX</v>
      </c>
      <c r="E301" s="29" t="s">
        <v>24</v>
      </c>
      <c r="F301" s="31">
        <v>41421</v>
      </c>
      <c r="G301" s="29" t="s">
        <v>84</v>
      </c>
      <c r="H301" s="32" t="s">
        <v>14</v>
      </c>
      <c r="I301" s="24" t="str">
        <f>VLOOKUP(G301,[1]ACHATS!$C:$E,3,0)</f>
        <v>L</v>
      </c>
      <c r="J301" s="24" t="str">
        <f>VLOOKUP(G301,[1]ACHATS!$C:$D,2,0)</f>
        <v>FONGICIDES</v>
      </c>
      <c r="K301" s="33">
        <v>0.8</v>
      </c>
      <c r="L301" s="33">
        <f>VLOOKUP(E301,[1]PARCELLAIRE!$D$2:$F$29,3,0)</f>
        <v>1.34</v>
      </c>
      <c r="M301" s="33">
        <f t="shared" si="12"/>
        <v>1.0720000000000001</v>
      </c>
      <c r="N301" s="34">
        <f t="array" ref="N301">INDEX('[1]COUT MOYEN - STOCK'!$G$2:$G$120,MATCH(A301,IF('[1]COUT MOYEN - STOCK'!$B$2:$B$120=G301,'[1]COUT MOYEN - STOCK'!$A$2:$A$120,""),0))</f>
        <v>54</v>
      </c>
      <c r="O301" s="35">
        <f t="shared" si="13"/>
        <v>57.888000000000005</v>
      </c>
      <c r="P301" s="36" t="str">
        <f t="shared" si="14"/>
        <v>Escarcelou Jachère</v>
      </c>
      <c r="Q301" s="37" t="s">
        <v>14</v>
      </c>
    </row>
    <row r="302" spans="1:17">
      <c r="A302" s="29">
        <v>2013</v>
      </c>
      <c r="B302" s="29" t="s">
        <v>165</v>
      </c>
      <c r="C302" s="30" t="s">
        <v>41</v>
      </c>
      <c r="D302" s="24" t="str">
        <f t="array" ref="D302">INDEX([1]PARCELLAIRE!$C$2:$C$85,MATCH(A302,IF([1]PARCELLAIRE!$D$2:$D$85=E302,[1]PARCELLAIRE!$A$2:$A$85,""),0))</f>
        <v>ARDICO</v>
      </c>
      <c r="E302" s="29" t="s">
        <v>21</v>
      </c>
      <c r="F302" s="31">
        <v>41431</v>
      </c>
      <c r="G302" s="29" t="s">
        <v>88</v>
      </c>
      <c r="H302" s="32" t="s">
        <v>14</v>
      </c>
      <c r="I302" s="24" t="str">
        <f>VLOOKUP(G302,[1]ACHATS!$C:$E,3,0)</f>
        <v>Kg</v>
      </c>
      <c r="J302" s="24" t="str">
        <f>VLOOKUP(G302,[1]ACHATS!$C:$D,2,0)</f>
        <v>SEMENCES</v>
      </c>
      <c r="K302" s="33">
        <v>0.96</v>
      </c>
      <c r="L302" s="33">
        <f>VLOOKUP(E302,[1]PARCELLAIRE!$D$2:$F$29,3,0)</f>
        <v>10.93</v>
      </c>
      <c r="M302" s="33">
        <f t="shared" si="12"/>
        <v>10.492799999999999</v>
      </c>
      <c r="N302" s="34">
        <f t="array" ref="N302">INDEX('[1]COUT MOYEN - STOCK'!$G$2:$G$120,MATCH(A302,IF('[1]COUT MOYEN - STOCK'!$B$2:$B$120=G302,'[1]COUT MOYEN - STOCK'!$A$2:$A$120,""),0))</f>
        <v>105</v>
      </c>
      <c r="O302" s="35">
        <f t="shared" si="13"/>
        <v>1101.7439999999999</v>
      </c>
      <c r="P302" s="36" t="str">
        <f t="shared" si="14"/>
        <v>Engleyse métairie</v>
      </c>
      <c r="Q302" s="37" t="s">
        <v>14</v>
      </c>
    </row>
    <row r="303" spans="1:17">
      <c r="A303" s="29">
        <v>2013</v>
      </c>
      <c r="B303" s="29" t="s">
        <v>165</v>
      </c>
      <c r="C303" s="30" t="s">
        <v>39</v>
      </c>
      <c r="D303" s="24" t="str">
        <f t="array" ref="D303">INDEX([1]PARCELLAIRE!$C$2:$C$85,MATCH(A303,IF([1]PARCELLAIRE!$D$2:$D$85=E303,[1]PARCELLAIRE!$A$2:$A$85,""),0))</f>
        <v>MAS 95 OL</v>
      </c>
      <c r="E303" s="29" t="s">
        <v>26</v>
      </c>
      <c r="F303" s="31">
        <v>41439</v>
      </c>
      <c r="G303" s="29" t="s">
        <v>74</v>
      </c>
      <c r="H303" s="32" t="s">
        <v>14</v>
      </c>
      <c r="I303" s="24" t="str">
        <f>VLOOKUP(G303,[1]ACHATS!$C:$E,3,0)</f>
        <v>Dose</v>
      </c>
      <c r="J303" s="24" t="str">
        <f>VLOOKUP(G303,[1]ACHATS!$C:$D,2,0)</f>
        <v>SEMENCES</v>
      </c>
      <c r="K303" s="33">
        <v>0.43</v>
      </c>
      <c r="L303" s="33">
        <f>VLOOKUP(E303,[1]PARCELLAIRE!$D$2:$F$29,3,0)</f>
        <v>5.26</v>
      </c>
      <c r="M303" s="33">
        <f t="shared" si="12"/>
        <v>2.2618</v>
      </c>
      <c r="N303" s="34">
        <f t="array" ref="N303">INDEX('[1]COUT MOYEN - STOCK'!$G$2:$G$120,MATCH(A303,IF('[1]COUT MOYEN - STOCK'!$B$2:$B$120=G303,'[1]COUT MOYEN - STOCK'!$A$2:$A$120,""),0))</f>
        <v>225.00333333333333</v>
      </c>
      <c r="O303" s="35">
        <f t="shared" si="13"/>
        <v>508.91253933333331</v>
      </c>
      <c r="P303" s="36" t="str">
        <f t="shared" si="14"/>
        <v>L'Aule métairie</v>
      </c>
      <c r="Q303" s="37" t="s">
        <v>14</v>
      </c>
    </row>
    <row r="304" spans="1:17">
      <c r="A304" s="29">
        <v>2013</v>
      </c>
      <c r="B304" s="29" t="s">
        <v>165</v>
      </c>
      <c r="C304" s="30" t="s">
        <v>39</v>
      </c>
      <c r="D304" s="24" t="str">
        <f t="array" ref="D304">INDEX([1]PARCELLAIRE!$C$2:$C$85,MATCH(A304,IF([1]PARCELLAIRE!$D$2:$D$85=E304,[1]PARCELLAIRE!$A$2:$A$85,""),0))</f>
        <v>SY SAMIN</v>
      </c>
      <c r="E304" s="29" t="s">
        <v>36</v>
      </c>
      <c r="F304" s="31">
        <v>41449</v>
      </c>
      <c r="G304" s="29" t="s">
        <v>89</v>
      </c>
      <c r="H304" s="32" t="s">
        <v>14</v>
      </c>
      <c r="I304" s="24" t="str">
        <f>VLOOKUP(G304,[1]ACHATS!$C:$E,3,0)</f>
        <v>L</v>
      </c>
      <c r="J304" s="24" t="str">
        <f>VLOOKUP(G304,[1]ACHATS!$C:$D,2,0)</f>
        <v>DESHERBANT</v>
      </c>
      <c r="K304" s="33">
        <v>1</v>
      </c>
      <c r="L304" s="33">
        <f>VLOOKUP(E304,[1]PARCELLAIRE!$D$2:$F$29,3,0)</f>
        <v>4.42</v>
      </c>
      <c r="M304" s="33">
        <f t="shared" si="12"/>
        <v>4.42</v>
      </c>
      <c r="N304" s="34">
        <f t="array" ref="N304">INDEX('[1]COUT MOYEN - STOCK'!$G$2:$G$120,MATCH(A304,IF('[1]COUT MOYEN - STOCK'!$B$2:$B$120=G304,'[1]COUT MOYEN - STOCK'!$A$2:$A$120,""),0))</f>
        <v>47.236499999999999</v>
      </c>
      <c r="O304" s="35">
        <f t="shared" si="13"/>
        <v>208.78532999999999</v>
      </c>
      <c r="P304" s="36" t="str">
        <f t="shared" si="14"/>
        <v>Picotalène Nord</v>
      </c>
      <c r="Q304" s="37" t="s">
        <v>14</v>
      </c>
    </row>
    <row r="305" spans="1:17">
      <c r="A305" s="29">
        <v>2013</v>
      </c>
      <c r="B305" s="29" t="s">
        <v>165</v>
      </c>
      <c r="C305" s="30" t="s">
        <v>39</v>
      </c>
      <c r="D305" s="24" t="str">
        <f t="array" ref="D305">INDEX([1]PARCELLAIRE!$C$2:$C$85,MATCH(A305,IF([1]PARCELLAIRE!$D$2:$D$85=E305,[1]PARCELLAIRE!$A$2:$A$85,""),0))</f>
        <v>SY SAMIN</v>
      </c>
      <c r="E305" s="29" t="s">
        <v>37</v>
      </c>
      <c r="F305" s="31">
        <v>41449</v>
      </c>
      <c r="G305" s="29" t="s">
        <v>89</v>
      </c>
      <c r="H305" s="32" t="s">
        <v>14</v>
      </c>
      <c r="I305" s="24" t="str">
        <f>VLOOKUP(G305,[1]ACHATS!$C:$E,3,0)</f>
        <v>L</v>
      </c>
      <c r="J305" s="24" t="str">
        <f>VLOOKUP(G305,[1]ACHATS!$C:$D,2,0)</f>
        <v>DESHERBANT</v>
      </c>
      <c r="K305" s="33">
        <v>1</v>
      </c>
      <c r="L305" s="33">
        <f>VLOOKUP(E305,[1]PARCELLAIRE!$D$2:$F$29,3,0)</f>
        <v>12.06</v>
      </c>
      <c r="M305" s="33">
        <f t="shared" si="12"/>
        <v>12.06</v>
      </c>
      <c r="N305" s="34">
        <f t="array" ref="N305">INDEX('[1]COUT MOYEN - STOCK'!$G$2:$G$120,MATCH(A305,IF('[1]COUT MOYEN - STOCK'!$B$2:$B$120=G305,'[1]COUT MOYEN - STOCK'!$A$2:$A$120,""),0))</f>
        <v>47.236499999999999</v>
      </c>
      <c r="O305" s="35">
        <f t="shared" si="13"/>
        <v>569.67219</v>
      </c>
      <c r="P305" s="36" t="str">
        <f t="shared" si="14"/>
        <v>Pourtanel</v>
      </c>
      <c r="Q305" s="37" t="s">
        <v>14</v>
      </c>
    </row>
    <row r="306" spans="1:17">
      <c r="A306" s="29">
        <v>2013</v>
      </c>
      <c r="B306" s="29" t="s">
        <v>165</v>
      </c>
      <c r="C306" s="30" t="s">
        <v>39</v>
      </c>
      <c r="D306" s="24" t="str">
        <f t="array" ref="D306">INDEX([1]PARCELLAIRE!$C$2:$C$85,MATCH(A306,IF([1]PARCELLAIRE!$D$2:$D$85=E306,[1]PARCELLAIRE!$A$2:$A$85,""),0))</f>
        <v>SY SAMIN</v>
      </c>
      <c r="E306" s="29" t="s">
        <v>35</v>
      </c>
      <c r="F306" s="31">
        <v>41449</v>
      </c>
      <c r="G306" s="29" t="s">
        <v>89</v>
      </c>
      <c r="H306" s="32" t="s">
        <v>14</v>
      </c>
      <c r="I306" s="24" t="str">
        <f>VLOOKUP(G306,[1]ACHATS!$C:$E,3,0)</f>
        <v>L</v>
      </c>
      <c r="J306" s="24" t="str">
        <f>VLOOKUP(G306,[1]ACHATS!$C:$D,2,0)</f>
        <v>DESHERBANT</v>
      </c>
      <c r="K306" s="33">
        <v>1</v>
      </c>
      <c r="L306" s="33">
        <f>VLOOKUP(E306,[1]PARCELLAIRE!$D$2:$F$29,3,0)</f>
        <v>4.12</v>
      </c>
      <c r="M306" s="33">
        <f t="shared" si="12"/>
        <v>4.12</v>
      </c>
      <c r="N306" s="34">
        <f t="array" ref="N306">INDEX('[1]COUT MOYEN - STOCK'!$G$2:$G$120,MATCH(A306,IF('[1]COUT MOYEN - STOCK'!$B$2:$B$120=G306,'[1]COUT MOYEN - STOCK'!$A$2:$A$120,""),0))</f>
        <v>47.236499999999999</v>
      </c>
      <c r="O306" s="35">
        <f t="shared" si="13"/>
        <v>194.61438000000001</v>
      </c>
      <c r="P306" s="36" t="str">
        <f t="shared" si="14"/>
        <v>Picotalène Midi</v>
      </c>
      <c r="Q306" s="37" t="s">
        <v>14</v>
      </c>
    </row>
    <row r="307" spans="1:17">
      <c r="A307" s="29">
        <v>2013</v>
      </c>
      <c r="B307" s="29" t="s">
        <v>165</v>
      </c>
      <c r="C307" s="30" t="s">
        <v>39</v>
      </c>
      <c r="D307" s="24" t="str">
        <f t="array" ref="D307">INDEX([1]PARCELLAIRE!$C$2:$C$85,MATCH(A307,IF([1]PARCELLAIRE!$D$2:$D$85=E307,[1]PARCELLAIRE!$A$2:$A$85,""),0))</f>
        <v>SY SAMIN</v>
      </c>
      <c r="E307" s="29" t="s">
        <v>18</v>
      </c>
      <c r="F307" s="31">
        <v>41449</v>
      </c>
      <c r="G307" s="29" t="s">
        <v>89</v>
      </c>
      <c r="H307" s="32" t="s">
        <v>14</v>
      </c>
      <c r="I307" s="24" t="str">
        <f>VLOOKUP(G307,[1]ACHATS!$C:$E,3,0)</f>
        <v>L</v>
      </c>
      <c r="J307" s="24" t="str">
        <f>VLOOKUP(G307,[1]ACHATS!$C:$D,2,0)</f>
        <v>DESHERBANT</v>
      </c>
      <c r="K307" s="33">
        <v>1</v>
      </c>
      <c r="L307" s="33">
        <f>VLOOKUP(E307,[1]PARCELLAIRE!$D$2:$F$29,3,0)</f>
        <v>2.33</v>
      </c>
      <c r="M307" s="33">
        <f t="shared" si="12"/>
        <v>2.33</v>
      </c>
      <c r="N307" s="34">
        <f t="array" ref="N307">INDEX('[1]COUT MOYEN - STOCK'!$G$2:$G$120,MATCH(A307,IF('[1]COUT MOYEN - STOCK'!$B$2:$B$120=G307,'[1]COUT MOYEN - STOCK'!$A$2:$A$120,""),0))</f>
        <v>47.236499999999999</v>
      </c>
      <c r="O307" s="35">
        <f t="shared" si="13"/>
        <v>110.06104500000001</v>
      </c>
      <c r="P307" s="36" t="str">
        <f t="shared" si="14"/>
        <v>Bousquet Pourtanel</v>
      </c>
      <c r="Q307" s="37" t="s">
        <v>14</v>
      </c>
    </row>
    <row r="308" spans="1:17">
      <c r="A308" s="29">
        <v>2013</v>
      </c>
      <c r="B308" s="29" t="s">
        <v>165</v>
      </c>
      <c r="C308" s="30" t="s">
        <v>39</v>
      </c>
      <c r="D308" s="24" t="str">
        <f t="array" ref="D308">INDEX([1]PARCELLAIRE!$C$2:$C$85,MATCH(A308,IF([1]PARCELLAIRE!$D$2:$D$85=E308,[1]PARCELLAIRE!$A$2:$A$85,""),0))</f>
        <v>SY SAMIN</v>
      </c>
      <c r="E308" s="29" t="s">
        <v>36</v>
      </c>
      <c r="F308" s="31">
        <v>41449</v>
      </c>
      <c r="G308" s="29" t="s">
        <v>45</v>
      </c>
      <c r="H308" s="32" t="s">
        <v>14</v>
      </c>
      <c r="I308" s="24" t="str">
        <f>VLOOKUP(G308,[1]ACHATS!$C:$E,3,0)</f>
        <v>L</v>
      </c>
      <c r="J308" s="24" t="str">
        <f>VLOOKUP(G308,[1]ACHATS!$C:$D,2,0)</f>
        <v>DIVERS</v>
      </c>
      <c r="K308" s="33">
        <v>0.2</v>
      </c>
      <c r="L308" s="33">
        <f>VLOOKUP(E308,[1]PARCELLAIRE!$D$2:$F$29,3,0)</f>
        <v>4.42</v>
      </c>
      <c r="M308" s="33">
        <f t="shared" si="12"/>
        <v>0.88400000000000001</v>
      </c>
      <c r="N308" s="34">
        <f t="array" ref="N308">INDEX('[1]COUT MOYEN - STOCK'!$G$2:$G$120,MATCH(A308,IF('[1]COUT MOYEN - STOCK'!$B$2:$B$120=G308,'[1]COUT MOYEN - STOCK'!$A$2:$A$120,""),0))</f>
        <v>11.01</v>
      </c>
      <c r="O308" s="35">
        <f t="shared" si="13"/>
        <v>9.7328399999999995</v>
      </c>
      <c r="P308" s="36" t="str">
        <f t="shared" si="14"/>
        <v>Picotalène Nord</v>
      </c>
      <c r="Q308" s="37" t="s">
        <v>14</v>
      </c>
    </row>
    <row r="309" spans="1:17">
      <c r="A309" s="29">
        <v>2013</v>
      </c>
      <c r="B309" s="29" t="s">
        <v>165</v>
      </c>
      <c r="C309" s="30" t="s">
        <v>39</v>
      </c>
      <c r="D309" s="24" t="str">
        <f t="array" ref="D309">INDEX([1]PARCELLAIRE!$C$2:$C$85,MATCH(A309,IF([1]PARCELLAIRE!$D$2:$D$85=E309,[1]PARCELLAIRE!$A$2:$A$85,""),0))</f>
        <v>SY SAMIN</v>
      </c>
      <c r="E309" s="29" t="s">
        <v>35</v>
      </c>
      <c r="F309" s="31">
        <v>41449</v>
      </c>
      <c r="G309" s="29" t="s">
        <v>45</v>
      </c>
      <c r="H309" s="32" t="s">
        <v>14</v>
      </c>
      <c r="I309" s="24" t="str">
        <f>VLOOKUP(G309,[1]ACHATS!$C:$E,3,0)</f>
        <v>L</v>
      </c>
      <c r="J309" s="24" t="str">
        <f>VLOOKUP(G309,[1]ACHATS!$C:$D,2,0)</f>
        <v>DIVERS</v>
      </c>
      <c r="K309" s="33">
        <v>0.2</v>
      </c>
      <c r="L309" s="33">
        <f>VLOOKUP(E309,[1]PARCELLAIRE!$D$2:$F$29,3,0)</f>
        <v>4.12</v>
      </c>
      <c r="M309" s="33">
        <f t="shared" si="12"/>
        <v>0.82400000000000007</v>
      </c>
      <c r="N309" s="34">
        <f t="array" ref="N309">INDEX('[1]COUT MOYEN - STOCK'!$G$2:$G$120,MATCH(A309,IF('[1]COUT MOYEN - STOCK'!$B$2:$B$120=G309,'[1]COUT MOYEN - STOCK'!$A$2:$A$120,""),0))</f>
        <v>11.01</v>
      </c>
      <c r="O309" s="35">
        <f t="shared" si="13"/>
        <v>9.0722400000000007</v>
      </c>
      <c r="P309" s="36" t="str">
        <f t="shared" si="14"/>
        <v>Picotalène Midi</v>
      </c>
      <c r="Q309" s="37" t="s">
        <v>14</v>
      </c>
    </row>
    <row r="310" spans="1:17">
      <c r="A310" s="29">
        <v>2013</v>
      </c>
      <c r="B310" s="29" t="s">
        <v>165</v>
      </c>
      <c r="C310" s="30" t="s">
        <v>39</v>
      </c>
      <c r="D310" s="24" t="str">
        <f t="array" ref="D310">INDEX([1]PARCELLAIRE!$C$2:$C$85,MATCH(A310,IF([1]PARCELLAIRE!$D$2:$D$85=E310,[1]PARCELLAIRE!$A$2:$A$85,""),0))</f>
        <v>SY SAMIN</v>
      </c>
      <c r="E310" s="29" t="s">
        <v>37</v>
      </c>
      <c r="F310" s="31">
        <v>41449</v>
      </c>
      <c r="G310" s="29" t="s">
        <v>45</v>
      </c>
      <c r="H310" s="32" t="s">
        <v>14</v>
      </c>
      <c r="I310" s="24" t="str">
        <f>VLOOKUP(G310,[1]ACHATS!$C:$E,3,0)</f>
        <v>L</v>
      </c>
      <c r="J310" s="24" t="str">
        <f>VLOOKUP(G310,[1]ACHATS!$C:$D,2,0)</f>
        <v>DIVERS</v>
      </c>
      <c r="K310" s="33">
        <v>0.2</v>
      </c>
      <c r="L310" s="33">
        <f>VLOOKUP(E310,[1]PARCELLAIRE!$D$2:$F$29,3,0)</f>
        <v>12.06</v>
      </c>
      <c r="M310" s="33">
        <f t="shared" si="12"/>
        <v>2.4120000000000004</v>
      </c>
      <c r="N310" s="34">
        <f t="array" ref="N310">INDEX('[1]COUT MOYEN - STOCK'!$G$2:$G$120,MATCH(A310,IF('[1]COUT MOYEN - STOCK'!$B$2:$B$120=G310,'[1]COUT MOYEN - STOCK'!$A$2:$A$120,""),0))</f>
        <v>11.01</v>
      </c>
      <c r="O310" s="35">
        <f t="shared" si="13"/>
        <v>26.556120000000004</v>
      </c>
      <c r="P310" s="36" t="str">
        <f t="shared" si="14"/>
        <v>Pourtanel</v>
      </c>
      <c r="Q310" s="37" t="s">
        <v>14</v>
      </c>
    </row>
    <row r="311" spans="1:17">
      <c r="A311" s="29">
        <v>2013</v>
      </c>
      <c r="B311" s="29" t="s">
        <v>165</v>
      </c>
      <c r="C311" s="30" t="s">
        <v>39</v>
      </c>
      <c r="D311" s="24" t="str">
        <f t="array" ref="D311">INDEX([1]PARCELLAIRE!$C$2:$C$85,MATCH(A311,IF([1]PARCELLAIRE!$D$2:$D$85=E311,[1]PARCELLAIRE!$A$2:$A$85,""),0))</f>
        <v>SY SAMIN</v>
      </c>
      <c r="E311" s="29" t="s">
        <v>18</v>
      </c>
      <c r="F311" s="31">
        <v>41449</v>
      </c>
      <c r="G311" s="29" t="s">
        <v>45</v>
      </c>
      <c r="H311" s="32" t="s">
        <v>14</v>
      </c>
      <c r="I311" s="24" t="str">
        <f>VLOOKUP(G311,[1]ACHATS!$C:$E,3,0)</f>
        <v>L</v>
      </c>
      <c r="J311" s="24" t="str">
        <f>VLOOKUP(G311,[1]ACHATS!$C:$D,2,0)</f>
        <v>DIVERS</v>
      </c>
      <c r="K311" s="33">
        <v>0.2</v>
      </c>
      <c r="L311" s="33">
        <f>VLOOKUP(E311,[1]PARCELLAIRE!$D$2:$F$29,3,0)</f>
        <v>2.33</v>
      </c>
      <c r="M311" s="33">
        <f t="shared" si="12"/>
        <v>0.46600000000000003</v>
      </c>
      <c r="N311" s="34">
        <f t="array" ref="N311">INDEX('[1]COUT MOYEN - STOCK'!$G$2:$G$120,MATCH(A311,IF('[1]COUT MOYEN - STOCK'!$B$2:$B$120=G311,'[1]COUT MOYEN - STOCK'!$A$2:$A$120,""),0))</f>
        <v>11.01</v>
      </c>
      <c r="O311" s="35">
        <f t="shared" si="13"/>
        <v>5.1306599999999998</v>
      </c>
      <c r="P311" s="36" t="str">
        <f t="shared" si="14"/>
        <v>Bousquet Pourtanel</v>
      </c>
      <c r="Q311" s="37" t="s">
        <v>14</v>
      </c>
    </row>
    <row r="312" spans="1:17">
      <c r="A312" s="29">
        <v>2013</v>
      </c>
      <c r="B312" s="29" t="s">
        <v>165</v>
      </c>
      <c r="C312" s="30" t="s">
        <v>39</v>
      </c>
      <c r="D312" s="24" t="str">
        <f t="array" ref="D312">INDEX([1]PARCELLAIRE!$C$2:$C$85,MATCH(A312,IF([1]PARCELLAIRE!$D$2:$D$85=E312,[1]PARCELLAIRE!$A$2:$A$85,""),0))</f>
        <v>SY SAMIN</v>
      </c>
      <c r="E312" s="29" t="s">
        <v>36</v>
      </c>
      <c r="F312" s="31">
        <v>41449</v>
      </c>
      <c r="G312" s="29" t="s">
        <v>68</v>
      </c>
      <c r="H312" s="32" t="s">
        <v>14</v>
      </c>
      <c r="I312" s="24" t="str">
        <f>VLOOKUP(G312,[1]ACHATS!$C:$E,3,0)</f>
        <v>L</v>
      </c>
      <c r="J312" s="24" t="str">
        <f>VLOOKUP(G312,[1]ACHATS!$C:$D,2,0)</f>
        <v>DIVERS</v>
      </c>
      <c r="K312" s="42">
        <v>0.8</v>
      </c>
      <c r="L312" s="33">
        <f>VLOOKUP(E312,[1]PARCELLAIRE!$D$2:$F$29,3,0)</f>
        <v>4.42</v>
      </c>
      <c r="M312" s="33">
        <f t="shared" si="12"/>
        <v>3.536</v>
      </c>
      <c r="N312" s="34">
        <f t="array" ref="N312">INDEX('[1]COUT MOYEN - STOCK'!$G$2:$G$120,MATCH(A312,IF('[1]COUT MOYEN - STOCK'!$B$2:$B$120=G312,'[1]COUT MOYEN - STOCK'!$A$2:$A$120,""),0))</f>
        <v>0.88121212121212111</v>
      </c>
      <c r="O312" s="35">
        <f t="shared" si="13"/>
        <v>3.1159660606060604</v>
      </c>
      <c r="P312" s="36" t="str">
        <f t="shared" si="14"/>
        <v>Picotalène Nord</v>
      </c>
      <c r="Q312" s="37" t="s">
        <v>14</v>
      </c>
    </row>
    <row r="313" spans="1:17">
      <c r="A313" s="29">
        <v>2013</v>
      </c>
      <c r="B313" s="29" t="s">
        <v>165</v>
      </c>
      <c r="C313" s="30" t="s">
        <v>39</v>
      </c>
      <c r="D313" s="24" t="str">
        <f t="array" ref="D313">INDEX([1]PARCELLAIRE!$C$2:$C$85,MATCH(A313,IF([1]PARCELLAIRE!$D$2:$D$85=E313,[1]PARCELLAIRE!$A$2:$A$85,""),0))</f>
        <v>SY SAMIN</v>
      </c>
      <c r="E313" s="29" t="s">
        <v>37</v>
      </c>
      <c r="F313" s="31">
        <v>41449</v>
      </c>
      <c r="G313" s="29" t="s">
        <v>68</v>
      </c>
      <c r="H313" s="32" t="s">
        <v>14</v>
      </c>
      <c r="I313" s="24" t="str">
        <f>VLOOKUP(G313,[1]ACHATS!$C:$E,3,0)</f>
        <v>L</v>
      </c>
      <c r="J313" s="24" t="str">
        <f>VLOOKUP(G313,[1]ACHATS!$C:$D,2,0)</f>
        <v>DIVERS</v>
      </c>
      <c r="K313" s="42">
        <v>0.8</v>
      </c>
      <c r="L313" s="33">
        <f>VLOOKUP(E313,[1]PARCELLAIRE!$D$2:$F$29,3,0)</f>
        <v>12.06</v>
      </c>
      <c r="M313" s="33">
        <f t="shared" si="12"/>
        <v>9.6480000000000015</v>
      </c>
      <c r="N313" s="34">
        <f t="array" ref="N313">INDEX('[1]COUT MOYEN - STOCK'!$G$2:$G$120,MATCH(A313,IF('[1]COUT MOYEN - STOCK'!$B$2:$B$120=G313,'[1]COUT MOYEN - STOCK'!$A$2:$A$120,""),0))</f>
        <v>0.88121212121212111</v>
      </c>
      <c r="O313" s="35">
        <f t="shared" si="13"/>
        <v>8.5019345454545459</v>
      </c>
      <c r="P313" s="36" t="str">
        <f t="shared" si="14"/>
        <v>Pourtanel</v>
      </c>
      <c r="Q313" s="37" t="s">
        <v>14</v>
      </c>
    </row>
    <row r="314" spans="1:17">
      <c r="A314" s="29">
        <v>2013</v>
      </c>
      <c r="B314" s="29" t="s">
        <v>165</v>
      </c>
      <c r="C314" s="30" t="s">
        <v>39</v>
      </c>
      <c r="D314" s="24" t="str">
        <f t="array" ref="D314">INDEX([1]PARCELLAIRE!$C$2:$C$85,MATCH(A314,IF([1]PARCELLAIRE!$D$2:$D$85=E314,[1]PARCELLAIRE!$A$2:$A$85,""),0))</f>
        <v>SY SAMIN</v>
      </c>
      <c r="E314" s="29" t="s">
        <v>35</v>
      </c>
      <c r="F314" s="31">
        <v>41449</v>
      </c>
      <c r="G314" s="29" t="s">
        <v>68</v>
      </c>
      <c r="H314" s="32" t="s">
        <v>14</v>
      </c>
      <c r="I314" s="24" t="str">
        <f>VLOOKUP(G314,[1]ACHATS!$C:$E,3,0)</f>
        <v>L</v>
      </c>
      <c r="J314" s="24" t="str">
        <f>VLOOKUP(G314,[1]ACHATS!$C:$D,2,0)</f>
        <v>DIVERS</v>
      </c>
      <c r="K314" s="42">
        <v>0.8</v>
      </c>
      <c r="L314" s="33">
        <f>VLOOKUP(E314,[1]PARCELLAIRE!$D$2:$F$29,3,0)</f>
        <v>4.12</v>
      </c>
      <c r="M314" s="33">
        <f t="shared" si="12"/>
        <v>3.2960000000000003</v>
      </c>
      <c r="N314" s="34">
        <f t="array" ref="N314">INDEX('[1]COUT MOYEN - STOCK'!$G$2:$G$120,MATCH(A314,IF('[1]COUT MOYEN - STOCK'!$B$2:$B$120=G314,'[1]COUT MOYEN - STOCK'!$A$2:$A$120,""),0))</f>
        <v>0.88121212121212111</v>
      </c>
      <c r="O314" s="35">
        <f t="shared" si="13"/>
        <v>2.9044751515151512</v>
      </c>
      <c r="P314" s="36" t="str">
        <f t="shared" si="14"/>
        <v>Picotalène Midi</v>
      </c>
      <c r="Q314" s="37" t="s">
        <v>14</v>
      </c>
    </row>
    <row r="315" spans="1:17">
      <c r="A315" s="29">
        <v>2013</v>
      </c>
      <c r="B315" s="29" t="s">
        <v>165</v>
      </c>
      <c r="C315" s="30" t="s">
        <v>39</v>
      </c>
      <c r="D315" s="24" t="str">
        <f t="array" ref="D315">INDEX([1]PARCELLAIRE!$C$2:$C$85,MATCH(A315,IF([1]PARCELLAIRE!$D$2:$D$85=E315,[1]PARCELLAIRE!$A$2:$A$85,""),0))</f>
        <v>SY SAMIN</v>
      </c>
      <c r="E315" s="29" t="s">
        <v>18</v>
      </c>
      <c r="F315" s="31">
        <v>41449</v>
      </c>
      <c r="G315" s="29" t="s">
        <v>68</v>
      </c>
      <c r="H315" s="32" t="s">
        <v>14</v>
      </c>
      <c r="I315" s="24" t="str">
        <f>VLOOKUP(G315,[1]ACHATS!$C:$E,3,0)</f>
        <v>L</v>
      </c>
      <c r="J315" s="24" t="str">
        <f>VLOOKUP(G315,[1]ACHATS!$C:$D,2,0)</f>
        <v>DIVERS</v>
      </c>
      <c r="K315" s="42">
        <v>0.8</v>
      </c>
      <c r="L315" s="33">
        <f>VLOOKUP(E315,[1]PARCELLAIRE!$D$2:$F$29,3,0)</f>
        <v>2.33</v>
      </c>
      <c r="M315" s="33">
        <f t="shared" si="12"/>
        <v>1.8640000000000001</v>
      </c>
      <c r="N315" s="34">
        <f t="array" ref="N315">INDEX('[1]COUT MOYEN - STOCK'!$G$2:$G$120,MATCH(A315,IF('[1]COUT MOYEN - STOCK'!$B$2:$B$120=G315,'[1]COUT MOYEN - STOCK'!$A$2:$A$120,""),0))</f>
        <v>0.88121212121212111</v>
      </c>
      <c r="O315" s="35">
        <f t="shared" si="13"/>
        <v>1.6425793939393938</v>
      </c>
      <c r="P315" s="36" t="str">
        <f t="shared" si="14"/>
        <v>Bousquet Pourtanel</v>
      </c>
      <c r="Q315" s="37" t="s">
        <v>14</v>
      </c>
    </row>
    <row r="316" spans="1:17">
      <c r="A316" s="29">
        <v>2013</v>
      </c>
      <c r="B316" s="29" t="s">
        <v>165</v>
      </c>
      <c r="C316" s="30" t="s">
        <v>39</v>
      </c>
      <c r="D316" s="24" t="str">
        <f t="array" ref="D316">INDEX([1]PARCELLAIRE!$C$2:$C$85,MATCH(A316,IF([1]PARCELLAIRE!$D$2:$D$85=E316,[1]PARCELLAIRE!$A$2:$A$85,""),0))</f>
        <v>SY SAMIN</v>
      </c>
      <c r="E316" s="29" t="s">
        <v>36</v>
      </c>
      <c r="F316" s="31">
        <v>41450</v>
      </c>
      <c r="G316" s="29" t="s">
        <v>58</v>
      </c>
      <c r="H316" s="32" t="s">
        <v>14</v>
      </c>
      <c r="I316" s="24" t="str">
        <f>VLOOKUP(G316,[1]ACHATS!$C:$E,3,0)</f>
        <v>Kg</v>
      </c>
      <c r="J316" s="24" t="str">
        <f>VLOOKUP(G316,[1]ACHATS!$C:$D,2,0)</f>
        <v>AZOTE</v>
      </c>
      <c r="K316" s="33">
        <v>76</v>
      </c>
      <c r="L316" s="33">
        <f>VLOOKUP(E316,[1]PARCELLAIRE!$D$2:$F$29,3,0)</f>
        <v>4.42</v>
      </c>
      <c r="M316" s="33">
        <f t="shared" si="12"/>
        <v>335.92</v>
      </c>
      <c r="N316" s="34">
        <f t="array" ref="N316">INDEX('[1]COUT MOYEN - STOCK'!$G$2:$G$120,MATCH(A316,IF('[1]COUT MOYEN - STOCK'!$B$2:$B$120=G316,'[1]COUT MOYEN - STOCK'!$A$2:$A$120,""),0))</f>
        <v>0.41460714285714284</v>
      </c>
      <c r="O316" s="35">
        <f t="shared" si="13"/>
        <v>139.27483142857142</v>
      </c>
      <c r="P316" s="36" t="str">
        <f t="shared" si="14"/>
        <v>Picotalène Nord</v>
      </c>
      <c r="Q316" s="40" t="s">
        <v>140</v>
      </c>
    </row>
    <row r="317" spans="1:17">
      <c r="A317" s="29">
        <v>2013</v>
      </c>
      <c r="B317" s="29" t="s">
        <v>165</v>
      </c>
      <c r="C317" s="30" t="s">
        <v>39</v>
      </c>
      <c r="D317" s="24" t="str">
        <f t="array" ref="D317">INDEX([1]PARCELLAIRE!$C$2:$C$85,MATCH(A317,IF([1]PARCELLAIRE!$D$2:$D$85=E317,[1]PARCELLAIRE!$A$2:$A$85,""),0))</f>
        <v>SY SAMIN</v>
      </c>
      <c r="E317" s="29" t="s">
        <v>37</v>
      </c>
      <c r="F317" s="31">
        <v>41450</v>
      </c>
      <c r="G317" s="29" t="s">
        <v>58</v>
      </c>
      <c r="H317" s="32" t="s">
        <v>14</v>
      </c>
      <c r="I317" s="24" t="str">
        <f>VLOOKUP(G317,[1]ACHATS!$C:$E,3,0)</f>
        <v>Kg</v>
      </c>
      <c r="J317" s="24" t="str">
        <f>VLOOKUP(G317,[1]ACHATS!$C:$D,2,0)</f>
        <v>AZOTE</v>
      </c>
      <c r="K317" s="33">
        <v>76</v>
      </c>
      <c r="L317" s="33">
        <f>VLOOKUP(E317,[1]PARCELLAIRE!$D$2:$F$29,3,0)</f>
        <v>12.06</v>
      </c>
      <c r="M317" s="33">
        <f t="shared" si="12"/>
        <v>916.56000000000006</v>
      </c>
      <c r="N317" s="34">
        <f t="array" ref="N317">INDEX('[1]COUT MOYEN - STOCK'!$G$2:$G$120,MATCH(A317,IF('[1]COUT MOYEN - STOCK'!$B$2:$B$120=G317,'[1]COUT MOYEN - STOCK'!$A$2:$A$120,""),0))</f>
        <v>0.41460714285714284</v>
      </c>
      <c r="O317" s="35">
        <f t="shared" si="13"/>
        <v>380.01232285714286</v>
      </c>
      <c r="P317" s="36" t="str">
        <f t="shared" si="14"/>
        <v>Pourtanel</v>
      </c>
      <c r="Q317" s="40" t="s">
        <v>140</v>
      </c>
    </row>
    <row r="318" spans="1:17">
      <c r="A318" s="29">
        <v>2013</v>
      </c>
      <c r="B318" s="29" t="s">
        <v>165</v>
      </c>
      <c r="C318" s="30" t="s">
        <v>39</v>
      </c>
      <c r="D318" s="24" t="str">
        <f t="array" ref="D318">INDEX([1]PARCELLAIRE!$C$2:$C$85,MATCH(A318,IF([1]PARCELLAIRE!$D$2:$D$85=E318,[1]PARCELLAIRE!$A$2:$A$85,""),0))</f>
        <v>SY SAMIN</v>
      </c>
      <c r="E318" s="29" t="s">
        <v>35</v>
      </c>
      <c r="F318" s="31">
        <v>41450</v>
      </c>
      <c r="G318" s="29" t="s">
        <v>58</v>
      </c>
      <c r="H318" s="32" t="s">
        <v>14</v>
      </c>
      <c r="I318" s="24" t="str">
        <f>VLOOKUP(G318,[1]ACHATS!$C:$E,3,0)</f>
        <v>Kg</v>
      </c>
      <c r="J318" s="24" t="str">
        <f>VLOOKUP(G318,[1]ACHATS!$C:$D,2,0)</f>
        <v>AZOTE</v>
      </c>
      <c r="K318" s="33">
        <v>76</v>
      </c>
      <c r="L318" s="33">
        <f>VLOOKUP(E318,[1]PARCELLAIRE!$D$2:$F$29,3,0)</f>
        <v>4.12</v>
      </c>
      <c r="M318" s="33">
        <f t="shared" si="12"/>
        <v>313.12</v>
      </c>
      <c r="N318" s="34">
        <f t="array" ref="N318">INDEX('[1]COUT MOYEN - STOCK'!$G$2:$G$120,MATCH(A318,IF('[1]COUT MOYEN - STOCK'!$B$2:$B$120=G318,'[1]COUT MOYEN - STOCK'!$A$2:$A$120,""),0))</f>
        <v>0.41460714285714284</v>
      </c>
      <c r="O318" s="35">
        <f t="shared" si="13"/>
        <v>129.82178857142856</v>
      </c>
      <c r="P318" s="36" t="str">
        <f t="shared" si="14"/>
        <v>Picotalène Midi</v>
      </c>
      <c r="Q318" s="40" t="s">
        <v>140</v>
      </c>
    </row>
    <row r="319" spans="1:17">
      <c r="A319" s="29">
        <v>2013</v>
      </c>
      <c r="B319" s="29" t="s">
        <v>165</v>
      </c>
      <c r="C319" s="30" t="s">
        <v>39</v>
      </c>
      <c r="D319" s="24" t="str">
        <f t="array" ref="D319">INDEX([1]PARCELLAIRE!$C$2:$C$85,MATCH(A319,IF([1]PARCELLAIRE!$D$2:$D$85=E319,[1]PARCELLAIRE!$A$2:$A$85,""),0))</f>
        <v>SY SAMIN</v>
      </c>
      <c r="E319" s="29" t="s">
        <v>18</v>
      </c>
      <c r="F319" s="31">
        <v>41450</v>
      </c>
      <c r="G319" s="29" t="s">
        <v>58</v>
      </c>
      <c r="H319" s="32" t="s">
        <v>14</v>
      </c>
      <c r="I319" s="24" t="str">
        <f>VLOOKUP(G319,[1]ACHATS!$C:$E,3,0)</f>
        <v>Kg</v>
      </c>
      <c r="J319" s="24" t="str">
        <f>VLOOKUP(G319,[1]ACHATS!$C:$D,2,0)</f>
        <v>AZOTE</v>
      </c>
      <c r="K319" s="33">
        <v>76</v>
      </c>
      <c r="L319" s="33">
        <f>VLOOKUP(E319,[1]PARCELLAIRE!$D$2:$F$29,3,0)</f>
        <v>2.33</v>
      </c>
      <c r="M319" s="33">
        <f t="shared" si="12"/>
        <v>177.08</v>
      </c>
      <c r="N319" s="34">
        <f t="array" ref="N319">INDEX('[1]COUT MOYEN - STOCK'!$G$2:$G$120,MATCH(A319,IF('[1]COUT MOYEN - STOCK'!$B$2:$B$120=G319,'[1]COUT MOYEN - STOCK'!$A$2:$A$120,""),0))</f>
        <v>0.41460714285714284</v>
      </c>
      <c r="O319" s="35">
        <f t="shared" si="13"/>
        <v>73.418632857142853</v>
      </c>
      <c r="P319" s="36" t="str">
        <f t="shared" si="14"/>
        <v>Bousquet Pourtanel</v>
      </c>
      <c r="Q319" s="40" t="s">
        <v>140</v>
      </c>
    </row>
    <row r="320" spans="1:17">
      <c r="A320" s="29">
        <v>2013</v>
      </c>
      <c r="B320" s="29" t="s">
        <v>165</v>
      </c>
      <c r="C320" s="30" t="s">
        <v>4</v>
      </c>
      <c r="D320" s="24" t="str">
        <f t="array" ref="D320">INDEX([1]PARCELLAIRE!$C$2:$C$85,MATCH(A320,IF([1]PARCELLAIRE!$D$2:$D$85=E320,[1]PARCELLAIRE!$A$2:$A$85,""),0))</f>
        <v>ISIDOR</v>
      </c>
      <c r="E320" s="29" t="s">
        <v>22</v>
      </c>
      <c r="F320" s="31">
        <v>41450</v>
      </c>
      <c r="G320" s="29" t="s">
        <v>89</v>
      </c>
      <c r="H320" s="32" t="s">
        <v>14</v>
      </c>
      <c r="I320" s="24" t="str">
        <f>VLOOKUP(G320,[1]ACHATS!$C:$E,3,0)</f>
        <v>L</v>
      </c>
      <c r="J320" s="24" t="str">
        <f>VLOOKUP(G320,[1]ACHATS!$C:$D,2,0)</f>
        <v>DESHERBANT</v>
      </c>
      <c r="K320" s="33">
        <v>0.5</v>
      </c>
      <c r="L320" s="33">
        <f>VLOOKUP(E320,[1]PARCELLAIRE!$D$2:$F$29,3,0)</f>
        <v>8.58</v>
      </c>
      <c r="M320" s="33">
        <f t="shared" si="12"/>
        <v>4.29</v>
      </c>
      <c r="N320" s="34">
        <f t="array" ref="N320">INDEX('[1]COUT MOYEN - STOCK'!$G$2:$G$120,MATCH(A320,IF('[1]COUT MOYEN - STOCK'!$B$2:$B$120=G320,'[1]COUT MOYEN - STOCK'!$A$2:$A$120,""),0))</f>
        <v>47.236499999999999</v>
      </c>
      <c r="O320" s="35">
        <f t="shared" si="13"/>
        <v>202.64458500000001</v>
      </c>
      <c r="P320" s="36" t="str">
        <f t="shared" si="14"/>
        <v>Engleyse Route</v>
      </c>
      <c r="Q320" s="37" t="s">
        <v>14</v>
      </c>
    </row>
    <row r="321" spans="1:17">
      <c r="A321" s="29">
        <v>2013</v>
      </c>
      <c r="B321" s="29" t="s">
        <v>165</v>
      </c>
      <c r="C321" s="30" t="s">
        <v>4</v>
      </c>
      <c r="D321" s="24" t="str">
        <f t="array" ref="D321">INDEX([1]PARCELLAIRE!$C$2:$C$85,MATCH(A321,IF([1]PARCELLAIRE!$D$2:$D$85=E321,[1]PARCELLAIRE!$A$2:$A$85,""),0))</f>
        <v>ISIDOR</v>
      </c>
      <c r="E321" s="29" t="s">
        <v>22</v>
      </c>
      <c r="F321" s="31">
        <v>41450</v>
      </c>
      <c r="G321" s="29" t="s">
        <v>68</v>
      </c>
      <c r="H321" s="32" t="s">
        <v>14</v>
      </c>
      <c r="I321" s="24" t="str">
        <f>VLOOKUP(G321,[1]ACHATS!$C:$E,3,0)</f>
        <v>L</v>
      </c>
      <c r="J321" s="24" t="str">
        <f>VLOOKUP(G321,[1]ACHATS!$C:$D,2,0)</f>
        <v>DIVERS</v>
      </c>
      <c r="K321" s="33">
        <v>0.4</v>
      </c>
      <c r="L321" s="33">
        <f>VLOOKUP(E321,[1]PARCELLAIRE!$D$2:$F$29,3,0)</f>
        <v>8.58</v>
      </c>
      <c r="M321" s="33">
        <f t="shared" si="12"/>
        <v>3.4320000000000004</v>
      </c>
      <c r="N321" s="34">
        <f t="array" ref="N321">INDEX('[1]COUT MOYEN - STOCK'!$G$2:$G$120,MATCH(A321,IF('[1]COUT MOYEN - STOCK'!$B$2:$B$120=G321,'[1]COUT MOYEN - STOCK'!$A$2:$A$120,""),0))</f>
        <v>0.88121212121212111</v>
      </c>
      <c r="O321" s="35">
        <f t="shared" si="13"/>
        <v>3.0243199999999999</v>
      </c>
      <c r="P321" s="36" t="str">
        <f t="shared" si="14"/>
        <v>Engleyse Route</v>
      </c>
      <c r="Q321" s="37" t="s">
        <v>14</v>
      </c>
    </row>
    <row r="322" spans="1:17">
      <c r="A322" s="29">
        <v>2013</v>
      </c>
      <c r="B322" s="29" t="s">
        <v>165</v>
      </c>
      <c r="C322" s="30" t="s">
        <v>4</v>
      </c>
      <c r="D322" s="24" t="str">
        <f t="array" ref="D322">INDEX([1]PARCELLAIRE!$C$2:$C$85,MATCH(A322,IF([1]PARCELLAIRE!$D$2:$D$85=E322,[1]PARCELLAIRE!$A$2:$A$85,""),0))</f>
        <v>ISIDOR</v>
      </c>
      <c r="E322" s="29" t="s">
        <v>22</v>
      </c>
      <c r="F322" s="31">
        <v>41450</v>
      </c>
      <c r="G322" s="29" t="s">
        <v>45</v>
      </c>
      <c r="H322" s="32" t="s">
        <v>14</v>
      </c>
      <c r="I322" s="24" t="str">
        <f>VLOOKUP(G322,[1]ACHATS!$C:$E,3,0)</f>
        <v>L</v>
      </c>
      <c r="J322" s="24" t="str">
        <f>VLOOKUP(G322,[1]ACHATS!$C:$D,2,0)</f>
        <v>DIVERS</v>
      </c>
      <c r="K322" s="33">
        <v>0.2</v>
      </c>
      <c r="L322" s="33">
        <f>VLOOKUP(E322,[1]PARCELLAIRE!$D$2:$F$29,3,0)</f>
        <v>8.58</v>
      </c>
      <c r="M322" s="33">
        <f t="shared" ref="M322:M385" si="15">L322*K322</f>
        <v>1.7160000000000002</v>
      </c>
      <c r="N322" s="34">
        <f t="array" ref="N322">INDEX('[1]COUT MOYEN - STOCK'!$G$2:$G$120,MATCH(A322,IF('[1]COUT MOYEN - STOCK'!$B$2:$B$120=G322,'[1]COUT MOYEN - STOCK'!$A$2:$A$120,""),0))</f>
        <v>11.01</v>
      </c>
      <c r="O322" s="35">
        <f t="shared" ref="O322:O385" si="16">N322*M322</f>
        <v>18.893160000000002</v>
      </c>
      <c r="P322" s="36" t="str">
        <f t="shared" ref="P322:P385" si="17">IF(WHEN=A322,E322,1)</f>
        <v>Engleyse Route</v>
      </c>
      <c r="Q322" s="37" t="s">
        <v>14</v>
      </c>
    </row>
    <row r="323" spans="1:17">
      <c r="A323" s="29">
        <v>2013</v>
      </c>
      <c r="B323" s="29" t="s">
        <v>165</v>
      </c>
      <c r="C323" s="30" t="s">
        <v>39</v>
      </c>
      <c r="D323" s="24" t="str">
        <f t="array" ref="D323">INDEX([1]PARCELLAIRE!$C$2:$C$85,MATCH(A323,IF([1]PARCELLAIRE!$D$2:$D$85=E323,[1]PARCELLAIRE!$A$2:$A$85,""),0))</f>
        <v>LG5474</v>
      </c>
      <c r="E323" s="29" t="s">
        <v>34</v>
      </c>
      <c r="F323" s="31">
        <v>41451</v>
      </c>
      <c r="G323" s="29" t="s">
        <v>58</v>
      </c>
      <c r="H323" s="32" t="s">
        <v>14</v>
      </c>
      <c r="I323" s="24" t="str">
        <f>VLOOKUP(G323,[1]ACHATS!$C:$E,3,0)</f>
        <v>Kg</v>
      </c>
      <c r="J323" s="24" t="str">
        <f>VLOOKUP(G323,[1]ACHATS!$C:$D,2,0)</f>
        <v>AZOTE</v>
      </c>
      <c r="K323" s="33">
        <v>76</v>
      </c>
      <c r="L323" s="33">
        <f>VLOOKUP(E323,[1]PARCELLAIRE!$D$2:$F$29,3,0)</f>
        <v>5.67</v>
      </c>
      <c r="M323" s="33">
        <f t="shared" si="15"/>
        <v>430.92</v>
      </c>
      <c r="N323" s="34">
        <f t="array" ref="N323">INDEX('[1]COUT MOYEN - STOCK'!$G$2:$G$120,MATCH(A323,IF('[1]COUT MOYEN - STOCK'!$B$2:$B$120=G323,'[1]COUT MOYEN - STOCK'!$A$2:$A$120,""),0))</f>
        <v>0.41460714285714284</v>
      </c>
      <c r="O323" s="35">
        <f t="shared" si="16"/>
        <v>178.66251</v>
      </c>
      <c r="P323" s="36" t="str">
        <f t="shared" si="17"/>
        <v>Moulin Côteau</v>
      </c>
      <c r="Q323" s="40" t="s">
        <v>140</v>
      </c>
    </row>
    <row r="324" spans="1:17">
      <c r="A324" s="29">
        <v>2013</v>
      </c>
      <c r="B324" s="29" t="s">
        <v>165</v>
      </c>
      <c r="C324" s="30" t="s">
        <v>39</v>
      </c>
      <c r="D324" s="24" t="str">
        <f t="array" ref="D324">INDEX([1]PARCELLAIRE!$C$2:$C$85,MATCH(A324,IF([1]PARCELLAIRE!$D$2:$D$85=E324,[1]PARCELLAIRE!$A$2:$A$85,""),0))</f>
        <v>LG5474</v>
      </c>
      <c r="E324" s="29" t="s">
        <v>33</v>
      </c>
      <c r="F324" s="31">
        <v>41451</v>
      </c>
      <c r="G324" s="29" t="s">
        <v>58</v>
      </c>
      <c r="H324" s="32" t="s">
        <v>14</v>
      </c>
      <c r="I324" s="24" t="str">
        <f>VLOOKUP(G324,[1]ACHATS!$C:$E,3,0)</f>
        <v>Kg</v>
      </c>
      <c r="J324" s="24" t="str">
        <f>VLOOKUP(G324,[1]ACHATS!$C:$D,2,0)</f>
        <v>AZOTE</v>
      </c>
      <c r="K324" s="33">
        <v>76</v>
      </c>
      <c r="L324" s="33">
        <f>VLOOKUP(E324,[1]PARCELLAIRE!$D$2:$F$29,3,0)</f>
        <v>21.88</v>
      </c>
      <c r="M324" s="33">
        <f t="shared" si="15"/>
        <v>1662.8799999999999</v>
      </c>
      <c r="N324" s="34">
        <f t="array" ref="N324">INDEX('[1]COUT MOYEN - STOCK'!$G$2:$G$120,MATCH(A324,IF('[1]COUT MOYEN - STOCK'!$B$2:$B$120=G324,'[1]COUT MOYEN - STOCK'!$A$2:$A$120,""),0))</f>
        <v>0.41460714285714284</v>
      </c>
      <c r="O324" s="35">
        <f t="shared" si="16"/>
        <v>689.44192571428562</v>
      </c>
      <c r="P324" s="36" t="str">
        <f t="shared" si="17"/>
        <v>Moulin Barthes</v>
      </c>
      <c r="Q324" s="40" t="s">
        <v>140</v>
      </c>
    </row>
    <row r="325" spans="1:17">
      <c r="A325" s="29">
        <v>2013</v>
      </c>
      <c r="B325" s="29" t="s">
        <v>165</v>
      </c>
      <c r="C325" s="30" t="s">
        <v>39</v>
      </c>
      <c r="D325" s="24" t="str">
        <f t="array" ref="D325">INDEX([1]PARCELLAIRE!$C$2:$C$85,MATCH(A325,IF([1]PARCELLAIRE!$D$2:$D$85=E325,[1]PARCELLAIRE!$A$2:$A$85,""),0))</f>
        <v>LG5474</v>
      </c>
      <c r="E325" s="29" t="s">
        <v>16</v>
      </c>
      <c r="F325" s="31">
        <v>41451</v>
      </c>
      <c r="G325" s="29" t="s">
        <v>58</v>
      </c>
      <c r="H325" s="32" t="s">
        <v>14</v>
      </c>
      <c r="I325" s="24" t="str">
        <f>VLOOKUP(G325,[1]ACHATS!$C:$E,3,0)</f>
        <v>Kg</v>
      </c>
      <c r="J325" s="24" t="str">
        <f>VLOOKUP(G325,[1]ACHATS!$C:$D,2,0)</f>
        <v>AZOTE</v>
      </c>
      <c r="K325" s="33">
        <v>76</v>
      </c>
      <c r="L325" s="33">
        <f>VLOOKUP(E325,[1]PARCELLAIRE!$D$2:$F$29,3,0)</f>
        <v>5.17</v>
      </c>
      <c r="M325" s="33">
        <f t="shared" si="15"/>
        <v>392.92</v>
      </c>
      <c r="N325" s="34">
        <f t="array" ref="N325">INDEX('[1]COUT MOYEN - STOCK'!$G$2:$G$120,MATCH(A325,IF('[1]COUT MOYEN - STOCK'!$B$2:$B$120=G325,'[1]COUT MOYEN - STOCK'!$A$2:$A$120,""),0))</f>
        <v>0.41460714285714284</v>
      </c>
      <c r="O325" s="35">
        <f t="shared" si="16"/>
        <v>162.90743857142857</v>
      </c>
      <c r="P325" s="36" t="str">
        <f t="shared" si="17"/>
        <v>Andres</v>
      </c>
      <c r="Q325" s="40" t="s">
        <v>140</v>
      </c>
    </row>
    <row r="326" spans="1:17">
      <c r="A326" s="29">
        <v>2013</v>
      </c>
      <c r="B326" s="29" t="s">
        <v>165</v>
      </c>
      <c r="C326" s="30" t="s">
        <v>41</v>
      </c>
      <c r="D326" s="24" t="str">
        <f t="array" ref="D326">INDEX([1]PARCELLAIRE!$C$2:$C$85,MATCH(A326,IF([1]PARCELLAIRE!$D$2:$D$85=E326,[1]PARCELLAIRE!$A$2:$A$85,""),0))</f>
        <v>ARDICO</v>
      </c>
      <c r="E326" s="29" t="s">
        <v>21</v>
      </c>
      <c r="F326" s="31">
        <v>41451</v>
      </c>
      <c r="G326" s="29" t="s">
        <v>58</v>
      </c>
      <c r="H326" s="32" t="s">
        <v>14</v>
      </c>
      <c r="I326" s="24" t="str">
        <f>VLOOKUP(G326,[1]ACHATS!$C:$E,3,0)</f>
        <v>Kg</v>
      </c>
      <c r="J326" s="24" t="str">
        <f>VLOOKUP(G326,[1]ACHATS!$C:$D,2,0)</f>
        <v>AZOTE</v>
      </c>
      <c r="K326" s="33">
        <v>82</v>
      </c>
      <c r="L326" s="33">
        <f>VLOOKUP(E326,[1]PARCELLAIRE!$D$2:$F$29,3,0)</f>
        <v>10.93</v>
      </c>
      <c r="M326" s="33">
        <f t="shared" si="15"/>
        <v>896.26</v>
      </c>
      <c r="N326" s="34">
        <f t="array" ref="N326">INDEX('[1]COUT MOYEN - STOCK'!$G$2:$G$120,MATCH(A326,IF('[1]COUT MOYEN - STOCK'!$B$2:$B$120=G326,'[1]COUT MOYEN - STOCK'!$A$2:$A$120,""),0))</f>
        <v>0.41460714285714284</v>
      </c>
      <c r="O326" s="35">
        <f t="shared" si="16"/>
        <v>371.59579785714283</v>
      </c>
      <c r="P326" s="36" t="str">
        <f t="shared" si="17"/>
        <v>Engleyse métairie</v>
      </c>
      <c r="Q326" s="40" t="s">
        <v>141</v>
      </c>
    </row>
    <row r="327" spans="1:17">
      <c r="A327" s="29">
        <v>2013</v>
      </c>
      <c r="B327" s="29" t="s">
        <v>165</v>
      </c>
      <c r="C327" s="30" t="s">
        <v>39</v>
      </c>
      <c r="D327" s="24" t="str">
        <f t="array" ref="D327">INDEX([1]PARCELLAIRE!$C$2:$C$85,MATCH(A327,IF([1]PARCELLAIRE!$D$2:$D$85=E327,[1]PARCELLAIRE!$A$2:$A$85,""),0))</f>
        <v>SY SAMIN</v>
      </c>
      <c r="E327" s="29" t="s">
        <v>36</v>
      </c>
      <c r="F327" s="31">
        <v>41456</v>
      </c>
      <c r="G327" s="29" t="s">
        <v>90</v>
      </c>
      <c r="H327" s="32" t="s">
        <v>14</v>
      </c>
      <c r="I327" s="24" t="str">
        <f>VLOOKUP(G327,[1]ACHATS!$C:$E,3,0)</f>
        <v>L</v>
      </c>
      <c r="J327" s="24" t="str">
        <f>VLOOKUP(G327,[1]ACHATS!$C:$D,2,0)</f>
        <v>FONGICIDES</v>
      </c>
      <c r="K327" s="33">
        <v>0.4</v>
      </c>
      <c r="L327" s="33">
        <f>VLOOKUP(E327,[1]PARCELLAIRE!$D$2:$F$29,3,0)</f>
        <v>4.42</v>
      </c>
      <c r="M327" s="33">
        <f t="shared" si="15"/>
        <v>1.768</v>
      </c>
      <c r="N327" s="34">
        <f t="array" ref="N327">INDEX('[1]COUT MOYEN - STOCK'!$G$2:$G$120,MATCH(A327,IF('[1]COUT MOYEN - STOCK'!$B$2:$B$120=G327,'[1]COUT MOYEN - STOCK'!$A$2:$A$120,""),0))</f>
        <v>85</v>
      </c>
      <c r="O327" s="35">
        <f t="shared" si="16"/>
        <v>150.28</v>
      </c>
      <c r="P327" s="36" t="str">
        <f t="shared" si="17"/>
        <v>Picotalène Nord</v>
      </c>
      <c r="Q327" s="37" t="s">
        <v>14</v>
      </c>
    </row>
    <row r="328" spans="1:17">
      <c r="A328" s="29">
        <v>2013</v>
      </c>
      <c r="B328" s="29" t="s">
        <v>165</v>
      </c>
      <c r="C328" s="30" t="s">
        <v>39</v>
      </c>
      <c r="D328" s="24" t="str">
        <f t="array" ref="D328">INDEX([1]PARCELLAIRE!$C$2:$C$85,MATCH(A328,IF([1]PARCELLAIRE!$D$2:$D$85=E328,[1]PARCELLAIRE!$A$2:$A$85,""),0))</f>
        <v>SY SAMIN</v>
      </c>
      <c r="E328" s="29" t="s">
        <v>36</v>
      </c>
      <c r="F328" s="31">
        <v>41456</v>
      </c>
      <c r="G328" s="29" t="s">
        <v>45</v>
      </c>
      <c r="H328" s="32" t="s">
        <v>14</v>
      </c>
      <c r="I328" s="24" t="str">
        <f>VLOOKUP(G328,[1]ACHATS!$C:$E,3,0)</f>
        <v>L</v>
      </c>
      <c r="J328" s="24" t="str">
        <f>VLOOKUP(G328,[1]ACHATS!$C:$D,2,0)</f>
        <v>DIVERS</v>
      </c>
      <c r="K328" s="33">
        <v>0.2</v>
      </c>
      <c r="L328" s="33">
        <f>VLOOKUP(E328,[1]PARCELLAIRE!$D$2:$F$29,3,0)</f>
        <v>4.42</v>
      </c>
      <c r="M328" s="33">
        <f t="shared" si="15"/>
        <v>0.88400000000000001</v>
      </c>
      <c r="N328" s="34">
        <f t="array" ref="N328">INDEX('[1]COUT MOYEN - STOCK'!$G$2:$G$120,MATCH(A328,IF('[1]COUT MOYEN - STOCK'!$B$2:$B$120=G328,'[1]COUT MOYEN - STOCK'!$A$2:$A$120,""),0))</f>
        <v>11.01</v>
      </c>
      <c r="O328" s="35">
        <f t="shared" si="16"/>
        <v>9.7328399999999995</v>
      </c>
      <c r="P328" s="36" t="str">
        <f t="shared" si="17"/>
        <v>Picotalène Nord</v>
      </c>
      <c r="Q328" s="37" t="s">
        <v>14</v>
      </c>
    </row>
    <row r="329" spans="1:17">
      <c r="A329" s="29">
        <v>2013</v>
      </c>
      <c r="B329" s="29" t="s">
        <v>165</v>
      </c>
      <c r="C329" s="30" t="s">
        <v>39</v>
      </c>
      <c r="D329" s="24" t="str">
        <f t="array" ref="D329">INDEX([1]PARCELLAIRE!$C$2:$C$85,MATCH(A329,IF([1]PARCELLAIRE!$D$2:$D$85=E329,[1]PARCELLAIRE!$A$2:$A$85,""),0))</f>
        <v>SY SAMIN</v>
      </c>
      <c r="E329" s="29" t="s">
        <v>36</v>
      </c>
      <c r="F329" s="31">
        <v>41456</v>
      </c>
      <c r="G329" s="43" t="s">
        <v>91</v>
      </c>
      <c r="H329" s="32" t="s">
        <v>14</v>
      </c>
      <c r="I329" s="24" t="str">
        <f>VLOOKUP(G329,[1]ACHATS!$C:$E,3,0)</f>
        <v>L</v>
      </c>
      <c r="J329" s="24" t="str">
        <f>VLOOKUP(G329,[1]ACHATS!$C:$D,2,0)</f>
        <v>DIVERS</v>
      </c>
      <c r="K329" s="33">
        <v>2.7</v>
      </c>
      <c r="L329" s="33">
        <f>VLOOKUP(E329,[1]PARCELLAIRE!$D$2:$F$29,3,0)</f>
        <v>4.42</v>
      </c>
      <c r="M329" s="33">
        <f t="shared" si="15"/>
        <v>11.934000000000001</v>
      </c>
      <c r="N329" s="34">
        <f t="array" ref="N329">INDEX('[1]COUT MOYEN - STOCK'!$G$2:$G$120,MATCH(A329,IF('[1]COUT MOYEN - STOCK'!$B$2:$B$120=G329,'[1]COUT MOYEN - STOCK'!$A$2:$A$120,""),0))</f>
        <v>3.7</v>
      </c>
      <c r="O329" s="35">
        <f t="shared" si="16"/>
        <v>44.155800000000006</v>
      </c>
      <c r="P329" s="36" t="str">
        <f t="shared" si="17"/>
        <v>Picotalène Nord</v>
      </c>
      <c r="Q329" s="37" t="s">
        <v>14</v>
      </c>
    </row>
    <row r="330" spans="1:17">
      <c r="A330" s="29">
        <v>2013</v>
      </c>
      <c r="B330" s="29" t="s">
        <v>165</v>
      </c>
      <c r="C330" s="30" t="s">
        <v>39</v>
      </c>
      <c r="D330" s="24" t="str">
        <f t="array" ref="D330">INDEX([1]PARCELLAIRE!$C$2:$C$85,MATCH(A330,IF([1]PARCELLAIRE!$D$2:$D$85=E330,[1]PARCELLAIRE!$A$2:$A$85,""),0))</f>
        <v>SY SAMIN</v>
      </c>
      <c r="E330" s="29" t="s">
        <v>35</v>
      </c>
      <c r="F330" s="31">
        <v>41457</v>
      </c>
      <c r="G330" s="29" t="s">
        <v>90</v>
      </c>
      <c r="H330" s="32" t="s">
        <v>14</v>
      </c>
      <c r="I330" s="24" t="str">
        <f>VLOOKUP(G330,[1]ACHATS!$C:$E,3,0)</f>
        <v>L</v>
      </c>
      <c r="J330" s="24" t="str">
        <f>VLOOKUP(G330,[1]ACHATS!$C:$D,2,0)</f>
        <v>FONGICIDES</v>
      </c>
      <c r="K330" s="33">
        <v>0.4</v>
      </c>
      <c r="L330" s="33">
        <f>VLOOKUP(E330,[1]PARCELLAIRE!$D$2:$F$29,3,0)</f>
        <v>4.12</v>
      </c>
      <c r="M330" s="33">
        <f t="shared" si="15"/>
        <v>1.6480000000000001</v>
      </c>
      <c r="N330" s="34">
        <f t="array" ref="N330">INDEX('[1]COUT MOYEN - STOCK'!$G$2:$G$120,MATCH(A330,IF('[1]COUT MOYEN - STOCK'!$B$2:$B$120=G330,'[1]COUT MOYEN - STOCK'!$A$2:$A$120,""),0))</f>
        <v>85</v>
      </c>
      <c r="O330" s="35">
        <f t="shared" si="16"/>
        <v>140.08000000000001</v>
      </c>
      <c r="P330" s="36" t="str">
        <f t="shared" si="17"/>
        <v>Picotalène Midi</v>
      </c>
      <c r="Q330" s="37" t="s">
        <v>14</v>
      </c>
    </row>
    <row r="331" spans="1:17">
      <c r="A331" s="29">
        <v>2013</v>
      </c>
      <c r="B331" s="29" t="s">
        <v>165</v>
      </c>
      <c r="C331" s="30" t="s">
        <v>39</v>
      </c>
      <c r="D331" s="24" t="str">
        <f t="array" ref="D331">INDEX([1]PARCELLAIRE!$C$2:$C$85,MATCH(A331,IF([1]PARCELLAIRE!$D$2:$D$85=E331,[1]PARCELLAIRE!$A$2:$A$85,""),0))</f>
        <v>SY SAMIN</v>
      </c>
      <c r="E331" s="29" t="s">
        <v>35</v>
      </c>
      <c r="F331" s="31">
        <v>41457</v>
      </c>
      <c r="G331" s="29" t="s">
        <v>45</v>
      </c>
      <c r="H331" s="32" t="s">
        <v>14</v>
      </c>
      <c r="I331" s="24" t="str">
        <f>VLOOKUP(G331,[1]ACHATS!$C:$E,3,0)</f>
        <v>L</v>
      </c>
      <c r="J331" s="24" t="str">
        <f>VLOOKUP(G331,[1]ACHATS!$C:$D,2,0)</f>
        <v>DIVERS</v>
      </c>
      <c r="K331" s="33">
        <v>0.2</v>
      </c>
      <c r="L331" s="33">
        <f>VLOOKUP(E331,[1]PARCELLAIRE!$D$2:$F$29,3,0)</f>
        <v>4.12</v>
      </c>
      <c r="M331" s="33">
        <f t="shared" si="15"/>
        <v>0.82400000000000007</v>
      </c>
      <c r="N331" s="34">
        <f t="array" ref="N331">INDEX('[1]COUT MOYEN - STOCK'!$G$2:$G$120,MATCH(A331,IF('[1]COUT MOYEN - STOCK'!$B$2:$B$120=G331,'[1]COUT MOYEN - STOCK'!$A$2:$A$120,""),0))</f>
        <v>11.01</v>
      </c>
      <c r="O331" s="35">
        <f t="shared" si="16"/>
        <v>9.0722400000000007</v>
      </c>
      <c r="P331" s="36" t="str">
        <f t="shared" si="17"/>
        <v>Picotalène Midi</v>
      </c>
      <c r="Q331" s="37" t="s">
        <v>14</v>
      </c>
    </row>
    <row r="332" spans="1:17">
      <c r="A332" s="29">
        <v>2013</v>
      </c>
      <c r="B332" s="29" t="s">
        <v>165</v>
      </c>
      <c r="C332" s="30" t="s">
        <v>39</v>
      </c>
      <c r="D332" s="24" t="str">
        <f t="array" ref="D332">INDEX([1]PARCELLAIRE!$C$2:$C$85,MATCH(A332,IF([1]PARCELLAIRE!$D$2:$D$85=E332,[1]PARCELLAIRE!$A$2:$A$85,""),0))</f>
        <v>SY SAMIN</v>
      </c>
      <c r="E332" s="29" t="s">
        <v>35</v>
      </c>
      <c r="F332" s="31">
        <v>41457</v>
      </c>
      <c r="G332" s="43" t="s">
        <v>91</v>
      </c>
      <c r="H332" s="32" t="s">
        <v>14</v>
      </c>
      <c r="I332" s="24" t="str">
        <f>VLOOKUP(G332,[1]ACHATS!$C:$E,3,0)</f>
        <v>L</v>
      </c>
      <c r="J332" s="24" t="str">
        <f>VLOOKUP(G332,[1]ACHATS!$C:$D,2,0)</f>
        <v>DIVERS</v>
      </c>
      <c r="K332" s="33">
        <v>2.7</v>
      </c>
      <c r="L332" s="33">
        <f>VLOOKUP(E332,[1]PARCELLAIRE!$D$2:$F$29,3,0)</f>
        <v>4.12</v>
      </c>
      <c r="M332" s="33">
        <f t="shared" si="15"/>
        <v>11.124000000000001</v>
      </c>
      <c r="N332" s="34">
        <f t="array" ref="N332">INDEX('[1]COUT MOYEN - STOCK'!$G$2:$G$120,MATCH(A332,IF('[1]COUT MOYEN - STOCK'!$B$2:$B$120=G332,'[1]COUT MOYEN - STOCK'!$A$2:$A$120,""),0))</f>
        <v>3.7</v>
      </c>
      <c r="O332" s="35">
        <f t="shared" si="16"/>
        <v>41.158800000000006</v>
      </c>
      <c r="P332" s="36" t="str">
        <f t="shared" si="17"/>
        <v>Picotalène Midi</v>
      </c>
      <c r="Q332" s="37" t="s">
        <v>14</v>
      </c>
    </row>
    <row r="333" spans="1:17">
      <c r="A333" s="29">
        <v>2013</v>
      </c>
      <c r="B333" s="29" t="s">
        <v>165</v>
      </c>
      <c r="C333" s="30" t="s">
        <v>39</v>
      </c>
      <c r="D333" s="24" t="str">
        <f t="array" ref="D333">INDEX([1]PARCELLAIRE!$C$2:$C$85,MATCH(A333,IF([1]PARCELLAIRE!$D$2:$D$85=E333,[1]PARCELLAIRE!$A$2:$A$85,""),0))</f>
        <v>SY SAMIN</v>
      </c>
      <c r="E333" s="29" t="s">
        <v>18</v>
      </c>
      <c r="F333" s="31">
        <v>41457</v>
      </c>
      <c r="G333" s="29" t="s">
        <v>90</v>
      </c>
      <c r="H333" s="32" t="s">
        <v>14</v>
      </c>
      <c r="I333" s="24" t="str">
        <f>VLOOKUP(G333,[1]ACHATS!$C:$E,3,0)</f>
        <v>L</v>
      </c>
      <c r="J333" s="24" t="str">
        <f>VLOOKUP(G333,[1]ACHATS!$C:$D,2,0)</f>
        <v>FONGICIDES</v>
      </c>
      <c r="K333" s="33">
        <v>0.4</v>
      </c>
      <c r="L333" s="33">
        <f>VLOOKUP(E333,[1]PARCELLAIRE!$D$2:$F$29,3,0)</f>
        <v>2.33</v>
      </c>
      <c r="M333" s="33">
        <f t="shared" si="15"/>
        <v>0.93200000000000005</v>
      </c>
      <c r="N333" s="34">
        <f t="array" ref="N333">INDEX('[1]COUT MOYEN - STOCK'!$G$2:$G$120,MATCH(A333,IF('[1]COUT MOYEN - STOCK'!$B$2:$B$120=G333,'[1]COUT MOYEN - STOCK'!$A$2:$A$120,""),0))</f>
        <v>85</v>
      </c>
      <c r="O333" s="35">
        <f t="shared" si="16"/>
        <v>79.22</v>
      </c>
      <c r="P333" s="36" t="str">
        <f t="shared" si="17"/>
        <v>Bousquet Pourtanel</v>
      </c>
      <c r="Q333" s="37" t="s">
        <v>14</v>
      </c>
    </row>
    <row r="334" spans="1:17">
      <c r="A334" s="29">
        <v>2013</v>
      </c>
      <c r="B334" s="29" t="s">
        <v>165</v>
      </c>
      <c r="C334" s="30" t="s">
        <v>39</v>
      </c>
      <c r="D334" s="24" t="str">
        <f t="array" ref="D334">INDEX([1]PARCELLAIRE!$C$2:$C$85,MATCH(A334,IF([1]PARCELLAIRE!$D$2:$D$85=E334,[1]PARCELLAIRE!$A$2:$A$85,""),0))</f>
        <v>SY SAMIN</v>
      </c>
      <c r="E334" s="29" t="s">
        <v>18</v>
      </c>
      <c r="F334" s="31">
        <v>41457</v>
      </c>
      <c r="G334" s="29" t="s">
        <v>45</v>
      </c>
      <c r="H334" s="32" t="s">
        <v>14</v>
      </c>
      <c r="I334" s="24" t="str">
        <f>VLOOKUP(G334,[1]ACHATS!$C:$E,3,0)</f>
        <v>L</v>
      </c>
      <c r="J334" s="24" t="str">
        <f>VLOOKUP(G334,[1]ACHATS!$C:$D,2,0)</f>
        <v>DIVERS</v>
      </c>
      <c r="K334" s="33">
        <v>0.2</v>
      </c>
      <c r="L334" s="33">
        <f>VLOOKUP(E334,[1]PARCELLAIRE!$D$2:$F$29,3,0)</f>
        <v>2.33</v>
      </c>
      <c r="M334" s="33">
        <f t="shared" si="15"/>
        <v>0.46600000000000003</v>
      </c>
      <c r="N334" s="34">
        <f t="array" ref="N334">INDEX('[1]COUT MOYEN - STOCK'!$G$2:$G$120,MATCH(A334,IF('[1]COUT MOYEN - STOCK'!$B$2:$B$120=G334,'[1]COUT MOYEN - STOCK'!$A$2:$A$120,""),0))</f>
        <v>11.01</v>
      </c>
      <c r="O334" s="35">
        <f t="shared" si="16"/>
        <v>5.1306599999999998</v>
      </c>
      <c r="P334" s="36" t="str">
        <f t="shared" si="17"/>
        <v>Bousquet Pourtanel</v>
      </c>
      <c r="Q334" s="37" t="s">
        <v>14</v>
      </c>
    </row>
    <row r="335" spans="1:17">
      <c r="A335" s="29">
        <v>2013</v>
      </c>
      <c r="B335" s="29" t="s">
        <v>165</v>
      </c>
      <c r="C335" s="30" t="s">
        <v>39</v>
      </c>
      <c r="D335" s="24" t="str">
        <f t="array" ref="D335">INDEX([1]PARCELLAIRE!$C$2:$C$85,MATCH(A335,IF([1]PARCELLAIRE!$D$2:$D$85=E335,[1]PARCELLAIRE!$A$2:$A$85,""),0))</f>
        <v>SY SAMIN</v>
      </c>
      <c r="E335" s="29" t="s">
        <v>18</v>
      </c>
      <c r="F335" s="31">
        <v>41457</v>
      </c>
      <c r="G335" s="43" t="s">
        <v>91</v>
      </c>
      <c r="H335" s="32" t="s">
        <v>14</v>
      </c>
      <c r="I335" s="24" t="str">
        <f>VLOOKUP(G335,[1]ACHATS!$C:$E,3,0)</f>
        <v>L</v>
      </c>
      <c r="J335" s="24" t="str">
        <f>VLOOKUP(G335,[1]ACHATS!$C:$D,2,0)</f>
        <v>DIVERS</v>
      </c>
      <c r="K335" s="33">
        <v>2.7</v>
      </c>
      <c r="L335" s="33">
        <f>VLOOKUP(E335,[1]PARCELLAIRE!$D$2:$F$29,3,0)</f>
        <v>2.33</v>
      </c>
      <c r="M335" s="33">
        <f t="shared" si="15"/>
        <v>6.2910000000000004</v>
      </c>
      <c r="N335" s="34">
        <f t="array" ref="N335">INDEX('[1]COUT MOYEN - STOCK'!$G$2:$G$120,MATCH(A335,IF('[1]COUT MOYEN - STOCK'!$B$2:$B$120=G335,'[1]COUT MOYEN - STOCK'!$A$2:$A$120,""),0))</f>
        <v>3.7</v>
      </c>
      <c r="O335" s="35">
        <f t="shared" si="16"/>
        <v>23.276700000000002</v>
      </c>
      <c r="P335" s="36" t="str">
        <f t="shared" si="17"/>
        <v>Bousquet Pourtanel</v>
      </c>
      <c r="Q335" s="37" t="s">
        <v>14</v>
      </c>
    </row>
    <row r="336" spans="1:17">
      <c r="A336" s="29">
        <v>2013</v>
      </c>
      <c r="B336" s="29" t="s">
        <v>165</v>
      </c>
      <c r="C336" s="30" t="s">
        <v>39</v>
      </c>
      <c r="D336" s="24" t="str">
        <f t="array" ref="D336">INDEX([1]PARCELLAIRE!$C$2:$C$85,MATCH(A336,IF([1]PARCELLAIRE!$D$2:$D$85=E336,[1]PARCELLAIRE!$A$2:$A$85,""),0))</f>
        <v>SY SAMIN</v>
      </c>
      <c r="E336" s="29" t="s">
        <v>37</v>
      </c>
      <c r="F336" s="31">
        <v>41457</v>
      </c>
      <c r="G336" s="29" t="s">
        <v>90</v>
      </c>
      <c r="H336" s="32" t="s">
        <v>14</v>
      </c>
      <c r="I336" s="24" t="str">
        <f>VLOOKUP(G336,[1]ACHATS!$C:$E,3,0)</f>
        <v>L</v>
      </c>
      <c r="J336" s="24" t="str">
        <f>VLOOKUP(G336,[1]ACHATS!$C:$D,2,0)</f>
        <v>FONGICIDES</v>
      </c>
      <c r="K336" s="33">
        <v>0.4</v>
      </c>
      <c r="L336" s="33">
        <f>VLOOKUP(E336,[1]PARCELLAIRE!$D$2:$F$29,3,0)</f>
        <v>12.06</v>
      </c>
      <c r="M336" s="33">
        <f t="shared" si="15"/>
        <v>4.8240000000000007</v>
      </c>
      <c r="N336" s="34">
        <f t="array" ref="N336">INDEX('[1]COUT MOYEN - STOCK'!$G$2:$G$120,MATCH(A336,IF('[1]COUT MOYEN - STOCK'!$B$2:$B$120=G336,'[1]COUT MOYEN - STOCK'!$A$2:$A$120,""),0))</f>
        <v>85</v>
      </c>
      <c r="O336" s="35">
        <f t="shared" si="16"/>
        <v>410.04000000000008</v>
      </c>
      <c r="P336" s="36" t="str">
        <f t="shared" si="17"/>
        <v>Pourtanel</v>
      </c>
      <c r="Q336" s="37" t="s">
        <v>14</v>
      </c>
    </row>
    <row r="337" spans="1:17">
      <c r="A337" s="29">
        <v>2013</v>
      </c>
      <c r="B337" s="29" t="s">
        <v>165</v>
      </c>
      <c r="C337" s="30" t="s">
        <v>39</v>
      </c>
      <c r="D337" s="24" t="str">
        <f t="array" ref="D337">INDEX([1]PARCELLAIRE!$C$2:$C$85,MATCH(A337,IF([1]PARCELLAIRE!$D$2:$D$85=E337,[1]PARCELLAIRE!$A$2:$A$85,""),0))</f>
        <v>SY SAMIN</v>
      </c>
      <c r="E337" s="29" t="s">
        <v>37</v>
      </c>
      <c r="F337" s="31">
        <v>41457</v>
      </c>
      <c r="G337" s="29" t="s">
        <v>45</v>
      </c>
      <c r="H337" s="32" t="s">
        <v>14</v>
      </c>
      <c r="I337" s="24" t="str">
        <f>VLOOKUP(G337,[1]ACHATS!$C:$E,3,0)</f>
        <v>L</v>
      </c>
      <c r="J337" s="24" t="str">
        <f>VLOOKUP(G337,[1]ACHATS!$C:$D,2,0)</f>
        <v>DIVERS</v>
      </c>
      <c r="K337" s="33">
        <v>0.2</v>
      </c>
      <c r="L337" s="33">
        <f>VLOOKUP(E337,[1]PARCELLAIRE!$D$2:$F$29,3,0)</f>
        <v>12.06</v>
      </c>
      <c r="M337" s="33">
        <f t="shared" si="15"/>
        <v>2.4120000000000004</v>
      </c>
      <c r="N337" s="34">
        <f t="array" ref="N337">INDEX('[1]COUT MOYEN - STOCK'!$G$2:$G$120,MATCH(A337,IF('[1]COUT MOYEN - STOCK'!$B$2:$B$120=G337,'[1]COUT MOYEN - STOCK'!$A$2:$A$120,""),0))</f>
        <v>11.01</v>
      </c>
      <c r="O337" s="35">
        <f t="shared" si="16"/>
        <v>26.556120000000004</v>
      </c>
      <c r="P337" s="36" t="str">
        <f t="shared" si="17"/>
        <v>Pourtanel</v>
      </c>
      <c r="Q337" s="37" t="s">
        <v>14</v>
      </c>
    </row>
    <row r="338" spans="1:17">
      <c r="A338" s="29">
        <v>2013</v>
      </c>
      <c r="B338" s="29" t="s">
        <v>165</v>
      </c>
      <c r="C338" s="30" t="s">
        <v>39</v>
      </c>
      <c r="D338" s="24" t="str">
        <f t="array" ref="D338">INDEX([1]PARCELLAIRE!$C$2:$C$85,MATCH(A338,IF([1]PARCELLAIRE!$D$2:$D$85=E338,[1]PARCELLAIRE!$A$2:$A$85,""),0))</f>
        <v>SY SAMIN</v>
      </c>
      <c r="E338" s="29" t="s">
        <v>37</v>
      </c>
      <c r="F338" s="31">
        <v>41457</v>
      </c>
      <c r="G338" s="43" t="s">
        <v>91</v>
      </c>
      <c r="H338" s="32" t="s">
        <v>14</v>
      </c>
      <c r="I338" s="24" t="str">
        <f>VLOOKUP(G338,[1]ACHATS!$C:$E,3,0)</f>
        <v>L</v>
      </c>
      <c r="J338" s="24" t="str">
        <f>VLOOKUP(G338,[1]ACHATS!$C:$D,2,0)</f>
        <v>DIVERS</v>
      </c>
      <c r="K338" s="33">
        <v>2.7</v>
      </c>
      <c r="L338" s="33">
        <f>VLOOKUP(E338,[1]PARCELLAIRE!$D$2:$F$29,3,0)</f>
        <v>12.06</v>
      </c>
      <c r="M338" s="33">
        <f t="shared" si="15"/>
        <v>32.562000000000005</v>
      </c>
      <c r="N338" s="34">
        <f t="array" ref="N338">INDEX('[1]COUT MOYEN - STOCK'!$G$2:$G$120,MATCH(A338,IF('[1]COUT MOYEN - STOCK'!$B$2:$B$120=G338,'[1]COUT MOYEN - STOCK'!$A$2:$A$120,""),0))</f>
        <v>3.7</v>
      </c>
      <c r="O338" s="35">
        <f t="shared" si="16"/>
        <v>120.47940000000003</v>
      </c>
      <c r="P338" s="36" t="str">
        <f t="shared" si="17"/>
        <v>Pourtanel</v>
      </c>
      <c r="Q338" s="37" t="s">
        <v>14</v>
      </c>
    </row>
    <row r="339" spans="1:17">
      <c r="A339" s="29">
        <v>2013</v>
      </c>
      <c r="B339" s="29" t="s">
        <v>165</v>
      </c>
      <c r="C339" s="30" t="s">
        <v>39</v>
      </c>
      <c r="D339" s="24" t="str">
        <f t="array" ref="D339">INDEX([1]PARCELLAIRE!$C$2:$C$85,MATCH(A339,IF([1]PARCELLAIRE!$D$2:$D$85=E339,[1]PARCELLAIRE!$A$2:$A$85,""),0))</f>
        <v>LG5474</v>
      </c>
      <c r="E339" s="29" t="s">
        <v>33</v>
      </c>
      <c r="F339" s="31">
        <v>41457</v>
      </c>
      <c r="G339" s="29" t="s">
        <v>90</v>
      </c>
      <c r="H339" s="32" t="s">
        <v>14</v>
      </c>
      <c r="I339" s="24" t="str">
        <f>VLOOKUP(G339,[1]ACHATS!$C:$E,3,0)</f>
        <v>L</v>
      </c>
      <c r="J339" s="24" t="str">
        <f>VLOOKUP(G339,[1]ACHATS!$C:$D,2,0)</f>
        <v>FONGICIDES</v>
      </c>
      <c r="K339" s="33">
        <v>0.4</v>
      </c>
      <c r="L339" s="33">
        <f>VLOOKUP(E339,[1]PARCELLAIRE!$D$2:$F$29,3,0)</f>
        <v>21.88</v>
      </c>
      <c r="M339" s="33">
        <f t="shared" si="15"/>
        <v>8.7520000000000007</v>
      </c>
      <c r="N339" s="34">
        <f t="array" ref="N339">INDEX('[1]COUT MOYEN - STOCK'!$G$2:$G$120,MATCH(A339,IF('[1]COUT MOYEN - STOCK'!$B$2:$B$120=G339,'[1]COUT MOYEN - STOCK'!$A$2:$A$120,""),0))</f>
        <v>85</v>
      </c>
      <c r="O339" s="35">
        <f t="shared" si="16"/>
        <v>743.92000000000007</v>
      </c>
      <c r="P339" s="36" t="str">
        <f t="shared" si="17"/>
        <v>Moulin Barthes</v>
      </c>
      <c r="Q339" s="37" t="s">
        <v>14</v>
      </c>
    </row>
    <row r="340" spans="1:17">
      <c r="A340" s="29">
        <v>2013</v>
      </c>
      <c r="B340" s="29" t="s">
        <v>165</v>
      </c>
      <c r="C340" s="30" t="s">
        <v>39</v>
      </c>
      <c r="D340" s="24" t="str">
        <f t="array" ref="D340">INDEX([1]PARCELLAIRE!$C$2:$C$85,MATCH(A340,IF([1]PARCELLAIRE!$D$2:$D$85=E340,[1]PARCELLAIRE!$A$2:$A$85,""),0))</f>
        <v>LG5474</v>
      </c>
      <c r="E340" s="29" t="s">
        <v>33</v>
      </c>
      <c r="F340" s="31">
        <v>41457</v>
      </c>
      <c r="G340" s="29" t="s">
        <v>45</v>
      </c>
      <c r="H340" s="32" t="s">
        <v>14</v>
      </c>
      <c r="I340" s="24" t="str">
        <f>VLOOKUP(G340,[1]ACHATS!$C:$E,3,0)</f>
        <v>L</v>
      </c>
      <c r="J340" s="24" t="str">
        <f>VLOOKUP(G340,[1]ACHATS!$C:$D,2,0)</f>
        <v>DIVERS</v>
      </c>
      <c r="K340" s="33">
        <v>0.2</v>
      </c>
      <c r="L340" s="33">
        <f>VLOOKUP(E340,[1]PARCELLAIRE!$D$2:$F$29,3,0)</f>
        <v>21.88</v>
      </c>
      <c r="M340" s="33">
        <f t="shared" si="15"/>
        <v>4.3760000000000003</v>
      </c>
      <c r="N340" s="34">
        <f t="array" ref="N340">INDEX('[1]COUT MOYEN - STOCK'!$G$2:$G$120,MATCH(A340,IF('[1]COUT MOYEN - STOCK'!$B$2:$B$120=G340,'[1]COUT MOYEN - STOCK'!$A$2:$A$120,""),0))</f>
        <v>11.01</v>
      </c>
      <c r="O340" s="35">
        <f t="shared" si="16"/>
        <v>48.179760000000002</v>
      </c>
      <c r="P340" s="36" t="str">
        <f t="shared" si="17"/>
        <v>Moulin Barthes</v>
      </c>
      <c r="Q340" s="37" t="s">
        <v>14</v>
      </c>
    </row>
    <row r="341" spans="1:17">
      <c r="A341" s="29">
        <v>2013</v>
      </c>
      <c r="B341" s="29" t="s">
        <v>165</v>
      </c>
      <c r="C341" s="30" t="s">
        <v>39</v>
      </c>
      <c r="D341" s="24" t="str">
        <f t="array" ref="D341">INDEX([1]PARCELLAIRE!$C$2:$C$85,MATCH(A341,IF([1]PARCELLAIRE!$D$2:$D$85=E341,[1]PARCELLAIRE!$A$2:$A$85,""),0))</f>
        <v>LG5474</v>
      </c>
      <c r="E341" s="29" t="s">
        <v>33</v>
      </c>
      <c r="F341" s="31">
        <v>41457</v>
      </c>
      <c r="G341" s="43" t="s">
        <v>91</v>
      </c>
      <c r="H341" s="32" t="s">
        <v>14</v>
      </c>
      <c r="I341" s="24" t="str">
        <f>VLOOKUP(G341,[1]ACHATS!$C:$E,3,0)</f>
        <v>L</v>
      </c>
      <c r="J341" s="24" t="str">
        <f>VLOOKUP(G341,[1]ACHATS!$C:$D,2,0)</f>
        <v>DIVERS</v>
      </c>
      <c r="K341" s="33">
        <v>2.7</v>
      </c>
      <c r="L341" s="33">
        <f>VLOOKUP(E341,[1]PARCELLAIRE!$D$2:$F$29,3,0)</f>
        <v>21.88</v>
      </c>
      <c r="M341" s="33">
        <f t="shared" si="15"/>
        <v>59.076000000000001</v>
      </c>
      <c r="N341" s="34">
        <f t="array" ref="N341">INDEX('[1]COUT MOYEN - STOCK'!$G$2:$G$120,MATCH(A341,IF('[1]COUT MOYEN - STOCK'!$B$2:$B$120=G341,'[1]COUT MOYEN - STOCK'!$A$2:$A$120,""),0))</f>
        <v>3.7</v>
      </c>
      <c r="O341" s="35">
        <f t="shared" si="16"/>
        <v>218.58120000000002</v>
      </c>
      <c r="P341" s="36" t="str">
        <f t="shared" si="17"/>
        <v>Moulin Barthes</v>
      </c>
      <c r="Q341" s="37" t="s">
        <v>14</v>
      </c>
    </row>
    <row r="342" spans="1:17">
      <c r="A342" s="29">
        <v>2013</v>
      </c>
      <c r="B342" s="29" t="s">
        <v>165</v>
      </c>
      <c r="C342" s="30" t="s">
        <v>41</v>
      </c>
      <c r="D342" s="24" t="str">
        <f t="array" ref="D342">INDEX([1]PARCELLAIRE!$C$2:$C$85,MATCH(A342,IF([1]PARCELLAIRE!$D$2:$D$85=E342,[1]PARCELLAIRE!$A$2:$A$85,""),0))</f>
        <v>ARDICO</v>
      </c>
      <c r="E342" s="29" t="s">
        <v>21</v>
      </c>
      <c r="F342" s="31">
        <v>41457</v>
      </c>
      <c r="G342" s="29" t="s">
        <v>58</v>
      </c>
      <c r="H342" s="32" t="s">
        <v>14</v>
      </c>
      <c r="I342" s="24" t="str">
        <f>VLOOKUP(G342,[1]ACHATS!$C:$E,3,0)</f>
        <v>Kg</v>
      </c>
      <c r="J342" s="24" t="str">
        <f>VLOOKUP(G342,[1]ACHATS!$C:$D,2,0)</f>
        <v>AZOTE</v>
      </c>
      <c r="K342" s="33">
        <v>182</v>
      </c>
      <c r="L342" s="33">
        <f>VLOOKUP(E342,[1]PARCELLAIRE!$D$2:$F$29,3,0)</f>
        <v>10.93</v>
      </c>
      <c r="M342" s="33">
        <f t="shared" si="15"/>
        <v>1989.26</v>
      </c>
      <c r="N342" s="34">
        <f t="array" ref="N342">INDEX('[1]COUT MOYEN - STOCK'!$G$2:$G$120,MATCH(A342,IF('[1]COUT MOYEN - STOCK'!$B$2:$B$120=G342,'[1]COUT MOYEN - STOCK'!$A$2:$A$120,""),0))</f>
        <v>0.41460714285714284</v>
      </c>
      <c r="O342" s="35">
        <f t="shared" si="16"/>
        <v>824.76140499999997</v>
      </c>
      <c r="P342" s="36" t="str">
        <f t="shared" si="17"/>
        <v>Engleyse métairie</v>
      </c>
      <c r="Q342" s="40" t="s">
        <v>142</v>
      </c>
    </row>
    <row r="343" spans="1:17">
      <c r="A343" s="29">
        <v>2013</v>
      </c>
      <c r="B343" s="29" t="s">
        <v>165</v>
      </c>
      <c r="C343" s="30" t="s">
        <v>41</v>
      </c>
      <c r="D343" s="24" t="str">
        <f t="array" ref="D343">INDEX([1]PARCELLAIRE!$C$2:$C$85,MATCH(A343,IF([1]PARCELLAIRE!$D$2:$D$85=E343,[1]PARCELLAIRE!$A$2:$A$85,""),0))</f>
        <v>ARDICO</v>
      </c>
      <c r="E343" s="29" t="s">
        <v>21</v>
      </c>
      <c r="F343" s="31">
        <v>41457</v>
      </c>
      <c r="G343" s="29" t="s">
        <v>92</v>
      </c>
      <c r="H343" s="32" t="s">
        <v>14</v>
      </c>
      <c r="I343" s="24" t="str">
        <f>VLOOKUP(G343,[1]ACHATS!$C:$E,3,0)</f>
        <v>L</v>
      </c>
      <c r="J343" s="24" t="str">
        <f>VLOOKUP(G343,[1]ACHATS!$C:$D,2,0)</f>
        <v>DESHERBANT</v>
      </c>
      <c r="K343" s="33">
        <v>0.82</v>
      </c>
      <c r="L343" s="33">
        <f>VLOOKUP(E343,[1]PARCELLAIRE!$D$2:$F$29,3,0)</f>
        <v>10.93</v>
      </c>
      <c r="M343" s="33">
        <f t="shared" si="15"/>
        <v>8.9625999999999983</v>
      </c>
      <c r="N343" s="34">
        <f t="array" ref="N343">INDEX('[1]COUT MOYEN - STOCK'!$G$2:$G$120,MATCH(A343,IF('[1]COUT MOYEN - STOCK'!$B$2:$B$120=G343,'[1]COUT MOYEN - STOCK'!$A$2:$A$120,""),0))</f>
        <v>72.449999999999989</v>
      </c>
      <c r="O343" s="35">
        <f t="shared" si="16"/>
        <v>649.34036999999978</v>
      </c>
      <c r="P343" s="36" t="str">
        <f t="shared" si="17"/>
        <v>Engleyse métairie</v>
      </c>
      <c r="Q343" s="37" t="s">
        <v>14</v>
      </c>
    </row>
    <row r="344" spans="1:17">
      <c r="A344" s="29">
        <v>2013</v>
      </c>
      <c r="B344" s="29" t="s">
        <v>165</v>
      </c>
      <c r="C344" s="30" t="s">
        <v>41</v>
      </c>
      <c r="D344" s="24" t="str">
        <f t="array" ref="D344">INDEX([1]PARCELLAIRE!$C$2:$C$85,MATCH(A344,IF([1]PARCELLAIRE!$D$2:$D$85=E344,[1]PARCELLAIRE!$A$2:$A$85,""),0))</f>
        <v>ARDICO</v>
      </c>
      <c r="E344" s="29" t="s">
        <v>21</v>
      </c>
      <c r="F344" s="31">
        <v>41457</v>
      </c>
      <c r="G344" s="29" t="s">
        <v>72</v>
      </c>
      <c r="H344" s="32" t="s">
        <v>14</v>
      </c>
      <c r="I344" s="24" t="str">
        <f>VLOOKUP(G344,[1]ACHATS!$C:$E,3,0)</f>
        <v>L</v>
      </c>
      <c r="J344" s="24" t="str">
        <f>VLOOKUP(G344,[1]ACHATS!$C:$D,2,0)</f>
        <v>DESHERBANT</v>
      </c>
      <c r="K344" s="33">
        <v>0.9</v>
      </c>
      <c r="L344" s="33">
        <f>VLOOKUP(E344,[1]PARCELLAIRE!$D$2:$F$29,3,0)</f>
        <v>10.93</v>
      </c>
      <c r="M344" s="33">
        <f t="shared" si="15"/>
        <v>9.8369999999999997</v>
      </c>
      <c r="N344" s="34">
        <f t="array" ref="N344">INDEX('[1]COUT MOYEN - STOCK'!$G$2:$G$120,MATCH(A344,IF('[1]COUT MOYEN - STOCK'!$B$2:$B$120=G344,'[1]COUT MOYEN - STOCK'!$A$2:$A$120,""),0))</f>
        <v>24.884999999999998</v>
      </c>
      <c r="O344" s="35">
        <f t="shared" si="16"/>
        <v>244.79374499999997</v>
      </c>
      <c r="P344" s="36" t="str">
        <f t="shared" si="17"/>
        <v>Engleyse métairie</v>
      </c>
      <c r="Q344" s="37" t="s">
        <v>14</v>
      </c>
    </row>
    <row r="345" spans="1:17">
      <c r="A345" s="29">
        <v>2013</v>
      </c>
      <c r="B345" s="29" t="s">
        <v>165</v>
      </c>
      <c r="C345" s="30" t="s">
        <v>41</v>
      </c>
      <c r="D345" s="24" t="str">
        <f t="array" ref="D345">INDEX([1]PARCELLAIRE!$C$2:$C$85,MATCH(A345,IF([1]PARCELLAIRE!$D$2:$D$85=E345,[1]PARCELLAIRE!$A$2:$A$85,""),0))</f>
        <v>ARDICO</v>
      </c>
      <c r="E345" s="29" t="s">
        <v>21</v>
      </c>
      <c r="F345" s="31">
        <v>41457</v>
      </c>
      <c r="G345" s="29" t="s">
        <v>68</v>
      </c>
      <c r="H345" s="32" t="s">
        <v>14</v>
      </c>
      <c r="I345" s="24" t="str">
        <f>VLOOKUP(G345,[1]ACHATS!$C:$E,3,0)</f>
        <v>L</v>
      </c>
      <c r="J345" s="24" t="str">
        <f>VLOOKUP(G345,[1]ACHATS!$C:$D,2,0)</f>
        <v>DIVERS</v>
      </c>
      <c r="K345" s="33">
        <v>0.82</v>
      </c>
      <c r="L345" s="33">
        <f>VLOOKUP(E345,[1]PARCELLAIRE!$D$2:$F$29,3,0)</f>
        <v>10.93</v>
      </c>
      <c r="M345" s="33">
        <f t="shared" si="15"/>
        <v>8.9625999999999983</v>
      </c>
      <c r="N345" s="34">
        <f t="array" ref="N345">INDEX('[1]COUT MOYEN - STOCK'!$G$2:$G$120,MATCH(A345,IF('[1]COUT MOYEN - STOCK'!$B$2:$B$120=G345,'[1]COUT MOYEN - STOCK'!$A$2:$A$120,""),0))</f>
        <v>0.88121212121212111</v>
      </c>
      <c r="O345" s="35">
        <f t="shared" si="16"/>
        <v>7.897951757575755</v>
      </c>
      <c r="P345" s="36" t="str">
        <f t="shared" si="17"/>
        <v>Engleyse métairie</v>
      </c>
      <c r="Q345" s="37" t="s">
        <v>14</v>
      </c>
    </row>
    <row r="346" spans="1:17">
      <c r="A346" s="29">
        <v>2013</v>
      </c>
      <c r="B346" s="29" t="s">
        <v>165</v>
      </c>
      <c r="C346" s="30" t="s">
        <v>4</v>
      </c>
      <c r="D346" s="24" t="str">
        <f t="array" ref="D346">INDEX([1]PARCELLAIRE!$C$2:$C$85,MATCH(A346,IF([1]PARCELLAIRE!$D$2:$D$85=E346,[1]PARCELLAIRE!$A$2:$A$85,""),0))</f>
        <v>ISIDOR</v>
      </c>
      <c r="E346" s="29" t="s">
        <v>22</v>
      </c>
      <c r="F346" s="31">
        <v>41459</v>
      </c>
      <c r="G346" s="29" t="s">
        <v>89</v>
      </c>
      <c r="H346" s="32" t="s">
        <v>14</v>
      </c>
      <c r="I346" s="24" t="str">
        <f>VLOOKUP(G346,[1]ACHATS!$C:$E,3,0)</f>
        <v>L</v>
      </c>
      <c r="J346" s="24" t="str">
        <f>VLOOKUP(G346,[1]ACHATS!$C:$D,2,0)</f>
        <v>DESHERBANT</v>
      </c>
      <c r="K346" s="33">
        <v>0.5</v>
      </c>
      <c r="L346" s="33">
        <f>VLOOKUP(E346,[1]PARCELLAIRE!$D$2:$F$29,3,0)</f>
        <v>8.58</v>
      </c>
      <c r="M346" s="33">
        <f t="shared" si="15"/>
        <v>4.29</v>
      </c>
      <c r="N346" s="34">
        <f t="array" ref="N346">INDEX('[1]COUT MOYEN - STOCK'!$G$2:$G$120,MATCH(A346,IF('[1]COUT MOYEN - STOCK'!$B$2:$B$120=G346,'[1]COUT MOYEN - STOCK'!$A$2:$A$120,""),0))</f>
        <v>47.236499999999999</v>
      </c>
      <c r="O346" s="35">
        <f t="shared" si="16"/>
        <v>202.64458500000001</v>
      </c>
      <c r="P346" s="36" t="str">
        <f t="shared" si="17"/>
        <v>Engleyse Route</v>
      </c>
      <c r="Q346" s="37" t="s">
        <v>14</v>
      </c>
    </row>
    <row r="347" spans="1:17">
      <c r="A347" s="29">
        <v>2013</v>
      </c>
      <c r="B347" s="29" t="s">
        <v>165</v>
      </c>
      <c r="C347" s="30" t="s">
        <v>4</v>
      </c>
      <c r="D347" s="24" t="str">
        <f t="array" ref="D347">INDEX([1]PARCELLAIRE!$C$2:$C$85,MATCH(A347,IF([1]PARCELLAIRE!$D$2:$D$85=E347,[1]PARCELLAIRE!$A$2:$A$85,""),0))</f>
        <v>ISIDOR</v>
      </c>
      <c r="E347" s="29" t="s">
        <v>22</v>
      </c>
      <c r="F347" s="31">
        <v>41459</v>
      </c>
      <c r="G347" s="29" t="s">
        <v>45</v>
      </c>
      <c r="H347" s="32" t="s">
        <v>14</v>
      </c>
      <c r="I347" s="24" t="str">
        <f>VLOOKUP(G347,[1]ACHATS!$C:$E,3,0)</f>
        <v>L</v>
      </c>
      <c r="J347" s="24" t="str">
        <f>VLOOKUP(G347,[1]ACHATS!$C:$D,2,0)</f>
        <v>DIVERS</v>
      </c>
      <c r="K347" s="33">
        <v>0.2</v>
      </c>
      <c r="L347" s="33">
        <f>VLOOKUP(E347,[1]PARCELLAIRE!$D$2:$F$29,3,0)</f>
        <v>8.58</v>
      </c>
      <c r="M347" s="33">
        <f t="shared" si="15"/>
        <v>1.7160000000000002</v>
      </c>
      <c r="N347" s="34">
        <f t="array" ref="N347">INDEX('[1]COUT MOYEN - STOCK'!$G$2:$G$120,MATCH(A347,IF('[1]COUT MOYEN - STOCK'!$B$2:$B$120=G347,'[1]COUT MOYEN - STOCK'!$A$2:$A$120,""),0))</f>
        <v>11.01</v>
      </c>
      <c r="O347" s="35">
        <f t="shared" si="16"/>
        <v>18.893160000000002</v>
      </c>
      <c r="P347" s="36" t="str">
        <f t="shared" si="17"/>
        <v>Engleyse Route</v>
      </c>
      <c r="Q347" s="37" t="s">
        <v>14</v>
      </c>
    </row>
    <row r="348" spans="1:17">
      <c r="A348" s="29">
        <v>2013</v>
      </c>
      <c r="B348" s="29" t="s">
        <v>165</v>
      </c>
      <c r="C348" s="30" t="s">
        <v>4</v>
      </c>
      <c r="D348" s="24" t="str">
        <f t="array" ref="D348">INDEX([1]PARCELLAIRE!$C$2:$C$85,MATCH(A348,IF([1]PARCELLAIRE!$D$2:$D$85=E348,[1]PARCELLAIRE!$A$2:$A$85,""),0))</f>
        <v>ISIDOR</v>
      </c>
      <c r="E348" s="29" t="s">
        <v>22</v>
      </c>
      <c r="F348" s="31">
        <v>41459</v>
      </c>
      <c r="G348" s="38" t="s">
        <v>68</v>
      </c>
      <c r="H348" s="32" t="s">
        <v>14</v>
      </c>
      <c r="I348" s="24" t="str">
        <f>VLOOKUP(G348,[1]ACHATS!$C:$E,3,0)</f>
        <v>L</v>
      </c>
      <c r="J348" s="24" t="str">
        <f>VLOOKUP(G348,[1]ACHATS!$C:$D,2,0)</f>
        <v>DIVERS</v>
      </c>
      <c r="K348" s="33">
        <v>0.4</v>
      </c>
      <c r="L348" s="33">
        <f>VLOOKUP(E348,[1]PARCELLAIRE!$D$2:$F$29,3,0)</f>
        <v>8.58</v>
      </c>
      <c r="M348" s="33">
        <f t="shared" si="15"/>
        <v>3.4320000000000004</v>
      </c>
      <c r="N348" s="34">
        <f t="array" ref="N348">INDEX('[1]COUT MOYEN - STOCK'!$G$2:$G$120,MATCH(A348,IF('[1]COUT MOYEN - STOCK'!$B$2:$B$120=G348,'[1]COUT MOYEN - STOCK'!$A$2:$A$120,""),0))</f>
        <v>0.88121212121212111</v>
      </c>
      <c r="O348" s="35">
        <f t="shared" si="16"/>
        <v>3.0243199999999999</v>
      </c>
      <c r="P348" s="36" t="str">
        <f t="shared" si="17"/>
        <v>Engleyse Route</v>
      </c>
      <c r="Q348" s="37" t="s">
        <v>14</v>
      </c>
    </row>
    <row r="349" spans="1:17">
      <c r="A349" s="29">
        <v>2013</v>
      </c>
      <c r="B349" s="29" t="s">
        <v>165</v>
      </c>
      <c r="C349" s="30" t="s">
        <v>47</v>
      </c>
      <c r="D349" s="24" t="str">
        <f t="array" ref="D349">INDEX([1]PARCELLAIRE!$C$2:$C$85,MATCH(A349,IF([1]PARCELLAIRE!$D$2:$D$85=E349,[1]PARCELLAIRE!$A$2:$A$85,""),0))</f>
        <v>MIRADOUX</v>
      </c>
      <c r="E349" s="29" t="s">
        <v>19</v>
      </c>
      <c r="F349" s="31">
        <v>41459</v>
      </c>
      <c r="G349" s="29" t="s">
        <v>68</v>
      </c>
      <c r="H349" s="32" t="s">
        <v>14</v>
      </c>
      <c r="I349" s="24" t="str">
        <f>VLOOKUP(G349,[1]ACHATS!$C:$E,3,0)</f>
        <v>L</v>
      </c>
      <c r="J349" s="24" t="str">
        <f>VLOOKUP(G349,[1]ACHATS!$C:$D,2,0)</f>
        <v>DIVERS</v>
      </c>
      <c r="K349" s="33">
        <v>0.7</v>
      </c>
      <c r="L349" s="33">
        <f>VLOOKUP(E349,[1]PARCELLAIRE!$D$2:$F$29,3,0)</f>
        <v>5.67</v>
      </c>
      <c r="M349" s="33">
        <f t="shared" si="15"/>
        <v>3.9689999999999999</v>
      </c>
      <c r="N349" s="34">
        <f t="array" ref="N349">INDEX('[1]COUT MOYEN - STOCK'!$G$2:$G$120,MATCH(A349,IF('[1]COUT MOYEN - STOCK'!$B$2:$B$120=G349,'[1]COUT MOYEN - STOCK'!$A$2:$A$120,""),0))</f>
        <v>0.88121212121212111</v>
      </c>
      <c r="O349" s="35">
        <f t="shared" si="16"/>
        <v>3.4975309090909086</v>
      </c>
      <c r="P349" s="36" t="str">
        <f t="shared" si="17"/>
        <v>Bousquet Route</v>
      </c>
      <c r="Q349" s="37" t="s">
        <v>14</v>
      </c>
    </row>
    <row r="350" spans="1:17">
      <c r="A350" s="29">
        <v>2013</v>
      </c>
      <c r="B350" s="29" t="s">
        <v>165</v>
      </c>
      <c r="C350" s="30" t="s">
        <v>47</v>
      </c>
      <c r="D350" s="24" t="str">
        <f t="array" ref="D350">INDEX([1]PARCELLAIRE!$C$2:$C$85,MATCH(A350,IF([1]PARCELLAIRE!$D$2:$D$85=E350,[1]PARCELLAIRE!$A$2:$A$85,""),0))</f>
        <v>MIRADOUX</v>
      </c>
      <c r="E350" s="29" t="s">
        <v>19</v>
      </c>
      <c r="F350" s="31">
        <v>41459</v>
      </c>
      <c r="G350" s="29" t="s">
        <v>45</v>
      </c>
      <c r="H350" s="32" t="s">
        <v>14</v>
      </c>
      <c r="I350" s="24" t="str">
        <f>VLOOKUP(G350,[1]ACHATS!$C:$E,3,0)</f>
        <v>L</v>
      </c>
      <c r="J350" s="24" t="str">
        <f>VLOOKUP(G350,[1]ACHATS!$C:$D,2,0)</f>
        <v>DIVERS</v>
      </c>
      <c r="K350" s="33">
        <v>0.2</v>
      </c>
      <c r="L350" s="33">
        <f>VLOOKUP(E350,[1]PARCELLAIRE!$D$2:$F$29,3,0)</f>
        <v>5.67</v>
      </c>
      <c r="M350" s="33">
        <f t="shared" si="15"/>
        <v>1.1340000000000001</v>
      </c>
      <c r="N350" s="34">
        <f t="array" ref="N350">INDEX('[1]COUT MOYEN - STOCK'!$G$2:$G$120,MATCH(A350,IF('[1]COUT MOYEN - STOCK'!$B$2:$B$120=G350,'[1]COUT MOYEN - STOCK'!$A$2:$A$120,""),0))</f>
        <v>11.01</v>
      </c>
      <c r="O350" s="35">
        <f t="shared" si="16"/>
        <v>12.485340000000001</v>
      </c>
      <c r="P350" s="36" t="str">
        <f t="shared" si="17"/>
        <v>Bousquet Route</v>
      </c>
      <c r="Q350" s="37" t="s">
        <v>14</v>
      </c>
    </row>
    <row r="351" spans="1:17">
      <c r="A351" s="29">
        <v>2013</v>
      </c>
      <c r="B351" s="29" t="s">
        <v>165</v>
      </c>
      <c r="C351" s="30" t="s">
        <v>39</v>
      </c>
      <c r="D351" s="24" t="str">
        <f t="array" ref="D351">INDEX([1]PARCELLAIRE!$C$2:$C$85,MATCH(A351,IF([1]PARCELLAIRE!$D$2:$D$85=E351,[1]PARCELLAIRE!$A$2:$A$85,""),0))</f>
        <v>LG5474</v>
      </c>
      <c r="E351" s="29" t="s">
        <v>34</v>
      </c>
      <c r="F351" s="31">
        <v>41463</v>
      </c>
      <c r="G351" s="29" t="s">
        <v>91</v>
      </c>
      <c r="H351" s="32" t="s">
        <v>14</v>
      </c>
      <c r="I351" s="24" t="str">
        <f>VLOOKUP(G351,[1]ACHATS!$C:$E,3,0)</f>
        <v>L</v>
      </c>
      <c r="J351" s="24" t="str">
        <f>VLOOKUP(G351,[1]ACHATS!$C:$D,2,0)</f>
        <v>DIVERS</v>
      </c>
      <c r="K351" s="33">
        <v>3</v>
      </c>
      <c r="L351" s="33">
        <f>VLOOKUP(E351,[1]PARCELLAIRE!$D$2:$F$29,3,0)</f>
        <v>5.67</v>
      </c>
      <c r="M351" s="33">
        <f t="shared" si="15"/>
        <v>17.009999999999998</v>
      </c>
      <c r="N351" s="34">
        <f t="array" ref="N351">INDEX('[1]COUT MOYEN - STOCK'!$G$2:$G$120,MATCH(A351,IF('[1]COUT MOYEN - STOCK'!$B$2:$B$120=G351,'[1]COUT MOYEN - STOCK'!$A$2:$A$120,""),0))</f>
        <v>3.7</v>
      </c>
      <c r="O351" s="35">
        <f t="shared" si="16"/>
        <v>62.936999999999998</v>
      </c>
      <c r="P351" s="36" t="str">
        <f t="shared" si="17"/>
        <v>Moulin Côteau</v>
      </c>
      <c r="Q351" s="37" t="s">
        <v>14</v>
      </c>
    </row>
    <row r="352" spans="1:17">
      <c r="A352" s="29">
        <v>2013</v>
      </c>
      <c r="B352" s="29" t="s">
        <v>165</v>
      </c>
      <c r="C352" s="30" t="s">
        <v>39</v>
      </c>
      <c r="D352" s="24" t="str">
        <f t="array" ref="D352">INDEX([1]PARCELLAIRE!$C$2:$C$85,MATCH(A352,IF([1]PARCELLAIRE!$D$2:$D$85=E352,[1]PARCELLAIRE!$A$2:$A$85,""),0))</f>
        <v>LG5474</v>
      </c>
      <c r="E352" s="29" t="s">
        <v>34</v>
      </c>
      <c r="F352" s="31">
        <v>41463</v>
      </c>
      <c r="G352" s="29" t="s">
        <v>90</v>
      </c>
      <c r="H352" s="32" t="s">
        <v>14</v>
      </c>
      <c r="I352" s="24" t="str">
        <f>VLOOKUP(G352,[1]ACHATS!$C:$E,3,0)</f>
        <v>L</v>
      </c>
      <c r="J352" s="24" t="str">
        <f>VLOOKUP(G352,[1]ACHATS!$C:$D,2,0)</f>
        <v>FONGICIDES</v>
      </c>
      <c r="K352" s="33">
        <v>0.4</v>
      </c>
      <c r="L352" s="33">
        <f>VLOOKUP(E352,[1]PARCELLAIRE!$D$2:$F$29,3,0)</f>
        <v>5.67</v>
      </c>
      <c r="M352" s="33">
        <f t="shared" si="15"/>
        <v>2.2680000000000002</v>
      </c>
      <c r="N352" s="34">
        <f t="array" ref="N352">INDEX('[1]COUT MOYEN - STOCK'!$G$2:$G$120,MATCH(A352,IF('[1]COUT MOYEN - STOCK'!$B$2:$B$120=G352,'[1]COUT MOYEN - STOCK'!$A$2:$A$120,""),0))</f>
        <v>85</v>
      </c>
      <c r="O352" s="35">
        <f t="shared" si="16"/>
        <v>192.78000000000003</v>
      </c>
      <c r="P352" s="36" t="str">
        <f t="shared" si="17"/>
        <v>Moulin Côteau</v>
      </c>
      <c r="Q352" s="37" t="s">
        <v>14</v>
      </c>
    </row>
    <row r="353" spans="1:17">
      <c r="A353" s="29">
        <v>2013</v>
      </c>
      <c r="B353" s="29" t="s">
        <v>165</v>
      </c>
      <c r="C353" s="30" t="s">
        <v>39</v>
      </c>
      <c r="D353" s="24" t="str">
        <f t="array" ref="D353">INDEX([1]PARCELLAIRE!$C$2:$C$85,MATCH(A353,IF([1]PARCELLAIRE!$D$2:$D$85=E353,[1]PARCELLAIRE!$A$2:$A$85,""),0))</f>
        <v>LG5474</v>
      </c>
      <c r="E353" s="29" t="s">
        <v>34</v>
      </c>
      <c r="F353" s="31">
        <v>41463</v>
      </c>
      <c r="G353" s="29" t="s">
        <v>45</v>
      </c>
      <c r="H353" s="32" t="s">
        <v>14</v>
      </c>
      <c r="I353" s="24" t="str">
        <f>VLOOKUP(G353,[1]ACHATS!$C:$E,3,0)</f>
        <v>L</v>
      </c>
      <c r="J353" s="24" t="str">
        <f>VLOOKUP(G353,[1]ACHATS!$C:$D,2,0)</f>
        <v>DIVERS</v>
      </c>
      <c r="K353" s="33">
        <v>0.2</v>
      </c>
      <c r="L353" s="33">
        <f>VLOOKUP(E353,[1]PARCELLAIRE!$D$2:$F$29,3,0)</f>
        <v>5.67</v>
      </c>
      <c r="M353" s="33">
        <f t="shared" si="15"/>
        <v>1.1340000000000001</v>
      </c>
      <c r="N353" s="34">
        <f t="array" ref="N353">INDEX('[1]COUT MOYEN - STOCK'!$G$2:$G$120,MATCH(A353,IF('[1]COUT MOYEN - STOCK'!$B$2:$B$120=G353,'[1]COUT MOYEN - STOCK'!$A$2:$A$120,""),0))</f>
        <v>11.01</v>
      </c>
      <c r="O353" s="35">
        <f t="shared" si="16"/>
        <v>12.485340000000001</v>
      </c>
      <c r="P353" s="36" t="str">
        <f t="shared" si="17"/>
        <v>Moulin Côteau</v>
      </c>
      <c r="Q353" s="37" t="s">
        <v>14</v>
      </c>
    </row>
    <row r="354" spans="1:17">
      <c r="A354" s="29">
        <v>2013</v>
      </c>
      <c r="B354" s="29" t="s">
        <v>165</v>
      </c>
      <c r="C354" s="30" t="s">
        <v>39</v>
      </c>
      <c r="D354" s="24" t="str">
        <f t="array" ref="D354">INDEX([1]PARCELLAIRE!$C$2:$C$85,MATCH(A354,IF([1]PARCELLAIRE!$D$2:$D$85=E354,[1]PARCELLAIRE!$A$2:$A$85,""),0))</f>
        <v>LG5474</v>
      </c>
      <c r="E354" s="29" t="s">
        <v>16</v>
      </c>
      <c r="F354" s="31">
        <v>41463</v>
      </c>
      <c r="G354" s="29" t="s">
        <v>91</v>
      </c>
      <c r="H354" s="32" t="s">
        <v>14</v>
      </c>
      <c r="I354" s="24" t="str">
        <f>VLOOKUP(G354,[1]ACHATS!$C:$E,3,0)</f>
        <v>L</v>
      </c>
      <c r="J354" s="24" t="str">
        <f>VLOOKUP(G354,[1]ACHATS!$C:$D,2,0)</f>
        <v>DIVERS</v>
      </c>
      <c r="K354" s="33">
        <v>3</v>
      </c>
      <c r="L354" s="33">
        <f>VLOOKUP(E354,[1]PARCELLAIRE!$D$2:$F$29,3,0)</f>
        <v>5.17</v>
      </c>
      <c r="M354" s="33">
        <f t="shared" si="15"/>
        <v>15.51</v>
      </c>
      <c r="N354" s="34">
        <f t="array" ref="N354">INDEX('[1]COUT MOYEN - STOCK'!$G$2:$G$120,MATCH(A354,IF('[1]COUT MOYEN - STOCK'!$B$2:$B$120=G354,'[1]COUT MOYEN - STOCK'!$A$2:$A$120,""),0))</f>
        <v>3.7</v>
      </c>
      <c r="O354" s="35">
        <f t="shared" si="16"/>
        <v>57.387</v>
      </c>
      <c r="P354" s="36" t="str">
        <f t="shared" si="17"/>
        <v>Andres</v>
      </c>
      <c r="Q354" s="37" t="s">
        <v>14</v>
      </c>
    </row>
    <row r="355" spans="1:17">
      <c r="A355" s="29">
        <v>2013</v>
      </c>
      <c r="B355" s="29" t="s">
        <v>165</v>
      </c>
      <c r="C355" s="30" t="s">
        <v>39</v>
      </c>
      <c r="D355" s="24" t="str">
        <f t="array" ref="D355">INDEX([1]PARCELLAIRE!$C$2:$C$85,MATCH(A355,IF([1]PARCELLAIRE!$D$2:$D$85=E355,[1]PARCELLAIRE!$A$2:$A$85,""),0))</f>
        <v>LG5474</v>
      </c>
      <c r="E355" s="29" t="s">
        <v>16</v>
      </c>
      <c r="F355" s="31">
        <v>41463</v>
      </c>
      <c r="G355" s="29" t="s">
        <v>90</v>
      </c>
      <c r="H355" s="32" t="s">
        <v>14</v>
      </c>
      <c r="I355" s="24" t="str">
        <f>VLOOKUP(G355,[1]ACHATS!$C:$E,3,0)</f>
        <v>L</v>
      </c>
      <c r="J355" s="24" t="str">
        <f>VLOOKUP(G355,[1]ACHATS!$C:$D,2,0)</f>
        <v>FONGICIDES</v>
      </c>
      <c r="K355" s="33">
        <v>0.4</v>
      </c>
      <c r="L355" s="33">
        <f>VLOOKUP(E355,[1]PARCELLAIRE!$D$2:$F$29,3,0)</f>
        <v>5.17</v>
      </c>
      <c r="M355" s="33">
        <f t="shared" si="15"/>
        <v>2.0680000000000001</v>
      </c>
      <c r="N355" s="34">
        <f t="array" ref="N355">INDEX('[1]COUT MOYEN - STOCK'!$G$2:$G$120,MATCH(A355,IF('[1]COUT MOYEN - STOCK'!$B$2:$B$120=G355,'[1]COUT MOYEN - STOCK'!$A$2:$A$120,""),0))</f>
        <v>85</v>
      </c>
      <c r="O355" s="35">
        <f t="shared" si="16"/>
        <v>175.78</v>
      </c>
      <c r="P355" s="36" t="str">
        <f t="shared" si="17"/>
        <v>Andres</v>
      </c>
      <c r="Q355" s="37" t="s">
        <v>14</v>
      </c>
    </row>
    <row r="356" spans="1:17">
      <c r="A356" s="29">
        <v>2013</v>
      </c>
      <c r="B356" s="29" t="s">
        <v>165</v>
      </c>
      <c r="C356" s="30" t="s">
        <v>39</v>
      </c>
      <c r="D356" s="24" t="str">
        <f t="array" ref="D356">INDEX([1]PARCELLAIRE!$C$2:$C$85,MATCH(A356,IF([1]PARCELLAIRE!$D$2:$D$85=E356,[1]PARCELLAIRE!$A$2:$A$85,""),0))</f>
        <v>LG5474</v>
      </c>
      <c r="E356" s="29" t="s">
        <v>16</v>
      </c>
      <c r="F356" s="31">
        <v>41463</v>
      </c>
      <c r="G356" s="29" t="s">
        <v>45</v>
      </c>
      <c r="H356" s="32" t="s">
        <v>14</v>
      </c>
      <c r="I356" s="24" t="str">
        <f>VLOOKUP(G356,[1]ACHATS!$C:$E,3,0)</f>
        <v>L</v>
      </c>
      <c r="J356" s="24" t="str">
        <f>VLOOKUP(G356,[1]ACHATS!$C:$D,2,0)</f>
        <v>DIVERS</v>
      </c>
      <c r="K356" s="33">
        <v>0.2</v>
      </c>
      <c r="L356" s="33">
        <f>VLOOKUP(E356,[1]PARCELLAIRE!$D$2:$F$29,3,0)</f>
        <v>5.17</v>
      </c>
      <c r="M356" s="33">
        <f t="shared" si="15"/>
        <v>1.034</v>
      </c>
      <c r="N356" s="34">
        <f t="array" ref="N356">INDEX('[1]COUT MOYEN - STOCK'!$G$2:$G$120,MATCH(A356,IF('[1]COUT MOYEN - STOCK'!$B$2:$B$120=G356,'[1]COUT MOYEN - STOCK'!$A$2:$A$120,""),0))</f>
        <v>11.01</v>
      </c>
      <c r="O356" s="35">
        <f t="shared" si="16"/>
        <v>11.38434</v>
      </c>
      <c r="P356" s="36" t="str">
        <f t="shared" si="17"/>
        <v>Andres</v>
      </c>
      <c r="Q356" s="37" t="s">
        <v>14</v>
      </c>
    </row>
    <row r="357" spans="1:17">
      <c r="A357" s="29">
        <v>2013</v>
      </c>
      <c r="B357" s="29" t="s">
        <v>165</v>
      </c>
      <c r="C357" s="30" t="s">
        <v>41</v>
      </c>
      <c r="D357" s="24" t="str">
        <f t="array" ref="D357">INDEX([1]PARCELLAIRE!$C$2:$C$85,MATCH(A357,IF([1]PARCELLAIRE!$D$2:$D$85=E357,[1]PARCELLAIRE!$A$2:$A$85,""),0))</f>
        <v>ARDICO</v>
      </c>
      <c r="E357" s="29" t="s">
        <v>21</v>
      </c>
      <c r="F357" s="31">
        <v>41479</v>
      </c>
      <c r="G357" s="29" t="s">
        <v>93</v>
      </c>
      <c r="H357" s="32" t="s">
        <v>14</v>
      </c>
      <c r="I357" s="24" t="str">
        <f>VLOOKUP(G357,[1]ACHATS!$C:$E,3,0)</f>
        <v>mm</v>
      </c>
      <c r="J357" s="24" t="str">
        <f>VLOOKUP(G357,[1]ACHATS!$C:$D,2,0)</f>
        <v>IRRIGATION</v>
      </c>
      <c r="K357" s="33">
        <v>30</v>
      </c>
      <c r="L357" s="33">
        <f>VLOOKUP(E357,[1]PARCELLAIRE!$D$2:$F$29,3,0)</f>
        <v>10.93</v>
      </c>
      <c r="M357" s="33">
        <f t="shared" si="15"/>
        <v>327.9</v>
      </c>
      <c r="N357" s="34">
        <f t="array" ref="N357">INDEX('[1]COUT MOYEN - STOCK'!$G$2:$G$120,MATCH(A357,IF('[1]COUT MOYEN - STOCK'!$B$2:$B$120=G357,'[1]COUT MOYEN - STOCK'!$A$2:$A$120,""),0))</f>
        <v>1.7762890783597238</v>
      </c>
      <c r="O357" s="41">
        <f t="shared" si="16"/>
        <v>582.44518879415341</v>
      </c>
      <c r="P357" s="36" t="str">
        <f t="shared" si="17"/>
        <v>Engleyse métairie</v>
      </c>
      <c r="Q357" s="37" t="s">
        <v>14</v>
      </c>
    </row>
    <row r="358" spans="1:17">
      <c r="A358" s="29">
        <v>2013</v>
      </c>
      <c r="B358" s="29" t="s">
        <v>165</v>
      </c>
      <c r="C358" s="30" t="s">
        <v>47</v>
      </c>
      <c r="D358" s="24" t="str">
        <f t="array" ref="D358">INDEX([1]PARCELLAIRE!$C$2:$C$85,MATCH(A358,IF([1]PARCELLAIRE!$D$2:$D$85=E358,[1]PARCELLAIRE!$A$2:$A$85,""),0))</f>
        <v>SCULPTUR</v>
      </c>
      <c r="E358" s="29" t="s">
        <v>20</v>
      </c>
      <c r="F358" s="31">
        <v>41479</v>
      </c>
      <c r="G358" s="44" t="s">
        <v>94</v>
      </c>
      <c r="H358" s="32" t="s">
        <v>14</v>
      </c>
      <c r="I358" s="24" t="str">
        <f>VLOOKUP(G358,[1]ACHATS!$C:$E,3,0)</f>
        <v>Qx</v>
      </c>
      <c r="J358" s="24" t="str">
        <f>VLOOKUP(G358,[1]ACHATS!$C:$D,2,0)</f>
        <v>RÉCOLTE</v>
      </c>
      <c r="K358" s="33">
        <f>(744/12.49)*1.01666666666667</f>
        <v>60.560448358687147</v>
      </c>
      <c r="L358" s="33">
        <f>VLOOKUP(E358,[1]PARCELLAIRE!$D$2:$F$29,3,0)</f>
        <v>12.49</v>
      </c>
      <c r="M358" s="33">
        <f t="shared" si="15"/>
        <v>756.40000000000248</v>
      </c>
      <c r="N358" s="34">
        <f t="array" ref="N358">INDEX('[1]COUT MOYEN - STOCK'!$G$2:$G$120,MATCH(A358,IF('[1]COUT MOYEN - STOCK'!$B$2:$B$120=G358,'[1]COUT MOYEN - STOCK'!$A$2:$A$120,""),0))</f>
        <v>1</v>
      </c>
      <c r="O358" s="45">
        <f t="shared" si="16"/>
        <v>756.40000000000248</v>
      </c>
      <c r="P358" s="36" t="str">
        <f t="shared" si="17"/>
        <v>Engleyse Bousquet</v>
      </c>
      <c r="Q358" s="37" t="s">
        <v>14</v>
      </c>
    </row>
    <row r="359" spans="1:17">
      <c r="A359" s="29">
        <v>2013</v>
      </c>
      <c r="B359" s="29" t="s">
        <v>165</v>
      </c>
      <c r="C359" s="30" t="s">
        <v>47</v>
      </c>
      <c r="D359" s="24" t="str">
        <f t="array" ref="D359">INDEX([1]PARCELLAIRE!$C$2:$C$85,MATCH(A359,IF([1]PARCELLAIRE!$D$2:$D$85=E359,[1]PARCELLAIRE!$A$2:$A$85,""),0))</f>
        <v>MIRADOUX</v>
      </c>
      <c r="E359" s="29" t="s">
        <v>19</v>
      </c>
      <c r="F359" s="31">
        <v>41479</v>
      </c>
      <c r="G359" s="44" t="s">
        <v>94</v>
      </c>
      <c r="H359" s="32" t="s">
        <v>14</v>
      </c>
      <c r="I359" s="24" t="str">
        <f>VLOOKUP(G359,[1]ACHATS!$C:$E,3,0)</f>
        <v>Qx</v>
      </c>
      <c r="J359" s="24" t="str">
        <f>VLOOKUP(G359,[1]ACHATS!$C:$D,2,0)</f>
        <v>RÉCOLTE</v>
      </c>
      <c r="K359" s="33">
        <f>(213/5.67)*1.01666666666667</f>
        <v>38.192239858906653</v>
      </c>
      <c r="L359" s="33">
        <f>VLOOKUP(E359,[1]PARCELLAIRE!$D$2:$F$29,3,0)</f>
        <v>5.67</v>
      </c>
      <c r="M359" s="33">
        <f t="shared" si="15"/>
        <v>216.55000000000072</v>
      </c>
      <c r="N359" s="34">
        <f t="array" ref="N359">INDEX('[1]COUT MOYEN - STOCK'!$G$2:$G$120,MATCH(A359,IF('[1]COUT MOYEN - STOCK'!$B$2:$B$120=G359,'[1]COUT MOYEN - STOCK'!$A$2:$A$120,""),0))</f>
        <v>1</v>
      </c>
      <c r="O359" s="45">
        <f t="shared" si="16"/>
        <v>216.55000000000072</v>
      </c>
      <c r="P359" s="36" t="str">
        <f t="shared" si="17"/>
        <v>Bousquet Route</v>
      </c>
      <c r="Q359" s="37" t="s">
        <v>14</v>
      </c>
    </row>
    <row r="360" spans="1:17">
      <c r="A360" s="29">
        <v>2013</v>
      </c>
      <c r="B360" s="29" t="s">
        <v>165</v>
      </c>
      <c r="C360" s="30" t="s">
        <v>47</v>
      </c>
      <c r="D360" s="24" t="str">
        <f t="array" ref="D360">INDEX([1]PARCELLAIRE!$C$2:$C$85,MATCH(A360,IF([1]PARCELLAIRE!$D$2:$D$85=E360,[1]PARCELLAIRE!$A$2:$A$85,""),0))</f>
        <v>PESCADOUX</v>
      </c>
      <c r="E360" s="29" t="s">
        <v>17</v>
      </c>
      <c r="F360" s="31">
        <v>41479</v>
      </c>
      <c r="G360" s="44" t="s">
        <v>94</v>
      </c>
      <c r="H360" s="32" t="s">
        <v>14</v>
      </c>
      <c r="I360" s="24" t="str">
        <f>VLOOKUP(G360,[1]ACHATS!$C:$E,3,0)</f>
        <v>Qx</v>
      </c>
      <c r="J360" s="24" t="str">
        <f>VLOOKUP(G360,[1]ACHATS!$C:$D,2,0)</f>
        <v>RÉCOLTE</v>
      </c>
      <c r="K360" s="33">
        <f>(245/5.27)*1.01666666666667</f>
        <v>47.264389626818627</v>
      </c>
      <c r="L360" s="33">
        <f>VLOOKUP(E360,[1]PARCELLAIRE!$D$2:$F$29,3,0)</f>
        <v>5.27</v>
      </c>
      <c r="M360" s="33">
        <f t="shared" si="15"/>
        <v>249.08333333333414</v>
      </c>
      <c r="N360" s="34">
        <f t="array" ref="N360">INDEX('[1]COUT MOYEN - STOCK'!$G$2:$G$120,MATCH(A360,IF('[1]COUT MOYEN - STOCK'!$B$2:$B$120=G360,'[1]COUT MOYEN - STOCK'!$A$2:$A$120,""),0))</f>
        <v>1</v>
      </c>
      <c r="O360" s="45">
        <f t="shared" si="16"/>
        <v>249.08333333333414</v>
      </c>
      <c r="P360" s="36" t="str">
        <f t="shared" si="17"/>
        <v>Bousquet Château</v>
      </c>
      <c r="Q360" s="37" t="s">
        <v>14</v>
      </c>
    </row>
    <row r="361" spans="1:17">
      <c r="A361" s="29">
        <v>2013</v>
      </c>
      <c r="B361" s="29" t="s">
        <v>165</v>
      </c>
      <c r="C361" s="30" t="s">
        <v>47</v>
      </c>
      <c r="D361" s="24" t="str">
        <f t="array" ref="D361">INDEX([1]PARCELLAIRE!$C$2:$C$85,MATCH(A361,IF([1]PARCELLAIRE!$D$2:$D$85=E361,[1]PARCELLAIRE!$A$2:$A$85,""),0))</f>
        <v>PESCADOUX</v>
      </c>
      <c r="E361" s="29" t="s">
        <v>32</v>
      </c>
      <c r="F361" s="31">
        <v>41479</v>
      </c>
      <c r="G361" s="44" t="s">
        <v>94</v>
      </c>
      <c r="H361" s="32" t="s">
        <v>14</v>
      </c>
      <c r="I361" s="24" t="str">
        <f>VLOOKUP(G361,[1]ACHATS!$C:$E,3,0)</f>
        <v>Qx</v>
      </c>
      <c r="J361" s="24" t="str">
        <f>VLOOKUP(G361,[1]ACHATS!$C:$D,2,0)</f>
        <v>RÉCOLTE</v>
      </c>
      <c r="K361" s="33">
        <f>(815/16.44)*1.01666666666667</f>
        <v>50.400446066504621</v>
      </c>
      <c r="L361" s="33">
        <f>VLOOKUP(E361,[1]PARCELLAIRE!$D$2:$F$29,3,0)</f>
        <v>16.440000000000001</v>
      </c>
      <c r="M361" s="33">
        <f t="shared" si="15"/>
        <v>828.58333333333599</v>
      </c>
      <c r="N361" s="34">
        <f t="array" ref="N361">INDEX('[1]COUT MOYEN - STOCK'!$G$2:$G$120,MATCH(A361,IF('[1]COUT MOYEN - STOCK'!$B$2:$B$120=G361,'[1]COUT MOYEN - STOCK'!$A$2:$A$120,""),0))</f>
        <v>1</v>
      </c>
      <c r="O361" s="45">
        <f t="shared" si="16"/>
        <v>828.58333333333599</v>
      </c>
      <c r="P361" s="36" t="str">
        <f t="shared" si="17"/>
        <v>Lescandes Côteau</v>
      </c>
      <c r="Q361" s="37" t="s">
        <v>14</v>
      </c>
    </row>
    <row r="362" spans="1:17">
      <c r="A362" s="29">
        <v>2013</v>
      </c>
      <c r="B362" s="29" t="s">
        <v>165</v>
      </c>
      <c r="C362" s="30" t="s">
        <v>47</v>
      </c>
      <c r="D362" s="24" t="str">
        <f t="array" ref="D362">INDEX([1]PARCELLAIRE!$C$2:$C$85,MATCH(A362,IF([1]PARCELLAIRE!$D$2:$D$85=E362,[1]PARCELLAIRE!$A$2:$A$85,""),0))</f>
        <v>PESCADOUX</v>
      </c>
      <c r="E362" s="29" t="s">
        <v>31</v>
      </c>
      <c r="F362" s="31">
        <v>41479</v>
      </c>
      <c r="G362" s="44" t="s">
        <v>94</v>
      </c>
      <c r="H362" s="32" t="s">
        <v>14</v>
      </c>
      <c r="I362" s="24" t="str">
        <f>VLOOKUP(G362,[1]ACHATS!$C:$E,3,0)</f>
        <v>Qx</v>
      </c>
      <c r="J362" s="24" t="str">
        <f>VLOOKUP(G362,[1]ACHATS!$C:$D,2,0)</f>
        <v>RÉCOLTE</v>
      </c>
      <c r="K362" s="33">
        <f>(133/2.67)*1.01666666666667</f>
        <v>50.642946317103785</v>
      </c>
      <c r="L362" s="33">
        <f>VLOOKUP(E362,[1]PARCELLAIRE!$D$2:$F$29,3,0)</f>
        <v>2.67</v>
      </c>
      <c r="M362" s="33">
        <f t="shared" si="15"/>
        <v>135.21666666666709</v>
      </c>
      <c r="N362" s="34">
        <f t="array" ref="N362">INDEX('[1]COUT MOYEN - STOCK'!$G$2:$G$120,MATCH(A362,IF('[1]COUT MOYEN - STOCK'!$B$2:$B$120=G362,'[1]COUT MOYEN - STOCK'!$A$2:$A$120,""),0))</f>
        <v>1</v>
      </c>
      <c r="O362" s="45">
        <f t="shared" si="16"/>
        <v>135.21666666666709</v>
      </c>
      <c r="P362" s="36" t="str">
        <f t="shared" si="17"/>
        <v>Lescandes</v>
      </c>
      <c r="Q362" s="37" t="s">
        <v>14</v>
      </c>
    </row>
    <row r="363" spans="1:17">
      <c r="A363" s="29">
        <v>2013</v>
      </c>
      <c r="B363" s="29" t="s">
        <v>165</v>
      </c>
      <c r="C363" s="30" t="s">
        <v>47</v>
      </c>
      <c r="D363" s="24" t="str">
        <f t="array" ref="D363">INDEX([1]PARCELLAIRE!$C$2:$C$85,MATCH(A363,IF([1]PARCELLAIRE!$D$2:$D$85=E363,[1]PARCELLAIRE!$A$2:$A$85,""),0))</f>
        <v>FABULIS - PESCADOUX</v>
      </c>
      <c r="E363" s="29" t="s">
        <v>30</v>
      </c>
      <c r="F363" s="31">
        <v>41479</v>
      </c>
      <c r="G363" s="44" t="s">
        <v>94</v>
      </c>
      <c r="H363" s="32" t="s">
        <v>14</v>
      </c>
      <c r="I363" s="24" t="str">
        <f>VLOOKUP(G363,[1]ACHATS!$C:$E,3,0)</f>
        <v>Qx</v>
      </c>
      <c r="J363" s="24" t="str">
        <f>VLOOKUP(G363,[1]ACHATS!$C:$D,2,0)</f>
        <v>RÉCOLTE</v>
      </c>
      <c r="K363" s="33">
        <f>(272/5.07)*1.01666666666667</f>
        <v>54.543063773833175</v>
      </c>
      <c r="L363" s="33">
        <f>VLOOKUP(E363,[1]PARCELLAIRE!$D$2:$F$29,3,0)</f>
        <v>5.07</v>
      </c>
      <c r="M363" s="33">
        <f t="shared" si="15"/>
        <v>276.53333333333421</v>
      </c>
      <c r="N363" s="34">
        <f t="array" ref="N363">INDEX('[1]COUT MOYEN - STOCK'!$G$2:$G$120,MATCH(A363,IF('[1]COUT MOYEN - STOCK'!$B$2:$B$120=G363,'[1]COUT MOYEN - STOCK'!$A$2:$A$120,""),0))</f>
        <v>1</v>
      </c>
      <c r="O363" s="45">
        <f t="shared" si="16"/>
        <v>276.53333333333421</v>
      </c>
      <c r="P363" s="36" t="str">
        <f t="shared" si="17"/>
        <v>Laclos</v>
      </c>
      <c r="Q363" s="37" t="s">
        <v>14</v>
      </c>
    </row>
    <row r="364" spans="1:17">
      <c r="A364" s="29">
        <v>2013</v>
      </c>
      <c r="B364" s="29" t="s">
        <v>165</v>
      </c>
      <c r="C364" s="30" t="s">
        <v>47</v>
      </c>
      <c r="D364" s="24" t="str">
        <f t="array" ref="D364">INDEX([1]PARCELLAIRE!$C$2:$C$85,MATCH(A364,IF([1]PARCELLAIRE!$D$2:$D$85=E364,[1]PARCELLAIRE!$A$2:$A$85,""),0))</f>
        <v>MIRADOUX</v>
      </c>
      <c r="E364" s="29" t="s">
        <v>28</v>
      </c>
      <c r="F364" s="31">
        <v>41479</v>
      </c>
      <c r="G364" s="44" t="s">
        <v>94</v>
      </c>
      <c r="H364" s="32" t="s">
        <v>14</v>
      </c>
      <c r="I364" s="24" t="str">
        <f>VLOOKUP(G364,[1]ACHATS!$C:$E,3,0)</f>
        <v>Qx</v>
      </c>
      <c r="J364" s="24" t="str">
        <f>VLOOKUP(G364,[1]ACHATS!$C:$D,2,0)</f>
        <v>RÉCOLTE</v>
      </c>
      <c r="K364" s="33">
        <f>(462/11.9)*1.01666666666667</f>
        <v>39.470588235294244</v>
      </c>
      <c r="L364" s="33">
        <f>VLOOKUP(E364,[1]PARCELLAIRE!$D$2:$F$29,3,0)</f>
        <v>11.9</v>
      </c>
      <c r="M364" s="33">
        <f t="shared" si="15"/>
        <v>469.70000000000152</v>
      </c>
      <c r="N364" s="34">
        <f t="array" ref="N364">INDEX('[1]COUT MOYEN - STOCK'!$G$2:$G$120,MATCH(A364,IF('[1]COUT MOYEN - STOCK'!$B$2:$B$120=G364,'[1]COUT MOYEN - STOCK'!$A$2:$A$120,""),0))</f>
        <v>1</v>
      </c>
      <c r="O364" s="45">
        <f t="shared" si="16"/>
        <v>469.70000000000152</v>
      </c>
      <c r="P364" s="36" t="str">
        <f t="shared" si="17"/>
        <v>Labaou Devant</v>
      </c>
      <c r="Q364" s="37" t="s">
        <v>14</v>
      </c>
    </row>
    <row r="365" spans="1:17">
      <c r="A365" s="29">
        <v>2013</v>
      </c>
      <c r="B365" s="29" t="s">
        <v>165</v>
      </c>
      <c r="C365" s="30" t="s">
        <v>47</v>
      </c>
      <c r="D365" s="24" t="str">
        <f t="array" ref="D365">INDEX([1]PARCELLAIRE!$C$2:$C$85,MATCH(A365,IF([1]PARCELLAIRE!$D$2:$D$85=E365,[1]PARCELLAIRE!$A$2:$A$85,""),0))</f>
        <v>MIRADOUX</v>
      </c>
      <c r="E365" s="29" t="s">
        <v>23</v>
      </c>
      <c r="F365" s="31">
        <v>41479</v>
      </c>
      <c r="G365" s="44" t="s">
        <v>94</v>
      </c>
      <c r="H365" s="32" t="s">
        <v>14</v>
      </c>
      <c r="I365" s="24" t="str">
        <f>VLOOKUP(G365,[1]ACHATS!$C:$E,3,0)</f>
        <v>Qx</v>
      </c>
      <c r="J365" s="24" t="str">
        <f>VLOOKUP(G365,[1]ACHATS!$C:$D,2,0)</f>
        <v>RÉCOLTE</v>
      </c>
      <c r="K365" s="33">
        <f>(331/7.58)*1.01666666666667</f>
        <v>44.395338610378332</v>
      </c>
      <c r="L365" s="33">
        <f>VLOOKUP(E365,[1]PARCELLAIRE!$D$2:$F$29,3,0)</f>
        <v>7.58</v>
      </c>
      <c r="M365" s="33">
        <f t="shared" si="15"/>
        <v>336.51666666666773</v>
      </c>
      <c r="N365" s="34">
        <f t="array" ref="N365">INDEX('[1]COUT MOYEN - STOCK'!$G$2:$G$120,MATCH(A365,IF('[1]COUT MOYEN - STOCK'!$B$2:$B$120=G365,'[1]COUT MOYEN - STOCK'!$A$2:$A$120,""),0))</f>
        <v>1</v>
      </c>
      <c r="O365" s="45">
        <f t="shared" si="16"/>
        <v>336.51666666666773</v>
      </c>
      <c r="P365" s="36" t="str">
        <f t="shared" si="17"/>
        <v>Escarcelou</v>
      </c>
      <c r="Q365" s="37" t="s">
        <v>14</v>
      </c>
    </row>
    <row r="366" spans="1:17">
      <c r="A366" s="29">
        <v>2013</v>
      </c>
      <c r="B366" s="29" t="s">
        <v>165</v>
      </c>
      <c r="C366" s="30" t="s">
        <v>47</v>
      </c>
      <c r="D366" s="24" t="str">
        <f t="array" ref="D366">INDEX([1]PARCELLAIRE!$C$2:$C$85,MATCH(A366,IF([1]PARCELLAIRE!$D$2:$D$85=E366,[1]PARCELLAIRE!$A$2:$A$85,""),0))</f>
        <v>MIRADOUX</v>
      </c>
      <c r="E366" s="29" t="s">
        <v>25</v>
      </c>
      <c r="F366" s="31">
        <v>41479</v>
      </c>
      <c r="G366" s="44" t="s">
        <v>94</v>
      </c>
      <c r="H366" s="32" t="s">
        <v>14</v>
      </c>
      <c r="I366" s="24" t="str">
        <f>VLOOKUP(G366,[1]ACHATS!$C:$E,3,0)</f>
        <v>Qx</v>
      </c>
      <c r="J366" s="24" t="str">
        <f>VLOOKUP(G366,[1]ACHATS!$C:$D,2,0)</f>
        <v>RÉCOLTE</v>
      </c>
      <c r="K366" s="33">
        <f>(327/7.5)*1.01666666666667</f>
        <v>44.32666666666681</v>
      </c>
      <c r="L366" s="33">
        <f>VLOOKUP(E366,[1]PARCELLAIRE!$D$2:$F$29,3,0)</f>
        <v>7.5</v>
      </c>
      <c r="M366" s="33">
        <f t="shared" si="15"/>
        <v>332.45000000000107</v>
      </c>
      <c r="N366" s="34">
        <f t="array" ref="N366">INDEX('[1]COUT MOYEN - STOCK'!$G$2:$G$120,MATCH(A366,IF('[1]COUT MOYEN - STOCK'!$B$2:$B$120=G366,'[1]COUT MOYEN - STOCK'!$A$2:$A$120,""),0))</f>
        <v>1</v>
      </c>
      <c r="O366" s="45">
        <f t="shared" si="16"/>
        <v>332.45000000000107</v>
      </c>
      <c r="P366" s="36" t="str">
        <f t="shared" si="17"/>
        <v>Escarcelou Pte</v>
      </c>
      <c r="Q366" s="37" t="s">
        <v>14</v>
      </c>
    </row>
    <row r="367" spans="1:17">
      <c r="A367" s="29">
        <v>2013</v>
      </c>
      <c r="B367" s="29" t="s">
        <v>165</v>
      </c>
      <c r="C367" s="30" t="s">
        <v>47</v>
      </c>
      <c r="D367" s="24" t="str">
        <f t="array" ref="D367">INDEX([1]PARCELLAIRE!$C$2:$C$85,MATCH(A367,IF([1]PARCELLAIRE!$D$2:$D$85=E367,[1]PARCELLAIRE!$A$2:$A$85,""),0))</f>
        <v>MIRADOUX</v>
      </c>
      <c r="E367" s="29" t="s">
        <v>24</v>
      </c>
      <c r="F367" s="31">
        <v>41479</v>
      </c>
      <c r="G367" s="44" t="s">
        <v>94</v>
      </c>
      <c r="H367" s="32" t="s">
        <v>14</v>
      </c>
      <c r="I367" s="24" t="str">
        <f>VLOOKUP(G367,[1]ACHATS!$C:$E,3,0)</f>
        <v>Qx</v>
      </c>
      <c r="J367" s="24" t="str">
        <f>VLOOKUP(G367,[1]ACHATS!$C:$D,2,0)</f>
        <v>RÉCOLTE</v>
      </c>
      <c r="K367" s="33">
        <f>(59/1.34)*1.01666666666667</f>
        <v>44.763681592039944</v>
      </c>
      <c r="L367" s="33">
        <f>VLOOKUP(E367,[1]PARCELLAIRE!$D$2:$F$29,3,0)</f>
        <v>1.34</v>
      </c>
      <c r="M367" s="33">
        <f t="shared" si="15"/>
        <v>59.983333333333526</v>
      </c>
      <c r="N367" s="34">
        <f t="array" ref="N367">INDEX('[1]COUT MOYEN - STOCK'!$G$2:$G$120,MATCH(A367,IF('[1]COUT MOYEN - STOCK'!$B$2:$B$120=G367,'[1]COUT MOYEN - STOCK'!$A$2:$A$120,""),0))</f>
        <v>1</v>
      </c>
      <c r="O367" s="45">
        <f t="shared" si="16"/>
        <v>59.983333333333526</v>
      </c>
      <c r="P367" s="36" t="str">
        <f t="shared" si="17"/>
        <v>Escarcelou Jachère</v>
      </c>
      <c r="Q367" s="37" t="s">
        <v>14</v>
      </c>
    </row>
    <row r="368" spans="1:17">
      <c r="A368" s="29">
        <v>2013</v>
      </c>
      <c r="B368" s="29" t="s">
        <v>165</v>
      </c>
      <c r="C368" s="30" t="s">
        <v>47</v>
      </c>
      <c r="D368" s="24" t="str">
        <f t="array" ref="D368">INDEX([1]PARCELLAIRE!$C$2:$C$85,MATCH(A368,IF([1]PARCELLAIRE!$D$2:$D$85=E368,[1]PARCELLAIRE!$A$2:$A$85,""),0))</f>
        <v>MIRADOUX</v>
      </c>
      <c r="E368" s="29" t="s">
        <v>38</v>
      </c>
      <c r="F368" s="31">
        <v>41479</v>
      </c>
      <c r="G368" s="44" t="s">
        <v>94</v>
      </c>
      <c r="H368" s="32" t="s">
        <v>14</v>
      </c>
      <c r="I368" s="24" t="str">
        <f>VLOOKUP(G368,[1]ACHATS!$C:$E,3,0)</f>
        <v>Qx</v>
      </c>
      <c r="J368" s="24" t="str">
        <f>VLOOKUP(G368,[1]ACHATS!$C:$D,2,0)</f>
        <v>RÉCOLTE</v>
      </c>
      <c r="K368" s="33">
        <f>(59/1.26)*1.01666666666667</f>
        <v>47.605820105820257</v>
      </c>
      <c r="L368" s="33">
        <f>VLOOKUP(E368,[1]PARCELLAIRE!$D$2:$F$29,3,0)</f>
        <v>1.26</v>
      </c>
      <c r="M368" s="33">
        <f t="shared" si="15"/>
        <v>59.983333333333526</v>
      </c>
      <c r="N368" s="34">
        <f t="array" ref="N368">INDEX('[1]COUT MOYEN - STOCK'!$G$2:$G$120,MATCH(A368,IF('[1]COUT MOYEN - STOCK'!$B$2:$B$120=G368,'[1]COUT MOYEN - STOCK'!$A$2:$A$120,""),0))</f>
        <v>1</v>
      </c>
      <c r="O368" s="45">
        <f t="shared" si="16"/>
        <v>59.983333333333526</v>
      </c>
      <c r="P368" s="36" t="str">
        <f t="shared" si="17"/>
        <v>Seillonne</v>
      </c>
      <c r="Q368" s="37" t="s">
        <v>14</v>
      </c>
    </row>
    <row r="369" spans="1:17">
      <c r="A369" s="29">
        <v>2013</v>
      </c>
      <c r="B369" s="29" t="s">
        <v>165</v>
      </c>
      <c r="C369" s="30" t="s">
        <v>43</v>
      </c>
      <c r="D369" s="24" t="str">
        <f t="array" ref="D369">INDEX([1]PARCELLAIRE!$C$2:$C$85,MATCH(A369,IF([1]PARCELLAIRE!$D$2:$D$85=E369,[1]PARCELLAIRE!$A$2:$A$85,""),0))</f>
        <v>SOLEIHO</v>
      </c>
      <c r="E369" s="29" t="s">
        <v>29</v>
      </c>
      <c r="F369" s="31">
        <v>41479</v>
      </c>
      <c r="G369" s="44" t="s">
        <v>95</v>
      </c>
      <c r="H369" s="32" t="s">
        <v>14</v>
      </c>
      <c r="I369" s="24" t="str">
        <f>VLOOKUP(G369,[1]ACHATS!$C:$E,3,0)</f>
        <v>Qx</v>
      </c>
      <c r="J369" s="24" t="str">
        <f>VLOOKUP(G369,[1]ACHATS!$C:$D,2,0)</f>
        <v>RÉCOLTE</v>
      </c>
      <c r="K369" s="33">
        <f>1312/17.55</f>
        <v>74.757834757834758</v>
      </c>
      <c r="L369" s="33">
        <f>VLOOKUP(E369,[1]PARCELLAIRE!$D$2:$F$29,3,0)</f>
        <v>17.55</v>
      </c>
      <c r="M369" s="33">
        <f t="shared" si="15"/>
        <v>1312</v>
      </c>
      <c r="N369" s="34">
        <f t="array" ref="N369">INDEX('[1]COUT MOYEN - STOCK'!$G$2:$G$120,MATCH(A369,IF('[1]COUT MOYEN - STOCK'!$B$2:$B$120=G369,'[1]COUT MOYEN - STOCK'!$A$2:$A$120,""),0))</f>
        <v>1</v>
      </c>
      <c r="O369" s="45">
        <f t="shared" si="16"/>
        <v>1312</v>
      </c>
      <c r="P369" s="36" t="str">
        <f t="shared" si="17"/>
        <v>Labaou Plaine</v>
      </c>
      <c r="Q369" s="37" t="s">
        <v>14</v>
      </c>
    </row>
    <row r="370" spans="1:17">
      <c r="A370" s="29">
        <v>2013</v>
      </c>
      <c r="B370" s="29" t="s">
        <v>165</v>
      </c>
      <c r="C370" s="30" t="s">
        <v>4</v>
      </c>
      <c r="D370" s="24" t="str">
        <f t="array" ref="D370">INDEX([1]PARCELLAIRE!$C$2:$C$85,MATCH(A370,IF([1]PARCELLAIRE!$D$2:$D$85=E370,[1]PARCELLAIRE!$A$2:$A$85,""),0))</f>
        <v>ISIDOR</v>
      </c>
      <c r="E370" s="29" t="s">
        <v>22</v>
      </c>
      <c r="F370" s="31">
        <v>41479</v>
      </c>
      <c r="G370" s="29" t="s">
        <v>93</v>
      </c>
      <c r="H370" s="32" t="s">
        <v>14</v>
      </c>
      <c r="I370" s="24" t="str">
        <f>VLOOKUP(G370,[1]ACHATS!$C:$E,3,0)</f>
        <v>mm</v>
      </c>
      <c r="J370" s="24" t="str">
        <f>VLOOKUP(G370,[1]ACHATS!$C:$D,2,0)</f>
        <v>IRRIGATION</v>
      </c>
      <c r="K370" s="33">
        <v>30</v>
      </c>
      <c r="L370" s="33">
        <f>VLOOKUP(E370,[1]PARCELLAIRE!$D$2:$F$29,3,0)</f>
        <v>8.58</v>
      </c>
      <c r="M370" s="33">
        <f t="shared" si="15"/>
        <v>257.39999999999998</v>
      </c>
      <c r="N370" s="34">
        <f t="array" ref="N370">INDEX('[1]COUT MOYEN - STOCK'!$G$2:$G$120,MATCH(A370,IF('[1]COUT MOYEN - STOCK'!$B$2:$B$120=G370,'[1]COUT MOYEN - STOCK'!$A$2:$A$120,""),0))</f>
        <v>1.7762890783597238</v>
      </c>
      <c r="O370" s="41">
        <f t="shared" si="16"/>
        <v>457.21680876979286</v>
      </c>
      <c r="P370" s="36" t="str">
        <f t="shared" si="17"/>
        <v>Engleyse Route</v>
      </c>
      <c r="Q370" s="37" t="s">
        <v>14</v>
      </c>
    </row>
    <row r="371" spans="1:17">
      <c r="A371" s="29">
        <v>2013</v>
      </c>
      <c r="B371" s="29" t="s">
        <v>165</v>
      </c>
      <c r="C371" s="30" t="s">
        <v>47</v>
      </c>
      <c r="D371" s="24" t="str">
        <f t="array" ref="D371">INDEX([1]PARCELLAIRE!$C$2:$C$85,MATCH(A371,IF([1]PARCELLAIRE!$D$2:$D$85=E371,[1]PARCELLAIRE!$A$2:$A$85,""),0))</f>
        <v>SCULPTUR</v>
      </c>
      <c r="E371" s="29" t="s">
        <v>20</v>
      </c>
      <c r="F371" s="31">
        <v>41479</v>
      </c>
      <c r="G371" s="38" t="s">
        <v>1</v>
      </c>
      <c r="H371" s="32" t="s">
        <v>14</v>
      </c>
      <c r="I371" s="24" t="str">
        <f>VLOOKUP(G371,[1]ACHATS!$C:$E,3,0)</f>
        <v>T</v>
      </c>
      <c r="J371" s="24" t="str">
        <f>VLOOKUP(G371,[1]ACHATS!$C:$D,2,0)</f>
        <v>VENTES</v>
      </c>
      <c r="K371" s="33">
        <v>6.0578351205554606</v>
      </c>
      <c r="L371" s="33">
        <f>VLOOKUP(E371,[1]PARCELLAIRE!$D$2:$F$29,3,0)</f>
        <v>12.49</v>
      </c>
      <c r="M371" s="33">
        <f t="shared" si="15"/>
        <v>75.6623606557377</v>
      </c>
      <c r="N371" s="34">
        <f t="array" ref="N371">INDEX('[1]COUT MOYEN - STOCK'!$G$2:$G$120,MATCH(A371,IF('[1]COUT MOYEN - STOCK'!$B$2:$B$120=G371,'[1]COUT MOYEN - STOCK'!$A$2:$A$120,""),0))</f>
        <v>206.5573770491803</v>
      </c>
      <c r="O371" s="41">
        <f t="shared" si="16"/>
        <v>15628.618758398277</v>
      </c>
      <c r="P371" s="36" t="str">
        <f t="shared" si="17"/>
        <v>Engleyse Bousquet</v>
      </c>
      <c r="Q371" s="37" t="s">
        <v>14</v>
      </c>
    </row>
    <row r="372" spans="1:17">
      <c r="A372" s="29">
        <v>2013</v>
      </c>
      <c r="B372" s="29" t="s">
        <v>165</v>
      </c>
      <c r="C372" s="30" t="s">
        <v>47</v>
      </c>
      <c r="D372" s="24" t="str">
        <f t="array" ref="D372">INDEX([1]PARCELLAIRE!$C$2:$C$85,MATCH(A372,IF([1]PARCELLAIRE!$D$2:$D$85=E372,[1]PARCELLAIRE!$A$2:$A$85,""),0))</f>
        <v>MIRADOUX</v>
      </c>
      <c r="E372" s="29" t="s">
        <v>19</v>
      </c>
      <c r="F372" s="31">
        <v>41479</v>
      </c>
      <c r="G372" s="38" t="s">
        <v>1</v>
      </c>
      <c r="H372" s="32" t="s">
        <v>14</v>
      </c>
      <c r="I372" s="24" t="str">
        <f>VLOOKUP(G372,[1]ACHATS!$C:$E,3,0)</f>
        <v>T</v>
      </c>
      <c r="J372" s="24" t="str">
        <f>VLOOKUP(G372,[1]ACHATS!$C:$D,2,0)</f>
        <v>VENTES</v>
      </c>
      <c r="K372" s="33">
        <v>3.8203530228120401</v>
      </c>
      <c r="L372" s="33">
        <f>VLOOKUP(E372,[1]PARCELLAIRE!$D$2:$F$29,3,0)</f>
        <v>5.67</v>
      </c>
      <c r="M372" s="33">
        <f t="shared" si="15"/>
        <v>21.661401639344266</v>
      </c>
      <c r="N372" s="34">
        <f t="array" ref="N372">INDEX('[1]COUT MOYEN - STOCK'!$G$2:$G$120,MATCH(A372,IF('[1]COUT MOYEN - STOCK'!$B$2:$B$120=G372,'[1]COUT MOYEN - STOCK'!$A$2:$A$120,""),0))</f>
        <v>206.5573770491803</v>
      </c>
      <c r="O372" s="41">
        <f t="shared" si="16"/>
        <v>4474.3223058317662</v>
      </c>
      <c r="P372" s="36" t="str">
        <f t="shared" si="17"/>
        <v>Bousquet Route</v>
      </c>
      <c r="Q372" s="37" t="s">
        <v>14</v>
      </c>
    </row>
    <row r="373" spans="1:17">
      <c r="A373" s="29">
        <v>2013</v>
      </c>
      <c r="B373" s="29" t="s">
        <v>165</v>
      </c>
      <c r="C373" s="30" t="s">
        <v>47</v>
      </c>
      <c r="D373" s="24" t="str">
        <f t="array" ref="D373">INDEX([1]PARCELLAIRE!$C$2:$C$85,MATCH(A373,IF([1]PARCELLAIRE!$D$2:$D$85=E373,[1]PARCELLAIRE!$A$2:$A$85,""),0))</f>
        <v>PESCADOUX</v>
      </c>
      <c r="E373" s="29" t="s">
        <v>17</v>
      </c>
      <c r="F373" s="31">
        <v>41479</v>
      </c>
      <c r="G373" s="38" t="s">
        <v>1</v>
      </c>
      <c r="H373" s="32" t="s">
        <v>14</v>
      </c>
      <c r="I373" s="24" t="str">
        <f>VLOOKUP(G373,[1]ACHATS!$C:$E,3,0)</f>
        <v>T</v>
      </c>
      <c r="J373" s="24" t="str">
        <f>VLOOKUP(G373,[1]ACHATS!$C:$D,2,0)</f>
        <v>VENTES</v>
      </c>
      <c r="K373" s="33">
        <v>4.7278361900021775</v>
      </c>
      <c r="L373" s="33">
        <f>VLOOKUP(E373,[1]PARCELLAIRE!$D$2:$F$29,3,0)</f>
        <v>5.27</v>
      </c>
      <c r="M373" s="33">
        <f t="shared" si="15"/>
        <v>24.915696721311473</v>
      </c>
      <c r="N373" s="34">
        <f t="array" ref="N373">INDEX('[1]COUT MOYEN - STOCK'!$G$2:$G$120,MATCH(A373,IF('[1]COUT MOYEN - STOCK'!$B$2:$B$120=G373,'[1]COUT MOYEN - STOCK'!$A$2:$A$120,""),0))</f>
        <v>206.5573770491803</v>
      </c>
      <c r="O373" s="41">
        <f t="shared" si="16"/>
        <v>5146.5209621069598</v>
      </c>
      <c r="P373" s="36" t="str">
        <f t="shared" si="17"/>
        <v>Bousquet Château</v>
      </c>
      <c r="Q373" s="37" t="s">
        <v>14</v>
      </c>
    </row>
    <row r="374" spans="1:17">
      <c r="A374" s="29">
        <v>2013</v>
      </c>
      <c r="B374" s="29" t="s">
        <v>165</v>
      </c>
      <c r="C374" s="30" t="s">
        <v>47</v>
      </c>
      <c r="D374" s="24" t="str">
        <f t="array" ref="D374">INDEX([1]PARCELLAIRE!$C$2:$C$85,MATCH(A374,IF([1]PARCELLAIRE!$D$2:$D$85=E374,[1]PARCELLAIRE!$A$2:$A$85,""),0))</f>
        <v>PESCADOUX</v>
      </c>
      <c r="E374" s="29" t="s">
        <v>32</v>
      </c>
      <c r="F374" s="31">
        <v>41479</v>
      </c>
      <c r="G374" s="38" t="s">
        <v>1</v>
      </c>
      <c r="H374" s="32" t="s">
        <v>14</v>
      </c>
      <c r="I374" s="24" t="str">
        <f>VLOOKUP(G374,[1]ACHATS!$C:$E,3,0)</f>
        <v>T</v>
      </c>
      <c r="J374" s="24" t="str">
        <f>VLOOKUP(G374,[1]ACHATS!$C:$D,2,0)</f>
        <v>VENTES</v>
      </c>
      <c r="K374" s="33">
        <v>5.0415345419010009</v>
      </c>
      <c r="L374" s="33">
        <f>VLOOKUP(E374,[1]PARCELLAIRE!$D$2:$F$29,3,0)</f>
        <v>16.440000000000001</v>
      </c>
      <c r="M374" s="33">
        <f t="shared" si="15"/>
        <v>82.882827868852459</v>
      </c>
      <c r="N374" s="34">
        <f t="array" ref="N374">INDEX('[1]COUT MOYEN - STOCK'!$G$2:$G$120,MATCH(A374,IF('[1]COUT MOYEN - STOCK'!$B$2:$B$120=G374,'[1]COUT MOYEN - STOCK'!$A$2:$A$120,""),0))</f>
        <v>206.5573770491803</v>
      </c>
      <c r="O374" s="41">
        <f t="shared" si="16"/>
        <v>17120.059527008867</v>
      </c>
      <c r="P374" s="36" t="str">
        <f t="shared" si="17"/>
        <v>Lescandes Côteau</v>
      </c>
      <c r="Q374" s="37" t="s">
        <v>14</v>
      </c>
    </row>
    <row r="375" spans="1:17">
      <c r="A375" s="29">
        <v>2013</v>
      </c>
      <c r="B375" s="29" t="s">
        <v>165</v>
      </c>
      <c r="C375" s="30" t="s">
        <v>47</v>
      </c>
      <c r="D375" s="24" t="str">
        <f t="array" ref="D375">INDEX([1]PARCELLAIRE!$C$2:$C$85,MATCH(A375,IF([1]PARCELLAIRE!$D$2:$D$85=E375,[1]PARCELLAIRE!$A$2:$A$85,""),0))</f>
        <v>PESCADOUX</v>
      </c>
      <c r="E375" s="29" t="s">
        <v>31</v>
      </c>
      <c r="F375" s="31">
        <v>41479</v>
      </c>
      <c r="G375" s="38" t="s">
        <v>1</v>
      </c>
      <c r="H375" s="32" t="s">
        <v>14</v>
      </c>
      <c r="I375" s="24" t="str">
        <f>VLOOKUP(G375,[1]ACHATS!$C:$E,3,0)</f>
        <v>T</v>
      </c>
      <c r="J375" s="24" t="str">
        <f>VLOOKUP(G375,[1]ACHATS!$C:$D,2,0)</f>
        <v>VENTES</v>
      </c>
      <c r="K375" s="33">
        <v>5.0657917357401603</v>
      </c>
      <c r="L375" s="33">
        <f>VLOOKUP(E375,[1]PARCELLAIRE!$D$2:$F$29,3,0)</f>
        <v>2.67</v>
      </c>
      <c r="M375" s="33">
        <f t="shared" si="15"/>
        <v>13.525663934426227</v>
      </c>
      <c r="N375" s="34">
        <f t="array" ref="N375">INDEX('[1]COUT MOYEN - STOCK'!$G$2:$G$120,MATCH(A375,IF('[1]COUT MOYEN - STOCK'!$B$2:$B$120=G375,'[1]COUT MOYEN - STOCK'!$A$2:$A$120,""),0))</f>
        <v>206.5573770491803</v>
      </c>
      <c r="O375" s="41">
        <f t="shared" si="16"/>
        <v>2793.8256651437778</v>
      </c>
      <c r="P375" s="36" t="str">
        <f t="shared" si="17"/>
        <v>Lescandes</v>
      </c>
      <c r="Q375" s="37" t="s">
        <v>14</v>
      </c>
    </row>
    <row r="376" spans="1:17">
      <c r="A376" s="29">
        <v>2013</v>
      </c>
      <c r="B376" s="29" t="s">
        <v>165</v>
      </c>
      <c r="C376" s="30" t="s">
        <v>47</v>
      </c>
      <c r="D376" s="24" t="str">
        <f t="array" ref="D376">INDEX([1]PARCELLAIRE!$C$2:$C$85,MATCH(A376,IF([1]PARCELLAIRE!$D$2:$D$85=E376,[1]PARCELLAIRE!$A$2:$A$85,""),0))</f>
        <v>FABULIS - PESCADOUX</v>
      </c>
      <c r="E376" s="29" t="s">
        <v>30</v>
      </c>
      <c r="F376" s="31">
        <v>41479</v>
      </c>
      <c r="G376" s="38" t="s">
        <v>1</v>
      </c>
      <c r="H376" s="32" t="s">
        <v>14</v>
      </c>
      <c r="I376" s="24" t="str">
        <f>VLOOKUP(G376,[1]ACHATS!$C:$E,3,0)</f>
        <v>T</v>
      </c>
      <c r="J376" s="24" t="str">
        <f>VLOOKUP(G376,[1]ACHATS!$C:$D,2,0)</f>
        <v>VENTES</v>
      </c>
      <c r="K376" s="33">
        <v>5.4559187764736308</v>
      </c>
      <c r="L376" s="33">
        <f>VLOOKUP(E376,[1]PARCELLAIRE!$D$2:$F$29,3,0)</f>
        <v>5.07</v>
      </c>
      <c r="M376" s="33">
        <f t="shared" si="15"/>
        <v>27.661508196721311</v>
      </c>
      <c r="N376" s="34">
        <f t="array" ref="N376">INDEX('[1]COUT MOYEN - STOCK'!$G$2:$G$120,MATCH(A376,IF('[1]COUT MOYEN - STOCK'!$B$2:$B$120=G376,'[1]COUT MOYEN - STOCK'!$A$2:$A$120,""),0))</f>
        <v>206.5573770491803</v>
      </c>
      <c r="O376" s="41">
        <f t="shared" si="16"/>
        <v>5713.6885783391554</v>
      </c>
      <c r="P376" s="36" t="str">
        <f t="shared" si="17"/>
        <v>Laclos</v>
      </c>
      <c r="Q376" s="37" t="s">
        <v>14</v>
      </c>
    </row>
    <row r="377" spans="1:17">
      <c r="A377" s="29">
        <v>2013</v>
      </c>
      <c r="B377" s="29" t="s">
        <v>165</v>
      </c>
      <c r="C377" s="30" t="s">
        <v>47</v>
      </c>
      <c r="D377" s="24" t="str">
        <f t="array" ref="D377">INDEX([1]PARCELLAIRE!$C$2:$C$85,MATCH(A377,IF([1]PARCELLAIRE!$D$2:$D$85=E377,[1]PARCELLAIRE!$A$2:$A$85,""),0))</f>
        <v>MIRADOUX</v>
      </c>
      <c r="E377" s="29" t="s">
        <v>28</v>
      </c>
      <c r="F377" s="31">
        <v>41479</v>
      </c>
      <c r="G377" s="38" t="s">
        <v>1</v>
      </c>
      <c r="H377" s="32" t="s">
        <v>14</v>
      </c>
      <c r="I377" s="24" t="str">
        <f>VLOOKUP(G377,[1]ACHATS!$C:$E,3,0)</f>
        <v>T</v>
      </c>
      <c r="J377" s="24" t="str">
        <f>VLOOKUP(G377,[1]ACHATS!$C:$D,2,0)</f>
        <v>VENTES</v>
      </c>
      <c r="K377" s="33">
        <v>3.948225650916104</v>
      </c>
      <c r="L377" s="33">
        <f>VLOOKUP(E377,[1]PARCELLAIRE!$D$2:$F$29,3,0)</f>
        <v>11.9</v>
      </c>
      <c r="M377" s="33">
        <f t="shared" si="15"/>
        <v>46.983885245901639</v>
      </c>
      <c r="N377" s="34">
        <f t="array" ref="N377">INDEX('[1]COUT MOYEN - STOCK'!$G$2:$G$120,MATCH(A377,IF('[1]COUT MOYEN - STOCK'!$B$2:$B$120=G377,'[1]COUT MOYEN - STOCK'!$A$2:$A$120,""),0))</f>
        <v>206.5573770491803</v>
      </c>
      <c r="O377" s="41">
        <f t="shared" si="16"/>
        <v>9704.8680999731241</v>
      </c>
      <c r="P377" s="36" t="str">
        <f t="shared" si="17"/>
        <v>Labaou Devant</v>
      </c>
      <c r="Q377" s="37" t="s">
        <v>14</v>
      </c>
    </row>
    <row r="378" spans="1:17">
      <c r="A378" s="29">
        <v>2013</v>
      </c>
      <c r="B378" s="29" t="s">
        <v>165</v>
      </c>
      <c r="C378" s="30" t="s">
        <v>47</v>
      </c>
      <c r="D378" s="24" t="str">
        <f t="array" ref="D378">INDEX([1]PARCELLAIRE!$C$2:$C$85,MATCH(A378,IF([1]PARCELLAIRE!$D$2:$D$85=E378,[1]PARCELLAIRE!$A$2:$A$85,""),0))</f>
        <v>MIRADOUX</v>
      </c>
      <c r="E378" s="29" t="s">
        <v>23</v>
      </c>
      <c r="F378" s="31">
        <v>41479</v>
      </c>
      <c r="G378" s="38" t="s">
        <v>1</v>
      </c>
      <c r="H378" s="32" t="s">
        <v>14</v>
      </c>
      <c r="I378" s="24" t="str">
        <f>VLOOKUP(G378,[1]ACHATS!$C:$E,3,0)</f>
        <v>T</v>
      </c>
      <c r="J378" s="24" t="str">
        <f>VLOOKUP(G378,[1]ACHATS!$C:$D,2,0)</f>
        <v>VENTES</v>
      </c>
      <c r="K378" s="33">
        <v>4.4408462736277521</v>
      </c>
      <c r="L378" s="33">
        <f>VLOOKUP(E378,[1]PARCELLAIRE!$D$2:$F$29,3,0)</f>
        <v>7.58</v>
      </c>
      <c r="M378" s="33">
        <f t="shared" si="15"/>
        <v>33.661614754098359</v>
      </c>
      <c r="N378" s="34">
        <f t="array" ref="N378">INDEX('[1]COUT MOYEN - STOCK'!$G$2:$G$120,MATCH(A378,IF('[1]COUT MOYEN - STOCK'!$B$2:$B$120=G378,'[1]COUT MOYEN - STOCK'!$A$2:$A$120,""),0))</f>
        <v>206.5573770491803</v>
      </c>
      <c r="O378" s="41">
        <f t="shared" si="16"/>
        <v>6953.0548508465454</v>
      </c>
      <c r="P378" s="36" t="str">
        <f t="shared" si="17"/>
        <v>Escarcelou</v>
      </c>
      <c r="Q378" s="37" t="s">
        <v>14</v>
      </c>
    </row>
    <row r="379" spans="1:17">
      <c r="A379" s="29">
        <v>2013</v>
      </c>
      <c r="B379" s="29" t="s">
        <v>165</v>
      </c>
      <c r="C379" s="30" t="s">
        <v>47</v>
      </c>
      <c r="D379" s="24" t="str">
        <f t="array" ref="D379">INDEX([1]PARCELLAIRE!$C$2:$C$85,MATCH(A379,IF([1]PARCELLAIRE!$D$2:$D$85=E379,[1]PARCELLAIRE!$A$2:$A$85,""),0))</f>
        <v>MIRADOUX</v>
      </c>
      <c r="E379" s="29" t="s">
        <v>25</v>
      </c>
      <c r="F379" s="31">
        <v>41479</v>
      </c>
      <c r="G379" s="38" t="s">
        <v>1</v>
      </c>
      <c r="H379" s="32" t="s">
        <v>14</v>
      </c>
      <c r="I379" s="24" t="str">
        <f>VLOOKUP(G379,[1]ACHATS!$C:$E,3,0)</f>
        <v>T</v>
      </c>
      <c r="J379" s="24" t="str">
        <f>VLOOKUP(G379,[1]ACHATS!$C:$D,2,0)</f>
        <v>VENTES</v>
      </c>
      <c r="K379" s="33">
        <v>4.4339770491803279</v>
      </c>
      <c r="L379" s="33">
        <f>VLOOKUP(E379,[1]PARCELLAIRE!$D$2:$F$29,3,0)</f>
        <v>7.5</v>
      </c>
      <c r="M379" s="33">
        <f t="shared" si="15"/>
        <v>33.254827868852459</v>
      </c>
      <c r="N379" s="34">
        <f t="array" ref="N379">INDEX('[1]COUT MOYEN - STOCK'!$G$2:$G$120,MATCH(A379,IF('[1]COUT MOYEN - STOCK'!$B$2:$B$120=G379,'[1]COUT MOYEN - STOCK'!$A$2:$A$120,""),0))</f>
        <v>206.5573770491803</v>
      </c>
      <c r="O379" s="41">
        <f t="shared" si="16"/>
        <v>6869.0300188121464</v>
      </c>
      <c r="P379" s="36" t="str">
        <f t="shared" si="17"/>
        <v>Escarcelou Pte</v>
      </c>
      <c r="Q379" s="37" t="s">
        <v>14</v>
      </c>
    </row>
    <row r="380" spans="1:17">
      <c r="A380" s="29">
        <v>2013</v>
      </c>
      <c r="B380" s="29" t="s">
        <v>165</v>
      </c>
      <c r="C380" s="30" t="s">
        <v>47</v>
      </c>
      <c r="D380" s="24" t="str">
        <f t="array" ref="D380">INDEX([1]PARCELLAIRE!$C$2:$C$85,MATCH(A380,IF([1]PARCELLAIRE!$D$2:$D$85=E380,[1]PARCELLAIRE!$A$2:$A$85,""),0))</f>
        <v>MIRADOUX</v>
      </c>
      <c r="E380" s="29" t="s">
        <v>24</v>
      </c>
      <c r="F380" s="31">
        <v>41479</v>
      </c>
      <c r="G380" s="38" t="s">
        <v>1</v>
      </c>
      <c r="H380" s="32" t="s">
        <v>14</v>
      </c>
      <c r="I380" s="24" t="str">
        <f>VLOOKUP(G380,[1]ACHATS!$C:$E,3,0)</f>
        <v>T</v>
      </c>
      <c r="J380" s="24" t="str">
        <f>VLOOKUP(G380,[1]ACHATS!$C:$D,2,0)</f>
        <v>VENTES</v>
      </c>
      <c r="K380" s="33">
        <v>4.4776914607291411</v>
      </c>
      <c r="L380" s="33">
        <f>VLOOKUP(E380,[1]PARCELLAIRE!$D$2:$F$29,3,0)</f>
        <v>1.34</v>
      </c>
      <c r="M380" s="33">
        <f t="shared" si="15"/>
        <v>6.0001065573770491</v>
      </c>
      <c r="N380" s="34">
        <f t="array" ref="N380">INDEX('[1]COUT MOYEN - STOCK'!$G$2:$G$120,MATCH(A380,IF('[1]COUT MOYEN - STOCK'!$B$2:$B$120=G380,'[1]COUT MOYEN - STOCK'!$A$2:$A$120,""),0))</f>
        <v>206.5573770491803</v>
      </c>
      <c r="O380" s="41">
        <f t="shared" si="16"/>
        <v>1239.3662725073902</v>
      </c>
      <c r="P380" s="36" t="str">
        <f t="shared" si="17"/>
        <v>Escarcelou Jachère</v>
      </c>
      <c r="Q380" s="37" t="s">
        <v>14</v>
      </c>
    </row>
    <row r="381" spans="1:17">
      <c r="A381" s="29">
        <v>2013</v>
      </c>
      <c r="B381" s="29" t="s">
        <v>165</v>
      </c>
      <c r="C381" s="30" t="s">
        <v>47</v>
      </c>
      <c r="D381" s="24" t="str">
        <f t="array" ref="D381">INDEX([1]PARCELLAIRE!$C$2:$C$85,MATCH(A381,IF([1]PARCELLAIRE!$D$2:$D$85=E381,[1]PARCELLAIRE!$A$2:$A$85,""),0))</f>
        <v>MIRADOUX</v>
      </c>
      <c r="E381" s="29" t="s">
        <v>38</v>
      </c>
      <c r="F381" s="31">
        <v>41479</v>
      </c>
      <c r="G381" s="38" t="s">
        <v>1</v>
      </c>
      <c r="H381" s="32" t="s">
        <v>14</v>
      </c>
      <c r="I381" s="24" t="str">
        <f>VLOOKUP(G381,[1]ACHATS!$C:$E,3,0)</f>
        <v>T</v>
      </c>
      <c r="J381" s="24" t="str">
        <f>VLOOKUP(G381,[1]ACHATS!$C:$D,2,0)</f>
        <v>VENTES</v>
      </c>
      <c r="K381" s="33">
        <v>4.7619893312516259</v>
      </c>
      <c r="L381" s="33">
        <f>VLOOKUP(E381,[1]PARCELLAIRE!$D$2:$F$29,3,0)</f>
        <v>1.26</v>
      </c>
      <c r="M381" s="33">
        <f t="shared" si="15"/>
        <v>6.0001065573770491</v>
      </c>
      <c r="N381" s="34">
        <f t="array" ref="N381">INDEX('[1]COUT MOYEN - STOCK'!$G$2:$G$120,MATCH(A381,IF('[1]COUT MOYEN - STOCK'!$B$2:$B$120=G381,'[1]COUT MOYEN - STOCK'!$A$2:$A$120,""),0))</f>
        <v>206.5573770491803</v>
      </c>
      <c r="O381" s="41">
        <f t="shared" si="16"/>
        <v>1239.3662725073902</v>
      </c>
      <c r="P381" s="36" t="str">
        <f t="shared" si="17"/>
        <v>Seillonne</v>
      </c>
      <c r="Q381" s="37" t="s">
        <v>14</v>
      </c>
    </row>
    <row r="382" spans="1:17">
      <c r="A382" s="29">
        <v>2013</v>
      </c>
      <c r="B382" s="29" t="s">
        <v>165</v>
      </c>
      <c r="C382" s="30" t="s">
        <v>43</v>
      </c>
      <c r="D382" s="24" t="str">
        <f t="array" ref="D382">INDEX([1]PARCELLAIRE!$C$2:$C$85,MATCH(A382,IF([1]PARCELLAIRE!$D$2:$D$85=E382,[1]PARCELLAIRE!$A$2:$A$85,""),0))</f>
        <v>SOLEIHO</v>
      </c>
      <c r="E382" s="29" t="s">
        <v>29</v>
      </c>
      <c r="F382" s="31">
        <v>41479</v>
      </c>
      <c r="G382" s="44" t="s">
        <v>0</v>
      </c>
      <c r="H382" s="32" t="s">
        <v>14</v>
      </c>
      <c r="I382" s="24" t="str">
        <f>VLOOKUP(G382,[1]ACHATS!$C:$E,3,0)</f>
        <v>T</v>
      </c>
      <c r="J382" s="24" t="str">
        <f>VLOOKUP(G382,[1]ACHATS!$C:$D,2,0)</f>
        <v>VENTES</v>
      </c>
      <c r="K382" s="33">
        <v>5.17</v>
      </c>
      <c r="L382" s="33">
        <f>VLOOKUP(E382,[1]PARCELLAIRE!$D$2:$F$29,3,0)</f>
        <v>17.55</v>
      </c>
      <c r="M382" s="33">
        <f t="shared" si="15"/>
        <v>90.733500000000006</v>
      </c>
      <c r="N382" s="34">
        <f t="array" ref="N382">INDEX('[1]COUT MOYEN - STOCK'!$G$2:$G$120,MATCH(A382,IF('[1]COUT MOYEN - STOCK'!$B$2:$B$120=G382,'[1]COUT MOYEN - STOCK'!$A$2:$A$120,""),0))</f>
        <v>190.27362691736761</v>
      </c>
      <c r="O382" s="41">
        <f t="shared" si="16"/>
        <v>17264.192127906976</v>
      </c>
      <c r="P382" s="36" t="str">
        <f t="shared" si="17"/>
        <v>Labaou Plaine</v>
      </c>
      <c r="Q382" s="37" t="s">
        <v>14</v>
      </c>
    </row>
    <row r="383" spans="1:17">
      <c r="A383" s="29">
        <v>2013</v>
      </c>
      <c r="B383" s="29" t="s">
        <v>165</v>
      </c>
      <c r="C383" s="30" t="s">
        <v>4</v>
      </c>
      <c r="D383" s="24" t="str">
        <f t="array" ref="D383">INDEX([1]PARCELLAIRE!$C$2:$C$85,MATCH(A383,IF([1]PARCELLAIRE!$D$2:$D$85=E383,[1]PARCELLAIRE!$A$2:$A$85,""),0))</f>
        <v>ISIDOR</v>
      </c>
      <c r="E383" s="29" t="s">
        <v>22</v>
      </c>
      <c r="F383" s="31">
        <v>41485</v>
      </c>
      <c r="G383" s="29" t="s">
        <v>93</v>
      </c>
      <c r="H383" s="32" t="s">
        <v>14</v>
      </c>
      <c r="I383" s="24" t="str">
        <f>VLOOKUP(G383,[1]ACHATS!$C:$E,3,0)</f>
        <v>mm</v>
      </c>
      <c r="J383" s="24" t="str">
        <f>VLOOKUP(G383,[1]ACHATS!$C:$D,2,0)</f>
        <v>IRRIGATION</v>
      </c>
      <c r="K383" s="33">
        <v>25</v>
      </c>
      <c r="L383" s="33">
        <f>VLOOKUP(E383,[1]PARCELLAIRE!$D$2:$F$29,3,0)</f>
        <v>8.58</v>
      </c>
      <c r="M383" s="33">
        <f t="shared" si="15"/>
        <v>214.5</v>
      </c>
      <c r="N383" s="34">
        <f t="array" ref="N383">INDEX('[1]COUT MOYEN - STOCK'!$G$2:$G$120,MATCH(A383,IF('[1]COUT MOYEN - STOCK'!$B$2:$B$120=G383,'[1]COUT MOYEN - STOCK'!$A$2:$A$120,""),0))</f>
        <v>1.7762890783597238</v>
      </c>
      <c r="O383" s="41">
        <f t="shared" si="16"/>
        <v>381.01400730816079</v>
      </c>
      <c r="P383" s="36" t="str">
        <f t="shared" si="17"/>
        <v>Engleyse Route</v>
      </c>
      <c r="Q383" s="37" t="s">
        <v>14</v>
      </c>
    </row>
    <row r="384" spans="1:17">
      <c r="A384" s="29">
        <v>2013</v>
      </c>
      <c r="B384" s="29" t="s">
        <v>165</v>
      </c>
      <c r="C384" s="30" t="s">
        <v>41</v>
      </c>
      <c r="D384" s="24" t="str">
        <f t="array" ref="D384">INDEX([1]PARCELLAIRE!$C$2:$C$85,MATCH(A384,IF([1]PARCELLAIRE!$D$2:$D$85=E384,[1]PARCELLAIRE!$A$2:$A$85,""),0))</f>
        <v>ARDICO</v>
      </c>
      <c r="E384" s="29" t="s">
        <v>21</v>
      </c>
      <c r="F384" s="31">
        <v>41485</v>
      </c>
      <c r="G384" s="29" t="s">
        <v>93</v>
      </c>
      <c r="H384" s="32" t="s">
        <v>14</v>
      </c>
      <c r="I384" s="24" t="str">
        <f>VLOOKUP(G384,[1]ACHATS!$C:$E,3,0)</f>
        <v>mm</v>
      </c>
      <c r="J384" s="24" t="str">
        <f>VLOOKUP(G384,[1]ACHATS!$C:$D,2,0)</f>
        <v>IRRIGATION</v>
      </c>
      <c r="K384" s="33">
        <v>30</v>
      </c>
      <c r="L384" s="33">
        <f>VLOOKUP(E384,[1]PARCELLAIRE!$D$2:$F$29,3,0)</f>
        <v>10.93</v>
      </c>
      <c r="M384" s="33">
        <f t="shared" si="15"/>
        <v>327.9</v>
      </c>
      <c r="N384" s="34">
        <f t="array" ref="N384">INDEX('[1]COUT MOYEN - STOCK'!$G$2:$G$120,MATCH(A384,IF('[1]COUT MOYEN - STOCK'!$B$2:$B$120=G384,'[1]COUT MOYEN - STOCK'!$A$2:$A$120,""),0))</f>
        <v>1.7762890783597238</v>
      </c>
      <c r="O384" s="41">
        <f t="shared" si="16"/>
        <v>582.44518879415341</v>
      </c>
      <c r="P384" s="36" t="str">
        <f t="shared" si="17"/>
        <v>Engleyse métairie</v>
      </c>
      <c r="Q384" s="37" t="s">
        <v>14</v>
      </c>
    </row>
    <row r="385" spans="1:17">
      <c r="A385" s="29">
        <v>2013</v>
      </c>
      <c r="B385" s="29" t="s">
        <v>165</v>
      </c>
      <c r="C385" s="30" t="s">
        <v>4</v>
      </c>
      <c r="D385" s="24" t="str">
        <f t="array" ref="D385">INDEX([1]PARCELLAIRE!$C$2:$C$85,MATCH(A385,IF([1]PARCELLAIRE!$D$2:$D$85=E385,[1]PARCELLAIRE!$A$2:$A$85,""),0))</f>
        <v>ISIDOR</v>
      </c>
      <c r="E385" s="29" t="s">
        <v>22</v>
      </c>
      <c r="F385" s="31">
        <v>41498</v>
      </c>
      <c r="G385" s="29" t="s">
        <v>93</v>
      </c>
      <c r="H385" s="32" t="s">
        <v>14</v>
      </c>
      <c r="I385" s="24" t="str">
        <f>VLOOKUP(G385,[1]ACHATS!$C:$E,3,0)</f>
        <v>mm</v>
      </c>
      <c r="J385" s="24" t="str">
        <f>VLOOKUP(G385,[1]ACHATS!$C:$D,2,0)</f>
        <v>IRRIGATION</v>
      </c>
      <c r="K385" s="33">
        <v>30</v>
      </c>
      <c r="L385" s="33">
        <f>VLOOKUP(E385,[1]PARCELLAIRE!$D$2:$F$29,3,0)</f>
        <v>8.58</v>
      </c>
      <c r="M385" s="33">
        <f t="shared" si="15"/>
        <v>257.39999999999998</v>
      </c>
      <c r="N385" s="34">
        <f t="array" ref="N385">INDEX('[1]COUT MOYEN - STOCK'!$G$2:$G$120,MATCH(A385,IF('[1]COUT MOYEN - STOCK'!$B$2:$B$120=G385,'[1]COUT MOYEN - STOCK'!$A$2:$A$120,""),0))</f>
        <v>1.7762890783597238</v>
      </c>
      <c r="O385" s="41">
        <f t="shared" si="16"/>
        <v>457.21680876979286</v>
      </c>
      <c r="P385" s="36" t="str">
        <f t="shared" si="17"/>
        <v>Engleyse Route</v>
      </c>
      <c r="Q385" s="37" t="s">
        <v>14</v>
      </c>
    </row>
    <row r="386" spans="1:17">
      <c r="A386" s="29">
        <v>2013</v>
      </c>
      <c r="B386" s="29" t="s">
        <v>165</v>
      </c>
      <c r="C386" s="30" t="s">
        <v>41</v>
      </c>
      <c r="D386" s="24" t="str">
        <f t="array" ref="D386">INDEX([1]PARCELLAIRE!$C$2:$C$85,MATCH(A386,IF([1]PARCELLAIRE!$D$2:$D$85=E386,[1]PARCELLAIRE!$A$2:$A$85,""),0))</f>
        <v>ARDICO</v>
      </c>
      <c r="E386" s="29" t="s">
        <v>21</v>
      </c>
      <c r="F386" s="31">
        <v>41498</v>
      </c>
      <c r="G386" s="29" t="s">
        <v>93</v>
      </c>
      <c r="H386" s="32" t="s">
        <v>14</v>
      </c>
      <c r="I386" s="24" t="str">
        <f>VLOOKUP(G386,[1]ACHATS!$C:$E,3,0)</f>
        <v>mm</v>
      </c>
      <c r="J386" s="24" t="str">
        <f>VLOOKUP(G386,[1]ACHATS!$C:$D,2,0)</f>
        <v>IRRIGATION</v>
      </c>
      <c r="K386" s="33">
        <v>30</v>
      </c>
      <c r="L386" s="33">
        <f>VLOOKUP(E386,[1]PARCELLAIRE!$D$2:$F$29,3,0)</f>
        <v>10.93</v>
      </c>
      <c r="M386" s="33">
        <f t="shared" ref="M386:M449" si="18">L386*K386</f>
        <v>327.9</v>
      </c>
      <c r="N386" s="34">
        <f t="array" ref="N386">INDEX('[1]COUT MOYEN - STOCK'!$G$2:$G$120,MATCH(A386,IF('[1]COUT MOYEN - STOCK'!$B$2:$B$120=G386,'[1]COUT MOYEN - STOCK'!$A$2:$A$120,""),0))</f>
        <v>1.7762890783597238</v>
      </c>
      <c r="O386" s="41">
        <f t="shared" ref="O386:O449" si="19">N386*M386</f>
        <v>582.44518879415341</v>
      </c>
      <c r="P386" s="36" t="str">
        <f t="shared" ref="P386:P449" si="20">IF(WHEN=A386,E386,1)</f>
        <v>Engleyse métairie</v>
      </c>
      <c r="Q386" s="37" t="s">
        <v>14</v>
      </c>
    </row>
    <row r="387" spans="1:17">
      <c r="A387" s="29">
        <v>2014</v>
      </c>
      <c r="B387" s="29" t="s">
        <v>165</v>
      </c>
      <c r="C387" s="30" t="s">
        <v>96</v>
      </c>
      <c r="D387" s="24" t="str">
        <f t="array" ref="D387">INDEX([1]PARCELLAIRE!$C$2:$C$85,MATCH(A387,IF([1]PARCELLAIRE!$D$2:$D$85=E387,[1]PARCELLAIRE!$A$2:$A$85,""),0))</f>
        <v>MONSANTO</v>
      </c>
      <c r="E387" s="29" t="s">
        <v>29</v>
      </c>
      <c r="F387" s="31">
        <v>41498</v>
      </c>
      <c r="G387" s="38" t="s">
        <v>97</v>
      </c>
      <c r="H387" s="32" t="s">
        <v>14</v>
      </c>
      <c r="I387" s="24" t="str">
        <f>VLOOKUP(G387,[1]ACHATS!$C:$E,3,0)</f>
        <v>T</v>
      </c>
      <c r="J387" s="24" t="str">
        <f>VLOOKUP(G387,[1]ACHATS!$C:$D,2,0)</f>
        <v>ENGRAIS DE FOND</v>
      </c>
      <c r="K387" s="33">
        <v>1.35</v>
      </c>
      <c r="L387" s="33">
        <f>VLOOKUP(E387,[1]PARCELLAIRE!$D$2:$F$29,3,0)</f>
        <v>17.55</v>
      </c>
      <c r="M387" s="33">
        <f t="shared" si="18"/>
        <v>23.692500000000003</v>
      </c>
      <c r="N387" s="34">
        <f t="array" ref="N387">INDEX('[1]COUT MOYEN - STOCK'!$G$2:$G$120,MATCH(A387,IF('[1]COUT MOYEN - STOCK'!$B$2:$B$120=G387,'[1]COUT MOYEN - STOCK'!$A$2:$A$120,""),0))</f>
        <v>102.50000000000001</v>
      </c>
      <c r="O387" s="41">
        <f t="shared" si="19"/>
        <v>2428.4812500000007</v>
      </c>
      <c r="P387" s="36">
        <f t="shared" si="20"/>
        <v>1</v>
      </c>
      <c r="Q387" s="37" t="s">
        <v>14</v>
      </c>
    </row>
    <row r="388" spans="1:17">
      <c r="A388" s="29">
        <v>2014</v>
      </c>
      <c r="B388" s="29" t="s">
        <v>165</v>
      </c>
      <c r="C388" s="30" t="s">
        <v>98</v>
      </c>
      <c r="D388" s="24" t="str">
        <f t="array" ref="D388">INDEX([1]PARCELLAIRE!$C$2:$C$85,MATCH(A388,IF([1]PARCELLAIRE!$D$2:$D$85=E388,[1]PARCELLAIRE!$A$2:$A$85,""),0))</f>
        <v>ZEBRA - OISELLERIE</v>
      </c>
      <c r="E388" s="46" t="s">
        <v>28</v>
      </c>
      <c r="F388" s="31">
        <v>41498</v>
      </c>
      <c r="G388" s="38" t="s">
        <v>97</v>
      </c>
      <c r="H388" s="32" t="s">
        <v>14</v>
      </c>
      <c r="I388" s="24" t="str">
        <f>VLOOKUP(G388,[1]ACHATS!$C:$E,3,0)</f>
        <v>T</v>
      </c>
      <c r="J388" s="24" t="str">
        <f>VLOOKUP(G388,[1]ACHATS!$C:$D,2,0)</f>
        <v>ENGRAIS DE FOND</v>
      </c>
      <c r="K388" s="33">
        <v>1.35</v>
      </c>
      <c r="L388" s="33">
        <f>VLOOKUP(E388,[1]PARCELLAIRE!$D$2:$F$29,3,0)</f>
        <v>11.9</v>
      </c>
      <c r="M388" s="33">
        <f t="shared" si="18"/>
        <v>16.065000000000001</v>
      </c>
      <c r="N388" s="34">
        <f t="array" ref="N388">INDEX('[1]COUT MOYEN - STOCK'!$G$2:$G$120,MATCH(A388,IF('[1]COUT MOYEN - STOCK'!$B$2:$B$120=G388,'[1]COUT MOYEN - STOCK'!$A$2:$A$120,""),0))</f>
        <v>102.50000000000001</v>
      </c>
      <c r="O388" s="41">
        <f t="shared" si="19"/>
        <v>1646.6625000000004</v>
      </c>
      <c r="P388" s="36">
        <f t="shared" si="20"/>
        <v>1</v>
      </c>
      <c r="Q388" s="37" t="s">
        <v>14</v>
      </c>
    </row>
    <row r="389" spans="1:17">
      <c r="A389" s="29">
        <v>2014</v>
      </c>
      <c r="B389" s="29" t="s">
        <v>165</v>
      </c>
      <c r="C389" s="30" t="s">
        <v>4</v>
      </c>
      <c r="D389" s="24" t="str">
        <f t="array" ref="D389">INDEX([1]PARCELLAIRE!$C$2:$C$85,MATCH(A389,IF([1]PARCELLAIRE!$D$2:$D$85=E389,[1]PARCELLAIRE!$A$2:$A$85,""),0))</f>
        <v>ISIDOR</v>
      </c>
      <c r="E389" s="47" t="s">
        <v>20</v>
      </c>
      <c r="F389" s="31">
        <v>41498</v>
      </c>
      <c r="G389" s="38" t="s">
        <v>97</v>
      </c>
      <c r="H389" s="32" t="s">
        <v>14</v>
      </c>
      <c r="I389" s="24" t="str">
        <f>VLOOKUP(G389,[1]ACHATS!$C:$E,3,0)</f>
        <v>T</v>
      </c>
      <c r="J389" s="24" t="str">
        <f>VLOOKUP(G389,[1]ACHATS!$C:$D,2,0)</f>
        <v>ENGRAIS DE FOND</v>
      </c>
      <c r="K389" s="33">
        <v>1.35</v>
      </c>
      <c r="L389" s="33">
        <v>11.7</v>
      </c>
      <c r="M389" s="33">
        <f t="shared" si="18"/>
        <v>15.795</v>
      </c>
      <c r="N389" s="34">
        <f t="array" ref="N389">INDEX('[1]COUT MOYEN - STOCK'!$G$2:$G$120,MATCH(A389,IF('[1]COUT MOYEN - STOCK'!$B$2:$B$120=G389,'[1]COUT MOYEN - STOCK'!$A$2:$A$120,""),0))</f>
        <v>102.50000000000001</v>
      </c>
      <c r="O389" s="41">
        <f t="shared" si="19"/>
        <v>1618.9875000000002</v>
      </c>
      <c r="P389" s="36">
        <f t="shared" si="20"/>
        <v>1</v>
      </c>
      <c r="Q389" s="37" t="s">
        <v>14</v>
      </c>
    </row>
    <row r="390" spans="1:17">
      <c r="A390" s="29">
        <v>2013</v>
      </c>
      <c r="B390" s="29" t="s">
        <v>165</v>
      </c>
      <c r="C390" s="30" t="s">
        <v>4</v>
      </c>
      <c r="D390" s="24" t="str">
        <f t="array" ref="D390">INDEX([1]PARCELLAIRE!$C$2:$C$85,MATCH(A390,IF([1]PARCELLAIRE!$D$2:$D$85=E390,[1]PARCELLAIRE!$A$2:$A$85,""),0))</f>
        <v>ISIDOR</v>
      </c>
      <c r="E390" s="29" t="s">
        <v>22</v>
      </c>
      <c r="F390" s="31">
        <v>41505</v>
      </c>
      <c r="G390" s="29" t="s">
        <v>93</v>
      </c>
      <c r="H390" s="32" t="s">
        <v>14</v>
      </c>
      <c r="I390" s="24" t="str">
        <f>VLOOKUP(G390,[1]ACHATS!$C:$E,3,0)</f>
        <v>mm</v>
      </c>
      <c r="J390" s="24" t="str">
        <f>VLOOKUP(G390,[1]ACHATS!$C:$D,2,0)</f>
        <v>IRRIGATION</v>
      </c>
      <c r="K390" s="33">
        <v>30</v>
      </c>
      <c r="L390" s="33">
        <f>VLOOKUP(E390,[1]PARCELLAIRE!$D$2:$F$29,3,0)</f>
        <v>8.58</v>
      </c>
      <c r="M390" s="33">
        <f t="shared" si="18"/>
        <v>257.39999999999998</v>
      </c>
      <c r="N390" s="34">
        <f t="array" ref="N390">INDEX('[1]COUT MOYEN - STOCK'!$G$2:$G$120,MATCH(A390,IF('[1]COUT MOYEN - STOCK'!$B$2:$B$120=G390,'[1]COUT MOYEN - STOCK'!$A$2:$A$120,""),0))</f>
        <v>1.7762890783597238</v>
      </c>
      <c r="O390" s="41">
        <f t="shared" si="19"/>
        <v>457.21680876979286</v>
      </c>
      <c r="P390" s="36" t="str">
        <f t="shared" si="20"/>
        <v>Engleyse Route</v>
      </c>
      <c r="Q390" s="37" t="s">
        <v>14</v>
      </c>
    </row>
    <row r="391" spans="1:17">
      <c r="A391" s="29">
        <v>2014</v>
      </c>
      <c r="B391" s="29" t="s">
        <v>165</v>
      </c>
      <c r="C391" s="30" t="s">
        <v>41</v>
      </c>
      <c r="D391" s="24" t="str">
        <f t="array" ref="D391">INDEX([1]PARCELLAIRE!$C$2:$C$85,MATCH(A391,IF([1]PARCELLAIRE!$D$2:$D$85=E391,[1]PARCELLAIRE!$A$2:$A$85,""),0))</f>
        <v>-</v>
      </c>
      <c r="E391" s="29" t="s">
        <v>19</v>
      </c>
      <c r="F391" s="31">
        <v>41514</v>
      </c>
      <c r="G391" s="38" t="s">
        <v>99</v>
      </c>
      <c r="H391" s="32" t="s">
        <v>14</v>
      </c>
      <c r="I391" s="24" t="str">
        <f>VLOOKUP(G391,[1]ACHATS!$C:$E,3,0)</f>
        <v>Kg</v>
      </c>
      <c r="J391" s="24" t="str">
        <f>VLOOKUP(G391,[1]ACHATS!$C:$D,2,0)</f>
        <v>ENGRAIS DE FOND</v>
      </c>
      <c r="K391" s="33">
        <v>200</v>
      </c>
      <c r="L391" s="33">
        <f>VLOOKUP(E391,[1]PARCELLAIRE!$D$2:$F$29,3,0)</f>
        <v>5.67</v>
      </c>
      <c r="M391" s="33">
        <f t="shared" si="18"/>
        <v>1134</v>
      </c>
      <c r="N391" s="34">
        <f t="array" ref="N391">INDEX('[1]COUT MOYEN - STOCK'!$G$2:$G$120,MATCH(A391,IF('[1]COUT MOYEN - STOCK'!$B$2:$B$120=G391,'[1]COUT MOYEN - STOCK'!$A$2:$A$120,""),0))</f>
        <v>0.51646005747126444</v>
      </c>
      <c r="O391" s="41">
        <f t="shared" si="19"/>
        <v>585.66570517241394</v>
      </c>
      <c r="P391" s="36">
        <f t="shared" si="20"/>
        <v>1</v>
      </c>
      <c r="Q391" s="37" t="s">
        <v>14</v>
      </c>
    </row>
    <row r="392" spans="1:17">
      <c r="A392" s="29">
        <v>2014</v>
      </c>
      <c r="B392" s="29" t="s">
        <v>165</v>
      </c>
      <c r="C392" s="30" t="s">
        <v>41</v>
      </c>
      <c r="D392" s="24" t="str">
        <f t="array" ref="D392">INDEX([1]PARCELLAIRE!$C$2:$C$85,MATCH(A392,IF([1]PARCELLAIRE!$D$2:$D$85=E392,[1]PARCELLAIRE!$A$2:$A$85,""),0))</f>
        <v>ARDICO</v>
      </c>
      <c r="E392" s="29" t="s">
        <v>17</v>
      </c>
      <c r="F392" s="31">
        <v>41514</v>
      </c>
      <c r="G392" s="38" t="s">
        <v>99</v>
      </c>
      <c r="H392" s="32" t="s">
        <v>14</v>
      </c>
      <c r="I392" s="24" t="str">
        <f>VLOOKUP(G392,[1]ACHATS!$C:$E,3,0)</f>
        <v>Kg</v>
      </c>
      <c r="J392" s="24" t="str">
        <f>VLOOKUP(G392,[1]ACHATS!$C:$D,2,0)</f>
        <v>ENGRAIS DE FOND</v>
      </c>
      <c r="K392" s="33">
        <v>200</v>
      </c>
      <c r="L392" s="33">
        <f>VLOOKUP(E392,[1]PARCELLAIRE!$D$2:$F$29,3,0)</f>
        <v>5.27</v>
      </c>
      <c r="M392" s="33">
        <f t="shared" si="18"/>
        <v>1054</v>
      </c>
      <c r="N392" s="34">
        <f t="array" ref="N392">INDEX('[1]COUT MOYEN - STOCK'!$G$2:$G$120,MATCH(A392,IF('[1]COUT MOYEN - STOCK'!$B$2:$B$120=G392,'[1]COUT MOYEN - STOCK'!$A$2:$A$120,""),0))</f>
        <v>0.51646005747126444</v>
      </c>
      <c r="O392" s="41">
        <f t="shared" si="19"/>
        <v>544.34890057471273</v>
      </c>
      <c r="P392" s="36">
        <f t="shared" si="20"/>
        <v>1</v>
      </c>
      <c r="Q392" s="37" t="s">
        <v>14</v>
      </c>
    </row>
    <row r="393" spans="1:17">
      <c r="A393" s="29">
        <v>2014</v>
      </c>
      <c r="B393" s="29" t="s">
        <v>165</v>
      </c>
      <c r="C393" s="30" t="s">
        <v>100</v>
      </c>
      <c r="D393" s="24" t="str">
        <f t="array" ref="D393">INDEX([1]PARCELLAIRE!$C$2:$C$85,MATCH(A393,IF([1]PARCELLAIRE!$D$2:$D$85=E393,[1]PARCELLAIRE!$A$2:$A$85,""),0))</f>
        <v>PR64 LEV25 - EXPRESS</v>
      </c>
      <c r="E393" s="29" t="s">
        <v>31</v>
      </c>
      <c r="F393" s="31">
        <v>41514</v>
      </c>
      <c r="G393" s="38" t="s">
        <v>99</v>
      </c>
      <c r="H393" s="32" t="s">
        <v>14</v>
      </c>
      <c r="I393" s="24" t="str">
        <f>VLOOKUP(G393,[1]ACHATS!$C:$E,3,0)</f>
        <v>Kg</v>
      </c>
      <c r="J393" s="24" t="str">
        <f>VLOOKUP(G393,[1]ACHATS!$C:$D,2,0)</f>
        <v>ENGRAIS DE FOND</v>
      </c>
      <c r="K393" s="33">
        <v>200</v>
      </c>
      <c r="L393" s="33">
        <f>VLOOKUP(E393,[1]PARCELLAIRE!$D$2:$F$29,3,0)</f>
        <v>2.67</v>
      </c>
      <c r="M393" s="33">
        <f t="shared" si="18"/>
        <v>534</v>
      </c>
      <c r="N393" s="34">
        <f t="array" ref="N393">INDEX('[1]COUT MOYEN - STOCK'!$G$2:$G$120,MATCH(A393,IF('[1]COUT MOYEN - STOCK'!$B$2:$B$120=G393,'[1]COUT MOYEN - STOCK'!$A$2:$A$120,""),0))</f>
        <v>0.51646005747126444</v>
      </c>
      <c r="O393" s="41">
        <f t="shared" si="19"/>
        <v>275.78967068965522</v>
      </c>
      <c r="P393" s="36">
        <f t="shared" si="20"/>
        <v>1</v>
      </c>
      <c r="Q393" s="37" t="s">
        <v>14</v>
      </c>
    </row>
    <row r="394" spans="1:17">
      <c r="A394" s="29">
        <v>2014</v>
      </c>
      <c r="B394" s="29" t="s">
        <v>165</v>
      </c>
      <c r="C394" s="30" t="s">
        <v>100</v>
      </c>
      <c r="D394" s="24" t="str">
        <f t="array" ref="D394">INDEX([1]PARCELLAIRE!$C$2:$C$85,MATCH(A394,IF([1]PARCELLAIRE!$D$2:$D$85=E394,[1]PARCELLAIRE!$A$2:$A$85,""),0))</f>
        <v>PR64 LEV25 - EXPRESS</v>
      </c>
      <c r="E394" s="47" t="s">
        <v>32</v>
      </c>
      <c r="F394" s="31">
        <v>41514</v>
      </c>
      <c r="G394" s="38" t="s">
        <v>99</v>
      </c>
      <c r="H394" s="32" t="s">
        <v>14</v>
      </c>
      <c r="I394" s="24" t="str">
        <f>VLOOKUP(G394,[1]ACHATS!$C:$E,3,0)</f>
        <v>Kg</v>
      </c>
      <c r="J394" s="24" t="str">
        <f>VLOOKUP(G394,[1]ACHATS!$C:$D,2,0)</f>
        <v>ENGRAIS DE FOND</v>
      </c>
      <c r="K394" s="33">
        <v>200</v>
      </c>
      <c r="L394" s="33">
        <f>VLOOKUP(E394,[1]PARCELLAIRE!$D$2:$F$29,3,0)</f>
        <v>16.440000000000001</v>
      </c>
      <c r="M394" s="33">
        <f t="shared" si="18"/>
        <v>3288.0000000000005</v>
      </c>
      <c r="N394" s="34">
        <f t="array" ref="N394">INDEX('[1]COUT MOYEN - STOCK'!$G$2:$G$120,MATCH(A394,IF('[1]COUT MOYEN - STOCK'!$B$2:$B$120=G394,'[1]COUT MOYEN - STOCK'!$A$2:$A$120,""),0))</f>
        <v>0.51646005747126444</v>
      </c>
      <c r="O394" s="41">
        <f t="shared" si="19"/>
        <v>1698.1206689655178</v>
      </c>
      <c r="P394" s="36">
        <f t="shared" si="20"/>
        <v>1</v>
      </c>
      <c r="Q394" s="37" t="s">
        <v>14</v>
      </c>
    </row>
    <row r="395" spans="1:17">
      <c r="A395" s="29">
        <v>2014</v>
      </c>
      <c r="B395" s="29" t="s">
        <v>165</v>
      </c>
      <c r="C395" s="30" t="s">
        <v>100</v>
      </c>
      <c r="D395" s="24" t="str">
        <f t="array" ref="D395">INDEX([1]PARCELLAIRE!$C$2:$C$85,MATCH(A395,IF([1]PARCELLAIRE!$D$2:$D$85=E395,[1]PARCELLAIRE!$A$2:$A$85,""),0))</f>
        <v>PR64 LEV25 - EXPRESS</v>
      </c>
      <c r="E395" s="29" t="s">
        <v>30</v>
      </c>
      <c r="F395" s="31">
        <v>41514</v>
      </c>
      <c r="G395" s="38" t="s">
        <v>99</v>
      </c>
      <c r="H395" s="32" t="s">
        <v>14</v>
      </c>
      <c r="I395" s="24" t="str">
        <f>VLOOKUP(G395,[1]ACHATS!$C:$E,3,0)</f>
        <v>Kg</v>
      </c>
      <c r="J395" s="24" t="str">
        <f>VLOOKUP(G395,[1]ACHATS!$C:$D,2,0)</f>
        <v>ENGRAIS DE FOND</v>
      </c>
      <c r="K395" s="33">
        <v>200</v>
      </c>
      <c r="L395" s="33">
        <f>VLOOKUP(E395,[1]PARCELLAIRE!$D$2:$F$29,3,0)</f>
        <v>5.07</v>
      </c>
      <c r="M395" s="33">
        <f t="shared" si="18"/>
        <v>1014</v>
      </c>
      <c r="N395" s="34">
        <f t="array" ref="N395">INDEX('[1]COUT MOYEN - STOCK'!$G$2:$G$120,MATCH(A395,IF('[1]COUT MOYEN - STOCK'!$B$2:$B$120=G395,'[1]COUT MOYEN - STOCK'!$A$2:$A$120,""),0))</f>
        <v>0.51646005747126444</v>
      </c>
      <c r="O395" s="41">
        <f t="shared" si="19"/>
        <v>523.69049827586218</v>
      </c>
      <c r="P395" s="36">
        <f t="shared" si="20"/>
        <v>1</v>
      </c>
      <c r="Q395" s="37" t="s">
        <v>14</v>
      </c>
    </row>
    <row r="396" spans="1:17">
      <c r="A396" s="29">
        <v>2014</v>
      </c>
      <c r="B396" s="29" t="s">
        <v>165</v>
      </c>
      <c r="C396" s="30" t="s">
        <v>39</v>
      </c>
      <c r="D396" s="24" t="str">
        <f t="array" ref="D396">INDEX([1]PARCELLAIRE!$C$2:$C$85,MATCH(A396,IF([1]PARCELLAIRE!$D$2:$D$85=E396,[1]PARCELLAIRE!$A$2:$A$85,""),0))</f>
        <v>DKF3333</v>
      </c>
      <c r="E396" s="29" t="s">
        <v>23</v>
      </c>
      <c r="F396" s="31">
        <v>41514</v>
      </c>
      <c r="G396" s="38" t="s">
        <v>99</v>
      </c>
      <c r="H396" s="32" t="s">
        <v>14</v>
      </c>
      <c r="I396" s="24" t="str">
        <f>VLOOKUP(G396,[1]ACHATS!$C:$E,3,0)</f>
        <v>Kg</v>
      </c>
      <c r="J396" s="24" t="str">
        <f>VLOOKUP(G396,[1]ACHATS!$C:$D,2,0)</f>
        <v>ENGRAIS DE FOND</v>
      </c>
      <c r="K396" s="33">
        <v>200</v>
      </c>
      <c r="L396" s="33">
        <f>VLOOKUP(E396,[1]PARCELLAIRE!$D$2:$F$29,3,0)</f>
        <v>7.58</v>
      </c>
      <c r="M396" s="33">
        <f t="shared" si="18"/>
        <v>1516</v>
      </c>
      <c r="N396" s="34">
        <f t="array" ref="N396">INDEX('[1]COUT MOYEN - STOCK'!$G$2:$G$120,MATCH(A396,IF('[1]COUT MOYEN - STOCK'!$B$2:$B$120=G396,'[1]COUT MOYEN - STOCK'!$A$2:$A$120,""),0))</f>
        <v>0.51646005747126444</v>
      </c>
      <c r="O396" s="41">
        <f t="shared" si="19"/>
        <v>782.95344712643691</v>
      </c>
      <c r="P396" s="36">
        <f t="shared" si="20"/>
        <v>1</v>
      </c>
      <c r="Q396" s="37" t="s">
        <v>14</v>
      </c>
    </row>
    <row r="397" spans="1:17">
      <c r="A397" s="30">
        <v>2013</v>
      </c>
      <c r="B397" s="30" t="s">
        <v>165</v>
      </c>
      <c r="C397" s="30" t="s">
        <v>4</v>
      </c>
      <c r="D397" s="24" t="str">
        <f t="array" ref="D397">INDEX([1]PARCELLAIRE!$C$2:$C$85,MATCH(A397,IF([1]PARCELLAIRE!$D$2:$D$85=E397,[1]PARCELLAIRE!$A$2:$A$85,""),0))</f>
        <v>ISIDOR</v>
      </c>
      <c r="E397" s="48" t="s">
        <v>22</v>
      </c>
      <c r="F397" s="49">
        <v>41514</v>
      </c>
      <c r="G397" s="50" t="s">
        <v>93</v>
      </c>
      <c r="H397" s="32" t="s">
        <v>14</v>
      </c>
      <c r="I397" s="24" t="str">
        <f>VLOOKUP(G397,[1]ACHATS!$C:$E,3,0)</f>
        <v>mm</v>
      </c>
      <c r="J397" s="24" t="str">
        <f>VLOOKUP(G397,[1]ACHATS!$C:$D,2,0)</f>
        <v>IRRIGATION</v>
      </c>
      <c r="K397" s="42">
        <v>25</v>
      </c>
      <c r="L397" s="42">
        <f>VLOOKUP(E397,[1]PARCELLAIRE!$D$2:$F$29,3,0)</f>
        <v>8.58</v>
      </c>
      <c r="M397" s="42">
        <f t="shared" si="18"/>
        <v>214.5</v>
      </c>
      <c r="N397" s="34">
        <f t="array" ref="N397">INDEX('[1]COUT MOYEN - STOCK'!$G$2:$G$120,MATCH(A397,IF('[1]COUT MOYEN - STOCK'!$B$2:$B$120=G397,'[1]COUT MOYEN - STOCK'!$A$2:$A$120,""),0))</f>
        <v>1.7762890783597238</v>
      </c>
      <c r="O397" s="51">
        <f t="shared" si="19"/>
        <v>381.01400730816079</v>
      </c>
      <c r="P397" s="52" t="str">
        <f t="shared" si="20"/>
        <v>Engleyse Route</v>
      </c>
      <c r="Q397" s="37" t="s">
        <v>14</v>
      </c>
    </row>
    <row r="398" spans="1:17">
      <c r="A398" s="29">
        <v>2014</v>
      </c>
      <c r="B398" s="29" t="s">
        <v>165</v>
      </c>
      <c r="C398" s="30" t="s">
        <v>101</v>
      </c>
      <c r="D398" s="24" t="str">
        <f t="array" ref="D398">INDEX([1]PARCELLAIRE!$C$2:$C$85,MATCH(A398,IF([1]PARCELLAIRE!$D$2:$D$85=E398,[1]PARCELLAIRE!$A$2:$A$85,""),0))</f>
        <v>SY REVELIO - CLEARFIELD</v>
      </c>
      <c r="E398" s="29" t="s">
        <v>25</v>
      </c>
      <c r="F398" s="31">
        <v>41515</v>
      </c>
      <c r="G398" s="38" t="s">
        <v>99</v>
      </c>
      <c r="H398" s="32" t="s">
        <v>14</v>
      </c>
      <c r="I398" s="24" t="str">
        <f>VLOOKUP(G398,[1]ACHATS!$C:$E,3,0)</f>
        <v>Kg</v>
      </c>
      <c r="J398" s="24" t="str">
        <f>VLOOKUP(G398,[1]ACHATS!$C:$D,2,0)</f>
        <v>ENGRAIS DE FOND</v>
      </c>
      <c r="K398" s="33">
        <v>200</v>
      </c>
      <c r="L398" s="33">
        <f>VLOOKUP(E398,[1]PARCELLAIRE!$D$2:$F$29,3,0)</f>
        <v>7.5</v>
      </c>
      <c r="M398" s="33">
        <f t="shared" si="18"/>
        <v>1500</v>
      </c>
      <c r="N398" s="34">
        <f t="array" ref="N398">INDEX('[1]COUT MOYEN - STOCK'!$G$2:$G$120,MATCH(A398,IF('[1]COUT MOYEN - STOCK'!$B$2:$B$120=G398,'[1]COUT MOYEN - STOCK'!$A$2:$A$120,""),0))</f>
        <v>0.51646005747126444</v>
      </c>
      <c r="O398" s="41">
        <f t="shared" si="19"/>
        <v>774.69008620689669</v>
      </c>
      <c r="P398" s="36">
        <f t="shared" si="20"/>
        <v>1</v>
      </c>
      <c r="Q398" s="37" t="s">
        <v>14</v>
      </c>
    </row>
    <row r="399" spans="1:17">
      <c r="A399" s="29">
        <v>2014</v>
      </c>
      <c r="B399" s="29" t="s">
        <v>165</v>
      </c>
      <c r="C399" s="30" t="s">
        <v>39</v>
      </c>
      <c r="D399" s="24" t="str">
        <f t="array" ref="D399">INDEX([1]PARCELLAIRE!$C$2:$C$85,MATCH(A399,IF([1]PARCELLAIRE!$D$2:$D$85=E399,[1]PARCELLAIRE!$A$2:$A$85,""),0))</f>
        <v>DKF3333</v>
      </c>
      <c r="E399" s="29" t="s">
        <v>24</v>
      </c>
      <c r="F399" s="31">
        <v>41515</v>
      </c>
      <c r="G399" s="38" t="s">
        <v>99</v>
      </c>
      <c r="H399" s="32" t="s">
        <v>14</v>
      </c>
      <c r="I399" s="24" t="str">
        <f>VLOOKUP(G399,[1]ACHATS!$C:$E,3,0)</f>
        <v>Kg</v>
      </c>
      <c r="J399" s="24" t="str">
        <f>VLOOKUP(G399,[1]ACHATS!$C:$D,2,0)</f>
        <v>ENGRAIS DE FOND</v>
      </c>
      <c r="K399" s="33">
        <v>200</v>
      </c>
      <c r="L399" s="33">
        <f>VLOOKUP(E399,[1]PARCELLAIRE!$D$2:$F$29,3,0)</f>
        <v>1.34</v>
      </c>
      <c r="M399" s="33">
        <f t="shared" si="18"/>
        <v>268</v>
      </c>
      <c r="N399" s="34">
        <f t="array" ref="N399">INDEX('[1]COUT MOYEN - STOCK'!$G$2:$G$120,MATCH(A399,IF('[1]COUT MOYEN - STOCK'!$B$2:$B$120=G399,'[1]COUT MOYEN - STOCK'!$A$2:$A$120,""),0))</f>
        <v>0.51646005747126444</v>
      </c>
      <c r="O399" s="41">
        <f t="shared" si="19"/>
        <v>138.41129540229886</v>
      </c>
      <c r="P399" s="36">
        <f t="shared" si="20"/>
        <v>1</v>
      </c>
      <c r="Q399" s="37" t="s">
        <v>14</v>
      </c>
    </row>
    <row r="400" spans="1:17">
      <c r="A400" s="29">
        <v>2014</v>
      </c>
      <c r="B400" s="29" t="s">
        <v>165</v>
      </c>
      <c r="C400" s="30" t="s">
        <v>100</v>
      </c>
      <c r="D400" s="24" t="str">
        <f t="array" ref="D400">INDEX([1]PARCELLAIRE!$C$2:$C$85,MATCH(A400,IF([1]PARCELLAIRE!$D$2:$D$85=E400,[1]PARCELLAIRE!$A$2:$A$85,""),0))</f>
        <v>PR64 LEV25 - EXPRESS</v>
      </c>
      <c r="E400" s="29" t="s">
        <v>38</v>
      </c>
      <c r="F400" s="31">
        <v>41515</v>
      </c>
      <c r="G400" s="38" t="s">
        <v>99</v>
      </c>
      <c r="H400" s="32" t="s">
        <v>14</v>
      </c>
      <c r="I400" s="24" t="str">
        <f>VLOOKUP(G400,[1]ACHATS!$C:$E,3,0)</f>
        <v>Kg</v>
      </c>
      <c r="J400" s="24" t="str">
        <f>VLOOKUP(G400,[1]ACHATS!$C:$D,2,0)</f>
        <v>ENGRAIS DE FOND</v>
      </c>
      <c r="K400" s="33">
        <v>200</v>
      </c>
      <c r="L400" s="33">
        <f>VLOOKUP(E400,[1]PARCELLAIRE!$D$2:$F$29,3,0)</f>
        <v>1.26</v>
      </c>
      <c r="M400" s="33">
        <f t="shared" si="18"/>
        <v>252</v>
      </c>
      <c r="N400" s="34">
        <f t="array" ref="N400">INDEX('[1]COUT MOYEN - STOCK'!$G$2:$G$120,MATCH(A400,IF('[1]COUT MOYEN - STOCK'!$B$2:$B$120=G400,'[1]COUT MOYEN - STOCK'!$A$2:$A$120,""),0))</f>
        <v>0.51646005747126444</v>
      </c>
      <c r="O400" s="41">
        <f t="shared" si="19"/>
        <v>130.14793448275864</v>
      </c>
      <c r="P400" s="36">
        <f t="shared" si="20"/>
        <v>1</v>
      </c>
      <c r="Q400" s="37" t="s">
        <v>14</v>
      </c>
    </row>
    <row r="401" spans="1:17">
      <c r="A401" s="29">
        <v>2014</v>
      </c>
      <c r="B401" s="29" t="s">
        <v>165</v>
      </c>
      <c r="C401" s="30" t="s">
        <v>4</v>
      </c>
      <c r="D401" s="24" t="str">
        <f t="array" ref="D401">INDEX([1]PARCELLAIRE!$C$2:$C$85,MATCH(A401,IF([1]PARCELLAIRE!$D$2:$D$85=E401,[1]PARCELLAIRE!$A$2:$A$85,""),0))</f>
        <v>ISIDOR</v>
      </c>
      <c r="E401" s="47" t="s">
        <v>20</v>
      </c>
      <c r="F401" s="31">
        <v>41515</v>
      </c>
      <c r="G401" s="38" t="s">
        <v>99</v>
      </c>
      <c r="H401" s="32" t="s">
        <v>14</v>
      </c>
      <c r="I401" s="24" t="str">
        <f>VLOOKUP(G401,[1]ACHATS!$C:$E,3,0)</f>
        <v>Kg</v>
      </c>
      <c r="J401" s="24" t="str">
        <f>VLOOKUP(G401,[1]ACHATS!$C:$D,2,0)</f>
        <v>ENGRAIS DE FOND</v>
      </c>
      <c r="K401" s="33">
        <v>200</v>
      </c>
      <c r="L401" s="33">
        <v>1.2</v>
      </c>
      <c r="M401" s="33">
        <f t="shared" si="18"/>
        <v>240</v>
      </c>
      <c r="N401" s="34">
        <f t="array" ref="N401">INDEX('[1]COUT MOYEN - STOCK'!$G$2:$G$120,MATCH(A401,IF('[1]COUT MOYEN - STOCK'!$B$2:$B$120=G401,'[1]COUT MOYEN - STOCK'!$A$2:$A$120,""),0))</f>
        <v>0.51646005747126444</v>
      </c>
      <c r="O401" s="41">
        <f t="shared" si="19"/>
        <v>123.95041379310346</v>
      </c>
      <c r="P401" s="36">
        <f t="shared" si="20"/>
        <v>1</v>
      </c>
      <c r="Q401" s="37" t="s">
        <v>14</v>
      </c>
    </row>
    <row r="402" spans="1:17">
      <c r="A402" s="29">
        <v>2014</v>
      </c>
      <c r="B402" s="29" t="s">
        <v>165</v>
      </c>
      <c r="C402" s="30" t="s">
        <v>98</v>
      </c>
      <c r="D402" s="24" t="str">
        <f t="array" ref="D402">INDEX([1]PARCELLAIRE!$C$2:$C$85,MATCH(A402,IF([1]PARCELLAIRE!$D$2:$D$85=E402,[1]PARCELLAIRE!$A$2:$A$85,""),0))</f>
        <v>ZEBRA - OISELLERIE</v>
      </c>
      <c r="E402" s="46" t="s">
        <v>28</v>
      </c>
      <c r="F402" s="31">
        <v>41515</v>
      </c>
      <c r="G402" s="38" t="s">
        <v>48</v>
      </c>
      <c r="H402" s="32" t="s">
        <v>14</v>
      </c>
      <c r="I402" s="24" t="str">
        <f>VLOOKUP(G402,[1]ACHATS!$C:$E,3,0)</f>
        <v>Kg</v>
      </c>
      <c r="J402" s="24" t="str">
        <f>VLOOKUP(G402,[1]ACHATS!$C:$D,2,0)</f>
        <v>ENGRAIS DE FOND</v>
      </c>
      <c r="K402" s="33">
        <v>269</v>
      </c>
      <c r="L402" s="33">
        <f>VLOOKUP(E402,[1]PARCELLAIRE!$D$2:$F$29,3,0)</f>
        <v>11.9</v>
      </c>
      <c r="M402" s="33">
        <f t="shared" si="18"/>
        <v>3201.1</v>
      </c>
      <c r="N402" s="34">
        <f t="array" ref="N402">INDEX('[1]COUT MOYEN - STOCK'!$G$2:$G$120,MATCH(A402,IF('[1]COUT MOYEN - STOCK'!$B$2:$B$120=G402,'[1]COUT MOYEN - STOCK'!$A$2:$A$120,""),0))</f>
        <v>0.36909602752580545</v>
      </c>
      <c r="O402" s="41">
        <f t="shared" si="19"/>
        <v>1181.5132937128558</v>
      </c>
      <c r="P402" s="36">
        <f t="shared" si="20"/>
        <v>1</v>
      </c>
      <c r="Q402" s="37" t="s">
        <v>14</v>
      </c>
    </row>
    <row r="403" spans="1:17">
      <c r="A403" s="29">
        <v>2013</v>
      </c>
      <c r="B403" s="29" t="s">
        <v>165</v>
      </c>
      <c r="C403" s="30" t="s">
        <v>39</v>
      </c>
      <c r="D403" s="24" t="str">
        <f t="array" ref="D403">INDEX([1]PARCELLAIRE!$C$2:$C$85,MATCH(A403,IF([1]PARCELLAIRE!$D$2:$D$85=E403,[1]PARCELLAIRE!$A$2:$A$85,""),0))</f>
        <v>LG5474</v>
      </c>
      <c r="E403" s="46" t="s">
        <v>33</v>
      </c>
      <c r="F403" s="31">
        <v>41543</v>
      </c>
      <c r="G403" s="38" t="s">
        <v>102</v>
      </c>
      <c r="H403" s="32" t="s">
        <v>14</v>
      </c>
      <c r="I403" s="24" t="str">
        <f>VLOOKUP(G403,[1]ACHATS!$C:$E,3,0)</f>
        <v>Qx</v>
      </c>
      <c r="J403" s="24" t="str">
        <f>VLOOKUP(G403,[1]ACHATS!$C:$D,2,0)</f>
        <v>RÉCOLTE</v>
      </c>
      <c r="K403" s="42">
        <v>21.13</v>
      </c>
      <c r="L403" s="42">
        <f>VLOOKUP(E403,[1]PARCELLAIRE!$D$2:$F$29,3,0)</f>
        <v>21.88</v>
      </c>
      <c r="M403" s="42">
        <f t="shared" si="18"/>
        <v>462.32439999999997</v>
      </c>
      <c r="N403" s="34">
        <f t="array" ref="N403">INDEX('[1]COUT MOYEN - STOCK'!$G$2:$G$120,MATCH(A403,IF('[1]COUT MOYEN - STOCK'!$B$2:$B$120=G403,'[1]COUT MOYEN - STOCK'!$A$2:$A$120,""),0))</f>
        <v>1</v>
      </c>
      <c r="O403" s="45">
        <f t="shared" si="19"/>
        <v>462.32439999999997</v>
      </c>
      <c r="P403" s="36" t="str">
        <f t="shared" si="20"/>
        <v>Moulin Barthes</v>
      </c>
      <c r="Q403" s="37" t="s">
        <v>14</v>
      </c>
    </row>
    <row r="404" spans="1:17">
      <c r="A404" s="30">
        <v>2014</v>
      </c>
      <c r="B404" s="30" t="s">
        <v>165</v>
      </c>
      <c r="C404" s="30" t="s">
        <v>96</v>
      </c>
      <c r="D404" s="24" t="str">
        <f t="array" ref="D404">INDEX([1]PARCELLAIRE!$C$2:$C$85,MATCH(A404,IF([1]PARCELLAIRE!$D$2:$D$85=E404,[1]PARCELLAIRE!$A$2:$A$85,""),0))</f>
        <v>MONSANTO</v>
      </c>
      <c r="E404" s="48" t="s">
        <v>29</v>
      </c>
      <c r="F404" s="49">
        <v>41543</v>
      </c>
      <c r="G404" s="50" t="s">
        <v>44</v>
      </c>
      <c r="H404" s="32" t="s">
        <v>14</v>
      </c>
      <c r="I404" s="24" t="str">
        <f>VLOOKUP(G404,[1]ACHATS!$C:$E,3,0)</f>
        <v>L</v>
      </c>
      <c r="J404" s="24" t="str">
        <f>VLOOKUP(G404,[1]ACHATS!$C:$D,2,0)</f>
        <v>DESHERBANT</v>
      </c>
      <c r="K404" s="42">
        <v>1.5</v>
      </c>
      <c r="L404" s="42">
        <f>VLOOKUP(E404,[1]PARCELLAIRE!$D$2:$F$29,3,0)</f>
        <v>17.55</v>
      </c>
      <c r="M404" s="42">
        <f t="shared" si="18"/>
        <v>26.325000000000003</v>
      </c>
      <c r="N404" s="34">
        <f t="array" ref="N404">INDEX('[1]COUT MOYEN - STOCK'!$G$2:$G$120,MATCH(A404,IF('[1]COUT MOYEN - STOCK'!$B$2:$B$120=G404,'[1]COUT MOYEN - STOCK'!$A$2:$A$120,""),0))</f>
        <v>5.7</v>
      </c>
      <c r="O404" s="51">
        <f t="shared" si="19"/>
        <v>150.05250000000001</v>
      </c>
      <c r="P404" s="52">
        <f t="shared" si="20"/>
        <v>1</v>
      </c>
      <c r="Q404" s="37" t="s">
        <v>14</v>
      </c>
    </row>
    <row r="405" spans="1:17">
      <c r="A405" s="30">
        <v>2014</v>
      </c>
      <c r="B405" s="30" t="s">
        <v>165</v>
      </c>
      <c r="C405" s="30" t="s">
        <v>96</v>
      </c>
      <c r="D405" s="24" t="str">
        <f t="array" ref="D405">INDEX([1]PARCELLAIRE!$C$2:$C$85,MATCH(A405,IF([1]PARCELLAIRE!$D$2:$D$85=E405,[1]PARCELLAIRE!$A$2:$A$85,""),0))</f>
        <v>MONSANTO</v>
      </c>
      <c r="E405" s="48" t="s">
        <v>29</v>
      </c>
      <c r="F405" s="49">
        <v>41543</v>
      </c>
      <c r="G405" s="50" t="s">
        <v>45</v>
      </c>
      <c r="H405" s="32" t="s">
        <v>14</v>
      </c>
      <c r="I405" s="24" t="str">
        <f>VLOOKUP(G405,[1]ACHATS!$C:$E,3,0)</f>
        <v>L</v>
      </c>
      <c r="J405" s="24" t="str">
        <f>VLOOKUP(G405,[1]ACHATS!$C:$D,2,0)</f>
        <v>DIVERS</v>
      </c>
      <c r="K405" s="42">
        <v>0.2</v>
      </c>
      <c r="L405" s="42">
        <f>VLOOKUP(E405,[1]PARCELLAIRE!$D$2:$F$29,3,0)</f>
        <v>17.55</v>
      </c>
      <c r="M405" s="42">
        <f t="shared" si="18"/>
        <v>3.5100000000000002</v>
      </c>
      <c r="N405" s="34">
        <f t="array" ref="N405">INDEX('[1]COUT MOYEN - STOCK'!$G$2:$G$120,MATCH(A405,IF('[1]COUT MOYEN - STOCK'!$B$2:$B$120=G405,'[1]COUT MOYEN - STOCK'!$A$2:$A$120,""),0))</f>
        <v>10.849625</v>
      </c>
      <c r="O405" s="51">
        <f t="shared" si="19"/>
        <v>38.082183749999999</v>
      </c>
      <c r="P405" s="52">
        <f t="shared" si="20"/>
        <v>1</v>
      </c>
      <c r="Q405" s="37" t="s">
        <v>14</v>
      </c>
    </row>
    <row r="406" spans="1:17">
      <c r="A406" s="29">
        <v>2013</v>
      </c>
      <c r="B406" s="29" t="s">
        <v>165</v>
      </c>
      <c r="C406" s="30" t="s">
        <v>39</v>
      </c>
      <c r="D406" s="24" t="str">
        <f t="array" ref="D406">INDEX([1]PARCELLAIRE!$C$2:$C$85,MATCH(A406,IF([1]PARCELLAIRE!$D$2:$D$85=E406,[1]PARCELLAIRE!$A$2:$A$85,""),0))</f>
        <v>LG5474</v>
      </c>
      <c r="E406" s="46" t="s">
        <v>16</v>
      </c>
      <c r="F406" s="31">
        <v>41548</v>
      </c>
      <c r="G406" s="38" t="s">
        <v>102</v>
      </c>
      <c r="H406" s="32" t="s">
        <v>14</v>
      </c>
      <c r="I406" s="24" t="str">
        <f>VLOOKUP(G406,[1]ACHATS!$C:$E,3,0)</f>
        <v>Qx</v>
      </c>
      <c r="J406" s="24" t="str">
        <f>VLOOKUP(G406,[1]ACHATS!$C:$D,2,0)</f>
        <v>RÉCOLTE</v>
      </c>
      <c r="K406" s="42">
        <v>17.899999999999999</v>
      </c>
      <c r="L406" s="42">
        <f>VLOOKUP(E406,[1]PARCELLAIRE!$D$2:$F$29,3,0)</f>
        <v>5.17</v>
      </c>
      <c r="M406" s="42">
        <f t="shared" si="18"/>
        <v>92.542999999999992</v>
      </c>
      <c r="N406" s="34">
        <f t="array" ref="N406">INDEX('[1]COUT MOYEN - STOCK'!$G$2:$G$120,MATCH(A406,IF('[1]COUT MOYEN - STOCK'!$B$2:$B$120=G406,'[1]COUT MOYEN - STOCK'!$A$2:$A$120,""),0))</f>
        <v>1</v>
      </c>
      <c r="O406" s="45">
        <f t="shared" si="19"/>
        <v>92.542999999999992</v>
      </c>
      <c r="P406" s="36" t="str">
        <f t="shared" si="20"/>
        <v>Andres</v>
      </c>
      <c r="Q406" s="37" t="s">
        <v>14</v>
      </c>
    </row>
    <row r="407" spans="1:17">
      <c r="A407" s="29">
        <v>2013</v>
      </c>
      <c r="B407" s="29" t="s">
        <v>165</v>
      </c>
      <c r="C407" s="30" t="s">
        <v>39</v>
      </c>
      <c r="D407" s="24" t="str">
        <f t="array" ref="D407">INDEX([1]PARCELLAIRE!$C$2:$C$85,MATCH(A407,IF([1]PARCELLAIRE!$D$2:$D$85=E407,[1]PARCELLAIRE!$A$2:$A$85,""),0))</f>
        <v>LG5474</v>
      </c>
      <c r="E407" s="46" t="s">
        <v>34</v>
      </c>
      <c r="F407" s="31">
        <v>41549</v>
      </c>
      <c r="G407" s="38" t="s">
        <v>102</v>
      </c>
      <c r="H407" s="32" t="s">
        <v>14</v>
      </c>
      <c r="I407" s="24" t="str">
        <f>VLOOKUP(G407,[1]ACHATS!$C:$E,3,0)</f>
        <v>Qx</v>
      </c>
      <c r="J407" s="24" t="str">
        <f>VLOOKUP(G407,[1]ACHATS!$C:$D,2,0)</f>
        <v>RÉCOLTE</v>
      </c>
      <c r="K407" s="42">
        <v>17.899999999999999</v>
      </c>
      <c r="L407" s="42">
        <f>VLOOKUP(E407,[1]PARCELLAIRE!$D$2:$F$29,3,0)</f>
        <v>5.67</v>
      </c>
      <c r="M407" s="42">
        <f t="shared" si="18"/>
        <v>101.49299999999999</v>
      </c>
      <c r="N407" s="34">
        <f t="array" ref="N407">INDEX('[1]COUT MOYEN - STOCK'!$G$2:$G$120,MATCH(A407,IF('[1]COUT MOYEN - STOCK'!$B$2:$B$120=G407,'[1]COUT MOYEN - STOCK'!$A$2:$A$120,""),0))</f>
        <v>1</v>
      </c>
      <c r="O407" s="45">
        <f t="shared" si="19"/>
        <v>101.49299999999999</v>
      </c>
      <c r="P407" s="36" t="str">
        <f t="shared" si="20"/>
        <v>Moulin Côteau</v>
      </c>
      <c r="Q407" s="37" t="s">
        <v>14</v>
      </c>
    </row>
    <row r="408" spans="1:17">
      <c r="A408" s="29">
        <v>2013</v>
      </c>
      <c r="B408" s="29" t="s">
        <v>165</v>
      </c>
      <c r="C408" s="30" t="s">
        <v>39</v>
      </c>
      <c r="D408" s="24" t="str">
        <f t="array" ref="D408">INDEX([1]PARCELLAIRE!$C$2:$C$85,MATCH(A408,IF([1]PARCELLAIRE!$D$2:$D$85=E408,[1]PARCELLAIRE!$A$2:$A$85,""),0))</f>
        <v>SY SAMIN</v>
      </c>
      <c r="E408" s="46" t="s">
        <v>18</v>
      </c>
      <c r="F408" s="31">
        <v>41556</v>
      </c>
      <c r="G408" s="38" t="s">
        <v>102</v>
      </c>
      <c r="H408" s="32" t="s">
        <v>14</v>
      </c>
      <c r="I408" s="24" t="str">
        <f>VLOOKUP(G408,[1]ACHATS!$C:$E,3,0)</f>
        <v>Qx</v>
      </c>
      <c r="J408" s="24" t="str">
        <f>VLOOKUP(G408,[1]ACHATS!$C:$D,2,0)</f>
        <v>RÉCOLTE</v>
      </c>
      <c r="K408" s="42">
        <v>18.940000000000001</v>
      </c>
      <c r="L408" s="42">
        <f>VLOOKUP(E408,[1]PARCELLAIRE!$D$2:$F$29,3,0)</f>
        <v>2.33</v>
      </c>
      <c r="M408" s="42">
        <f t="shared" si="18"/>
        <v>44.130200000000002</v>
      </c>
      <c r="N408" s="34">
        <f t="array" ref="N408">INDEX('[1]COUT MOYEN - STOCK'!$G$2:$G$120,MATCH(A408,IF('[1]COUT MOYEN - STOCK'!$B$2:$B$120=G408,'[1]COUT MOYEN - STOCK'!$A$2:$A$120,""),0))</f>
        <v>1</v>
      </c>
      <c r="O408" s="45">
        <f t="shared" si="19"/>
        <v>44.130200000000002</v>
      </c>
      <c r="P408" s="36" t="str">
        <f t="shared" si="20"/>
        <v>Bousquet Pourtanel</v>
      </c>
      <c r="Q408" s="37" t="s">
        <v>14</v>
      </c>
    </row>
    <row r="409" spans="1:17">
      <c r="A409" s="29">
        <v>2013</v>
      </c>
      <c r="B409" s="29" t="s">
        <v>165</v>
      </c>
      <c r="C409" s="30" t="s">
        <v>39</v>
      </c>
      <c r="D409" s="24" t="str">
        <f t="array" ref="D409">INDEX([1]PARCELLAIRE!$C$2:$C$85,MATCH(A409,IF([1]PARCELLAIRE!$D$2:$D$85=E409,[1]PARCELLAIRE!$A$2:$A$85,""),0))</f>
        <v>SY SAMIN</v>
      </c>
      <c r="E409" s="46" t="s">
        <v>37</v>
      </c>
      <c r="F409" s="31">
        <v>41556</v>
      </c>
      <c r="G409" s="38" t="s">
        <v>102</v>
      </c>
      <c r="H409" s="32" t="s">
        <v>14</v>
      </c>
      <c r="I409" s="24" t="str">
        <f>VLOOKUP(G409,[1]ACHATS!$C:$E,3,0)</f>
        <v>Qx</v>
      </c>
      <c r="J409" s="24" t="str">
        <f>VLOOKUP(G409,[1]ACHATS!$C:$D,2,0)</f>
        <v>RÉCOLTE</v>
      </c>
      <c r="K409" s="42">
        <v>18.940000000000001</v>
      </c>
      <c r="L409" s="42">
        <f>VLOOKUP(E409,[1]PARCELLAIRE!$D$2:$F$29,3,0)</f>
        <v>12.06</v>
      </c>
      <c r="M409" s="42">
        <f t="shared" si="18"/>
        <v>228.41640000000004</v>
      </c>
      <c r="N409" s="34">
        <f t="array" ref="N409">INDEX('[1]COUT MOYEN - STOCK'!$G$2:$G$120,MATCH(A409,IF('[1]COUT MOYEN - STOCK'!$B$2:$B$120=G409,'[1]COUT MOYEN - STOCK'!$A$2:$A$120,""),0))</f>
        <v>1</v>
      </c>
      <c r="O409" s="45">
        <f t="shared" si="19"/>
        <v>228.41640000000004</v>
      </c>
      <c r="P409" s="36" t="str">
        <f t="shared" si="20"/>
        <v>Pourtanel</v>
      </c>
      <c r="Q409" s="37" t="s">
        <v>14</v>
      </c>
    </row>
    <row r="410" spans="1:17">
      <c r="A410" s="29">
        <v>2013</v>
      </c>
      <c r="B410" s="29" t="s">
        <v>165</v>
      </c>
      <c r="C410" s="30" t="s">
        <v>39</v>
      </c>
      <c r="D410" s="24" t="str">
        <f t="array" ref="D410">INDEX([1]PARCELLAIRE!$C$2:$C$85,MATCH(A410,IF([1]PARCELLAIRE!$D$2:$D$85=E410,[1]PARCELLAIRE!$A$2:$A$85,""),0))</f>
        <v>SY SAMIN</v>
      </c>
      <c r="E410" s="46" t="s">
        <v>35</v>
      </c>
      <c r="F410" s="31">
        <v>41556</v>
      </c>
      <c r="G410" s="38" t="s">
        <v>102</v>
      </c>
      <c r="H410" s="32" t="s">
        <v>14</v>
      </c>
      <c r="I410" s="24" t="str">
        <f>VLOOKUP(G410,[1]ACHATS!$C:$E,3,0)</f>
        <v>Qx</v>
      </c>
      <c r="J410" s="24" t="str">
        <f>VLOOKUP(G410,[1]ACHATS!$C:$D,2,0)</f>
        <v>RÉCOLTE</v>
      </c>
      <c r="K410" s="42">
        <v>18.940000000000001</v>
      </c>
      <c r="L410" s="42">
        <f>VLOOKUP(E410,[1]PARCELLAIRE!$D$2:$F$29,3,0)</f>
        <v>4.12</v>
      </c>
      <c r="M410" s="42">
        <f t="shared" si="18"/>
        <v>78.032800000000009</v>
      </c>
      <c r="N410" s="34">
        <f t="array" ref="N410">INDEX('[1]COUT MOYEN - STOCK'!$G$2:$G$120,MATCH(A410,IF('[1]COUT MOYEN - STOCK'!$B$2:$B$120=G410,'[1]COUT MOYEN - STOCK'!$A$2:$A$120,""),0))</f>
        <v>1</v>
      </c>
      <c r="O410" s="45">
        <f t="shared" si="19"/>
        <v>78.032800000000009</v>
      </c>
      <c r="P410" s="36" t="str">
        <f t="shared" si="20"/>
        <v>Picotalène Midi</v>
      </c>
      <c r="Q410" s="37" t="s">
        <v>14</v>
      </c>
    </row>
    <row r="411" spans="1:17">
      <c r="A411" s="29">
        <v>2013</v>
      </c>
      <c r="B411" s="29" t="s">
        <v>165</v>
      </c>
      <c r="C411" s="30" t="s">
        <v>39</v>
      </c>
      <c r="D411" s="24" t="str">
        <f t="array" ref="D411">INDEX([1]PARCELLAIRE!$C$2:$C$85,MATCH(A411,IF([1]PARCELLAIRE!$D$2:$D$85=E411,[1]PARCELLAIRE!$A$2:$A$85,""),0))</f>
        <v>SY SAMIN</v>
      </c>
      <c r="E411" s="46" t="s">
        <v>36</v>
      </c>
      <c r="F411" s="31">
        <v>41556</v>
      </c>
      <c r="G411" s="38" t="s">
        <v>102</v>
      </c>
      <c r="H411" s="32" t="s">
        <v>14</v>
      </c>
      <c r="I411" s="24" t="str">
        <f>VLOOKUP(G411,[1]ACHATS!$C:$E,3,0)</f>
        <v>Qx</v>
      </c>
      <c r="J411" s="24" t="str">
        <f>VLOOKUP(G411,[1]ACHATS!$C:$D,2,0)</f>
        <v>RÉCOLTE</v>
      </c>
      <c r="K411" s="42">
        <v>18.940000000000001</v>
      </c>
      <c r="L411" s="42">
        <f>VLOOKUP(E411,[1]PARCELLAIRE!$D$2:$F$29,3,0)</f>
        <v>4.42</v>
      </c>
      <c r="M411" s="42">
        <f t="shared" si="18"/>
        <v>83.714800000000011</v>
      </c>
      <c r="N411" s="34">
        <f t="array" ref="N411">INDEX('[1]COUT MOYEN - STOCK'!$G$2:$G$120,MATCH(A411,IF('[1]COUT MOYEN - STOCK'!$B$2:$B$120=G411,'[1]COUT MOYEN - STOCK'!$A$2:$A$120,""),0))</f>
        <v>1</v>
      </c>
      <c r="O411" s="45">
        <f t="shared" si="19"/>
        <v>83.714800000000011</v>
      </c>
      <c r="P411" s="36" t="str">
        <f t="shared" si="20"/>
        <v>Picotalène Nord</v>
      </c>
      <c r="Q411" s="37" t="s">
        <v>14</v>
      </c>
    </row>
    <row r="412" spans="1:17">
      <c r="A412" s="29">
        <v>2013</v>
      </c>
      <c r="B412" s="29" t="s">
        <v>165</v>
      </c>
      <c r="C412" s="30" t="s">
        <v>4</v>
      </c>
      <c r="D412" s="24" t="str">
        <f t="array" ref="D412">INDEX([1]PARCELLAIRE!$C$2:$C$85,MATCH(A412,IF([1]PARCELLAIRE!$D$2:$D$85=E412,[1]PARCELLAIRE!$A$2:$A$85,""),0))</f>
        <v>ISIDOR</v>
      </c>
      <c r="E412" s="46" t="s">
        <v>22</v>
      </c>
      <c r="F412" s="31">
        <v>41556</v>
      </c>
      <c r="G412" s="38" t="s">
        <v>103</v>
      </c>
      <c r="H412" s="32" t="s">
        <v>14</v>
      </c>
      <c r="I412" s="24" t="str">
        <f>VLOOKUP(G412,[1]ACHATS!$C:$E,3,0)</f>
        <v>Qx</v>
      </c>
      <c r="J412" s="24" t="str">
        <f>VLOOKUP(G412,[1]ACHATS!$C:$D,2,0)</f>
        <v>RÉCOLTE</v>
      </c>
      <c r="K412" s="33">
        <v>27.34</v>
      </c>
      <c r="L412" s="33">
        <f>VLOOKUP(E412,[1]PARCELLAIRE!$D$2:$F$29,3,0)</f>
        <v>8.58</v>
      </c>
      <c r="M412" s="33">
        <f t="shared" si="18"/>
        <v>234.5772</v>
      </c>
      <c r="N412" s="34">
        <f t="array" ref="N412">INDEX('[1]COUT MOYEN - STOCK'!$G$2:$G$120,MATCH(A412,IF('[1]COUT MOYEN - STOCK'!$B$2:$B$120=G412,'[1]COUT MOYEN - STOCK'!$A$2:$A$120,""),0))</f>
        <v>1</v>
      </c>
      <c r="O412" s="45">
        <f t="shared" si="19"/>
        <v>234.5772</v>
      </c>
      <c r="P412" s="36" t="str">
        <f t="shared" si="20"/>
        <v>Engleyse Route</v>
      </c>
      <c r="Q412" s="37" t="s">
        <v>14</v>
      </c>
    </row>
    <row r="413" spans="1:17">
      <c r="A413" s="29">
        <v>2014</v>
      </c>
      <c r="B413" s="29" t="s">
        <v>165</v>
      </c>
      <c r="C413" s="30" t="s">
        <v>47</v>
      </c>
      <c r="D413" s="24" t="str">
        <f t="array" ref="D413">INDEX([1]PARCELLAIRE!$C$2:$C$85,MATCH(A413,IF([1]PARCELLAIRE!$D$2:$D$85=E413,[1]PARCELLAIRE!$A$2:$A$85,""),0))</f>
        <v>SCULPTUR</v>
      </c>
      <c r="E413" s="46" t="s">
        <v>35</v>
      </c>
      <c r="F413" s="31">
        <v>41561</v>
      </c>
      <c r="G413" s="38" t="s">
        <v>99</v>
      </c>
      <c r="H413" s="32" t="s">
        <v>14</v>
      </c>
      <c r="I413" s="24" t="str">
        <f>VLOOKUP(G413,[1]ACHATS!$C:$E,3,0)</f>
        <v>Kg</v>
      </c>
      <c r="J413" s="24" t="str">
        <f>VLOOKUP(G413,[1]ACHATS!$C:$D,2,0)</f>
        <v>ENGRAIS DE FOND</v>
      </c>
      <c r="K413" s="33">
        <v>220</v>
      </c>
      <c r="L413" s="33">
        <f>VLOOKUP(E413,[1]PARCELLAIRE!$D$2:$F$29,3,0)</f>
        <v>4.12</v>
      </c>
      <c r="M413" s="33">
        <f t="shared" si="18"/>
        <v>906.4</v>
      </c>
      <c r="N413" s="34">
        <f t="array" ref="N413">INDEX('[1]COUT MOYEN - STOCK'!$G$2:$G$120,MATCH(A413,IF('[1]COUT MOYEN - STOCK'!$B$2:$B$120=G413,'[1]COUT MOYEN - STOCK'!$A$2:$A$120,""),0))</f>
        <v>0.51646005747126444</v>
      </c>
      <c r="O413" s="41">
        <f t="shared" si="19"/>
        <v>468.11939609195406</v>
      </c>
      <c r="P413" s="36">
        <f t="shared" si="20"/>
        <v>1</v>
      </c>
      <c r="Q413" s="37" t="s">
        <v>14</v>
      </c>
    </row>
    <row r="414" spans="1:17">
      <c r="A414" s="29">
        <v>2014</v>
      </c>
      <c r="B414" s="29" t="s">
        <v>165</v>
      </c>
      <c r="C414" s="30" t="s">
        <v>47</v>
      </c>
      <c r="D414" s="24" t="str">
        <f t="array" ref="D414">INDEX([1]PARCELLAIRE!$C$2:$C$85,MATCH(A414,IF([1]PARCELLAIRE!$D$2:$D$85=E414,[1]PARCELLAIRE!$A$2:$A$85,""),0))</f>
        <v>SCULPTUR</v>
      </c>
      <c r="E414" s="46" t="s">
        <v>36</v>
      </c>
      <c r="F414" s="31">
        <v>41561</v>
      </c>
      <c r="G414" s="38" t="s">
        <v>99</v>
      </c>
      <c r="H414" s="32" t="s">
        <v>14</v>
      </c>
      <c r="I414" s="24" t="str">
        <f>VLOOKUP(G414,[1]ACHATS!$C:$E,3,0)</f>
        <v>Kg</v>
      </c>
      <c r="J414" s="24" t="str">
        <f>VLOOKUP(G414,[1]ACHATS!$C:$D,2,0)</f>
        <v>ENGRAIS DE FOND</v>
      </c>
      <c r="K414" s="33">
        <v>220</v>
      </c>
      <c r="L414" s="33">
        <f>VLOOKUP(E414,[1]PARCELLAIRE!$D$2:$F$29,3,0)</f>
        <v>4.42</v>
      </c>
      <c r="M414" s="33">
        <f t="shared" si="18"/>
        <v>972.4</v>
      </c>
      <c r="N414" s="34">
        <f t="array" ref="N414">INDEX('[1]COUT MOYEN - STOCK'!$G$2:$G$120,MATCH(A414,IF('[1]COUT MOYEN - STOCK'!$B$2:$B$120=G414,'[1]COUT MOYEN - STOCK'!$A$2:$A$120,""),0))</f>
        <v>0.51646005747126444</v>
      </c>
      <c r="O414" s="41">
        <f t="shared" si="19"/>
        <v>502.20575988505755</v>
      </c>
      <c r="P414" s="36">
        <f t="shared" si="20"/>
        <v>1</v>
      </c>
      <c r="Q414" s="37" t="s">
        <v>14</v>
      </c>
    </row>
    <row r="415" spans="1:17">
      <c r="A415" s="29">
        <v>2014</v>
      </c>
      <c r="B415" s="29" t="s">
        <v>165</v>
      </c>
      <c r="C415" s="30" t="s">
        <v>47</v>
      </c>
      <c r="D415" s="24" t="str">
        <f t="array" ref="D415">INDEX([1]PARCELLAIRE!$C$2:$C$85,MATCH(A415,IF([1]PARCELLAIRE!$D$2:$D$85=E415,[1]PARCELLAIRE!$A$2:$A$85,""),0))</f>
        <v>SCULPTUR</v>
      </c>
      <c r="E415" s="46" t="s">
        <v>37</v>
      </c>
      <c r="F415" s="31">
        <v>41561</v>
      </c>
      <c r="G415" s="38" t="s">
        <v>99</v>
      </c>
      <c r="H415" s="32" t="s">
        <v>14</v>
      </c>
      <c r="I415" s="24" t="str">
        <f>VLOOKUP(G415,[1]ACHATS!$C:$E,3,0)</f>
        <v>Kg</v>
      </c>
      <c r="J415" s="24" t="str">
        <f>VLOOKUP(G415,[1]ACHATS!$C:$D,2,0)</f>
        <v>ENGRAIS DE FOND</v>
      </c>
      <c r="K415" s="33">
        <v>220</v>
      </c>
      <c r="L415" s="33">
        <f>VLOOKUP(E415,[1]PARCELLAIRE!$D$2:$F$29,3,0)</f>
        <v>12.06</v>
      </c>
      <c r="M415" s="33">
        <f t="shared" si="18"/>
        <v>2653.2000000000003</v>
      </c>
      <c r="N415" s="34">
        <f t="array" ref="N415">INDEX('[1]COUT MOYEN - STOCK'!$G$2:$G$120,MATCH(A415,IF('[1]COUT MOYEN - STOCK'!$B$2:$B$120=G415,'[1]COUT MOYEN - STOCK'!$A$2:$A$120,""),0))</f>
        <v>0.51646005747126444</v>
      </c>
      <c r="O415" s="41">
        <f t="shared" si="19"/>
        <v>1370.271824482759</v>
      </c>
      <c r="P415" s="36">
        <f t="shared" si="20"/>
        <v>1</v>
      </c>
      <c r="Q415" s="37" t="s">
        <v>14</v>
      </c>
    </row>
    <row r="416" spans="1:17">
      <c r="A416" s="29">
        <v>2014</v>
      </c>
      <c r="B416" s="29" t="s">
        <v>165</v>
      </c>
      <c r="C416" s="30" t="s">
        <v>47</v>
      </c>
      <c r="D416" s="24" t="str">
        <f t="array" ref="D416">INDEX([1]PARCELLAIRE!$C$2:$C$85,MATCH(A416,IF([1]PARCELLAIRE!$D$2:$D$85=E416,[1]PARCELLAIRE!$A$2:$A$85,""),0))</f>
        <v>MIRADOUX / FLORIDOU</v>
      </c>
      <c r="E416" s="46" t="s">
        <v>33</v>
      </c>
      <c r="F416" s="31">
        <v>41561</v>
      </c>
      <c r="G416" s="38" t="s">
        <v>99</v>
      </c>
      <c r="H416" s="32" t="s">
        <v>14</v>
      </c>
      <c r="I416" s="24" t="str">
        <f>VLOOKUP(G416,[1]ACHATS!$C:$E,3,0)</f>
        <v>Kg</v>
      </c>
      <c r="J416" s="24" t="str">
        <f>VLOOKUP(G416,[1]ACHATS!$C:$D,2,0)</f>
        <v>ENGRAIS DE FOND</v>
      </c>
      <c r="K416" s="33">
        <v>225</v>
      </c>
      <c r="L416" s="33">
        <f>VLOOKUP(E416,[1]PARCELLAIRE!$D$2:$F$29,3,0)</f>
        <v>21.88</v>
      </c>
      <c r="M416" s="33">
        <f t="shared" si="18"/>
        <v>4923</v>
      </c>
      <c r="N416" s="34">
        <f t="array" ref="N416">INDEX('[1]COUT MOYEN - STOCK'!$G$2:$G$120,MATCH(A416,IF('[1]COUT MOYEN - STOCK'!$B$2:$B$120=G416,'[1]COUT MOYEN - STOCK'!$A$2:$A$120,""),0))</f>
        <v>0.51646005747126444</v>
      </c>
      <c r="O416" s="41">
        <f t="shared" si="19"/>
        <v>2542.5328629310347</v>
      </c>
      <c r="P416" s="36">
        <f t="shared" si="20"/>
        <v>1</v>
      </c>
      <c r="Q416" s="37" t="s">
        <v>14</v>
      </c>
    </row>
    <row r="417" spans="1:17">
      <c r="A417" s="29">
        <v>2014</v>
      </c>
      <c r="B417" s="29" t="s">
        <v>165</v>
      </c>
      <c r="C417" s="30" t="s">
        <v>43</v>
      </c>
      <c r="D417" s="24" t="str">
        <f t="array" ref="D417">INDEX([1]PARCELLAIRE!$C$2:$C$85,MATCH(A417,IF([1]PARCELLAIRE!$D$2:$D$85=E417,[1]PARCELLAIRE!$A$2:$A$85,""),0))</f>
        <v>ASCOTT</v>
      </c>
      <c r="E417" s="46" t="s">
        <v>22</v>
      </c>
      <c r="F417" s="31">
        <v>41561</v>
      </c>
      <c r="G417" s="38" t="s">
        <v>99</v>
      </c>
      <c r="H417" s="32" t="s">
        <v>14</v>
      </c>
      <c r="I417" s="24" t="str">
        <f>VLOOKUP(G417,[1]ACHATS!$C:$E,3,0)</f>
        <v>Kg</v>
      </c>
      <c r="J417" s="24" t="str">
        <f>VLOOKUP(G417,[1]ACHATS!$C:$D,2,0)</f>
        <v>ENGRAIS DE FOND</v>
      </c>
      <c r="K417" s="33">
        <v>225</v>
      </c>
      <c r="L417" s="33">
        <f>VLOOKUP(E417,[1]PARCELLAIRE!$D$2:$F$29,3,0)</f>
        <v>8.58</v>
      </c>
      <c r="M417" s="33">
        <f t="shared" si="18"/>
        <v>1930.5</v>
      </c>
      <c r="N417" s="34">
        <f t="array" ref="N417">INDEX('[1]COUT MOYEN - STOCK'!$G$2:$G$120,MATCH(A417,IF('[1]COUT MOYEN - STOCK'!$B$2:$B$120=G417,'[1]COUT MOYEN - STOCK'!$A$2:$A$120,""),0))</f>
        <v>0.51646005747126444</v>
      </c>
      <c r="O417" s="41">
        <f t="shared" si="19"/>
        <v>997.02614094827607</v>
      </c>
      <c r="P417" s="36">
        <f t="shared" si="20"/>
        <v>1</v>
      </c>
      <c r="Q417" s="37" t="s">
        <v>14</v>
      </c>
    </row>
    <row r="418" spans="1:17">
      <c r="A418" s="30">
        <v>2014</v>
      </c>
      <c r="B418" s="30" t="s">
        <v>165</v>
      </c>
      <c r="C418" s="30" t="s">
        <v>43</v>
      </c>
      <c r="D418" s="24" t="str">
        <f t="array" ref="D418">INDEX([1]PARCELLAIRE!$C$2:$C$85,MATCH(A418,IF([1]PARCELLAIRE!$D$2:$D$85=E418,[1]PARCELLAIRE!$A$2:$A$85,""),0))</f>
        <v>SOLEIHO</v>
      </c>
      <c r="E418" s="48" t="s">
        <v>18</v>
      </c>
      <c r="F418" s="49">
        <v>41562</v>
      </c>
      <c r="G418" s="50" t="s">
        <v>99</v>
      </c>
      <c r="H418" s="32" t="s">
        <v>14</v>
      </c>
      <c r="I418" s="24" t="str">
        <f>VLOOKUP(G418,[1]ACHATS!$C:$E,3,0)</f>
        <v>Kg</v>
      </c>
      <c r="J418" s="24" t="str">
        <f>VLOOKUP(G418,[1]ACHATS!$C:$D,2,0)</f>
        <v>ENGRAIS DE FOND</v>
      </c>
      <c r="K418" s="33">
        <v>220</v>
      </c>
      <c r="L418" s="42">
        <f>VLOOKUP(E418,[1]PARCELLAIRE!$D$2:$F$29,3,0)</f>
        <v>2.33</v>
      </c>
      <c r="M418" s="42">
        <f t="shared" si="18"/>
        <v>512.6</v>
      </c>
      <c r="N418" s="34">
        <f t="array" ref="N418">INDEX('[1]COUT MOYEN - STOCK'!$G$2:$G$120,MATCH(A418,IF('[1]COUT MOYEN - STOCK'!$B$2:$B$120=G418,'[1]COUT MOYEN - STOCK'!$A$2:$A$120,""),0))</f>
        <v>0.51646005747126444</v>
      </c>
      <c r="O418" s="51">
        <f t="shared" si="19"/>
        <v>264.73742545977018</v>
      </c>
      <c r="P418" s="52">
        <f t="shared" si="20"/>
        <v>1</v>
      </c>
      <c r="Q418" s="37" t="s">
        <v>14</v>
      </c>
    </row>
    <row r="419" spans="1:17">
      <c r="A419" s="30">
        <v>2014</v>
      </c>
      <c r="B419" s="30" t="s">
        <v>165</v>
      </c>
      <c r="C419" s="30" t="s">
        <v>47</v>
      </c>
      <c r="D419" s="24" t="str">
        <f t="array" ref="D419">INDEX([1]PARCELLAIRE!$C$2:$C$85,MATCH(A419,IF([1]PARCELLAIRE!$D$2:$D$85=E419,[1]PARCELLAIRE!$A$2:$A$85,""),0))</f>
        <v>PESCADOUX</v>
      </c>
      <c r="E419" s="48" t="s">
        <v>16</v>
      </c>
      <c r="F419" s="49">
        <v>41562</v>
      </c>
      <c r="G419" s="50" t="s">
        <v>99</v>
      </c>
      <c r="H419" s="32" t="s">
        <v>14</v>
      </c>
      <c r="I419" s="24" t="str">
        <f>VLOOKUP(G419,[1]ACHATS!$C:$E,3,0)</f>
        <v>Kg</v>
      </c>
      <c r="J419" s="24" t="str">
        <f>VLOOKUP(G419,[1]ACHATS!$C:$D,2,0)</f>
        <v>ENGRAIS DE FOND</v>
      </c>
      <c r="K419" s="33">
        <v>225</v>
      </c>
      <c r="L419" s="42">
        <f>VLOOKUP(E419,[1]PARCELLAIRE!$D$2:$F$29,3,0)</f>
        <v>5.17</v>
      </c>
      <c r="M419" s="42">
        <f t="shared" si="18"/>
        <v>1163.25</v>
      </c>
      <c r="N419" s="34">
        <f t="array" ref="N419">INDEX('[1]COUT MOYEN - STOCK'!$G$2:$G$120,MATCH(A419,IF('[1]COUT MOYEN - STOCK'!$B$2:$B$120=G419,'[1]COUT MOYEN - STOCK'!$A$2:$A$120,""),0))</f>
        <v>0.51646005747126444</v>
      </c>
      <c r="O419" s="51">
        <f t="shared" si="19"/>
        <v>600.77216185344832</v>
      </c>
      <c r="P419" s="52">
        <f t="shared" si="20"/>
        <v>1</v>
      </c>
      <c r="Q419" s="37" t="s">
        <v>14</v>
      </c>
    </row>
    <row r="420" spans="1:17">
      <c r="A420" s="30">
        <v>2014</v>
      </c>
      <c r="B420" s="30" t="s">
        <v>165</v>
      </c>
      <c r="C420" s="30" t="s">
        <v>47</v>
      </c>
      <c r="D420" s="24" t="str">
        <f t="array" ref="D420">INDEX([1]PARCELLAIRE!$C$2:$C$85,MATCH(A420,IF([1]PARCELLAIRE!$D$2:$D$85=E420,[1]PARCELLAIRE!$A$2:$A$85,""),0))</f>
        <v>PESCADOUX</v>
      </c>
      <c r="E420" s="48" t="s">
        <v>34</v>
      </c>
      <c r="F420" s="49">
        <v>41562</v>
      </c>
      <c r="G420" s="50" t="s">
        <v>99</v>
      </c>
      <c r="H420" s="32" t="s">
        <v>14</v>
      </c>
      <c r="I420" s="24" t="str">
        <f>VLOOKUP(G420,[1]ACHATS!$C:$E,3,0)</f>
        <v>Kg</v>
      </c>
      <c r="J420" s="24" t="str">
        <f>VLOOKUP(G420,[1]ACHATS!$C:$D,2,0)</f>
        <v>ENGRAIS DE FOND</v>
      </c>
      <c r="K420" s="33">
        <v>225</v>
      </c>
      <c r="L420" s="42">
        <f>VLOOKUP(E420,[1]PARCELLAIRE!$D$2:$F$29,3,0)</f>
        <v>5.67</v>
      </c>
      <c r="M420" s="42">
        <f t="shared" si="18"/>
        <v>1275.75</v>
      </c>
      <c r="N420" s="34">
        <f t="array" ref="N420">INDEX('[1]COUT MOYEN - STOCK'!$G$2:$G$120,MATCH(A420,IF('[1]COUT MOYEN - STOCK'!$B$2:$B$120=G420,'[1]COUT MOYEN - STOCK'!$A$2:$A$120,""),0))</f>
        <v>0.51646005747126444</v>
      </c>
      <c r="O420" s="51">
        <f t="shared" si="19"/>
        <v>658.87391831896559</v>
      </c>
      <c r="P420" s="52">
        <f t="shared" si="20"/>
        <v>1</v>
      </c>
      <c r="Q420" s="37" t="s">
        <v>14</v>
      </c>
    </row>
    <row r="421" spans="1:17">
      <c r="A421" s="30">
        <v>2013</v>
      </c>
      <c r="B421" s="30" t="s">
        <v>165</v>
      </c>
      <c r="C421" s="30" t="s">
        <v>39</v>
      </c>
      <c r="D421" s="24" t="str">
        <f t="array" ref="D421">INDEX([1]PARCELLAIRE!$C$2:$C$85,MATCH(A421,IF([1]PARCELLAIRE!$D$2:$D$85=E421,[1]PARCELLAIRE!$A$2:$A$85,""),0))</f>
        <v>MAS 95 OL</v>
      </c>
      <c r="E421" s="48" t="s">
        <v>26</v>
      </c>
      <c r="F421" s="49">
        <v>41568</v>
      </c>
      <c r="G421" s="50" t="s">
        <v>102</v>
      </c>
      <c r="H421" s="32" t="s">
        <v>14</v>
      </c>
      <c r="I421" s="24" t="str">
        <f>VLOOKUP(G421,[1]ACHATS!$C:$E,3,0)</f>
        <v>Qx</v>
      </c>
      <c r="J421" s="24" t="str">
        <f>VLOOKUP(G421,[1]ACHATS!$C:$D,2,0)</f>
        <v>RÉCOLTE</v>
      </c>
      <c r="K421" s="42">
        <v>15.52</v>
      </c>
      <c r="L421" s="42">
        <f>VLOOKUP(E421,[1]PARCELLAIRE!$D$2:$F$29,3,0)</f>
        <v>5.26</v>
      </c>
      <c r="M421" s="42">
        <f t="shared" si="18"/>
        <v>81.635199999999998</v>
      </c>
      <c r="N421" s="34">
        <f t="array" ref="N421">INDEX('[1]COUT MOYEN - STOCK'!$G$2:$G$120,MATCH(A421,IF('[1]COUT MOYEN - STOCK'!$B$2:$B$120=G421,'[1]COUT MOYEN - STOCK'!$A$2:$A$120,""),0))</f>
        <v>1</v>
      </c>
      <c r="O421" s="45">
        <f t="shared" si="19"/>
        <v>81.635199999999998</v>
      </c>
      <c r="P421" s="52" t="str">
        <f t="shared" si="20"/>
        <v>L'Aule métairie</v>
      </c>
      <c r="Q421" s="37" t="s">
        <v>14</v>
      </c>
    </row>
    <row r="422" spans="1:17">
      <c r="A422" s="30">
        <v>2013</v>
      </c>
      <c r="B422" s="30" t="s">
        <v>165</v>
      </c>
      <c r="C422" s="30" t="s">
        <v>39</v>
      </c>
      <c r="D422" s="24" t="str">
        <f t="array" ref="D422">INDEX([1]PARCELLAIRE!$C$2:$C$85,MATCH(A422,IF([1]PARCELLAIRE!$D$2:$D$85=E422,[1]PARCELLAIRE!$A$2:$A$85,""),0))</f>
        <v>MAS 95 OL</v>
      </c>
      <c r="E422" s="48" t="s">
        <v>27</v>
      </c>
      <c r="F422" s="49">
        <v>41568</v>
      </c>
      <c r="G422" s="50" t="s">
        <v>102</v>
      </c>
      <c r="H422" s="32" t="s">
        <v>14</v>
      </c>
      <c r="I422" s="24" t="str">
        <f>VLOOKUP(G422,[1]ACHATS!$C:$E,3,0)</f>
        <v>Qx</v>
      </c>
      <c r="J422" s="24" t="str">
        <f>VLOOKUP(G422,[1]ACHATS!$C:$D,2,0)</f>
        <v>RÉCOLTE</v>
      </c>
      <c r="K422" s="42">
        <v>15.52</v>
      </c>
      <c r="L422" s="42">
        <f>VLOOKUP(E422,[1]PARCELLAIRE!$D$2:$F$29,3,0)</f>
        <v>15.64</v>
      </c>
      <c r="M422" s="42">
        <f t="shared" si="18"/>
        <v>242.7328</v>
      </c>
      <c r="N422" s="34">
        <f t="array" ref="N422">INDEX('[1]COUT MOYEN - STOCK'!$G$2:$G$120,MATCH(A422,IF('[1]COUT MOYEN - STOCK'!$B$2:$B$120=G422,'[1]COUT MOYEN - STOCK'!$A$2:$A$120,""),0))</f>
        <v>1</v>
      </c>
      <c r="O422" s="45">
        <f t="shared" si="19"/>
        <v>242.7328</v>
      </c>
      <c r="P422" s="52" t="str">
        <f t="shared" si="20"/>
        <v>L'Aule Plaine</v>
      </c>
      <c r="Q422" s="37" t="s">
        <v>14</v>
      </c>
    </row>
    <row r="423" spans="1:17">
      <c r="A423" s="30">
        <v>2013</v>
      </c>
      <c r="B423" s="30" t="s">
        <v>165</v>
      </c>
      <c r="C423" s="30" t="s">
        <v>39</v>
      </c>
      <c r="D423" s="24" t="str">
        <f t="array" ref="D423">INDEX([1]PARCELLAIRE!$C$2:$C$85,MATCH(A423,IF([1]PARCELLAIRE!$D$2:$D$85=E423,[1]PARCELLAIRE!$A$2:$A$85,""),0))</f>
        <v>MAS 95 OL</v>
      </c>
      <c r="E423" s="48" t="s">
        <v>26</v>
      </c>
      <c r="F423" s="49">
        <v>41568</v>
      </c>
      <c r="G423" s="50" t="s">
        <v>2</v>
      </c>
      <c r="H423" s="32" t="s">
        <v>14</v>
      </c>
      <c r="I423" s="24" t="str">
        <f>VLOOKUP(G423,[1]ACHATS!$C:$E,3,0)</f>
        <v>T</v>
      </c>
      <c r="J423" s="24" t="str">
        <f>VLOOKUP(G423,[1]ACHATS!$C:$D,2,0)</f>
        <v>VENTES</v>
      </c>
      <c r="K423" s="42">
        <v>1.552</v>
      </c>
      <c r="L423" s="42">
        <f>VLOOKUP(E423,[1]PARCELLAIRE!$D$2:$F$29,3,0)</f>
        <v>5.26</v>
      </c>
      <c r="M423" s="42">
        <f t="shared" si="18"/>
        <v>8.1635200000000001</v>
      </c>
      <c r="N423" s="34">
        <f t="array" ref="N423">INDEX('[1]COUT MOYEN - STOCK'!$G$2:$G$120,MATCH(A423,IF('[1]COUT MOYEN - STOCK'!$B$2:$B$120=G423,'[1]COUT MOYEN - STOCK'!$A$2:$A$120,""),0))</f>
        <v>365.42807731434391</v>
      </c>
      <c r="O423" s="51">
        <f t="shared" si="19"/>
        <v>2983.1794177171928</v>
      </c>
      <c r="P423" s="52" t="str">
        <f t="shared" si="20"/>
        <v>L'Aule métairie</v>
      </c>
      <c r="Q423" s="37" t="s">
        <v>14</v>
      </c>
    </row>
    <row r="424" spans="1:17">
      <c r="A424" s="30">
        <v>2013</v>
      </c>
      <c r="B424" s="30" t="s">
        <v>165</v>
      </c>
      <c r="C424" s="30" t="s">
        <v>39</v>
      </c>
      <c r="D424" s="24" t="str">
        <f t="array" ref="D424">INDEX([1]PARCELLAIRE!$C$2:$C$85,MATCH(A424,IF([1]PARCELLAIRE!$D$2:$D$85=E424,[1]PARCELLAIRE!$A$2:$A$85,""),0))</f>
        <v>MAS 95 OL</v>
      </c>
      <c r="E424" s="48" t="s">
        <v>27</v>
      </c>
      <c r="F424" s="49">
        <v>41568</v>
      </c>
      <c r="G424" s="50" t="s">
        <v>2</v>
      </c>
      <c r="H424" s="32" t="s">
        <v>14</v>
      </c>
      <c r="I424" s="24" t="str">
        <f>VLOOKUP(G424,[1]ACHATS!$C:$E,3,0)</f>
        <v>T</v>
      </c>
      <c r="J424" s="24" t="str">
        <f>VLOOKUP(G424,[1]ACHATS!$C:$D,2,0)</f>
        <v>VENTES</v>
      </c>
      <c r="K424" s="42">
        <v>1.552</v>
      </c>
      <c r="L424" s="42">
        <f>VLOOKUP(E424,[1]PARCELLAIRE!$D$2:$F$29,3,0)</f>
        <v>15.64</v>
      </c>
      <c r="M424" s="42">
        <f t="shared" si="18"/>
        <v>24.273280000000003</v>
      </c>
      <c r="N424" s="34">
        <f t="array" ref="N424">INDEX('[1]COUT MOYEN - STOCK'!$G$2:$G$120,MATCH(A424,IF('[1]COUT MOYEN - STOCK'!$B$2:$B$120=G424,'[1]COUT MOYEN - STOCK'!$A$2:$A$120,""),0))</f>
        <v>365.42807731434391</v>
      </c>
      <c r="O424" s="51">
        <f t="shared" si="19"/>
        <v>8870.1380405127184</v>
      </c>
      <c r="P424" s="52" t="str">
        <f t="shared" si="20"/>
        <v>L'Aule Plaine</v>
      </c>
      <c r="Q424" s="37" t="s">
        <v>14</v>
      </c>
    </row>
    <row r="425" spans="1:17">
      <c r="A425" s="30">
        <v>2014</v>
      </c>
      <c r="B425" s="30" t="s">
        <v>165</v>
      </c>
      <c r="C425" s="30" t="s">
        <v>43</v>
      </c>
      <c r="D425" s="24" t="str">
        <f t="array" ref="D425">INDEX([1]PARCELLAIRE!$C$2:$C$85,MATCH(A425,IF([1]PARCELLAIRE!$D$2:$D$85=E425,[1]PARCELLAIRE!$A$2:$A$85,""),0))</f>
        <v>SOLEIHO</v>
      </c>
      <c r="E425" s="48" t="s">
        <v>26</v>
      </c>
      <c r="F425" s="49">
        <v>41570</v>
      </c>
      <c r="G425" s="50" t="s">
        <v>44</v>
      </c>
      <c r="H425" s="32" t="s">
        <v>14</v>
      </c>
      <c r="I425" s="24" t="str">
        <f>VLOOKUP(G425,[1]ACHATS!$C:$E,3,0)</f>
        <v>L</v>
      </c>
      <c r="J425" s="24" t="str">
        <f>VLOOKUP(G425,[1]ACHATS!$C:$D,2,0)</f>
        <v>DESHERBANT</v>
      </c>
      <c r="K425" s="42">
        <v>3</v>
      </c>
      <c r="L425" s="42">
        <f>VLOOKUP(E425,[1]PARCELLAIRE!$D$2:$F$29,3,0)</f>
        <v>5.26</v>
      </c>
      <c r="M425" s="42">
        <f t="shared" si="18"/>
        <v>15.78</v>
      </c>
      <c r="N425" s="34">
        <f t="array" ref="N425">INDEX('[1]COUT MOYEN - STOCK'!$G$2:$G$120,MATCH(A425,IF('[1]COUT MOYEN - STOCK'!$B$2:$B$120=G425,'[1]COUT MOYEN - STOCK'!$A$2:$A$120,""),0))</f>
        <v>5.7</v>
      </c>
      <c r="O425" s="51">
        <f t="shared" si="19"/>
        <v>89.945999999999998</v>
      </c>
      <c r="P425" s="52">
        <f t="shared" si="20"/>
        <v>1</v>
      </c>
      <c r="Q425" s="37" t="s">
        <v>14</v>
      </c>
    </row>
    <row r="426" spans="1:17">
      <c r="A426" s="30">
        <v>2014</v>
      </c>
      <c r="B426" s="30" t="s">
        <v>165</v>
      </c>
      <c r="C426" s="30" t="s">
        <v>43</v>
      </c>
      <c r="D426" s="24" t="str">
        <f t="array" ref="D426">INDEX([1]PARCELLAIRE!$C$2:$C$85,MATCH(A426,IF([1]PARCELLAIRE!$D$2:$D$85=E426,[1]PARCELLAIRE!$A$2:$A$85,""),0))</f>
        <v>SOLEIHO</v>
      </c>
      <c r="E426" s="48" t="s">
        <v>26</v>
      </c>
      <c r="F426" s="49">
        <v>41570</v>
      </c>
      <c r="G426" s="50" t="s">
        <v>45</v>
      </c>
      <c r="H426" s="32" t="s">
        <v>14</v>
      </c>
      <c r="I426" s="24" t="str">
        <f>VLOOKUP(G426,[1]ACHATS!$C:$E,3,0)</f>
        <v>L</v>
      </c>
      <c r="J426" s="24" t="str">
        <f>VLOOKUP(G426,[1]ACHATS!$C:$D,2,0)</f>
        <v>DIVERS</v>
      </c>
      <c r="K426" s="42">
        <v>0.2</v>
      </c>
      <c r="L426" s="42">
        <f>VLOOKUP(E426,[1]PARCELLAIRE!$D$2:$F$29,3,0)</f>
        <v>5.26</v>
      </c>
      <c r="M426" s="42">
        <f t="shared" si="18"/>
        <v>1.052</v>
      </c>
      <c r="N426" s="34">
        <f t="array" ref="N426">INDEX('[1]COUT MOYEN - STOCK'!$G$2:$G$120,MATCH(A426,IF('[1]COUT MOYEN - STOCK'!$B$2:$B$120=G426,'[1]COUT MOYEN - STOCK'!$A$2:$A$120,""),0))</f>
        <v>10.849625</v>
      </c>
      <c r="O426" s="51">
        <f t="shared" si="19"/>
        <v>11.4138055</v>
      </c>
      <c r="P426" s="52">
        <f t="shared" si="20"/>
        <v>1</v>
      </c>
      <c r="Q426" s="37" t="s">
        <v>14</v>
      </c>
    </row>
    <row r="427" spans="1:17">
      <c r="A427" s="30">
        <v>2014</v>
      </c>
      <c r="B427" s="30" t="s">
        <v>165</v>
      </c>
      <c r="C427" s="30" t="s">
        <v>43</v>
      </c>
      <c r="D427" s="24" t="str">
        <f t="array" ref="D427">INDEX([1]PARCELLAIRE!$C$2:$C$85,MATCH(A427,IF([1]PARCELLAIRE!$D$2:$D$85=E427,[1]PARCELLAIRE!$A$2:$A$85,""),0))</f>
        <v>SOLEIHO</v>
      </c>
      <c r="E427" s="48" t="s">
        <v>27</v>
      </c>
      <c r="F427" s="49">
        <v>41570</v>
      </c>
      <c r="G427" s="50" t="s">
        <v>44</v>
      </c>
      <c r="H427" s="32" t="s">
        <v>14</v>
      </c>
      <c r="I427" s="24" t="str">
        <f>VLOOKUP(G427,[1]ACHATS!$C:$E,3,0)</f>
        <v>L</v>
      </c>
      <c r="J427" s="24" t="str">
        <f>VLOOKUP(G427,[1]ACHATS!$C:$D,2,0)</f>
        <v>DESHERBANT</v>
      </c>
      <c r="K427" s="42">
        <v>2</v>
      </c>
      <c r="L427" s="42">
        <f>VLOOKUP(E427,[1]PARCELLAIRE!$D$2:$F$29,3,0)</f>
        <v>15.64</v>
      </c>
      <c r="M427" s="42">
        <f t="shared" si="18"/>
        <v>31.28</v>
      </c>
      <c r="N427" s="34">
        <f t="array" ref="N427">INDEX('[1]COUT MOYEN - STOCK'!$G$2:$G$120,MATCH(A427,IF('[1]COUT MOYEN - STOCK'!$B$2:$B$120=G427,'[1]COUT MOYEN - STOCK'!$A$2:$A$120,""),0))</f>
        <v>5.7</v>
      </c>
      <c r="O427" s="51">
        <f t="shared" si="19"/>
        <v>178.29600000000002</v>
      </c>
      <c r="P427" s="52">
        <f t="shared" si="20"/>
        <v>1</v>
      </c>
      <c r="Q427" s="37" t="s">
        <v>14</v>
      </c>
    </row>
    <row r="428" spans="1:17">
      <c r="A428" s="30">
        <v>2014</v>
      </c>
      <c r="B428" s="30" t="s">
        <v>165</v>
      </c>
      <c r="C428" s="30" t="s">
        <v>43</v>
      </c>
      <c r="D428" s="24" t="str">
        <f t="array" ref="D428">INDEX([1]PARCELLAIRE!$C$2:$C$85,MATCH(A428,IF([1]PARCELLAIRE!$D$2:$D$85=E428,[1]PARCELLAIRE!$A$2:$A$85,""),0))</f>
        <v>SOLEIHO</v>
      </c>
      <c r="E428" s="48" t="s">
        <v>27</v>
      </c>
      <c r="F428" s="49">
        <v>41570</v>
      </c>
      <c r="G428" s="50" t="s">
        <v>45</v>
      </c>
      <c r="H428" s="32" t="s">
        <v>14</v>
      </c>
      <c r="I428" s="24" t="str">
        <f>VLOOKUP(G428,[1]ACHATS!$C:$E,3,0)</f>
        <v>L</v>
      </c>
      <c r="J428" s="24" t="str">
        <f>VLOOKUP(G428,[1]ACHATS!$C:$D,2,0)</f>
        <v>DIVERS</v>
      </c>
      <c r="K428" s="42">
        <v>0.2</v>
      </c>
      <c r="L428" s="42">
        <f>VLOOKUP(E428,[1]PARCELLAIRE!$D$2:$F$29,3,0)</f>
        <v>15.64</v>
      </c>
      <c r="M428" s="42">
        <f t="shared" si="18"/>
        <v>3.1280000000000001</v>
      </c>
      <c r="N428" s="34">
        <f t="array" ref="N428">INDEX('[1]COUT MOYEN - STOCK'!$G$2:$G$120,MATCH(A428,IF('[1]COUT MOYEN - STOCK'!$B$2:$B$120=G428,'[1]COUT MOYEN - STOCK'!$A$2:$A$120,""),0))</f>
        <v>10.849625</v>
      </c>
      <c r="O428" s="51">
        <f t="shared" si="19"/>
        <v>33.937626999999999</v>
      </c>
      <c r="P428" s="52">
        <f t="shared" si="20"/>
        <v>1</v>
      </c>
      <c r="Q428" s="37" t="s">
        <v>14</v>
      </c>
    </row>
    <row r="429" spans="1:17">
      <c r="A429" s="30">
        <v>2014</v>
      </c>
      <c r="B429" s="30" t="s">
        <v>165</v>
      </c>
      <c r="C429" s="30" t="s">
        <v>47</v>
      </c>
      <c r="D429" s="24" t="str">
        <f t="array" ref="D429">INDEX([1]PARCELLAIRE!$C$2:$C$85,MATCH(A429,IF([1]PARCELLAIRE!$D$2:$D$85=E429,[1]PARCELLAIRE!$A$2:$A$85,""),0))</f>
        <v>MIRADOUX / FLORIDOU</v>
      </c>
      <c r="E429" s="48" t="s">
        <v>33</v>
      </c>
      <c r="F429" s="49">
        <v>41570</v>
      </c>
      <c r="G429" s="50" t="s">
        <v>44</v>
      </c>
      <c r="H429" s="32" t="s">
        <v>14</v>
      </c>
      <c r="I429" s="24" t="str">
        <f>VLOOKUP(G429,[1]ACHATS!$C:$E,3,0)</f>
        <v>L</v>
      </c>
      <c r="J429" s="24" t="str">
        <f>VLOOKUP(G429,[1]ACHATS!$C:$D,2,0)</f>
        <v>DESHERBANT</v>
      </c>
      <c r="K429" s="42">
        <v>2</v>
      </c>
      <c r="L429" s="42">
        <f>VLOOKUP(E429,[1]PARCELLAIRE!$D$2:$F$29,3,0)</f>
        <v>21.88</v>
      </c>
      <c r="M429" s="42">
        <f t="shared" si="18"/>
        <v>43.76</v>
      </c>
      <c r="N429" s="34">
        <f t="array" ref="N429">INDEX('[1]COUT MOYEN - STOCK'!$G$2:$G$120,MATCH(A429,IF('[1]COUT MOYEN - STOCK'!$B$2:$B$120=G429,'[1]COUT MOYEN - STOCK'!$A$2:$A$120,""),0))</f>
        <v>5.7</v>
      </c>
      <c r="O429" s="51">
        <f t="shared" si="19"/>
        <v>249.43199999999999</v>
      </c>
      <c r="P429" s="52">
        <f t="shared" si="20"/>
        <v>1</v>
      </c>
      <c r="Q429" s="37" t="s">
        <v>14</v>
      </c>
    </row>
    <row r="430" spans="1:17">
      <c r="A430" s="30">
        <v>2014</v>
      </c>
      <c r="B430" s="30" t="s">
        <v>165</v>
      </c>
      <c r="C430" s="30" t="s">
        <v>47</v>
      </c>
      <c r="D430" s="24" t="str">
        <f t="array" ref="D430">INDEX([1]PARCELLAIRE!$C$2:$C$85,MATCH(A430,IF([1]PARCELLAIRE!$D$2:$D$85=E430,[1]PARCELLAIRE!$A$2:$A$85,""),0))</f>
        <v>MIRADOUX / FLORIDOU</v>
      </c>
      <c r="E430" s="48" t="s">
        <v>33</v>
      </c>
      <c r="F430" s="49">
        <v>41570</v>
      </c>
      <c r="G430" s="50" t="s">
        <v>45</v>
      </c>
      <c r="H430" s="32" t="s">
        <v>14</v>
      </c>
      <c r="I430" s="24" t="str">
        <f>VLOOKUP(G430,[1]ACHATS!$C:$E,3,0)</f>
        <v>L</v>
      </c>
      <c r="J430" s="24" t="str">
        <f>VLOOKUP(G430,[1]ACHATS!$C:$D,2,0)</f>
        <v>DIVERS</v>
      </c>
      <c r="K430" s="42">
        <v>0.2</v>
      </c>
      <c r="L430" s="42">
        <f>VLOOKUP(E430,[1]PARCELLAIRE!$D$2:$F$29,3,0)</f>
        <v>21.88</v>
      </c>
      <c r="M430" s="42">
        <f t="shared" si="18"/>
        <v>4.3760000000000003</v>
      </c>
      <c r="N430" s="34">
        <f t="array" ref="N430">INDEX('[1]COUT MOYEN - STOCK'!$G$2:$G$120,MATCH(A430,IF('[1]COUT MOYEN - STOCK'!$B$2:$B$120=G430,'[1]COUT MOYEN - STOCK'!$A$2:$A$120,""),0))</f>
        <v>10.849625</v>
      </c>
      <c r="O430" s="51">
        <f t="shared" si="19"/>
        <v>47.477958999999998</v>
      </c>
      <c r="P430" s="52">
        <f t="shared" si="20"/>
        <v>1</v>
      </c>
      <c r="Q430" s="37" t="s">
        <v>14</v>
      </c>
    </row>
    <row r="431" spans="1:17">
      <c r="A431" s="30">
        <v>2013</v>
      </c>
      <c r="B431" s="30" t="s">
        <v>165</v>
      </c>
      <c r="C431" s="30" t="s">
        <v>41</v>
      </c>
      <c r="D431" s="24" t="str">
        <f t="array" ref="D431">INDEX([1]PARCELLAIRE!$C$2:$C$85,MATCH(A431,IF([1]PARCELLAIRE!$D$2:$D$85=E431,[1]PARCELLAIRE!$A$2:$A$85,""),0))</f>
        <v>ARDICO</v>
      </c>
      <c r="E431" s="48" t="s">
        <v>21</v>
      </c>
      <c r="F431" s="49">
        <v>41573</v>
      </c>
      <c r="G431" s="50" t="s">
        <v>104</v>
      </c>
      <c r="H431" s="32" t="s">
        <v>14</v>
      </c>
      <c r="I431" s="24" t="str">
        <f>VLOOKUP(G431,[1]ACHATS!$C:$E,3,0)</f>
        <v>Qx</v>
      </c>
      <c r="J431" s="24" t="str">
        <f>VLOOKUP(G431,[1]ACHATS!$C:$D,2,0)</f>
        <v>RÉCOLTE</v>
      </c>
      <c r="K431" s="42">
        <v>81.7</v>
      </c>
      <c r="L431" s="42">
        <f>VLOOKUP(E431,[1]PARCELLAIRE!$D$2:$F$29,3,0)</f>
        <v>10.93</v>
      </c>
      <c r="M431" s="42">
        <f t="shared" si="18"/>
        <v>892.98099999999999</v>
      </c>
      <c r="N431" s="34">
        <f t="array" ref="N431">INDEX('[1]COUT MOYEN - STOCK'!$G$2:$G$120,MATCH(A431,IF('[1]COUT MOYEN - STOCK'!$B$2:$B$120=G431,'[1]COUT MOYEN - STOCK'!$A$2:$A$120,""),0))</f>
        <v>1</v>
      </c>
      <c r="O431" s="45">
        <f t="shared" si="19"/>
        <v>892.98099999999999</v>
      </c>
      <c r="P431" s="52" t="str">
        <f t="shared" si="20"/>
        <v>Engleyse métairie</v>
      </c>
      <c r="Q431" s="37" t="s">
        <v>14</v>
      </c>
    </row>
    <row r="432" spans="1:17">
      <c r="A432" s="30">
        <v>2013</v>
      </c>
      <c r="B432" s="30" t="s">
        <v>165</v>
      </c>
      <c r="C432" s="30" t="s">
        <v>41</v>
      </c>
      <c r="D432" s="24" t="str">
        <f t="array" ref="D432">INDEX([1]PARCELLAIRE!$C$2:$C$85,MATCH(A432,IF([1]PARCELLAIRE!$D$2:$D$85=E432,[1]PARCELLAIRE!$A$2:$A$85,""),0))</f>
        <v>ARDICO</v>
      </c>
      <c r="E432" s="48" t="s">
        <v>21</v>
      </c>
      <c r="F432" s="49">
        <v>41573</v>
      </c>
      <c r="G432" s="50" t="s">
        <v>3</v>
      </c>
      <c r="H432" s="32" t="s">
        <v>14</v>
      </c>
      <c r="I432" s="24" t="str">
        <f>VLOOKUP(G432,[1]ACHATS!$C:$E,3,0)</f>
        <v>T</v>
      </c>
      <c r="J432" s="24" t="str">
        <f>VLOOKUP(G432,[1]ACHATS!$C:$D,2,0)</f>
        <v>VENTES</v>
      </c>
      <c r="K432" s="42">
        <v>8.14</v>
      </c>
      <c r="L432" s="42">
        <f>VLOOKUP(E432,[1]PARCELLAIRE!$D$2:$F$29,3,0)</f>
        <v>10.93</v>
      </c>
      <c r="M432" s="42">
        <f t="shared" si="18"/>
        <v>88.970200000000006</v>
      </c>
      <c r="N432" s="34">
        <f t="array" ref="N432">INDEX('[1]COUT MOYEN - STOCK'!$G$2:$G$120,MATCH(A432,IF('[1]COUT MOYEN - STOCK'!$B$2:$B$120=G432,'[1]COUT MOYEN - STOCK'!$A$2:$A$120,""),0))</f>
        <v>179.77528089887642</v>
      </c>
      <c r="O432" s="51">
        <f t="shared" si="19"/>
        <v>15994.642696629217</v>
      </c>
      <c r="P432" s="52" t="str">
        <f t="shared" si="20"/>
        <v>Engleyse métairie</v>
      </c>
      <c r="Q432" s="37" t="s">
        <v>14</v>
      </c>
    </row>
    <row r="433" spans="1:17">
      <c r="A433" s="30">
        <v>2014</v>
      </c>
      <c r="B433" s="30" t="s">
        <v>165</v>
      </c>
      <c r="C433" s="30" t="s">
        <v>47</v>
      </c>
      <c r="D433" s="24" t="str">
        <f t="array" ref="D433">INDEX([1]PARCELLAIRE!$C$2:$C$85,MATCH(A433,IF([1]PARCELLAIRE!$D$2:$D$85=E433,[1]PARCELLAIRE!$A$2:$A$85,""),0))</f>
        <v>PESCADOUX</v>
      </c>
      <c r="E433" s="48" t="s">
        <v>34</v>
      </c>
      <c r="F433" s="49">
        <v>41575</v>
      </c>
      <c r="G433" s="50" t="s">
        <v>44</v>
      </c>
      <c r="H433" s="32" t="s">
        <v>14</v>
      </c>
      <c r="I433" s="24" t="str">
        <f>VLOOKUP(G433,[1]ACHATS!$C:$E,3,0)</f>
        <v>L</v>
      </c>
      <c r="J433" s="24" t="str">
        <f>VLOOKUP(G433,[1]ACHATS!$C:$D,2,0)</f>
        <v>DESHERBANT</v>
      </c>
      <c r="K433" s="42">
        <v>2</v>
      </c>
      <c r="L433" s="42">
        <f>VLOOKUP(E433,[1]PARCELLAIRE!$D$2:$F$29,3,0)</f>
        <v>5.67</v>
      </c>
      <c r="M433" s="42">
        <f t="shared" si="18"/>
        <v>11.34</v>
      </c>
      <c r="N433" s="34">
        <f t="array" ref="N433">INDEX('[1]COUT MOYEN - STOCK'!$G$2:$G$120,MATCH(A433,IF('[1]COUT MOYEN - STOCK'!$B$2:$B$120=G433,'[1]COUT MOYEN - STOCK'!$A$2:$A$120,""),0))</f>
        <v>5.7</v>
      </c>
      <c r="O433" s="51">
        <f t="shared" si="19"/>
        <v>64.638000000000005</v>
      </c>
      <c r="P433" s="52">
        <f t="shared" si="20"/>
        <v>1</v>
      </c>
      <c r="Q433" s="37" t="s">
        <v>14</v>
      </c>
    </row>
    <row r="434" spans="1:17">
      <c r="A434" s="30">
        <v>2014</v>
      </c>
      <c r="B434" s="30" t="s">
        <v>165</v>
      </c>
      <c r="C434" s="30" t="s">
        <v>47</v>
      </c>
      <c r="D434" s="24" t="str">
        <f t="array" ref="D434">INDEX([1]PARCELLAIRE!$C$2:$C$85,MATCH(A434,IF([1]PARCELLAIRE!$D$2:$D$85=E434,[1]PARCELLAIRE!$A$2:$A$85,""),0))</f>
        <v>PESCADOUX</v>
      </c>
      <c r="E434" s="48" t="s">
        <v>34</v>
      </c>
      <c r="F434" s="49">
        <v>41575</v>
      </c>
      <c r="G434" s="50" t="s">
        <v>45</v>
      </c>
      <c r="H434" s="32" t="s">
        <v>14</v>
      </c>
      <c r="I434" s="24" t="str">
        <f>VLOOKUP(G434,[1]ACHATS!$C:$E,3,0)</f>
        <v>L</v>
      </c>
      <c r="J434" s="24" t="str">
        <f>VLOOKUP(G434,[1]ACHATS!$C:$D,2,0)</f>
        <v>DIVERS</v>
      </c>
      <c r="K434" s="42">
        <v>0.2</v>
      </c>
      <c r="L434" s="42">
        <f>VLOOKUP(E434,[1]PARCELLAIRE!$D$2:$F$29,3,0)</f>
        <v>5.67</v>
      </c>
      <c r="M434" s="42">
        <f t="shared" si="18"/>
        <v>1.1340000000000001</v>
      </c>
      <c r="N434" s="34">
        <f t="array" ref="N434">INDEX('[1]COUT MOYEN - STOCK'!$G$2:$G$120,MATCH(A434,IF('[1]COUT MOYEN - STOCK'!$B$2:$B$120=G434,'[1]COUT MOYEN - STOCK'!$A$2:$A$120,""),0))</f>
        <v>10.849625</v>
      </c>
      <c r="O434" s="51">
        <f t="shared" si="19"/>
        <v>12.303474750000001</v>
      </c>
      <c r="P434" s="52">
        <f t="shared" si="20"/>
        <v>1</v>
      </c>
      <c r="Q434" s="37" t="s">
        <v>14</v>
      </c>
    </row>
    <row r="435" spans="1:17">
      <c r="A435" s="30">
        <v>2014</v>
      </c>
      <c r="B435" s="30" t="s">
        <v>165</v>
      </c>
      <c r="C435" s="30" t="s">
        <v>47</v>
      </c>
      <c r="D435" s="24" t="str">
        <f t="array" ref="D435">INDEX([1]PARCELLAIRE!$C$2:$C$85,MATCH(A435,IF([1]PARCELLAIRE!$D$2:$D$85=E435,[1]PARCELLAIRE!$A$2:$A$85,""),0))</f>
        <v>PESCADOUX</v>
      </c>
      <c r="E435" s="48" t="s">
        <v>16</v>
      </c>
      <c r="F435" s="49">
        <v>41575</v>
      </c>
      <c r="G435" s="50" t="s">
        <v>44</v>
      </c>
      <c r="H435" s="32" t="s">
        <v>14</v>
      </c>
      <c r="I435" s="24" t="str">
        <f>VLOOKUP(G435,[1]ACHATS!$C:$E,3,0)</f>
        <v>L</v>
      </c>
      <c r="J435" s="24" t="str">
        <f>VLOOKUP(G435,[1]ACHATS!$C:$D,2,0)</f>
        <v>DESHERBANT</v>
      </c>
      <c r="K435" s="42">
        <v>2</v>
      </c>
      <c r="L435" s="42">
        <f>VLOOKUP(E435,[1]PARCELLAIRE!$D$2:$F$29,3,0)</f>
        <v>5.17</v>
      </c>
      <c r="M435" s="42">
        <f t="shared" si="18"/>
        <v>10.34</v>
      </c>
      <c r="N435" s="34">
        <f t="array" ref="N435">INDEX('[1]COUT MOYEN - STOCK'!$G$2:$G$120,MATCH(A435,IF('[1]COUT MOYEN - STOCK'!$B$2:$B$120=G435,'[1]COUT MOYEN - STOCK'!$A$2:$A$120,""),0))</f>
        <v>5.7</v>
      </c>
      <c r="O435" s="51">
        <f t="shared" si="19"/>
        <v>58.938000000000002</v>
      </c>
      <c r="P435" s="52">
        <f t="shared" si="20"/>
        <v>1</v>
      </c>
      <c r="Q435" s="37" t="s">
        <v>14</v>
      </c>
    </row>
    <row r="436" spans="1:17">
      <c r="A436" s="30">
        <v>2014</v>
      </c>
      <c r="B436" s="30" t="s">
        <v>165</v>
      </c>
      <c r="C436" s="30" t="s">
        <v>47</v>
      </c>
      <c r="D436" s="24" t="str">
        <f t="array" ref="D436">INDEX([1]PARCELLAIRE!$C$2:$C$85,MATCH(A436,IF([1]PARCELLAIRE!$D$2:$D$85=E436,[1]PARCELLAIRE!$A$2:$A$85,""),0))</f>
        <v>PESCADOUX</v>
      </c>
      <c r="E436" s="48" t="s">
        <v>16</v>
      </c>
      <c r="F436" s="49">
        <v>41575</v>
      </c>
      <c r="G436" s="50" t="s">
        <v>45</v>
      </c>
      <c r="H436" s="32" t="s">
        <v>14</v>
      </c>
      <c r="I436" s="24" t="str">
        <f>VLOOKUP(G436,[1]ACHATS!$C:$E,3,0)</f>
        <v>L</v>
      </c>
      <c r="J436" s="24" t="str">
        <f>VLOOKUP(G436,[1]ACHATS!$C:$D,2,0)</f>
        <v>DIVERS</v>
      </c>
      <c r="K436" s="42">
        <v>0.2</v>
      </c>
      <c r="L436" s="42">
        <f>VLOOKUP(E436,[1]PARCELLAIRE!$D$2:$F$29,3,0)</f>
        <v>5.17</v>
      </c>
      <c r="M436" s="42">
        <f t="shared" si="18"/>
        <v>1.034</v>
      </c>
      <c r="N436" s="34">
        <f t="array" ref="N436">INDEX('[1]COUT MOYEN - STOCK'!$G$2:$G$120,MATCH(A436,IF('[1]COUT MOYEN - STOCK'!$B$2:$B$120=G436,'[1]COUT MOYEN - STOCK'!$A$2:$A$120,""),0))</f>
        <v>10.849625</v>
      </c>
      <c r="O436" s="51">
        <f t="shared" si="19"/>
        <v>11.21851225</v>
      </c>
      <c r="P436" s="52">
        <f t="shared" si="20"/>
        <v>1</v>
      </c>
      <c r="Q436" s="37" t="s">
        <v>14</v>
      </c>
    </row>
    <row r="437" spans="1:17">
      <c r="A437" s="30">
        <v>2014</v>
      </c>
      <c r="B437" s="30" t="s">
        <v>165</v>
      </c>
      <c r="C437" s="30" t="s">
        <v>43</v>
      </c>
      <c r="D437" s="24" t="str">
        <f t="array" ref="D437">INDEX([1]PARCELLAIRE!$C$2:$C$85,MATCH(A437,IF([1]PARCELLAIRE!$D$2:$D$85=E437,[1]PARCELLAIRE!$A$2:$A$85,""),0))</f>
        <v>SOLEIHO</v>
      </c>
      <c r="E437" s="48" t="s">
        <v>26</v>
      </c>
      <c r="F437" s="49">
        <v>41575</v>
      </c>
      <c r="G437" s="50" t="s">
        <v>99</v>
      </c>
      <c r="H437" s="32" t="s">
        <v>14</v>
      </c>
      <c r="I437" s="24" t="str">
        <f>VLOOKUP(G437,[1]ACHATS!$C:$E,3,0)</f>
        <v>Kg</v>
      </c>
      <c r="J437" s="24" t="str">
        <f>VLOOKUP(G437,[1]ACHATS!$C:$D,2,0)</f>
        <v>ENGRAIS DE FOND</v>
      </c>
      <c r="K437" s="42">
        <v>240</v>
      </c>
      <c r="L437" s="42">
        <f>VLOOKUP(E437,[1]PARCELLAIRE!$D$2:$F$29,3,0)</f>
        <v>5.26</v>
      </c>
      <c r="M437" s="42">
        <f t="shared" si="18"/>
        <v>1262.3999999999999</v>
      </c>
      <c r="N437" s="34">
        <f t="array" ref="N437">INDEX('[1]COUT MOYEN - STOCK'!$G$2:$G$120,MATCH(A437,IF('[1]COUT MOYEN - STOCK'!$B$2:$B$120=G437,'[1]COUT MOYEN - STOCK'!$A$2:$A$120,""),0))</f>
        <v>0.51646005747126444</v>
      </c>
      <c r="O437" s="51">
        <f t="shared" si="19"/>
        <v>651.97917655172421</v>
      </c>
      <c r="P437" s="52">
        <f t="shared" si="20"/>
        <v>1</v>
      </c>
      <c r="Q437" s="37" t="s">
        <v>14</v>
      </c>
    </row>
    <row r="438" spans="1:17">
      <c r="A438" s="30">
        <v>2014</v>
      </c>
      <c r="B438" s="30" t="s">
        <v>165</v>
      </c>
      <c r="C438" s="30" t="s">
        <v>43</v>
      </c>
      <c r="D438" s="24" t="str">
        <f t="array" ref="D438">INDEX([1]PARCELLAIRE!$C$2:$C$85,MATCH(A438,IF([1]PARCELLAIRE!$D$2:$D$85=E438,[1]PARCELLAIRE!$A$2:$A$85,""),0))</f>
        <v>SOLEIHO</v>
      </c>
      <c r="E438" s="48" t="s">
        <v>27</v>
      </c>
      <c r="F438" s="49">
        <v>41575</v>
      </c>
      <c r="G438" s="50" t="s">
        <v>99</v>
      </c>
      <c r="H438" s="32" t="s">
        <v>14</v>
      </c>
      <c r="I438" s="24" t="str">
        <f>VLOOKUP(G438,[1]ACHATS!$C:$E,3,0)</f>
        <v>Kg</v>
      </c>
      <c r="J438" s="24" t="str">
        <f>VLOOKUP(G438,[1]ACHATS!$C:$D,2,0)</f>
        <v>ENGRAIS DE FOND</v>
      </c>
      <c r="K438" s="42">
        <v>240</v>
      </c>
      <c r="L438" s="42">
        <f>VLOOKUP(E438,[1]PARCELLAIRE!$D$2:$F$29,3,0)</f>
        <v>15.64</v>
      </c>
      <c r="M438" s="42">
        <f t="shared" si="18"/>
        <v>3753.6000000000004</v>
      </c>
      <c r="N438" s="34">
        <f t="array" ref="N438">INDEX('[1]COUT MOYEN - STOCK'!$G$2:$G$120,MATCH(A438,IF('[1]COUT MOYEN - STOCK'!$B$2:$B$120=G438,'[1]COUT MOYEN - STOCK'!$A$2:$A$120,""),0))</f>
        <v>0.51646005747126444</v>
      </c>
      <c r="O438" s="51">
        <f t="shared" si="19"/>
        <v>1938.5844717241384</v>
      </c>
      <c r="P438" s="52">
        <f t="shared" si="20"/>
        <v>1</v>
      </c>
      <c r="Q438" s="37" t="s">
        <v>14</v>
      </c>
    </row>
    <row r="439" spans="1:17">
      <c r="A439" s="30">
        <v>2014</v>
      </c>
      <c r="B439" s="30" t="s">
        <v>165</v>
      </c>
      <c r="C439" s="30" t="s">
        <v>43</v>
      </c>
      <c r="D439" s="24" t="str">
        <f t="array" ref="D439">INDEX([1]PARCELLAIRE!$C$2:$C$85,MATCH(A439,IF([1]PARCELLAIRE!$D$2:$D$85=E439,[1]PARCELLAIRE!$A$2:$A$85,""),0))</f>
        <v>ASCOTT</v>
      </c>
      <c r="E439" s="48" t="s">
        <v>21</v>
      </c>
      <c r="F439" s="49">
        <v>41575</v>
      </c>
      <c r="G439" s="50" t="s">
        <v>99</v>
      </c>
      <c r="H439" s="32" t="s">
        <v>14</v>
      </c>
      <c r="I439" s="24" t="str">
        <f>VLOOKUP(G439,[1]ACHATS!$C:$E,3,0)</f>
        <v>Kg</v>
      </c>
      <c r="J439" s="24" t="str">
        <f>VLOOKUP(G439,[1]ACHATS!$C:$D,2,0)</f>
        <v>ENGRAIS DE FOND</v>
      </c>
      <c r="K439" s="42">
        <v>260</v>
      </c>
      <c r="L439" s="42">
        <f>VLOOKUP(E439,[1]PARCELLAIRE!$D$2:$F$29,3,0)</f>
        <v>10.93</v>
      </c>
      <c r="M439" s="42">
        <f t="shared" si="18"/>
        <v>2841.7999999999997</v>
      </c>
      <c r="N439" s="34">
        <f t="array" ref="N439">INDEX('[1]COUT MOYEN - STOCK'!$G$2:$G$120,MATCH(A439,IF('[1]COUT MOYEN - STOCK'!$B$2:$B$120=G439,'[1]COUT MOYEN - STOCK'!$A$2:$A$120,""),0))</f>
        <v>0.51646005747126444</v>
      </c>
      <c r="O439" s="51">
        <f t="shared" si="19"/>
        <v>1467.6761913218393</v>
      </c>
      <c r="P439" s="52">
        <f t="shared" si="20"/>
        <v>1</v>
      </c>
      <c r="Q439" s="37" t="s">
        <v>14</v>
      </c>
    </row>
    <row r="440" spans="1:17">
      <c r="A440" s="30">
        <v>2014</v>
      </c>
      <c r="B440" s="30" t="s">
        <v>165</v>
      </c>
      <c r="C440" s="30" t="s">
        <v>47</v>
      </c>
      <c r="D440" s="24" t="str">
        <f t="array" ref="D440">INDEX([1]PARCELLAIRE!$C$2:$C$85,MATCH(A440,IF([1]PARCELLAIRE!$D$2:$D$85=E440,[1]PARCELLAIRE!$A$2:$A$85,""),0))</f>
        <v>MIRADOUX / FLORIDOU</v>
      </c>
      <c r="E440" s="48" t="s">
        <v>33</v>
      </c>
      <c r="F440" s="49">
        <v>41575</v>
      </c>
      <c r="G440" s="50" t="s">
        <v>105</v>
      </c>
      <c r="H440" s="32" t="s">
        <v>14</v>
      </c>
      <c r="I440" s="24" t="str">
        <f>VLOOKUP(G440,[1]ACHATS!$C:$E,3,0)</f>
        <v>Kg</v>
      </c>
      <c r="J440" s="24" t="str">
        <f>VLOOKUP(G440,[1]ACHATS!$C:$D,2,0)</f>
        <v>SEMENCES</v>
      </c>
      <c r="K440" s="42">
        <v>160</v>
      </c>
      <c r="L440" s="42">
        <v>3.75</v>
      </c>
      <c r="M440" s="42">
        <f t="shared" si="18"/>
        <v>600</v>
      </c>
      <c r="N440" s="34">
        <f t="array" ref="N440">INDEX('[1]COUT MOYEN - STOCK'!$G$2:$G$120,MATCH(A440,IF('[1]COUT MOYEN - STOCK'!$B$2:$B$120=G440,'[1]COUT MOYEN - STOCK'!$A$2:$A$120,""),0))</f>
        <v>0.79300000000000004</v>
      </c>
      <c r="O440" s="51">
        <f t="shared" si="19"/>
        <v>475.8</v>
      </c>
      <c r="P440" s="52">
        <f t="shared" si="20"/>
        <v>1</v>
      </c>
      <c r="Q440" s="37" t="s">
        <v>143</v>
      </c>
    </row>
    <row r="441" spans="1:17">
      <c r="A441" s="30">
        <v>2014</v>
      </c>
      <c r="B441" s="30" t="s">
        <v>165</v>
      </c>
      <c r="C441" s="30" t="s">
        <v>47</v>
      </c>
      <c r="D441" s="24" t="str">
        <f t="array" ref="D441">INDEX([1]PARCELLAIRE!$C$2:$C$85,MATCH(A441,IF([1]PARCELLAIRE!$D$2:$D$85=E441,[1]PARCELLAIRE!$A$2:$A$85,""),0))</f>
        <v>MIRADOUX / FLORIDOU</v>
      </c>
      <c r="E441" s="48" t="s">
        <v>33</v>
      </c>
      <c r="F441" s="49">
        <v>41576</v>
      </c>
      <c r="G441" s="29" t="s">
        <v>53</v>
      </c>
      <c r="H441" s="32" t="s">
        <v>14</v>
      </c>
      <c r="I441" s="24" t="str">
        <f>VLOOKUP(G441,[1]ACHATS!$C:$E,3,0)</f>
        <v>Kg</v>
      </c>
      <c r="J441" s="24" t="str">
        <f>VLOOKUP(G441,[1]ACHATS!$C:$D,2,0)</f>
        <v>SEMENCES</v>
      </c>
      <c r="K441" s="42">
        <v>160</v>
      </c>
      <c r="L441" s="42">
        <f>21.88-L440</f>
        <v>18.13</v>
      </c>
      <c r="M441" s="42">
        <f t="shared" si="18"/>
        <v>2900.7999999999997</v>
      </c>
      <c r="N441" s="34">
        <f t="array" ref="N441">INDEX('[1]COUT MOYEN - STOCK'!$G$2:$G$120,MATCH(A441,IF('[1]COUT MOYEN - STOCK'!$B$2:$B$120=G441,'[1]COUT MOYEN - STOCK'!$A$2:$A$120,""),0))</f>
        <v>0.77799999999999991</v>
      </c>
      <c r="O441" s="51">
        <f t="shared" si="19"/>
        <v>2256.8223999999996</v>
      </c>
      <c r="P441" s="52">
        <f t="shared" si="20"/>
        <v>1</v>
      </c>
      <c r="Q441" s="37" t="s">
        <v>144</v>
      </c>
    </row>
    <row r="442" spans="1:17">
      <c r="A442" s="30">
        <v>2014</v>
      </c>
      <c r="B442" s="30" t="s">
        <v>165</v>
      </c>
      <c r="C442" s="30" t="s">
        <v>47</v>
      </c>
      <c r="D442" s="24" t="str">
        <f t="array" ref="D442">INDEX([1]PARCELLAIRE!$C$2:$C$85,MATCH(A442,IF([1]PARCELLAIRE!$D$2:$D$85=E442,[1]PARCELLAIRE!$A$2:$A$85,""),0))</f>
        <v>PESCADOUX</v>
      </c>
      <c r="E442" s="48" t="s">
        <v>34</v>
      </c>
      <c r="F442" s="49">
        <v>41577</v>
      </c>
      <c r="G442" s="50" t="s">
        <v>53</v>
      </c>
      <c r="H442" s="32" t="s">
        <v>14</v>
      </c>
      <c r="I442" s="24" t="str">
        <f>VLOOKUP(G442,[1]ACHATS!$C:$E,3,0)</f>
        <v>Kg</v>
      </c>
      <c r="J442" s="24" t="str">
        <f>VLOOKUP(G442,[1]ACHATS!$C:$D,2,0)</f>
        <v>SEMENCES</v>
      </c>
      <c r="K442" s="42">
        <v>160</v>
      </c>
      <c r="L442" s="42">
        <v>0.77500000000000002</v>
      </c>
      <c r="M442" s="42">
        <f t="shared" si="18"/>
        <v>124</v>
      </c>
      <c r="N442" s="34">
        <f t="array" ref="N442">INDEX('[1]COUT MOYEN - STOCK'!$G$2:$G$120,MATCH(A442,IF('[1]COUT MOYEN - STOCK'!$B$2:$B$120=G442,'[1]COUT MOYEN - STOCK'!$A$2:$A$120,""),0))</f>
        <v>0.77799999999999991</v>
      </c>
      <c r="O442" s="51">
        <f t="shared" si="19"/>
        <v>96.471999999999994</v>
      </c>
      <c r="P442" s="52">
        <f t="shared" si="20"/>
        <v>1</v>
      </c>
      <c r="Q442" s="37" t="s">
        <v>144</v>
      </c>
    </row>
    <row r="443" spans="1:17">
      <c r="A443" s="30">
        <v>2014</v>
      </c>
      <c r="B443" s="30" t="s">
        <v>165</v>
      </c>
      <c r="C443" s="30" t="s">
        <v>47</v>
      </c>
      <c r="D443" s="24" t="str">
        <f t="array" ref="D443">INDEX([1]PARCELLAIRE!$C$2:$C$85,MATCH(A443,IF([1]PARCELLAIRE!$D$2:$D$85=E443,[1]PARCELLAIRE!$A$2:$A$85,""),0))</f>
        <v>PESCADOUX</v>
      </c>
      <c r="E443" s="48" t="s">
        <v>34</v>
      </c>
      <c r="F443" s="49">
        <v>41577</v>
      </c>
      <c r="G443" s="50" t="s">
        <v>52</v>
      </c>
      <c r="H443" s="32" t="s">
        <v>14</v>
      </c>
      <c r="I443" s="24" t="str">
        <f>VLOOKUP(G443,[1]ACHATS!$C:$E,3,0)</f>
        <v>Kg</v>
      </c>
      <c r="J443" s="24" t="str">
        <f>VLOOKUP(G443,[1]ACHATS!$C:$D,2,0)</f>
        <v>SEMENCES</v>
      </c>
      <c r="K443" s="42">
        <v>160</v>
      </c>
      <c r="L443" s="42">
        <f>5.67-L442</f>
        <v>4.8949999999999996</v>
      </c>
      <c r="M443" s="42">
        <f t="shared" si="18"/>
        <v>783.19999999999993</v>
      </c>
      <c r="N443" s="34">
        <f t="array" ref="N443">INDEX('[1]COUT MOYEN - STOCK'!$G$2:$G$120,MATCH(A443,IF('[1]COUT MOYEN - STOCK'!$B$2:$B$120=G443,'[1]COUT MOYEN - STOCK'!$A$2:$A$120,""),0))</f>
        <v>0.77800000000000002</v>
      </c>
      <c r="O443" s="51">
        <f t="shared" si="19"/>
        <v>609.32959999999991</v>
      </c>
      <c r="P443" s="52">
        <f t="shared" si="20"/>
        <v>1</v>
      </c>
      <c r="Q443" s="37" t="s">
        <v>145</v>
      </c>
    </row>
    <row r="444" spans="1:17">
      <c r="A444" s="30">
        <v>2014</v>
      </c>
      <c r="B444" s="30" t="s">
        <v>165</v>
      </c>
      <c r="C444" s="30" t="s">
        <v>47</v>
      </c>
      <c r="D444" s="24" t="str">
        <f t="array" ref="D444">INDEX([1]PARCELLAIRE!$C$2:$C$85,MATCH(A444,IF([1]PARCELLAIRE!$D$2:$D$85=E444,[1]PARCELLAIRE!$A$2:$A$85,""),0))</f>
        <v>PESCADOUX</v>
      </c>
      <c r="E444" s="48" t="s">
        <v>16</v>
      </c>
      <c r="F444" s="49">
        <v>41578</v>
      </c>
      <c r="G444" s="50" t="s">
        <v>52</v>
      </c>
      <c r="H444" s="32" t="s">
        <v>14</v>
      </c>
      <c r="I444" s="24" t="str">
        <f>VLOOKUP(G444,[1]ACHATS!$C:$E,3,0)</f>
        <v>Kg</v>
      </c>
      <c r="J444" s="24" t="str">
        <f>VLOOKUP(G444,[1]ACHATS!$C:$D,2,0)</f>
        <v>SEMENCES</v>
      </c>
      <c r="K444" s="42">
        <v>160</v>
      </c>
      <c r="L444" s="42">
        <v>3.85</v>
      </c>
      <c r="M444" s="42">
        <f t="shared" si="18"/>
        <v>616</v>
      </c>
      <c r="N444" s="34">
        <f t="array" ref="N444">INDEX('[1]COUT MOYEN - STOCK'!$G$2:$G$120,MATCH(A444,IF('[1]COUT MOYEN - STOCK'!$B$2:$B$120=G444,'[1]COUT MOYEN - STOCK'!$A$2:$A$120,""),0))</f>
        <v>0.77800000000000002</v>
      </c>
      <c r="O444" s="51">
        <f t="shared" si="19"/>
        <v>479.24799999999999</v>
      </c>
      <c r="P444" s="52">
        <f t="shared" si="20"/>
        <v>1</v>
      </c>
      <c r="Q444" s="37" t="s">
        <v>145</v>
      </c>
    </row>
    <row r="445" spans="1:17">
      <c r="A445" s="30">
        <v>2014</v>
      </c>
      <c r="B445" s="30" t="s">
        <v>165</v>
      </c>
      <c r="C445" s="30" t="s">
        <v>47</v>
      </c>
      <c r="D445" s="24" t="str">
        <f t="array" ref="D445">INDEX([1]PARCELLAIRE!$C$2:$C$85,MATCH(A445,IF([1]PARCELLAIRE!$D$2:$D$85=E445,[1]PARCELLAIRE!$A$2:$A$85,""),0))</f>
        <v>PESCADOUX</v>
      </c>
      <c r="E445" s="48" t="s">
        <v>16</v>
      </c>
      <c r="F445" s="49">
        <v>41578</v>
      </c>
      <c r="G445" s="50" t="s">
        <v>50</v>
      </c>
      <c r="H445" s="32" t="s">
        <v>14</v>
      </c>
      <c r="I445" s="24" t="str">
        <f>VLOOKUP(G445,[1]ACHATS!$C:$E,3,0)</f>
        <v>Kg</v>
      </c>
      <c r="J445" s="24" t="str">
        <f>VLOOKUP(G445,[1]ACHATS!$C:$D,2,0)</f>
        <v>SEMENCES</v>
      </c>
      <c r="K445" s="42">
        <v>160</v>
      </c>
      <c r="L445" s="42">
        <f>5.17-L444</f>
        <v>1.3199999999999998</v>
      </c>
      <c r="M445" s="42">
        <f t="shared" si="18"/>
        <v>211.2</v>
      </c>
      <c r="N445" s="34">
        <f t="array" ref="N445">INDEX('[1]COUT MOYEN - STOCK'!$G$2:$G$120,MATCH(A445,IF('[1]COUT MOYEN - STOCK'!$B$2:$B$120=G445,'[1]COUT MOYEN - STOCK'!$A$2:$A$120,""),0))</f>
        <v>0.19</v>
      </c>
      <c r="O445" s="51">
        <f t="shared" si="19"/>
        <v>40.128</v>
      </c>
      <c r="P445" s="52">
        <f t="shared" si="20"/>
        <v>1</v>
      </c>
      <c r="Q445" s="37" t="s">
        <v>145</v>
      </c>
    </row>
    <row r="446" spans="1:17">
      <c r="A446" s="30">
        <v>2014</v>
      </c>
      <c r="B446" s="30" t="s">
        <v>165</v>
      </c>
      <c r="C446" s="30" t="s">
        <v>47</v>
      </c>
      <c r="D446" s="24" t="str">
        <f t="array" ref="D446">INDEX([1]PARCELLAIRE!$C$2:$C$85,MATCH(A446,IF([1]PARCELLAIRE!$D$2:$D$85=E446,[1]PARCELLAIRE!$A$2:$A$85,""),0))</f>
        <v>MIRADOUX / FLORIDOU</v>
      </c>
      <c r="E446" s="48" t="s">
        <v>33</v>
      </c>
      <c r="F446" s="49">
        <v>41579</v>
      </c>
      <c r="G446" s="50" t="s">
        <v>57</v>
      </c>
      <c r="H446" s="32" t="s">
        <v>14</v>
      </c>
      <c r="I446" s="24" t="str">
        <f>VLOOKUP(G446,[1]ACHATS!$C:$E,3,0)</f>
        <v>L</v>
      </c>
      <c r="J446" s="24" t="str">
        <f>VLOOKUP(G446,[1]ACHATS!$C:$D,2,0)</f>
        <v>DESHERBANT</v>
      </c>
      <c r="K446" s="42">
        <v>3.3</v>
      </c>
      <c r="L446" s="42">
        <f>VLOOKUP(E446,[1]PARCELLAIRE!$D$2:$F$29,3,0)</f>
        <v>21.88</v>
      </c>
      <c r="M446" s="42">
        <f t="shared" si="18"/>
        <v>72.203999999999994</v>
      </c>
      <c r="N446" s="34">
        <f t="array" ref="N446">INDEX('[1]COUT MOYEN - STOCK'!$G$2:$G$120,MATCH(A446,IF('[1]COUT MOYEN - STOCK'!$B$2:$B$120=G446,'[1]COUT MOYEN - STOCK'!$A$2:$A$120,""),0))</f>
        <v>13.02</v>
      </c>
      <c r="O446" s="51">
        <f t="shared" si="19"/>
        <v>940.09607999999992</v>
      </c>
      <c r="P446" s="52">
        <f t="shared" si="20"/>
        <v>1</v>
      </c>
      <c r="Q446" s="37" t="s">
        <v>14</v>
      </c>
    </row>
    <row r="447" spans="1:17">
      <c r="A447" s="30">
        <v>2014</v>
      </c>
      <c r="B447" s="30" t="s">
        <v>165</v>
      </c>
      <c r="C447" s="30" t="s">
        <v>47</v>
      </c>
      <c r="D447" s="24" t="str">
        <f t="array" ref="D447">INDEX([1]PARCELLAIRE!$C$2:$C$85,MATCH(A447,IF([1]PARCELLAIRE!$D$2:$D$85=E447,[1]PARCELLAIRE!$A$2:$A$85,""),0))</f>
        <v>PESCADOUX</v>
      </c>
      <c r="E447" s="48" t="s">
        <v>16</v>
      </c>
      <c r="F447" s="49">
        <v>41579</v>
      </c>
      <c r="G447" s="50" t="s">
        <v>57</v>
      </c>
      <c r="H447" s="32" t="s">
        <v>14</v>
      </c>
      <c r="I447" s="24" t="str">
        <f>VLOOKUP(G447,[1]ACHATS!$C:$E,3,0)</f>
        <v>L</v>
      </c>
      <c r="J447" s="24" t="str">
        <f>VLOOKUP(G447,[1]ACHATS!$C:$D,2,0)</f>
        <v>DESHERBANT</v>
      </c>
      <c r="K447" s="42">
        <v>3.3</v>
      </c>
      <c r="L447" s="42">
        <f>VLOOKUP(E447,[1]PARCELLAIRE!$D$2:$F$29,3,0)</f>
        <v>5.17</v>
      </c>
      <c r="M447" s="42">
        <f t="shared" si="18"/>
        <v>17.061</v>
      </c>
      <c r="N447" s="34">
        <f t="array" ref="N447">INDEX('[1]COUT MOYEN - STOCK'!$G$2:$G$120,MATCH(A447,IF('[1]COUT MOYEN - STOCK'!$B$2:$B$120=G447,'[1]COUT MOYEN - STOCK'!$A$2:$A$120,""),0))</f>
        <v>13.02</v>
      </c>
      <c r="O447" s="51">
        <f t="shared" si="19"/>
        <v>222.13422</v>
      </c>
      <c r="P447" s="52">
        <f t="shared" si="20"/>
        <v>1</v>
      </c>
      <c r="Q447" s="37" t="s">
        <v>14</v>
      </c>
    </row>
    <row r="448" spans="1:17">
      <c r="A448" s="30">
        <v>2014</v>
      </c>
      <c r="B448" s="30" t="s">
        <v>165</v>
      </c>
      <c r="C448" s="30" t="s">
        <v>47</v>
      </c>
      <c r="D448" s="24" t="str">
        <f t="array" ref="D448">INDEX([1]PARCELLAIRE!$C$2:$C$85,MATCH(A448,IF([1]PARCELLAIRE!$D$2:$D$85=E448,[1]PARCELLAIRE!$A$2:$A$85,""),0))</f>
        <v>PESCADOUX</v>
      </c>
      <c r="E448" s="48" t="s">
        <v>34</v>
      </c>
      <c r="F448" s="49">
        <v>41579</v>
      </c>
      <c r="G448" s="50" t="s">
        <v>57</v>
      </c>
      <c r="H448" s="32" t="s">
        <v>14</v>
      </c>
      <c r="I448" s="24" t="str">
        <f>VLOOKUP(G448,[1]ACHATS!$C:$E,3,0)</f>
        <v>L</v>
      </c>
      <c r="J448" s="24" t="str">
        <f>VLOOKUP(G448,[1]ACHATS!$C:$D,2,0)</f>
        <v>DESHERBANT</v>
      </c>
      <c r="K448" s="42">
        <v>3.3</v>
      </c>
      <c r="L448" s="42">
        <f>VLOOKUP(E448,[1]PARCELLAIRE!$D$2:$F$29,3,0)</f>
        <v>5.67</v>
      </c>
      <c r="M448" s="42">
        <f t="shared" si="18"/>
        <v>18.710999999999999</v>
      </c>
      <c r="N448" s="34">
        <f t="array" ref="N448">INDEX('[1]COUT MOYEN - STOCK'!$G$2:$G$120,MATCH(A448,IF('[1]COUT MOYEN - STOCK'!$B$2:$B$120=G448,'[1]COUT MOYEN - STOCK'!$A$2:$A$120,""),0))</f>
        <v>13.02</v>
      </c>
      <c r="O448" s="51">
        <f t="shared" si="19"/>
        <v>243.61721999999997</v>
      </c>
      <c r="P448" s="52">
        <f t="shared" si="20"/>
        <v>1</v>
      </c>
      <c r="Q448" s="37" t="s">
        <v>14</v>
      </c>
    </row>
    <row r="449" spans="1:17">
      <c r="A449" s="30">
        <v>2014</v>
      </c>
      <c r="B449" s="30" t="s">
        <v>165</v>
      </c>
      <c r="C449" s="30" t="s">
        <v>43</v>
      </c>
      <c r="D449" s="24" t="str">
        <f t="array" ref="D449">INDEX([1]PARCELLAIRE!$C$2:$C$85,MATCH(A449,IF([1]PARCELLAIRE!$D$2:$D$85=E449,[1]PARCELLAIRE!$A$2:$A$85,""),0))</f>
        <v>ASCOTT</v>
      </c>
      <c r="E449" s="48" t="s">
        <v>21</v>
      </c>
      <c r="F449" s="49">
        <v>41579</v>
      </c>
      <c r="G449" s="50" t="s">
        <v>106</v>
      </c>
      <c r="H449" s="32" t="s">
        <v>14</v>
      </c>
      <c r="I449" s="24" t="str">
        <f>VLOOKUP(G449,[1]ACHATS!$C:$E,3,0)</f>
        <v>Kg</v>
      </c>
      <c r="J449" s="24" t="str">
        <f>VLOOKUP(G449,[1]ACHATS!$C:$D,2,0)</f>
        <v>SEMENCES</v>
      </c>
      <c r="K449" s="42">
        <v>132</v>
      </c>
      <c r="L449" s="42">
        <f>VLOOKUP(E449,[1]PARCELLAIRE!$D$2:$F$29,3,0)</f>
        <v>10.93</v>
      </c>
      <c r="M449" s="42">
        <f t="shared" si="18"/>
        <v>1442.76</v>
      </c>
      <c r="N449" s="34">
        <f t="array" ref="N449">INDEX('[1]COUT MOYEN - STOCK'!$G$2:$G$120,MATCH(A449,IF('[1]COUT MOYEN - STOCK'!$B$2:$B$120=G449,'[1]COUT MOYEN - STOCK'!$A$2:$A$120,""),0))</f>
        <v>0.86</v>
      </c>
      <c r="O449" s="51">
        <f t="shared" si="19"/>
        <v>1240.7736</v>
      </c>
      <c r="P449" s="52">
        <f t="shared" si="20"/>
        <v>1</v>
      </c>
      <c r="Q449" s="37" t="s">
        <v>129</v>
      </c>
    </row>
    <row r="450" spans="1:17">
      <c r="A450" s="30">
        <v>2014</v>
      </c>
      <c r="B450" s="30" t="s">
        <v>165</v>
      </c>
      <c r="C450" s="30" t="s">
        <v>43</v>
      </c>
      <c r="D450" s="24" t="str">
        <f t="array" ref="D450">INDEX([1]PARCELLAIRE!$C$2:$C$85,MATCH(A450,IF([1]PARCELLAIRE!$D$2:$D$85=E450,[1]PARCELLAIRE!$A$2:$A$85,""),0))</f>
        <v>ASCOTT</v>
      </c>
      <c r="E450" s="48" t="s">
        <v>21</v>
      </c>
      <c r="F450" s="49">
        <v>41579</v>
      </c>
      <c r="G450" s="50" t="s">
        <v>57</v>
      </c>
      <c r="H450" s="32" t="s">
        <v>14</v>
      </c>
      <c r="I450" s="24" t="str">
        <f>VLOOKUP(G450,[1]ACHATS!$C:$E,3,0)</f>
        <v>L</v>
      </c>
      <c r="J450" s="24" t="str">
        <f>VLOOKUP(G450,[1]ACHATS!$C:$D,2,0)</f>
        <v>DESHERBANT</v>
      </c>
      <c r="K450" s="42">
        <v>3</v>
      </c>
      <c r="L450" s="42">
        <f>VLOOKUP(E450,[1]PARCELLAIRE!$D$2:$F$29,3,0)</f>
        <v>10.93</v>
      </c>
      <c r="M450" s="42">
        <f t="shared" ref="M450:M513" si="21">L450*K450</f>
        <v>32.79</v>
      </c>
      <c r="N450" s="34">
        <f t="array" ref="N450">INDEX('[1]COUT MOYEN - STOCK'!$G$2:$G$120,MATCH(A450,IF('[1]COUT MOYEN - STOCK'!$B$2:$B$120=G450,'[1]COUT MOYEN - STOCK'!$A$2:$A$120,""),0))</f>
        <v>13.02</v>
      </c>
      <c r="O450" s="51">
        <f t="shared" ref="O450:O513" si="22">N450*M450</f>
        <v>426.92579999999998</v>
      </c>
      <c r="P450" s="52">
        <f t="shared" ref="P450:P513" si="23">IF(WHEN=A450,E450,1)</f>
        <v>1</v>
      </c>
      <c r="Q450" s="37" t="s">
        <v>14</v>
      </c>
    </row>
    <row r="451" spans="1:17">
      <c r="A451" s="30">
        <v>2014</v>
      </c>
      <c r="B451" s="30" t="s">
        <v>165</v>
      </c>
      <c r="C451" s="30" t="s">
        <v>43</v>
      </c>
      <c r="D451" s="24" t="str">
        <f t="array" ref="D451">INDEX([1]PARCELLAIRE!$C$2:$C$85,MATCH(A451,IF([1]PARCELLAIRE!$D$2:$D$85=E451,[1]PARCELLAIRE!$A$2:$A$85,""),0))</f>
        <v>ASCOTT</v>
      </c>
      <c r="E451" s="48" t="s">
        <v>22</v>
      </c>
      <c r="F451" s="49">
        <v>41579</v>
      </c>
      <c r="G451" s="50" t="s">
        <v>44</v>
      </c>
      <c r="H451" s="32" t="s">
        <v>14</v>
      </c>
      <c r="I451" s="24" t="str">
        <f>VLOOKUP(G451,[1]ACHATS!$C:$E,3,0)</f>
        <v>L</v>
      </c>
      <c r="J451" s="24" t="str">
        <f>VLOOKUP(G451,[1]ACHATS!$C:$D,2,0)</f>
        <v>DESHERBANT</v>
      </c>
      <c r="K451" s="42">
        <v>1.5</v>
      </c>
      <c r="L451" s="42">
        <f>VLOOKUP(E451,[1]PARCELLAIRE!$D$2:$F$29,3,0)</f>
        <v>8.58</v>
      </c>
      <c r="M451" s="42">
        <f t="shared" si="21"/>
        <v>12.870000000000001</v>
      </c>
      <c r="N451" s="34">
        <f t="array" ref="N451">INDEX('[1]COUT MOYEN - STOCK'!$G$2:$G$120,MATCH(A451,IF('[1]COUT MOYEN - STOCK'!$B$2:$B$120=G451,'[1]COUT MOYEN - STOCK'!$A$2:$A$120,""),0))</f>
        <v>5.7</v>
      </c>
      <c r="O451" s="51">
        <f t="shared" si="22"/>
        <v>73.359000000000009</v>
      </c>
      <c r="P451" s="52">
        <f t="shared" si="23"/>
        <v>1</v>
      </c>
      <c r="Q451" s="37" t="s">
        <v>14</v>
      </c>
    </row>
    <row r="452" spans="1:17">
      <c r="A452" s="30">
        <v>2014</v>
      </c>
      <c r="B452" s="30" t="s">
        <v>165</v>
      </c>
      <c r="C452" s="30" t="s">
        <v>43</v>
      </c>
      <c r="D452" s="24" t="str">
        <f t="array" ref="D452">INDEX([1]PARCELLAIRE!$C$2:$C$85,MATCH(A452,IF([1]PARCELLAIRE!$D$2:$D$85=E452,[1]PARCELLAIRE!$A$2:$A$85,""),0))</f>
        <v>ASCOTT</v>
      </c>
      <c r="E452" s="48" t="s">
        <v>22</v>
      </c>
      <c r="F452" s="49">
        <v>41579</v>
      </c>
      <c r="G452" s="50" t="s">
        <v>45</v>
      </c>
      <c r="H452" s="32" t="s">
        <v>14</v>
      </c>
      <c r="I452" s="24" t="str">
        <f>VLOOKUP(G452,[1]ACHATS!$C:$E,3,0)</f>
        <v>L</v>
      </c>
      <c r="J452" s="24" t="str">
        <f>VLOOKUP(G452,[1]ACHATS!$C:$D,2,0)</f>
        <v>DIVERS</v>
      </c>
      <c r="K452" s="42">
        <v>0.2</v>
      </c>
      <c r="L452" s="42">
        <f>VLOOKUP(E452,[1]PARCELLAIRE!$D$2:$F$29,3,0)</f>
        <v>8.58</v>
      </c>
      <c r="M452" s="42">
        <f t="shared" si="21"/>
        <v>1.7160000000000002</v>
      </c>
      <c r="N452" s="34">
        <f t="array" ref="N452">INDEX('[1]COUT MOYEN - STOCK'!$G$2:$G$120,MATCH(A452,IF('[1]COUT MOYEN - STOCK'!$B$2:$B$120=G452,'[1]COUT MOYEN - STOCK'!$A$2:$A$120,""),0))</f>
        <v>10.849625</v>
      </c>
      <c r="O452" s="51">
        <f t="shared" si="22"/>
        <v>18.617956500000002</v>
      </c>
      <c r="P452" s="52">
        <f t="shared" si="23"/>
        <v>1</v>
      </c>
      <c r="Q452" s="37" t="s">
        <v>14</v>
      </c>
    </row>
    <row r="453" spans="1:17">
      <c r="A453" s="30">
        <v>2014</v>
      </c>
      <c r="B453" s="30" t="s">
        <v>165</v>
      </c>
      <c r="C453" s="30" t="s">
        <v>43</v>
      </c>
      <c r="D453" s="24" t="str">
        <f t="array" ref="D453">INDEX([1]PARCELLAIRE!$C$2:$C$85,MATCH(A453,IF([1]PARCELLAIRE!$D$2:$D$85=E453,[1]PARCELLAIRE!$A$2:$A$85,""),0))</f>
        <v>ASCOTT</v>
      </c>
      <c r="E453" s="48" t="s">
        <v>22</v>
      </c>
      <c r="F453" s="49">
        <v>41580</v>
      </c>
      <c r="G453" s="50" t="s">
        <v>106</v>
      </c>
      <c r="H453" s="32" t="s">
        <v>14</v>
      </c>
      <c r="I453" s="24" t="str">
        <f>VLOOKUP(G453,[1]ACHATS!$C:$E,3,0)</f>
        <v>Kg</v>
      </c>
      <c r="J453" s="24" t="str">
        <f>VLOOKUP(G453,[1]ACHATS!$C:$D,2,0)</f>
        <v>SEMENCES</v>
      </c>
      <c r="K453" s="42">
        <v>132</v>
      </c>
      <c r="L453" s="42">
        <v>7.25</v>
      </c>
      <c r="M453" s="42">
        <f t="shared" si="21"/>
        <v>957</v>
      </c>
      <c r="N453" s="34">
        <f t="array" ref="N453">INDEX('[1]COUT MOYEN - STOCK'!$G$2:$G$120,MATCH(A453,IF('[1]COUT MOYEN - STOCK'!$B$2:$B$120=G453,'[1]COUT MOYEN - STOCK'!$A$2:$A$120,""),0))</f>
        <v>0.86</v>
      </c>
      <c r="O453" s="51">
        <f t="shared" si="22"/>
        <v>823.02</v>
      </c>
      <c r="P453" s="52">
        <f t="shared" si="23"/>
        <v>1</v>
      </c>
      <c r="Q453" s="37" t="s">
        <v>129</v>
      </c>
    </row>
    <row r="454" spans="1:17">
      <c r="A454" s="30">
        <v>2014</v>
      </c>
      <c r="B454" s="30" t="s">
        <v>165</v>
      </c>
      <c r="C454" s="30" t="s">
        <v>43</v>
      </c>
      <c r="D454" s="24" t="str">
        <f t="array" ref="D454">INDEX([1]PARCELLAIRE!$C$2:$C$85,MATCH(A454,IF([1]PARCELLAIRE!$D$2:$D$85=E454,[1]PARCELLAIRE!$A$2:$A$85,""),0))</f>
        <v>ASCOTT</v>
      </c>
      <c r="E454" s="48" t="s">
        <v>22</v>
      </c>
      <c r="F454" s="49">
        <v>41580</v>
      </c>
      <c r="G454" s="50" t="s">
        <v>49</v>
      </c>
      <c r="H454" s="32" t="s">
        <v>14</v>
      </c>
      <c r="I454" s="24" t="str">
        <f>VLOOKUP(G454,[1]ACHATS!$C:$E,3,0)</f>
        <v>Kg</v>
      </c>
      <c r="J454" s="24" t="str">
        <f>VLOOKUP(G454,[1]ACHATS!$C:$D,2,0)</f>
        <v>SEMENCES</v>
      </c>
      <c r="K454" s="42">
        <v>145</v>
      </c>
      <c r="L454" s="42">
        <v>1.33</v>
      </c>
      <c r="M454" s="42">
        <f t="shared" si="21"/>
        <v>192.85000000000002</v>
      </c>
      <c r="N454" s="34">
        <f t="array" ref="N454">INDEX('[1]COUT MOYEN - STOCK'!$G$2:$G$120,MATCH(A454,IF('[1]COUT MOYEN - STOCK'!$B$2:$B$120=G454,'[1]COUT MOYEN - STOCK'!$A$2:$A$120,""),0))</f>
        <v>0.74</v>
      </c>
      <c r="O454" s="51">
        <f t="shared" si="22"/>
        <v>142.709</v>
      </c>
      <c r="P454" s="52">
        <f t="shared" si="23"/>
        <v>1</v>
      </c>
      <c r="Q454" s="37" t="s">
        <v>129</v>
      </c>
    </row>
    <row r="455" spans="1:17">
      <c r="A455" s="30">
        <v>2014</v>
      </c>
      <c r="B455" s="30" t="s">
        <v>165</v>
      </c>
      <c r="C455" s="30" t="s">
        <v>43</v>
      </c>
      <c r="D455" s="24" t="str">
        <f t="array" ref="D455">INDEX([1]PARCELLAIRE!$C$2:$C$85,MATCH(A455,IF([1]PARCELLAIRE!$D$2:$D$85=E455,[1]PARCELLAIRE!$A$2:$A$85,""),0))</f>
        <v>SOLEIHO</v>
      </c>
      <c r="E455" s="48" t="s">
        <v>18</v>
      </c>
      <c r="F455" s="49">
        <v>41580</v>
      </c>
      <c r="G455" s="50" t="s">
        <v>49</v>
      </c>
      <c r="H455" s="32" t="s">
        <v>14</v>
      </c>
      <c r="I455" s="24" t="str">
        <f>VLOOKUP(G455,[1]ACHATS!$C:$E,3,0)</f>
        <v>Kg</v>
      </c>
      <c r="J455" s="24" t="str">
        <f>VLOOKUP(G455,[1]ACHATS!$C:$D,2,0)</f>
        <v>SEMENCES</v>
      </c>
      <c r="K455" s="42">
        <v>185</v>
      </c>
      <c r="L455" s="42">
        <f>VLOOKUP(E455,[1]PARCELLAIRE!$D$2:$F$29,3,0)</f>
        <v>2.33</v>
      </c>
      <c r="M455" s="42">
        <f t="shared" si="21"/>
        <v>431.05</v>
      </c>
      <c r="N455" s="34">
        <f t="array" ref="N455">INDEX('[1]COUT MOYEN - STOCK'!$G$2:$G$120,MATCH(A455,IF('[1]COUT MOYEN - STOCK'!$B$2:$B$120=G455,'[1]COUT MOYEN - STOCK'!$A$2:$A$120,""),0))</f>
        <v>0.74</v>
      </c>
      <c r="O455" s="51">
        <f t="shared" si="22"/>
        <v>318.97700000000003</v>
      </c>
      <c r="P455" s="52">
        <f t="shared" si="23"/>
        <v>1</v>
      </c>
      <c r="Q455" s="37" t="s">
        <v>146</v>
      </c>
    </row>
    <row r="456" spans="1:17">
      <c r="A456" s="30">
        <v>2013</v>
      </c>
      <c r="B456" s="30" t="s">
        <v>165</v>
      </c>
      <c r="C456" s="30" t="s">
        <v>39</v>
      </c>
      <c r="D456" s="24" t="str">
        <f t="array" ref="D456">INDEX([1]PARCELLAIRE!$C$2:$C$85,MATCH(A456,IF([1]PARCELLAIRE!$D$2:$D$85=E456,[1]PARCELLAIRE!$A$2:$A$85,""),0))</f>
        <v>LG5474</v>
      </c>
      <c r="E456" s="48" t="s">
        <v>33</v>
      </c>
      <c r="F456" s="49">
        <v>41590</v>
      </c>
      <c r="G456" s="50" t="s">
        <v>2</v>
      </c>
      <c r="H456" s="32" t="s">
        <v>14</v>
      </c>
      <c r="I456" s="24" t="str">
        <f>VLOOKUP(G456,[1]ACHATS!$C:$E,3,0)</f>
        <v>T</v>
      </c>
      <c r="J456" s="24" t="str">
        <f>VLOOKUP(G456,[1]ACHATS!$C:$D,2,0)</f>
        <v>VENTES</v>
      </c>
      <c r="K456" s="42">
        <v>2.113</v>
      </c>
      <c r="L456" s="42">
        <f>VLOOKUP(E456,[1]PARCELLAIRE!$D$2:$F$29,3,0)</f>
        <v>21.88</v>
      </c>
      <c r="M456" s="42">
        <f t="shared" si="21"/>
        <v>46.232439999999997</v>
      </c>
      <c r="N456" s="34">
        <f t="array" ref="N456">INDEX('[1]COUT MOYEN - STOCK'!$G$2:$G$120,MATCH(A456,IF('[1]COUT MOYEN - STOCK'!$B$2:$B$120=G456,'[1]COUT MOYEN - STOCK'!$A$2:$A$120,""),0))</f>
        <v>365.42807731434391</v>
      </c>
      <c r="O456" s="51">
        <f t="shared" si="22"/>
        <v>16894.631658750764</v>
      </c>
      <c r="P456" s="52" t="str">
        <f t="shared" si="23"/>
        <v>Moulin Barthes</v>
      </c>
      <c r="Q456" s="37" t="s">
        <v>14</v>
      </c>
    </row>
    <row r="457" spans="1:17">
      <c r="A457" s="30">
        <v>2013</v>
      </c>
      <c r="B457" s="30" t="s">
        <v>165</v>
      </c>
      <c r="C457" s="30" t="s">
        <v>39</v>
      </c>
      <c r="D457" s="24" t="str">
        <f t="array" ref="D457">INDEX([1]PARCELLAIRE!$C$2:$C$85,MATCH(A457,IF([1]PARCELLAIRE!$D$2:$D$85=E457,[1]PARCELLAIRE!$A$2:$A$85,""),0))</f>
        <v>SY SAMIN</v>
      </c>
      <c r="E457" s="48" t="s">
        <v>35</v>
      </c>
      <c r="F457" s="49">
        <v>41590</v>
      </c>
      <c r="G457" s="50" t="s">
        <v>2</v>
      </c>
      <c r="H457" s="32" t="s">
        <v>14</v>
      </c>
      <c r="I457" s="24" t="str">
        <f>VLOOKUP(G457,[1]ACHATS!$C:$E,3,0)</f>
        <v>T</v>
      </c>
      <c r="J457" s="24" t="str">
        <f>VLOOKUP(G457,[1]ACHATS!$C:$D,2,0)</f>
        <v>VENTES</v>
      </c>
      <c r="K457" s="42">
        <v>1.8939999999999999</v>
      </c>
      <c r="L457" s="42">
        <f>VLOOKUP(E457,[1]PARCELLAIRE!$D$2:$F$29,3,0)</f>
        <v>4.12</v>
      </c>
      <c r="M457" s="42">
        <f t="shared" si="21"/>
        <v>7.80328</v>
      </c>
      <c r="N457" s="34">
        <f t="array" ref="N457">INDEX('[1]COUT MOYEN - STOCK'!$G$2:$G$120,MATCH(A457,IF('[1]COUT MOYEN - STOCK'!$B$2:$B$120=G457,'[1]COUT MOYEN - STOCK'!$A$2:$A$120,""),0))</f>
        <v>365.42807731434391</v>
      </c>
      <c r="O457" s="51">
        <f t="shared" si="22"/>
        <v>2851.5376071454734</v>
      </c>
      <c r="P457" s="52" t="str">
        <f t="shared" si="23"/>
        <v>Picotalène Midi</v>
      </c>
      <c r="Q457" s="37" t="s">
        <v>14</v>
      </c>
    </row>
    <row r="458" spans="1:17" hidden="1">
      <c r="A458" s="30">
        <v>2013</v>
      </c>
      <c r="B458" s="30" t="s">
        <v>164</v>
      </c>
      <c r="C458" s="30" t="s">
        <v>39</v>
      </c>
      <c r="D458" s="24" t="str">
        <f t="array" ref="D458">INDEX([1]PARCELLAIRE!$C$2:$C$85,MATCH(A458,IF([1]PARCELLAIRE!$D$2:$D$85=E458,[1]PARCELLAIRE!$A$2:$A$85,""),0))</f>
        <v>SY SAMIN</v>
      </c>
      <c r="E458" s="48" t="s">
        <v>37</v>
      </c>
      <c r="F458" s="49">
        <v>41590</v>
      </c>
      <c r="G458" s="50" t="s">
        <v>2</v>
      </c>
      <c r="H458" s="32" t="s">
        <v>14</v>
      </c>
      <c r="I458" s="24" t="str">
        <f>VLOOKUP(G458,[1]ACHATS!$C:$E,3,0)</f>
        <v>T</v>
      </c>
      <c r="J458" s="24" t="str">
        <f>VLOOKUP(G458,[1]ACHATS!$C:$D,2,0)</f>
        <v>VENTES</v>
      </c>
      <c r="K458" s="42">
        <v>1.8939999999999999</v>
      </c>
      <c r="L458" s="42">
        <f>VLOOKUP(E458,[1]PARCELLAIRE!$D$2:$F$29,3,0)</f>
        <v>12.06</v>
      </c>
      <c r="M458" s="42">
        <f t="shared" si="21"/>
        <v>22.841639999999998</v>
      </c>
      <c r="N458" s="34">
        <f t="array" ref="N458">INDEX('[1]COUT MOYEN - STOCK'!$G$2:$G$120,MATCH(A458,IF('[1]COUT MOYEN - STOCK'!$B$2:$B$120=G458,'[1]COUT MOYEN - STOCK'!$A$2:$A$120,""),0))</f>
        <v>365.42807731434391</v>
      </c>
      <c r="O458" s="51">
        <f t="shared" si="22"/>
        <v>8346.9765879064089</v>
      </c>
      <c r="P458" s="52" t="str">
        <f t="shared" si="23"/>
        <v>Pourtanel</v>
      </c>
      <c r="Q458" s="37" t="s">
        <v>14</v>
      </c>
    </row>
    <row r="459" spans="1:17" hidden="1">
      <c r="A459" s="30">
        <v>2014</v>
      </c>
      <c r="B459" s="30" t="s">
        <v>164</v>
      </c>
      <c r="C459" s="30" t="s">
        <v>43</v>
      </c>
      <c r="D459" s="24" t="str">
        <f t="array" ref="D459">INDEX([1]PARCELLAIRE!$C$2:$C$85,MATCH(A459,IF([1]PARCELLAIRE!$D$2:$D$85=E459,[1]PARCELLAIRE!$A$2:$A$85,""),0))</f>
        <v>SOLEIHO</v>
      </c>
      <c r="E459" s="48" t="s">
        <v>26</v>
      </c>
      <c r="F459" s="49">
        <v>41606</v>
      </c>
      <c r="G459" s="50" t="s">
        <v>107</v>
      </c>
      <c r="H459" s="32" t="s">
        <v>14</v>
      </c>
      <c r="I459" s="24" t="str">
        <f>VLOOKUP(G459,[1]ACHATS!$C:$E,3,0)</f>
        <v>Kg</v>
      </c>
      <c r="J459" s="24" t="str">
        <f>VLOOKUP(G459,[1]ACHATS!$C:$D,2,0)</f>
        <v>SEMENCES</v>
      </c>
      <c r="K459" s="42">
        <v>185</v>
      </c>
      <c r="L459" s="42">
        <f>VLOOKUP(E459,[1]PARCELLAIRE!$D$2:$F$29,3,0)</f>
        <v>5.26</v>
      </c>
      <c r="M459" s="42">
        <f t="shared" si="21"/>
        <v>973.09999999999991</v>
      </c>
      <c r="N459" s="34">
        <f t="array" ref="N459">INDEX('[1]COUT MOYEN - STOCK'!$G$2:$G$120,MATCH(A459,IF('[1]COUT MOYEN - STOCK'!$B$2:$B$120=G459,'[1]COUT MOYEN - STOCK'!$A$2:$A$120,""),0))</f>
        <v>0.10388630490956073</v>
      </c>
      <c r="O459" s="51">
        <f t="shared" si="22"/>
        <v>101.09176330749354</v>
      </c>
      <c r="P459" s="52">
        <f t="shared" si="23"/>
        <v>1</v>
      </c>
      <c r="Q459" s="37" t="s">
        <v>146</v>
      </c>
    </row>
    <row r="460" spans="1:17" hidden="1">
      <c r="A460" s="30">
        <v>2014</v>
      </c>
      <c r="B460" s="30" t="s">
        <v>164</v>
      </c>
      <c r="C460" s="30" t="s">
        <v>43</v>
      </c>
      <c r="D460" s="24" t="str">
        <f t="array" ref="D460">INDEX([1]PARCELLAIRE!$C$2:$C$85,MATCH(A460,IF([1]PARCELLAIRE!$D$2:$D$85=E460,[1]PARCELLAIRE!$A$2:$A$85,""),0))</f>
        <v>SOLEIHO</v>
      </c>
      <c r="E460" s="48" t="s">
        <v>27</v>
      </c>
      <c r="F460" s="49">
        <v>41606</v>
      </c>
      <c r="G460" s="50" t="s">
        <v>107</v>
      </c>
      <c r="H460" s="32" t="s">
        <v>14</v>
      </c>
      <c r="I460" s="24" t="str">
        <f>VLOOKUP(G460,[1]ACHATS!$C:$E,3,0)</f>
        <v>Kg</v>
      </c>
      <c r="J460" s="24" t="str">
        <f>VLOOKUP(G460,[1]ACHATS!$C:$D,2,0)</f>
        <v>SEMENCES</v>
      </c>
      <c r="K460" s="42">
        <v>185</v>
      </c>
      <c r="L460" s="42">
        <f>VLOOKUP(E460,[1]PARCELLAIRE!$D$2:$F$29,3,0)</f>
        <v>15.64</v>
      </c>
      <c r="M460" s="42">
        <f t="shared" si="21"/>
        <v>2893.4</v>
      </c>
      <c r="N460" s="34">
        <f t="array" ref="N460">INDEX('[1]COUT MOYEN - STOCK'!$G$2:$G$120,MATCH(A460,IF('[1]COUT MOYEN - STOCK'!$B$2:$B$120=G460,'[1]COUT MOYEN - STOCK'!$A$2:$A$120,""),0))</f>
        <v>0.10388630490956073</v>
      </c>
      <c r="O460" s="51">
        <f t="shared" si="22"/>
        <v>300.58463462532302</v>
      </c>
      <c r="P460" s="52">
        <f t="shared" si="23"/>
        <v>1</v>
      </c>
      <c r="Q460" s="37" t="s">
        <v>146</v>
      </c>
    </row>
    <row r="461" spans="1:17" hidden="1">
      <c r="A461" s="29">
        <v>2013</v>
      </c>
      <c r="B461" s="29" t="s">
        <v>164</v>
      </c>
      <c r="C461" s="30" t="s">
        <v>4</v>
      </c>
      <c r="D461" s="24" t="str">
        <f t="array" ref="D461">INDEX([1]PARCELLAIRE!$C$2:$C$85,MATCH(A461,IF([1]PARCELLAIRE!$D$2:$D$85=E461,[1]PARCELLAIRE!$A$2:$A$85,""),0))</f>
        <v>ISIDOR</v>
      </c>
      <c r="E461" s="29" t="s">
        <v>22</v>
      </c>
      <c r="F461" s="31">
        <v>41608</v>
      </c>
      <c r="G461" s="29" t="s">
        <v>108</v>
      </c>
      <c r="H461" s="32" t="s">
        <v>14</v>
      </c>
      <c r="I461" s="24" t="str">
        <f>VLOOKUP(G461,[1]ACHATS!$C:$E,3,0)</f>
        <v>T</v>
      </c>
      <c r="J461" s="24" t="str">
        <f>VLOOKUP(G461,[1]ACHATS!$C:$D,2,0)</f>
        <v>VENTES</v>
      </c>
      <c r="K461" s="33">
        <v>2.734</v>
      </c>
      <c r="L461" s="33">
        <f>VLOOKUP(E461,[1]PARCELLAIRE!$D$2:$F$29,3,0)</f>
        <v>8.58</v>
      </c>
      <c r="M461" s="33">
        <f t="shared" si="21"/>
        <v>23.457719999999998</v>
      </c>
      <c r="N461" s="34">
        <f t="array" ref="N461">INDEX('[1]COUT MOYEN - STOCK'!$G$2:$G$120,MATCH(A461,IF('[1]COUT MOYEN - STOCK'!$B$2:$B$120=G461,'[1]COUT MOYEN - STOCK'!$A$2:$A$120,""),0))</f>
        <v>488.25959079283882</v>
      </c>
      <c r="O461" s="35">
        <f t="shared" si="22"/>
        <v>11453.45676813299</v>
      </c>
      <c r="P461" s="36" t="str">
        <f t="shared" si="23"/>
        <v>Engleyse Route</v>
      </c>
      <c r="Q461" s="37"/>
    </row>
    <row r="462" spans="1:17" hidden="1">
      <c r="A462" s="30">
        <v>2014</v>
      </c>
      <c r="B462" s="30" t="s">
        <v>164</v>
      </c>
      <c r="C462" s="30" t="s">
        <v>47</v>
      </c>
      <c r="D462" s="24" t="str">
        <f t="array" ref="D462">INDEX([1]PARCELLAIRE!$C$2:$C$85,MATCH(A462,IF([1]PARCELLAIRE!$D$2:$D$85=E462,[1]PARCELLAIRE!$A$2:$A$85,""),0))</f>
        <v>SCULPTUR</v>
      </c>
      <c r="E462" s="48" t="s">
        <v>36</v>
      </c>
      <c r="F462" s="49">
        <v>41612</v>
      </c>
      <c r="G462" s="50" t="s">
        <v>56</v>
      </c>
      <c r="H462" s="32" t="s">
        <v>14</v>
      </c>
      <c r="I462" s="24" t="str">
        <f>VLOOKUP(G462,[1]ACHATS!$C:$E,3,0)</f>
        <v>Kg</v>
      </c>
      <c r="J462" s="24" t="str">
        <f>VLOOKUP(G462,[1]ACHATS!$C:$D,2,0)</f>
        <v>SEMENCES</v>
      </c>
      <c r="K462" s="42">
        <v>175</v>
      </c>
      <c r="L462" s="42">
        <f>VLOOKUP(E462,[1]PARCELLAIRE!$D$2:$F$29,3,0)</f>
        <v>4.42</v>
      </c>
      <c r="M462" s="42">
        <f t="shared" si="21"/>
        <v>773.5</v>
      </c>
      <c r="N462" s="34">
        <f t="array" ref="N462">INDEX('[1]COUT MOYEN - STOCK'!$G$2:$G$120,MATCH(A462,IF('[1]COUT MOYEN - STOCK'!$B$2:$B$120=G462,'[1]COUT MOYEN - STOCK'!$A$2:$A$120,""),0))</f>
        <v>0.7352277777777777</v>
      </c>
      <c r="O462" s="51">
        <f t="shared" si="22"/>
        <v>568.6986861111111</v>
      </c>
      <c r="P462" s="52">
        <f t="shared" si="23"/>
        <v>1</v>
      </c>
      <c r="Q462" s="37" t="s">
        <v>146</v>
      </c>
    </row>
    <row r="463" spans="1:17" hidden="1">
      <c r="A463" s="30">
        <v>2014</v>
      </c>
      <c r="B463" s="30" t="s">
        <v>164</v>
      </c>
      <c r="C463" s="30" t="s">
        <v>47</v>
      </c>
      <c r="D463" s="24" t="str">
        <f t="array" ref="D463">INDEX([1]PARCELLAIRE!$C$2:$C$85,MATCH(A463,IF([1]PARCELLAIRE!$D$2:$D$85=E463,[1]PARCELLAIRE!$A$2:$A$85,""),0))</f>
        <v>SCULPTUR</v>
      </c>
      <c r="E463" s="48" t="s">
        <v>37</v>
      </c>
      <c r="F463" s="49">
        <v>41617</v>
      </c>
      <c r="G463" s="50" t="s">
        <v>56</v>
      </c>
      <c r="H463" s="32" t="s">
        <v>14</v>
      </c>
      <c r="I463" s="24" t="str">
        <f>VLOOKUP(G463,[1]ACHATS!$C:$E,3,0)</f>
        <v>Kg</v>
      </c>
      <c r="J463" s="24" t="str">
        <f>VLOOKUP(G463,[1]ACHATS!$C:$D,2,0)</f>
        <v>SEMENCES</v>
      </c>
      <c r="K463" s="42">
        <v>175</v>
      </c>
      <c r="L463" s="42">
        <f>VLOOKUP(E463,[1]PARCELLAIRE!$D$2:$F$29,3,0)</f>
        <v>12.06</v>
      </c>
      <c r="M463" s="42">
        <f t="shared" si="21"/>
        <v>2110.5</v>
      </c>
      <c r="N463" s="34">
        <f t="array" ref="N463">INDEX('[1]COUT MOYEN - STOCK'!$G$2:$G$120,MATCH(A463,IF('[1]COUT MOYEN - STOCK'!$B$2:$B$120=G463,'[1]COUT MOYEN - STOCK'!$A$2:$A$120,""),0))</f>
        <v>0.7352277777777777</v>
      </c>
      <c r="O463" s="51">
        <f t="shared" si="22"/>
        <v>1551.6982249999999</v>
      </c>
      <c r="P463" s="52">
        <f t="shared" si="23"/>
        <v>1</v>
      </c>
      <c r="Q463" s="37" t="s">
        <v>146</v>
      </c>
    </row>
    <row r="464" spans="1:17" hidden="1">
      <c r="A464" s="30">
        <v>2014</v>
      </c>
      <c r="B464" s="30" t="s">
        <v>164</v>
      </c>
      <c r="C464" s="30" t="s">
        <v>47</v>
      </c>
      <c r="D464" s="24" t="str">
        <f t="array" ref="D464">INDEX([1]PARCELLAIRE!$C$2:$C$85,MATCH(A464,IF([1]PARCELLAIRE!$D$2:$D$85=E464,[1]PARCELLAIRE!$A$2:$A$85,""),0))</f>
        <v>SCULPTUR</v>
      </c>
      <c r="E464" s="48" t="s">
        <v>35</v>
      </c>
      <c r="F464" s="49">
        <v>41619</v>
      </c>
      <c r="G464" s="50" t="s">
        <v>56</v>
      </c>
      <c r="H464" s="32" t="s">
        <v>14</v>
      </c>
      <c r="I464" s="24" t="str">
        <f>VLOOKUP(G464,[1]ACHATS!$C:$E,3,0)</f>
        <v>Kg</v>
      </c>
      <c r="J464" s="24" t="str">
        <f>VLOOKUP(G464,[1]ACHATS!$C:$D,2,0)</f>
        <v>SEMENCES</v>
      </c>
      <c r="K464" s="42">
        <v>175</v>
      </c>
      <c r="L464" s="42">
        <f>VLOOKUP(E464,[1]PARCELLAIRE!$D$2:$F$29,3,0)</f>
        <v>4.12</v>
      </c>
      <c r="M464" s="42">
        <f t="shared" si="21"/>
        <v>721</v>
      </c>
      <c r="N464" s="34">
        <f t="array" ref="N464">INDEX('[1]COUT MOYEN - STOCK'!$G$2:$G$120,MATCH(A464,IF('[1]COUT MOYEN - STOCK'!$B$2:$B$120=G464,'[1]COUT MOYEN - STOCK'!$A$2:$A$120,""),0))</f>
        <v>0.7352277777777777</v>
      </c>
      <c r="O464" s="51">
        <f t="shared" si="22"/>
        <v>530.09922777777774</v>
      </c>
      <c r="P464" s="52">
        <f t="shared" si="23"/>
        <v>1</v>
      </c>
      <c r="Q464" s="37" t="s">
        <v>146</v>
      </c>
    </row>
    <row r="465" spans="1:17" hidden="1">
      <c r="A465" s="30">
        <v>2013</v>
      </c>
      <c r="B465" s="30" t="s">
        <v>164</v>
      </c>
      <c r="C465" s="30" t="s">
        <v>43</v>
      </c>
      <c r="D465" s="24" t="str">
        <f t="array" ref="D465">INDEX([1]PARCELLAIRE!$C$2:$C$85,MATCH(A465,IF([1]PARCELLAIRE!$D$2:$D$85=E465,[1]PARCELLAIRE!$A$2:$A$85,""),0))</f>
        <v>SOLEIHO</v>
      </c>
      <c r="E465" s="48" t="s">
        <v>29</v>
      </c>
      <c r="F465" s="49">
        <v>41619</v>
      </c>
      <c r="G465" s="50" t="s">
        <v>0</v>
      </c>
      <c r="H465" s="32" t="s">
        <v>14</v>
      </c>
      <c r="I465" s="24" t="str">
        <f>VLOOKUP(G465,[1]ACHATS!$C:$E,3,0)</f>
        <v>T</v>
      </c>
      <c r="J465" s="24" t="str">
        <f>VLOOKUP(G465,[1]ACHATS!$C:$D,2,0)</f>
        <v>VENTES</v>
      </c>
      <c r="K465" s="42">
        <v>1.73</v>
      </c>
      <c r="L465" s="33">
        <f>VLOOKUP(E465,[1]PARCELLAIRE!$D$2:$F$29,3,0)</f>
        <v>17.55</v>
      </c>
      <c r="M465" s="42">
        <f t="shared" si="21"/>
        <v>30.361499999999999</v>
      </c>
      <c r="N465" s="34">
        <f t="array" ref="N465">INDEX('[1]COUT MOYEN - STOCK'!$G$2:$G$120,MATCH(A465,IF('[1]COUT MOYEN - STOCK'!$B$2:$B$120=G465,'[1]COUT MOYEN - STOCK'!$A$2:$A$120,""),0))</f>
        <v>190.27362691736761</v>
      </c>
      <c r="O465" s="51">
        <f t="shared" si="22"/>
        <v>5776.9927236516569</v>
      </c>
      <c r="P465" s="52" t="str">
        <f t="shared" si="23"/>
        <v>Labaou Plaine</v>
      </c>
      <c r="Q465" s="37" t="s">
        <v>14</v>
      </c>
    </row>
    <row r="466" spans="1:17" hidden="1">
      <c r="A466" s="30">
        <v>2014</v>
      </c>
      <c r="B466" s="30" t="s">
        <v>164</v>
      </c>
      <c r="C466" s="30" t="s">
        <v>43</v>
      </c>
      <c r="D466" s="24" t="str">
        <f t="array" ref="D466">INDEX([1]PARCELLAIRE!$C$2:$C$85,MATCH(A466,IF([1]PARCELLAIRE!$D$2:$D$85=E466,[1]PARCELLAIRE!$A$2:$A$85,""),0))</f>
        <v>ASCOTT</v>
      </c>
      <c r="E466" s="48" t="s">
        <v>21</v>
      </c>
      <c r="F466" s="49">
        <v>41680</v>
      </c>
      <c r="G466" s="50" t="s">
        <v>109</v>
      </c>
      <c r="H466" s="32" t="s">
        <v>147</v>
      </c>
      <c r="I466" s="24" t="str">
        <f>VLOOKUP(G466,[1]ACHATS!$C:$E,3,0)</f>
        <v>Kg</v>
      </c>
      <c r="J466" s="24" t="str">
        <f>VLOOKUP(G466,[1]ACHATS!$C:$D,2,0)</f>
        <v>AZOTE</v>
      </c>
      <c r="K466" s="42">
        <v>80</v>
      </c>
      <c r="L466" s="42">
        <f>VLOOKUP(E466,[1]PARCELLAIRE!$D$2:$F$29,3,0)</f>
        <v>10.93</v>
      </c>
      <c r="M466" s="42">
        <f t="shared" si="21"/>
        <v>874.4</v>
      </c>
      <c r="N466" s="34">
        <f t="array" ref="N466">INDEX('[1]COUT MOYEN - STOCK'!$G$2:$G$120,MATCH(A466,IF('[1]COUT MOYEN - STOCK'!$B$2:$B$120=G466,'[1]COUT MOYEN - STOCK'!$A$2:$A$120,""),0))</f>
        <v>0.33867396208124378</v>
      </c>
      <c r="O466" s="51">
        <f t="shared" si="22"/>
        <v>296.13651244383954</v>
      </c>
      <c r="P466" s="52">
        <f t="shared" si="23"/>
        <v>1</v>
      </c>
      <c r="Q466" s="37" t="s">
        <v>148</v>
      </c>
    </row>
    <row r="467" spans="1:17" hidden="1">
      <c r="A467" s="30">
        <v>2014</v>
      </c>
      <c r="B467" s="30" t="s">
        <v>164</v>
      </c>
      <c r="C467" s="30" t="s">
        <v>43</v>
      </c>
      <c r="D467" s="24" t="str">
        <f t="array" ref="D467">INDEX([1]PARCELLAIRE!$C$2:$C$85,MATCH(A467,IF([1]PARCELLAIRE!$D$2:$D$85=E467,[1]PARCELLAIRE!$A$2:$A$85,""),0))</f>
        <v>ASCOTT</v>
      </c>
      <c r="E467" s="48" t="s">
        <v>22</v>
      </c>
      <c r="F467" s="49">
        <v>41680</v>
      </c>
      <c r="G467" s="50" t="s">
        <v>109</v>
      </c>
      <c r="H467" s="32" t="s">
        <v>147</v>
      </c>
      <c r="I467" s="24" t="str">
        <f>VLOOKUP(G467,[1]ACHATS!$C:$E,3,0)</f>
        <v>Kg</v>
      </c>
      <c r="J467" s="24" t="str">
        <f>VLOOKUP(G467,[1]ACHATS!$C:$D,2,0)</f>
        <v>AZOTE</v>
      </c>
      <c r="K467" s="42">
        <v>80</v>
      </c>
      <c r="L467" s="42">
        <f>VLOOKUP(E467,[1]PARCELLAIRE!$D$2:$F$29,3,0)</f>
        <v>8.58</v>
      </c>
      <c r="M467" s="42">
        <f t="shared" si="21"/>
        <v>686.4</v>
      </c>
      <c r="N467" s="34">
        <f t="array" ref="N467">INDEX('[1]COUT MOYEN - STOCK'!$G$2:$G$120,MATCH(A467,IF('[1]COUT MOYEN - STOCK'!$B$2:$B$120=G467,'[1]COUT MOYEN - STOCK'!$A$2:$A$120,""),0))</f>
        <v>0.33867396208124378</v>
      </c>
      <c r="O467" s="51">
        <f t="shared" si="22"/>
        <v>232.46580757256572</v>
      </c>
      <c r="P467" s="52">
        <f t="shared" si="23"/>
        <v>1</v>
      </c>
      <c r="Q467" s="37" t="s">
        <v>148</v>
      </c>
    </row>
    <row r="468" spans="1:17" hidden="1">
      <c r="A468" s="30">
        <v>2014</v>
      </c>
      <c r="B468" s="30" t="s">
        <v>164</v>
      </c>
      <c r="C468" s="30" t="s">
        <v>43</v>
      </c>
      <c r="D468" s="24" t="str">
        <f t="array" ref="D468">INDEX([1]PARCELLAIRE!$C$2:$C$85,MATCH(A468,IF([1]PARCELLAIRE!$D$2:$D$85=E468,[1]PARCELLAIRE!$A$2:$A$85,""),0))</f>
        <v>SOLEIHO</v>
      </c>
      <c r="E468" s="48" t="s">
        <v>18</v>
      </c>
      <c r="F468" s="49">
        <v>41680</v>
      </c>
      <c r="G468" s="50" t="s">
        <v>109</v>
      </c>
      <c r="H468" s="32" t="s">
        <v>147</v>
      </c>
      <c r="I468" s="24" t="str">
        <f>VLOOKUP(G468,[1]ACHATS!$C:$E,3,0)</f>
        <v>Kg</v>
      </c>
      <c r="J468" s="24" t="str">
        <f>VLOOKUP(G468,[1]ACHATS!$C:$D,2,0)</f>
        <v>AZOTE</v>
      </c>
      <c r="K468" s="42">
        <v>80</v>
      </c>
      <c r="L468" s="42">
        <f>VLOOKUP(E468,[1]PARCELLAIRE!$D$2:$F$29,3,0)</f>
        <v>2.33</v>
      </c>
      <c r="M468" s="42">
        <f t="shared" si="21"/>
        <v>186.4</v>
      </c>
      <c r="N468" s="34">
        <f t="array" ref="N468">INDEX('[1]COUT MOYEN - STOCK'!$G$2:$G$120,MATCH(A468,IF('[1]COUT MOYEN - STOCK'!$B$2:$B$120=G468,'[1]COUT MOYEN - STOCK'!$A$2:$A$120,""),0))</f>
        <v>0.33867396208124378</v>
      </c>
      <c r="O468" s="51">
        <f t="shared" si="22"/>
        <v>63.128826531943844</v>
      </c>
      <c r="P468" s="52">
        <f t="shared" si="23"/>
        <v>1</v>
      </c>
      <c r="Q468" s="37" t="s">
        <v>148</v>
      </c>
    </row>
    <row r="469" spans="1:17" hidden="1">
      <c r="A469" s="30">
        <v>2014</v>
      </c>
      <c r="B469" s="30" t="s">
        <v>164</v>
      </c>
      <c r="C469" s="30" t="s">
        <v>47</v>
      </c>
      <c r="D469" s="24" t="str">
        <f t="array" ref="D469">INDEX([1]PARCELLAIRE!$C$2:$C$85,MATCH(A469,IF([1]PARCELLAIRE!$D$2:$D$85=E469,[1]PARCELLAIRE!$A$2:$A$85,""),0))</f>
        <v>MIRADOUX / FLORIDOU</v>
      </c>
      <c r="E469" s="48" t="s">
        <v>33</v>
      </c>
      <c r="F469" s="49">
        <v>41680</v>
      </c>
      <c r="G469" s="50" t="s">
        <v>109</v>
      </c>
      <c r="H469" s="32" t="s">
        <v>147</v>
      </c>
      <c r="I469" s="24" t="str">
        <f>VLOOKUP(G469,[1]ACHATS!$C:$E,3,0)</f>
        <v>Kg</v>
      </c>
      <c r="J469" s="24" t="str">
        <f>VLOOKUP(G469,[1]ACHATS!$C:$D,2,0)</f>
        <v>AZOTE</v>
      </c>
      <c r="K469" s="42">
        <v>80</v>
      </c>
      <c r="L469" s="42">
        <f>VLOOKUP(E469,[1]PARCELLAIRE!$D$2:$F$29,3,0)</f>
        <v>21.88</v>
      </c>
      <c r="M469" s="42">
        <f t="shared" si="21"/>
        <v>1750.3999999999999</v>
      </c>
      <c r="N469" s="34">
        <f t="array" ref="N469">INDEX('[1]COUT MOYEN - STOCK'!$G$2:$G$120,MATCH(A469,IF('[1]COUT MOYEN - STOCK'!$B$2:$B$120=G469,'[1]COUT MOYEN - STOCK'!$A$2:$A$120,""),0))</f>
        <v>0.33867396208124378</v>
      </c>
      <c r="O469" s="51">
        <f t="shared" si="22"/>
        <v>592.81490322700904</v>
      </c>
      <c r="P469" s="52">
        <f t="shared" si="23"/>
        <v>1</v>
      </c>
      <c r="Q469" s="37" t="s">
        <v>148</v>
      </c>
    </row>
    <row r="470" spans="1:17" hidden="1">
      <c r="A470" s="30">
        <v>2013</v>
      </c>
      <c r="B470" s="30" t="s">
        <v>164</v>
      </c>
      <c r="C470" s="30" t="s">
        <v>39</v>
      </c>
      <c r="D470" s="24" t="str">
        <f t="array" ref="D470">INDEX([1]PARCELLAIRE!$C$2:$C$85,MATCH(A470,IF([1]PARCELLAIRE!$D$2:$D$85=E470,[1]PARCELLAIRE!$A$2:$A$85,""),0))</f>
        <v>LG5474</v>
      </c>
      <c r="E470" s="48" t="s">
        <v>34</v>
      </c>
      <c r="F470" s="49">
        <v>41683</v>
      </c>
      <c r="G470" s="50" t="s">
        <v>2</v>
      </c>
      <c r="H470" s="32" t="s">
        <v>14</v>
      </c>
      <c r="I470" s="24" t="str">
        <f>VLOOKUP(G470,[1]ACHATS!$C:$E,3,0)</f>
        <v>T</v>
      </c>
      <c r="J470" s="24" t="str">
        <f>VLOOKUP(G470,[1]ACHATS!$C:$D,2,0)</f>
        <v>VENTES</v>
      </c>
      <c r="K470" s="42">
        <v>1.79</v>
      </c>
      <c r="L470" s="42">
        <f>VLOOKUP(E470,[1]PARCELLAIRE!$D$2:$F$29,3,0)</f>
        <v>5.67</v>
      </c>
      <c r="M470" s="42">
        <f t="shared" si="21"/>
        <v>10.1493</v>
      </c>
      <c r="N470" s="34">
        <f t="array" ref="N470">INDEX('[1]COUT MOYEN - STOCK'!$G$2:$G$120,MATCH(A470,IF('[1]COUT MOYEN - STOCK'!$B$2:$B$120=G470,'[1]COUT MOYEN - STOCK'!$A$2:$A$120,""),0))</f>
        <v>365.42807731434391</v>
      </c>
      <c r="O470" s="51">
        <f t="shared" si="22"/>
        <v>3708.8391850864709</v>
      </c>
      <c r="P470" s="52" t="str">
        <f t="shared" si="23"/>
        <v>Moulin Côteau</v>
      </c>
      <c r="Q470" s="37" t="s">
        <v>14</v>
      </c>
    </row>
    <row r="471" spans="1:17" hidden="1">
      <c r="A471" s="30">
        <v>2013</v>
      </c>
      <c r="B471" s="30" t="s">
        <v>164</v>
      </c>
      <c r="C471" s="30" t="s">
        <v>39</v>
      </c>
      <c r="D471" s="24" t="str">
        <f t="array" ref="D471">INDEX([1]PARCELLAIRE!$C$2:$C$85,MATCH(A471,IF([1]PARCELLAIRE!$D$2:$D$85=E471,[1]PARCELLAIRE!$A$2:$A$85,""),0))</f>
        <v>LG5474</v>
      </c>
      <c r="E471" s="48" t="s">
        <v>16</v>
      </c>
      <c r="F471" s="49">
        <v>41683</v>
      </c>
      <c r="G471" s="50" t="s">
        <v>2</v>
      </c>
      <c r="H471" s="32" t="s">
        <v>14</v>
      </c>
      <c r="I471" s="24" t="str">
        <f>VLOOKUP(G471,[1]ACHATS!$C:$E,3,0)</f>
        <v>T</v>
      </c>
      <c r="J471" s="24" t="str">
        <f>VLOOKUP(G471,[1]ACHATS!$C:$D,2,0)</f>
        <v>VENTES</v>
      </c>
      <c r="K471" s="42">
        <v>1.79</v>
      </c>
      <c r="L471" s="42">
        <f>VLOOKUP(E471,[1]PARCELLAIRE!$D$2:$F$29,3,0)</f>
        <v>5.17</v>
      </c>
      <c r="M471" s="42">
        <f t="shared" si="21"/>
        <v>9.2543000000000006</v>
      </c>
      <c r="N471" s="34">
        <f t="array" ref="N471">INDEX('[1]COUT MOYEN - STOCK'!$G$2:$G$120,MATCH(A471,IF('[1]COUT MOYEN - STOCK'!$B$2:$B$120=G471,'[1]COUT MOYEN - STOCK'!$A$2:$A$120,""),0))</f>
        <v>365.42807731434391</v>
      </c>
      <c r="O471" s="51">
        <f t="shared" si="22"/>
        <v>3381.7810558901328</v>
      </c>
      <c r="P471" s="52" t="str">
        <f t="shared" si="23"/>
        <v>Andres</v>
      </c>
      <c r="Q471" s="37" t="s">
        <v>14</v>
      </c>
    </row>
    <row r="472" spans="1:17" hidden="1">
      <c r="A472" s="30">
        <v>2013</v>
      </c>
      <c r="B472" s="30" t="s">
        <v>164</v>
      </c>
      <c r="C472" s="30" t="s">
        <v>39</v>
      </c>
      <c r="D472" s="24" t="str">
        <f t="array" ref="D472">INDEX([1]PARCELLAIRE!$C$2:$C$85,MATCH(A472,IF([1]PARCELLAIRE!$D$2:$D$85=E472,[1]PARCELLAIRE!$A$2:$A$85,""),0))</f>
        <v>SY SAMIN</v>
      </c>
      <c r="E472" s="48" t="s">
        <v>36</v>
      </c>
      <c r="F472" s="49">
        <v>41683</v>
      </c>
      <c r="G472" s="50" t="s">
        <v>2</v>
      </c>
      <c r="H472" s="32" t="s">
        <v>14</v>
      </c>
      <c r="I472" s="24" t="str">
        <f>VLOOKUP(G472,[1]ACHATS!$C:$E,3,0)</f>
        <v>T</v>
      </c>
      <c r="J472" s="24" t="str">
        <f>VLOOKUP(G472,[1]ACHATS!$C:$D,2,0)</f>
        <v>VENTES</v>
      </c>
      <c r="K472" s="42">
        <v>1.8939999999999999</v>
      </c>
      <c r="L472" s="42">
        <f>VLOOKUP(E472,[1]PARCELLAIRE!$D$2:$F$29,3,0)</f>
        <v>4.42</v>
      </c>
      <c r="M472" s="42">
        <f t="shared" si="21"/>
        <v>8.37148</v>
      </c>
      <c r="N472" s="34">
        <f t="array" ref="N472">INDEX('[1]COUT MOYEN - STOCK'!$G$2:$G$120,MATCH(A472,IF('[1]COUT MOYEN - STOCK'!$B$2:$B$120=G472,'[1]COUT MOYEN - STOCK'!$A$2:$A$120,""),0))</f>
        <v>365.42807731434391</v>
      </c>
      <c r="O472" s="51">
        <f t="shared" si="22"/>
        <v>3059.1738406754839</v>
      </c>
      <c r="P472" s="52" t="str">
        <f t="shared" si="23"/>
        <v>Picotalène Nord</v>
      </c>
      <c r="Q472" s="37" t="s">
        <v>14</v>
      </c>
    </row>
    <row r="473" spans="1:17" hidden="1">
      <c r="A473" s="30">
        <v>2013</v>
      </c>
      <c r="B473" s="30" t="s">
        <v>164</v>
      </c>
      <c r="C473" s="30" t="s">
        <v>39</v>
      </c>
      <c r="D473" s="24" t="str">
        <f t="array" ref="D473">INDEX([1]PARCELLAIRE!$C$2:$C$85,MATCH(A473,IF([1]PARCELLAIRE!$D$2:$D$85=E473,[1]PARCELLAIRE!$A$2:$A$85,""),0))</f>
        <v>SY SAMIN</v>
      </c>
      <c r="E473" s="48" t="s">
        <v>18</v>
      </c>
      <c r="F473" s="49">
        <v>41683</v>
      </c>
      <c r="G473" s="50" t="s">
        <v>2</v>
      </c>
      <c r="H473" s="32" t="s">
        <v>14</v>
      </c>
      <c r="I473" s="24" t="str">
        <f>VLOOKUP(G473,[1]ACHATS!$C:$E,3,0)</f>
        <v>T</v>
      </c>
      <c r="J473" s="24" t="str">
        <f>VLOOKUP(G473,[1]ACHATS!$C:$D,2,0)</f>
        <v>VENTES</v>
      </c>
      <c r="K473" s="42">
        <v>1.8939999999999999</v>
      </c>
      <c r="L473" s="42">
        <f>VLOOKUP(E473,[1]PARCELLAIRE!$D$2:$F$29,3,0)</f>
        <v>2.33</v>
      </c>
      <c r="M473" s="42">
        <f t="shared" si="21"/>
        <v>4.4130199999999995</v>
      </c>
      <c r="N473" s="34">
        <f t="array" ref="N473">INDEX('[1]COUT MOYEN - STOCK'!$G$2:$G$120,MATCH(A473,IF('[1]COUT MOYEN - STOCK'!$B$2:$B$120=G473,'[1]COUT MOYEN - STOCK'!$A$2:$A$120,""),0))</f>
        <v>365.42807731434391</v>
      </c>
      <c r="O473" s="51">
        <f t="shared" si="22"/>
        <v>1612.6414137497459</v>
      </c>
      <c r="P473" s="52" t="str">
        <f t="shared" si="23"/>
        <v>Bousquet Pourtanel</v>
      </c>
      <c r="Q473" s="37" t="s">
        <v>14</v>
      </c>
    </row>
    <row r="474" spans="1:17" hidden="1">
      <c r="A474" s="30">
        <v>2014</v>
      </c>
      <c r="B474" s="30" t="s">
        <v>164</v>
      </c>
      <c r="C474" s="30" t="s">
        <v>47</v>
      </c>
      <c r="D474" s="24" t="str">
        <f t="array" ref="D474">INDEX([1]PARCELLAIRE!$C$2:$C$85,MATCH(A474,IF([1]PARCELLAIRE!$D$2:$D$85=E474,[1]PARCELLAIRE!$A$2:$A$85,""),0))</f>
        <v>PESCADOUX</v>
      </c>
      <c r="E474" s="48" t="s">
        <v>16</v>
      </c>
      <c r="F474" s="49">
        <v>41683</v>
      </c>
      <c r="G474" s="50" t="s">
        <v>109</v>
      </c>
      <c r="H474" s="32" t="s">
        <v>147</v>
      </c>
      <c r="I474" s="24" t="str">
        <f>VLOOKUP(G474,[1]ACHATS!$C:$E,3,0)</f>
        <v>Kg</v>
      </c>
      <c r="J474" s="24" t="str">
        <f>VLOOKUP(G474,[1]ACHATS!$C:$D,2,0)</f>
        <v>AZOTE</v>
      </c>
      <c r="K474" s="42">
        <v>80</v>
      </c>
      <c r="L474" s="42">
        <f>VLOOKUP(E474,[1]PARCELLAIRE!$D$2:$F$29,3,0)</f>
        <v>5.17</v>
      </c>
      <c r="M474" s="42">
        <f t="shared" si="21"/>
        <v>413.6</v>
      </c>
      <c r="N474" s="34">
        <f t="array" ref="N474">INDEX('[1]COUT MOYEN - STOCK'!$G$2:$G$120,MATCH(A474,IF('[1]COUT MOYEN - STOCK'!$B$2:$B$120=G474,'[1]COUT MOYEN - STOCK'!$A$2:$A$120,""),0))</f>
        <v>0.33867396208124378</v>
      </c>
      <c r="O474" s="51">
        <f t="shared" si="22"/>
        <v>140.07555071680244</v>
      </c>
      <c r="P474" s="52">
        <f t="shared" si="23"/>
        <v>1</v>
      </c>
      <c r="Q474" s="37" t="s">
        <v>148</v>
      </c>
    </row>
    <row r="475" spans="1:17" hidden="1">
      <c r="A475" s="30">
        <v>2014</v>
      </c>
      <c r="B475" s="30" t="s">
        <v>164</v>
      </c>
      <c r="C475" s="30" t="s">
        <v>47</v>
      </c>
      <c r="D475" s="24" t="str">
        <f t="array" ref="D475">INDEX([1]PARCELLAIRE!$C$2:$C$85,MATCH(A475,IF([1]PARCELLAIRE!$D$2:$D$85=E475,[1]PARCELLAIRE!$A$2:$A$85,""),0))</f>
        <v>PESCADOUX</v>
      </c>
      <c r="E475" s="48" t="s">
        <v>34</v>
      </c>
      <c r="F475" s="49">
        <v>41683</v>
      </c>
      <c r="G475" s="50" t="s">
        <v>109</v>
      </c>
      <c r="H475" s="32" t="s">
        <v>147</v>
      </c>
      <c r="I475" s="24" t="str">
        <f>VLOOKUP(G475,[1]ACHATS!$C:$E,3,0)</f>
        <v>Kg</v>
      </c>
      <c r="J475" s="24" t="str">
        <f>VLOOKUP(G475,[1]ACHATS!$C:$D,2,0)</f>
        <v>AZOTE</v>
      </c>
      <c r="K475" s="42">
        <v>80</v>
      </c>
      <c r="L475" s="42">
        <f>VLOOKUP(E475,[1]PARCELLAIRE!$D$2:$F$29,3,0)</f>
        <v>5.67</v>
      </c>
      <c r="M475" s="42">
        <f t="shared" si="21"/>
        <v>453.6</v>
      </c>
      <c r="N475" s="34">
        <f t="array" ref="N475">INDEX('[1]COUT MOYEN - STOCK'!$G$2:$G$120,MATCH(A475,IF('[1]COUT MOYEN - STOCK'!$B$2:$B$120=G475,'[1]COUT MOYEN - STOCK'!$A$2:$A$120,""),0))</f>
        <v>0.33867396208124378</v>
      </c>
      <c r="O475" s="51">
        <f t="shared" si="22"/>
        <v>153.62250920005218</v>
      </c>
      <c r="P475" s="52">
        <f t="shared" si="23"/>
        <v>1</v>
      </c>
      <c r="Q475" s="37" t="s">
        <v>148</v>
      </c>
    </row>
    <row r="476" spans="1:17" hidden="1">
      <c r="A476" s="30">
        <v>2014</v>
      </c>
      <c r="B476" s="30" t="s">
        <v>164</v>
      </c>
      <c r="C476" s="30" t="s">
        <v>47</v>
      </c>
      <c r="D476" s="24" t="str">
        <f t="array" ref="D476">INDEX([1]PARCELLAIRE!$C$2:$C$85,MATCH(A476,IF([1]PARCELLAIRE!$D$2:$D$85=E476,[1]PARCELLAIRE!$A$2:$A$85,""),0))</f>
        <v>SCULPTUR</v>
      </c>
      <c r="E476" s="48" t="s">
        <v>35</v>
      </c>
      <c r="F476" s="49">
        <v>41683</v>
      </c>
      <c r="G476" s="50" t="s">
        <v>109</v>
      </c>
      <c r="H476" s="32" t="s">
        <v>149</v>
      </c>
      <c r="I476" s="24" t="str">
        <f>VLOOKUP(G476,[1]ACHATS!$C:$E,3,0)</f>
        <v>Kg</v>
      </c>
      <c r="J476" s="24" t="str">
        <f>VLOOKUP(G476,[1]ACHATS!$C:$D,2,0)</f>
        <v>AZOTE</v>
      </c>
      <c r="K476" s="42">
        <v>80</v>
      </c>
      <c r="L476" s="42">
        <f>VLOOKUP(E476,[1]PARCELLAIRE!$D$2:$F$29,3,0)</f>
        <v>4.12</v>
      </c>
      <c r="M476" s="42">
        <f t="shared" si="21"/>
        <v>329.6</v>
      </c>
      <c r="N476" s="34">
        <f t="array" ref="N476">INDEX('[1]COUT MOYEN - STOCK'!$G$2:$G$120,MATCH(A476,IF('[1]COUT MOYEN - STOCK'!$B$2:$B$120=G476,'[1]COUT MOYEN - STOCK'!$A$2:$A$120,""),0))</f>
        <v>0.33867396208124378</v>
      </c>
      <c r="O476" s="51">
        <f t="shared" si="22"/>
        <v>111.62693790197795</v>
      </c>
      <c r="P476" s="52">
        <f t="shared" si="23"/>
        <v>1</v>
      </c>
      <c r="Q476" s="37" t="s">
        <v>148</v>
      </c>
    </row>
    <row r="477" spans="1:17" hidden="1">
      <c r="A477" s="30">
        <v>2014</v>
      </c>
      <c r="B477" s="30" t="s">
        <v>164</v>
      </c>
      <c r="C477" s="30" t="s">
        <v>47</v>
      </c>
      <c r="D477" s="24" t="str">
        <f t="array" ref="D477">INDEX([1]PARCELLAIRE!$C$2:$C$85,MATCH(A477,IF([1]PARCELLAIRE!$D$2:$D$85=E477,[1]PARCELLAIRE!$A$2:$A$85,""),0))</f>
        <v>SCULPTUR</v>
      </c>
      <c r="E477" s="48" t="s">
        <v>36</v>
      </c>
      <c r="F477" s="49">
        <v>41683</v>
      </c>
      <c r="G477" s="50" t="s">
        <v>109</v>
      </c>
      <c r="H477" s="32" t="s">
        <v>149</v>
      </c>
      <c r="I477" s="24" t="str">
        <f>VLOOKUP(G477,[1]ACHATS!$C:$E,3,0)</f>
        <v>Kg</v>
      </c>
      <c r="J477" s="24" t="str">
        <f>VLOOKUP(G477,[1]ACHATS!$C:$D,2,0)</f>
        <v>AZOTE</v>
      </c>
      <c r="K477" s="42">
        <v>80</v>
      </c>
      <c r="L477" s="42">
        <f>VLOOKUP(E477,[1]PARCELLAIRE!$D$2:$F$29,3,0)</f>
        <v>4.42</v>
      </c>
      <c r="M477" s="42">
        <f t="shared" si="21"/>
        <v>353.6</v>
      </c>
      <c r="N477" s="34">
        <f t="array" ref="N477">INDEX('[1]COUT MOYEN - STOCK'!$G$2:$G$120,MATCH(A477,IF('[1]COUT MOYEN - STOCK'!$B$2:$B$120=G477,'[1]COUT MOYEN - STOCK'!$A$2:$A$120,""),0))</f>
        <v>0.33867396208124378</v>
      </c>
      <c r="O477" s="51">
        <f t="shared" si="22"/>
        <v>119.75511299192782</v>
      </c>
      <c r="P477" s="52">
        <f t="shared" si="23"/>
        <v>1</v>
      </c>
      <c r="Q477" s="37" t="s">
        <v>148</v>
      </c>
    </row>
    <row r="478" spans="1:17" hidden="1">
      <c r="A478" s="30">
        <v>2014</v>
      </c>
      <c r="B478" s="30" t="s">
        <v>164</v>
      </c>
      <c r="C478" s="30" t="s">
        <v>47</v>
      </c>
      <c r="D478" s="24" t="str">
        <f t="array" ref="D478">INDEX([1]PARCELLAIRE!$C$2:$C$85,MATCH(A478,IF([1]PARCELLAIRE!$D$2:$D$85=E478,[1]PARCELLAIRE!$A$2:$A$85,""),0))</f>
        <v>SCULPTUR</v>
      </c>
      <c r="E478" s="48" t="s">
        <v>37</v>
      </c>
      <c r="F478" s="49">
        <v>41683</v>
      </c>
      <c r="G478" s="50" t="s">
        <v>109</v>
      </c>
      <c r="H478" s="32" t="s">
        <v>149</v>
      </c>
      <c r="I478" s="24" t="str">
        <f>VLOOKUP(G478,[1]ACHATS!$C:$E,3,0)</f>
        <v>Kg</v>
      </c>
      <c r="J478" s="24" t="str">
        <f>VLOOKUP(G478,[1]ACHATS!$C:$D,2,0)</f>
        <v>AZOTE</v>
      </c>
      <c r="K478" s="42">
        <v>80</v>
      </c>
      <c r="L478" s="42">
        <f>VLOOKUP(E478,[1]PARCELLAIRE!$D$2:$F$29,3,0)</f>
        <v>12.06</v>
      </c>
      <c r="M478" s="42">
        <f t="shared" si="21"/>
        <v>964.80000000000007</v>
      </c>
      <c r="N478" s="34">
        <f t="array" ref="N478">INDEX('[1]COUT MOYEN - STOCK'!$G$2:$G$120,MATCH(A478,IF('[1]COUT MOYEN - STOCK'!$B$2:$B$120=G478,'[1]COUT MOYEN - STOCK'!$A$2:$A$120,""),0))</f>
        <v>0.33867396208124378</v>
      </c>
      <c r="O478" s="51">
        <f t="shared" si="22"/>
        <v>326.75263861598404</v>
      </c>
      <c r="P478" s="52">
        <f t="shared" si="23"/>
        <v>1</v>
      </c>
      <c r="Q478" s="37" t="s">
        <v>148</v>
      </c>
    </row>
    <row r="479" spans="1:17" hidden="1">
      <c r="A479" s="29">
        <v>2014</v>
      </c>
      <c r="B479" s="29" t="s">
        <v>164</v>
      </c>
      <c r="C479" s="30" t="s">
        <v>43</v>
      </c>
      <c r="D479" s="24" t="str">
        <f t="array" ref="D479">INDEX([1]PARCELLAIRE!$C$2:$C$85,MATCH(A479,IF([1]PARCELLAIRE!$D$2:$D$85=E479,[1]PARCELLAIRE!$A$2:$A$85,""),0))</f>
        <v>SOLEIHO</v>
      </c>
      <c r="E479" s="29" t="s">
        <v>27</v>
      </c>
      <c r="F479" s="31">
        <v>41688</v>
      </c>
      <c r="G479" s="29" t="s">
        <v>109</v>
      </c>
      <c r="H479" s="32" t="s">
        <v>149</v>
      </c>
      <c r="I479" s="24" t="str">
        <f>VLOOKUP(G479,[1]ACHATS!$C:$E,3,0)</f>
        <v>Kg</v>
      </c>
      <c r="J479" s="24" t="str">
        <f>VLOOKUP(G479,[1]ACHATS!$C:$D,2,0)</f>
        <v>AZOTE</v>
      </c>
      <c r="K479" s="33">
        <v>80</v>
      </c>
      <c r="L479" s="33">
        <f>VLOOKUP(E479,[1]PARCELLAIRE!$D$2:$F$29,3,0)</f>
        <v>15.64</v>
      </c>
      <c r="M479" s="33">
        <f t="shared" si="21"/>
        <v>1251.2</v>
      </c>
      <c r="N479" s="34">
        <f t="array" ref="N479">INDEX('[1]COUT MOYEN - STOCK'!$G$2:$G$120,MATCH(A479,IF('[1]COUT MOYEN - STOCK'!$B$2:$B$120=G479,'[1]COUT MOYEN - STOCK'!$A$2:$A$120,""),0))</f>
        <v>0.33867396208124378</v>
      </c>
      <c r="O479" s="35">
        <f t="shared" si="22"/>
        <v>423.74886135605226</v>
      </c>
      <c r="P479" s="36">
        <f t="shared" si="23"/>
        <v>1</v>
      </c>
      <c r="Q479" s="37" t="s">
        <v>150</v>
      </c>
    </row>
    <row r="480" spans="1:17" hidden="1">
      <c r="A480" s="29">
        <v>2014</v>
      </c>
      <c r="B480" s="29" t="s">
        <v>164</v>
      </c>
      <c r="C480" s="30" t="s">
        <v>43</v>
      </c>
      <c r="D480" s="24" t="str">
        <f t="array" ref="D480">INDEX([1]PARCELLAIRE!$C$2:$C$85,MATCH(A480,IF([1]PARCELLAIRE!$D$2:$D$85=E480,[1]PARCELLAIRE!$A$2:$A$85,""),0))</f>
        <v>ASCOTT</v>
      </c>
      <c r="E480" s="29" t="s">
        <v>21</v>
      </c>
      <c r="F480" s="31">
        <v>41688</v>
      </c>
      <c r="G480" s="29" t="s">
        <v>109</v>
      </c>
      <c r="H480" s="32" t="s">
        <v>147</v>
      </c>
      <c r="I480" s="24" t="str">
        <f>VLOOKUP(G480,[1]ACHATS!$C:$E,3,0)</f>
        <v>Kg</v>
      </c>
      <c r="J480" s="24" t="str">
        <f>VLOOKUP(G480,[1]ACHATS!$C:$D,2,0)</f>
        <v>AZOTE</v>
      </c>
      <c r="K480" s="33">
        <v>80</v>
      </c>
      <c r="L480" s="33">
        <v>2.5</v>
      </c>
      <c r="M480" s="33">
        <f t="shared" si="21"/>
        <v>200</v>
      </c>
      <c r="N480" s="34">
        <f t="array" ref="N480">INDEX('[1]COUT MOYEN - STOCK'!$G$2:$G$120,MATCH(A480,IF('[1]COUT MOYEN - STOCK'!$B$2:$B$120=G480,'[1]COUT MOYEN - STOCK'!$A$2:$A$120,""),0))</f>
        <v>0.33867396208124378</v>
      </c>
      <c r="O480" s="35">
        <f t="shared" si="22"/>
        <v>67.734792416248752</v>
      </c>
      <c r="P480" s="36">
        <f t="shared" si="23"/>
        <v>1</v>
      </c>
      <c r="Q480" s="37" t="s">
        <v>151</v>
      </c>
    </row>
    <row r="481" spans="1:17" hidden="1">
      <c r="A481" s="29">
        <v>2014</v>
      </c>
      <c r="B481" s="29" t="s">
        <v>164</v>
      </c>
      <c r="C481" s="30" t="s">
        <v>43</v>
      </c>
      <c r="D481" s="24" t="str">
        <f t="array" ref="D481">INDEX([1]PARCELLAIRE!$C$2:$C$85,MATCH(A481,IF([1]PARCELLAIRE!$D$2:$D$85=E481,[1]PARCELLAIRE!$A$2:$A$85,""),0))</f>
        <v>SOLEIHO</v>
      </c>
      <c r="E481" s="29" t="s">
        <v>26</v>
      </c>
      <c r="F481" s="31">
        <v>41688</v>
      </c>
      <c r="G481" s="29" t="s">
        <v>109</v>
      </c>
      <c r="H481" s="32" t="s">
        <v>149</v>
      </c>
      <c r="I481" s="24" t="str">
        <f>VLOOKUP(G481,[1]ACHATS!$C:$E,3,0)</f>
        <v>Kg</v>
      </c>
      <c r="J481" s="24" t="str">
        <f>VLOOKUP(G481,[1]ACHATS!$C:$D,2,0)</f>
        <v>AZOTE</v>
      </c>
      <c r="K481" s="33">
        <v>80</v>
      </c>
      <c r="L481" s="33">
        <f>VLOOKUP(E481,[1]PARCELLAIRE!$D$2:$F$29,3,0)</f>
        <v>5.26</v>
      </c>
      <c r="M481" s="33">
        <f t="shared" si="21"/>
        <v>420.79999999999995</v>
      </c>
      <c r="N481" s="34">
        <f t="array" ref="N481">INDEX('[1]COUT MOYEN - STOCK'!$G$2:$G$120,MATCH(A481,IF('[1]COUT MOYEN - STOCK'!$B$2:$B$120=G481,'[1]COUT MOYEN - STOCK'!$A$2:$A$120,""),0))</f>
        <v>0.33867396208124378</v>
      </c>
      <c r="O481" s="35">
        <f t="shared" si="22"/>
        <v>142.51400324378736</v>
      </c>
      <c r="P481" s="52">
        <f t="shared" si="23"/>
        <v>1</v>
      </c>
      <c r="Q481" s="37" t="s">
        <v>152</v>
      </c>
    </row>
    <row r="482" spans="1:17" hidden="1">
      <c r="A482" s="29">
        <v>2014</v>
      </c>
      <c r="B482" s="29" t="s">
        <v>164</v>
      </c>
      <c r="C482" s="30" t="s">
        <v>43</v>
      </c>
      <c r="D482" s="24" t="str">
        <f t="array" ref="D482">INDEX([1]PARCELLAIRE!$C$2:$C$85,MATCH(A482,IF([1]PARCELLAIRE!$D$2:$D$85=E482,[1]PARCELLAIRE!$A$2:$A$85,""),0))</f>
        <v>SOLEIHO</v>
      </c>
      <c r="E482" s="29" t="s">
        <v>27</v>
      </c>
      <c r="F482" s="31">
        <v>41689</v>
      </c>
      <c r="G482" s="29" t="s">
        <v>110</v>
      </c>
      <c r="H482" s="32" t="s">
        <v>149</v>
      </c>
      <c r="I482" s="24" t="str">
        <f>VLOOKUP(G482,[1]ACHATS!$C:$E,3,0)</f>
        <v>L</v>
      </c>
      <c r="J482" s="24" t="str">
        <f>VLOOKUP(G482,[1]ACHATS!$C:$D,2,0)</f>
        <v>DESHERBANT</v>
      </c>
      <c r="K482" s="33">
        <v>2.8</v>
      </c>
      <c r="L482" s="33">
        <f>VLOOKUP(E482,[1]PARCELLAIRE!$D$2:$F$29,3,0)</f>
        <v>15.64</v>
      </c>
      <c r="M482" s="33">
        <f t="shared" si="21"/>
        <v>43.792000000000002</v>
      </c>
      <c r="N482" s="34">
        <f t="array" ref="N482">INDEX('[1]COUT MOYEN - STOCK'!$G$2:$G$120,MATCH(A482,IF('[1]COUT MOYEN - STOCK'!$B$2:$B$120=G482,'[1]COUT MOYEN - STOCK'!$A$2:$A$120,""),0))</f>
        <v>13.02</v>
      </c>
      <c r="O482" s="35">
        <f t="shared" si="22"/>
        <v>570.17183999999997</v>
      </c>
      <c r="P482" s="36">
        <f t="shared" si="23"/>
        <v>1</v>
      </c>
      <c r="Q482" s="37" t="s">
        <v>153</v>
      </c>
    </row>
    <row r="483" spans="1:17" hidden="1">
      <c r="A483" s="29">
        <v>2014</v>
      </c>
      <c r="B483" s="29" t="s">
        <v>164</v>
      </c>
      <c r="C483" s="30" t="s">
        <v>43</v>
      </c>
      <c r="D483" s="24" t="str">
        <f t="array" ref="D483">INDEX([1]PARCELLAIRE!$C$2:$C$85,MATCH(A483,IF([1]PARCELLAIRE!$D$2:$D$85=E483,[1]PARCELLAIRE!$A$2:$A$85,""),0))</f>
        <v>SOLEIHO</v>
      </c>
      <c r="E483" s="29" t="s">
        <v>18</v>
      </c>
      <c r="F483" s="31">
        <v>41689</v>
      </c>
      <c r="G483" s="29" t="s">
        <v>110</v>
      </c>
      <c r="H483" s="32" t="s">
        <v>147</v>
      </c>
      <c r="I483" s="24" t="str">
        <f>VLOOKUP(G483,[1]ACHATS!$C:$E,3,0)</f>
        <v>L</v>
      </c>
      <c r="J483" s="24" t="str">
        <f>VLOOKUP(G483,[1]ACHATS!$C:$D,2,0)</f>
        <v>DESHERBANT</v>
      </c>
      <c r="K483" s="33">
        <v>2.3199999999999998</v>
      </c>
      <c r="L483" s="33">
        <f>VLOOKUP(E483,[1]PARCELLAIRE!$D$2:$F$29,3,0)</f>
        <v>2.33</v>
      </c>
      <c r="M483" s="33">
        <f t="shared" si="21"/>
        <v>5.4055999999999997</v>
      </c>
      <c r="N483" s="34">
        <f t="array" ref="N483">INDEX('[1]COUT MOYEN - STOCK'!$G$2:$G$120,MATCH(A483,IF('[1]COUT MOYEN - STOCK'!$B$2:$B$120=G483,'[1]COUT MOYEN - STOCK'!$A$2:$A$120,""),0))</f>
        <v>13.02</v>
      </c>
      <c r="O483" s="35">
        <f t="shared" si="22"/>
        <v>70.380911999999995</v>
      </c>
      <c r="P483" s="36">
        <f t="shared" si="23"/>
        <v>1</v>
      </c>
      <c r="Q483" s="37" t="s">
        <v>154</v>
      </c>
    </row>
    <row r="484" spans="1:17" hidden="1">
      <c r="A484" s="29">
        <v>2014</v>
      </c>
      <c r="B484" s="29" t="s">
        <v>164</v>
      </c>
      <c r="C484" s="30" t="s">
        <v>43</v>
      </c>
      <c r="D484" s="24" t="str">
        <f t="array" ref="D484">INDEX([1]PARCELLAIRE!$C$2:$C$85,MATCH(A484,IF([1]PARCELLAIRE!$D$2:$D$85=E484,[1]PARCELLAIRE!$A$2:$A$85,""),0))</f>
        <v>SOLEIHO</v>
      </c>
      <c r="E484" s="29" t="s">
        <v>26</v>
      </c>
      <c r="F484" s="31">
        <v>41689</v>
      </c>
      <c r="G484" s="29" t="s">
        <v>110</v>
      </c>
      <c r="H484" s="32" t="s">
        <v>149</v>
      </c>
      <c r="I484" s="24" t="str">
        <f>VLOOKUP(G484,[1]ACHATS!$C:$E,3,0)</f>
        <v>L</v>
      </c>
      <c r="J484" s="24" t="str">
        <f>VLOOKUP(G484,[1]ACHATS!$C:$D,2,0)</f>
        <v>DESHERBANT</v>
      </c>
      <c r="K484" s="33">
        <v>2.8</v>
      </c>
      <c r="L484" s="33">
        <f>VLOOKUP(E484,[1]PARCELLAIRE!$D$2:$F$29,3,0)</f>
        <v>5.26</v>
      </c>
      <c r="M484" s="33">
        <f t="shared" si="21"/>
        <v>14.727999999999998</v>
      </c>
      <c r="N484" s="34">
        <f t="array" ref="N484">INDEX('[1]COUT MOYEN - STOCK'!$G$2:$G$120,MATCH(A484,IF('[1]COUT MOYEN - STOCK'!$B$2:$B$120=G484,'[1]COUT MOYEN - STOCK'!$A$2:$A$120,""),0))</f>
        <v>13.02</v>
      </c>
      <c r="O484" s="35">
        <f t="shared" si="22"/>
        <v>191.75855999999996</v>
      </c>
      <c r="P484" s="36">
        <f t="shared" si="23"/>
        <v>1</v>
      </c>
      <c r="Q484" s="37" t="s">
        <v>153</v>
      </c>
    </row>
    <row r="485" spans="1:17" hidden="1">
      <c r="A485" s="29">
        <v>2014</v>
      </c>
      <c r="B485" s="29" t="s">
        <v>164</v>
      </c>
      <c r="C485" s="30" t="s">
        <v>47</v>
      </c>
      <c r="D485" s="24" t="str">
        <f t="array" ref="D485">INDEX([1]PARCELLAIRE!$C$2:$C$85,MATCH(A485,IF([1]PARCELLAIRE!$D$2:$D$85=E485,[1]PARCELLAIRE!$A$2:$A$85,""),0))</f>
        <v>SOLEIHO</v>
      </c>
      <c r="E485" s="29" t="s">
        <v>27</v>
      </c>
      <c r="F485" s="31">
        <v>41709</v>
      </c>
      <c r="G485" s="29" t="s">
        <v>111</v>
      </c>
      <c r="H485" s="32" t="s">
        <v>155</v>
      </c>
      <c r="I485" s="24" t="str">
        <f>VLOOKUP(G485,[1]ACHATS!$C:$E,3,0)</f>
        <v>Kg</v>
      </c>
      <c r="J485" s="24" t="str">
        <f>VLOOKUP(G485,[1]ACHATS!$C:$D,2,0)</f>
        <v>AZOTE</v>
      </c>
      <c r="K485" s="33">
        <v>50</v>
      </c>
      <c r="L485" s="33">
        <f>VLOOKUP(E485,[1]PARCELLAIRE!$D$2:$F$29,3,0)</f>
        <v>15.64</v>
      </c>
      <c r="M485" s="33">
        <f t="shared" si="21"/>
        <v>782</v>
      </c>
      <c r="N485" s="34">
        <f t="array" ref="N485">INDEX('[1]COUT MOYEN - STOCK'!$G$2:$G$120,MATCH(A485,IF('[1]COUT MOYEN - STOCK'!$B$2:$B$120=G485,'[1]COUT MOYEN - STOCK'!$A$2:$A$120,""),0))</f>
        <v>0.3</v>
      </c>
      <c r="O485" s="35">
        <f t="shared" si="22"/>
        <v>234.6</v>
      </c>
      <c r="P485" s="36">
        <f t="shared" si="23"/>
        <v>1</v>
      </c>
      <c r="Q485" s="37" t="s">
        <v>156</v>
      </c>
    </row>
    <row r="486" spans="1:17" hidden="1">
      <c r="A486" s="29">
        <v>2014</v>
      </c>
      <c r="B486" s="29" t="s">
        <v>164</v>
      </c>
      <c r="C486" s="30" t="s">
        <v>47</v>
      </c>
      <c r="D486" s="24" t="str">
        <f t="array" ref="D486">INDEX([1]PARCELLAIRE!$C$2:$C$85,MATCH(A486,IF([1]PARCELLAIRE!$D$2:$D$85=E486,[1]PARCELLAIRE!$A$2:$A$85,""),0))</f>
        <v>SOLEIHO</v>
      </c>
      <c r="E486" s="29" t="s">
        <v>26</v>
      </c>
      <c r="F486" s="31">
        <v>41709</v>
      </c>
      <c r="G486" s="29" t="s">
        <v>111</v>
      </c>
      <c r="H486" s="32" t="s">
        <v>155</v>
      </c>
      <c r="I486" s="24" t="str">
        <f>VLOOKUP(G486,[1]ACHATS!$C:$E,3,0)</f>
        <v>Kg</v>
      </c>
      <c r="J486" s="24" t="str">
        <f>VLOOKUP(G486,[1]ACHATS!$C:$D,2,0)</f>
        <v>AZOTE</v>
      </c>
      <c r="K486" s="33">
        <v>50</v>
      </c>
      <c r="L486" s="33">
        <f>VLOOKUP(E486,[1]PARCELLAIRE!$D$2:$F$29,3,0)</f>
        <v>5.26</v>
      </c>
      <c r="M486" s="33">
        <f t="shared" si="21"/>
        <v>263</v>
      </c>
      <c r="N486" s="34">
        <f t="array" ref="N486">INDEX('[1]COUT MOYEN - STOCK'!$G$2:$G$120,MATCH(A486,IF('[1]COUT MOYEN - STOCK'!$B$2:$B$120=G486,'[1]COUT MOYEN - STOCK'!$A$2:$A$120,""),0))</f>
        <v>0.3</v>
      </c>
      <c r="O486" s="35">
        <f t="shared" si="22"/>
        <v>78.899999999999991</v>
      </c>
      <c r="P486" s="36">
        <f t="shared" si="23"/>
        <v>1</v>
      </c>
      <c r="Q486" s="37" t="s">
        <v>156</v>
      </c>
    </row>
    <row r="487" spans="1:17" hidden="1">
      <c r="A487" s="29">
        <v>2014</v>
      </c>
      <c r="B487" s="29" t="s">
        <v>164</v>
      </c>
      <c r="C487" s="30" t="s">
        <v>47</v>
      </c>
      <c r="D487" s="24" t="str">
        <f t="array" ref="D487">INDEX([1]PARCELLAIRE!$C$2:$C$85,MATCH(A487,IF([1]PARCELLAIRE!$D$2:$D$85=E487,[1]PARCELLAIRE!$A$2:$A$85,""),0))</f>
        <v>SOLEIHO</v>
      </c>
      <c r="E487" s="29" t="s">
        <v>18</v>
      </c>
      <c r="F487" s="31">
        <v>41709</v>
      </c>
      <c r="G487" s="29" t="s">
        <v>111</v>
      </c>
      <c r="H487" s="32" t="s">
        <v>155</v>
      </c>
      <c r="I487" s="24" t="str">
        <f>VLOOKUP(G487,[1]ACHATS!$C:$E,3,0)</f>
        <v>Kg</v>
      </c>
      <c r="J487" s="24" t="str">
        <f>VLOOKUP(G487,[1]ACHATS!$C:$D,2,0)</f>
        <v>AZOTE</v>
      </c>
      <c r="K487" s="33">
        <v>50</v>
      </c>
      <c r="L487" s="33">
        <f>VLOOKUP(E487,[1]PARCELLAIRE!$D$2:$F$29,3,0)</f>
        <v>2.33</v>
      </c>
      <c r="M487" s="33">
        <f t="shared" si="21"/>
        <v>116.5</v>
      </c>
      <c r="N487" s="34">
        <f t="array" ref="N487">INDEX('[1]COUT MOYEN - STOCK'!$G$2:$G$120,MATCH(A487,IF('[1]COUT MOYEN - STOCK'!$B$2:$B$120=G487,'[1]COUT MOYEN - STOCK'!$A$2:$A$120,""),0))</f>
        <v>0.3</v>
      </c>
      <c r="O487" s="35">
        <f t="shared" si="22"/>
        <v>34.949999999999996</v>
      </c>
      <c r="P487" s="36">
        <f t="shared" si="23"/>
        <v>1</v>
      </c>
      <c r="Q487" s="37" t="s">
        <v>156</v>
      </c>
    </row>
    <row r="488" spans="1:17" hidden="1">
      <c r="A488" s="29">
        <v>2014</v>
      </c>
      <c r="B488" s="29" t="s">
        <v>164</v>
      </c>
      <c r="C488" s="30" t="s">
        <v>47</v>
      </c>
      <c r="D488" s="24" t="str">
        <f t="array" ref="D488">INDEX([1]PARCELLAIRE!$C$2:$C$85,MATCH(A488,IF([1]PARCELLAIRE!$D$2:$D$85=E488,[1]PARCELLAIRE!$A$2:$A$85,""),0))</f>
        <v>SCULPTUR</v>
      </c>
      <c r="E488" s="29" t="s">
        <v>37</v>
      </c>
      <c r="F488" s="31">
        <v>41709</v>
      </c>
      <c r="G488" s="29" t="s">
        <v>111</v>
      </c>
      <c r="H488" s="32" t="s">
        <v>155</v>
      </c>
      <c r="I488" s="24" t="str">
        <f>VLOOKUP(G488,[1]ACHATS!$C:$E,3,0)</f>
        <v>Kg</v>
      </c>
      <c r="J488" s="24" t="str">
        <f>VLOOKUP(G488,[1]ACHATS!$C:$D,2,0)</f>
        <v>AZOTE</v>
      </c>
      <c r="K488" s="33">
        <v>50</v>
      </c>
      <c r="L488" s="33">
        <f>VLOOKUP(E488,[1]PARCELLAIRE!$D$2:$F$29,3,0)</f>
        <v>12.06</v>
      </c>
      <c r="M488" s="33">
        <f t="shared" si="21"/>
        <v>603</v>
      </c>
      <c r="N488" s="34">
        <f t="array" ref="N488">INDEX('[1]COUT MOYEN - STOCK'!$G$2:$G$120,MATCH(A488,IF('[1]COUT MOYEN - STOCK'!$B$2:$B$120=G488,'[1]COUT MOYEN - STOCK'!$A$2:$A$120,""),0))</f>
        <v>0.3</v>
      </c>
      <c r="O488" s="35">
        <f t="shared" si="22"/>
        <v>180.9</v>
      </c>
      <c r="P488" s="36">
        <f t="shared" si="23"/>
        <v>1</v>
      </c>
      <c r="Q488" s="37" t="s">
        <v>156</v>
      </c>
    </row>
    <row r="489" spans="1:17" hidden="1">
      <c r="A489" s="29">
        <v>2014</v>
      </c>
      <c r="B489" s="29" t="s">
        <v>164</v>
      </c>
      <c r="C489" s="30" t="s">
        <v>47</v>
      </c>
      <c r="D489" s="24" t="str">
        <f t="array" ref="D489">INDEX([1]PARCELLAIRE!$C$2:$C$85,MATCH(A489,IF([1]PARCELLAIRE!$D$2:$D$85=E489,[1]PARCELLAIRE!$A$2:$A$85,""),0))</f>
        <v>SCULPTUR</v>
      </c>
      <c r="E489" s="29" t="s">
        <v>36</v>
      </c>
      <c r="F489" s="31">
        <v>41709</v>
      </c>
      <c r="G489" s="29" t="s">
        <v>111</v>
      </c>
      <c r="H489" s="32" t="s">
        <v>155</v>
      </c>
      <c r="I489" s="24" t="str">
        <f>VLOOKUP(G489,[1]ACHATS!$C:$E,3,0)</f>
        <v>Kg</v>
      </c>
      <c r="J489" s="24" t="str">
        <f>VLOOKUP(G489,[1]ACHATS!$C:$D,2,0)</f>
        <v>AZOTE</v>
      </c>
      <c r="K489" s="33">
        <v>50</v>
      </c>
      <c r="L489" s="33">
        <f>VLOOKUP(E489,[1]PARCELLAIRE!$D$2:$F$29,3,0)</f>
        <v>4.42</v>
      </c>
      <c r="M489" s="33">
        <f t="shared" si="21"/>
        <v>221</v>
      </c>
      <c r="N489" s="34">
        <f t="array" ref="N489">INDEX('[1]COUT MOYEN - STOCK'!$G$2:$G$120,MATCH(A489,IF('[1]COUT MOYEN - STOCK'!$B$2:$B$120=G489,'[1]COUT MOYEN - STOCK'!$A$2:$A$120,""),0))</f>
        <v>0.3</v>
      </c>
      <c r="O489" s="35">
        <f t="shared" si="22"/>
        <v>66.3</v>
      </c>
      <c r="P489" s="36">
        <f t="shared" si="23"/>
        <v>1</v>
      </c>
      <c r="Q489" s="37" t="s">
        <v>156</v>
      </c>
    </row>
    <row r="490" spans="1:17" hidden="1">
      <c r="A490" s="29">
        <v>2014</v>
      </c>
      <c r="B490" s="29" t="s">
        <v>164</v>
      </c>
      <c r="C490" s="30" t="s">
        <v>47</v>
      </c>
      <c r="D490" s="24" t="str">
        <f t="array" ref="D490">INDEX([1]PARCELLAIRE!$C$2:$C$85,MATCH(A490,IF([1]PARCELLAIRE!$D$2:$D$85=E490,[1]PARCELLAIRE!$A$2:$A$85,""),0))</f>
        <v>SCULPTUR</v>
      </c>
      <c r="E490" s="29" t="s">
        <v>35</v>
      </c>
      <c r="F490" s="31">
        <v>41709</v>
      </c>
      <c r="G490" s="29" t="s">
        <v>111</v>
      </c>
      <c r="H490" s="32" t="s">
        <v>155</v>
      </c>
      <c r="I490" s="24" t="str">
        <f>VLOOKUP(G490,[1]ACHATS!$C:$E,3,0)</f>
        <v>Kg</v>
      </c>
      <c r="J490" s="24" t="str">
        <f>VLOOKUP(G490,[1]ACHATS!$C:$D,2,0)</f>
        <v>AZOTE</v>
      </c>
      <c r="K490" s="33">
        <v>50</v>
      </c>
      <c r="L490" s="33">
        <f>VLOOKUP(E490,[1]PARCELLAIRE!$D$2:$F$29,3,0)</f>
        <v>4.12</v>
      </c>
      <c r="M490" s="33">
        <f t="shared" si="21"/>
        <v>206</v>
      </c>
      <c r="N490" s="34">
        <f t="array" ref="N490">INDEX('[1]COUT MOYEN - STOCK'!$G$2:$G$120,MATCH(A490,IF('[1]COUT MOYEN - STOCK'!$B$2:$B$120=G490,'[1]COUT MOYEN - STOCK'!$A$2:$A$120,""),0))</f>
        <v>0.3</v>
      </c>
      <c r="O490" s="35">
        <f t="shared" si="22"/>
        <v>61.8</v>
      </c>
      <c r="P490" s="36">
        <f t="shared" si="23"/>
        <v>1</v>
      </c>
      <c r="Q490" s="37" t="s">
        <v>156</v>
      </c>
    </row>
    <row r="491" spans="1:17" hidden="1">
      <c r="A491" s="29">
        <v>2014</v>
      </c>
      <c r="B491" s="29" t="s">
        <v>164</v>
      </c>
      <c r="C491" s="30" t="s">
        <v>47</v>
      </c>
      <c r="D491" s="24" t="str">
        <f t="array" ref="D491">INDEX([1]PARCELLAIRE!$C$2:$C$85,MATCH(A491,IF([1]PARCELLAIRE!$D$2:$D$85=E491,[1]PARCELLAIRE!$A$2:$A$85,""),0))</f>
        <v>ASCOTT</v>
      </c>
      <c r="E491" s="29" t="s">
        <v>22</v>
      </c>
      <c r="F491" s="31">
        <v>41709</v>
      </c>
      <c r="G491" s="29" t="s">
        <v>111</v>
      </c>
      <c r="H491" s="32" t="s">
        <v>155</v>
      </c>
      <c r="I491" s="24" t="str">
        <f>VLOOKUP(G491,[1]ACHATS!$C:$E,3,0)</f>
        <v>Kg</v>
      </c>
      <c r="J491" s="24" t="str">
        <f>VLOOKUP(G491,[1]ACHATS!$C:$D,2,0)</f>
        <v>AZOTE</v>
      </c>
      <c r="K491" s="33">
        <v>50</v>
      </c>
      <c r="L491" s="33">
        <f>VLOOKUP(E491,[1]PARCELLAIRE!$D$2:$F$29,3,0)</f>
        <v>8.58</v>
      </c>
      <c r="M491" s="33">
        <f t="shared" si="21"/>
        <v>429</v>
      </c>
      <c r="N491" s="34">
        <f t="array" ref="N491">INDEX('[1]COUT MOYEN - STOCK'!$G$2:$G$120,MATCH(A491,IF('[1]COUT MOYEN - STOCK'!$B$2:$B$120=G491,'[1]COUT MOYEN - STOCK'!$A$2:$A$120,""),0))</f>
        <v>0.3</v>
      </c>
      <c r="O491" s="35">
        <f t="shared" si="22"/>
        <v>128.69999999999999</v>
      </c>
      <c r="P491" s="36">
        <f t="shared" si="23"/>
        <v>1</v>
      </c>
      <c r="Q491" s="37" t="s">
        <v>156</v>
      </c>
    </row>
    <row r="492" spans="1:17" hidden="1">
      <c r="A492" s="29">
        <v>2014</v>
      </c>
      <c r="B492" s="29" t="s">
        <v>164</v>
      </c>
      <c r="C492" s="30" t="s">
        <v>47</v>
      </c>
      <c r="D492" s="24" t="str">
        <f t="array" ref="D492">INDEX([1]PARCELLAIRE!$C$2:$C$85,MATCH(A492,IF([1]PARCELLAIRE!$D$2:$D$85=E492,[1]PARCELLAIRE!$A$2:$A$85,""),0))</f>
        <v>ASCOTT</v>
      </c>
      <c r="E492" s="29" t="s">
        <v>21</v>
      </c>
      <c r="F492" s="31">
        <v>41709</v>
      </c>
      <c r="G492" s="29" t="s">
        <v>111</v>
      </c>
      <c r="H492" s="32" t="s">
        <v>155</v>
      </c>
      <c r="I492" s="24" t="str">
        <f>VLOOKUP(G492,[1]ACHATS!$C:$E,3,0)</f>
        <v>Kg</v>
      </c>
      <c r="J492" s="24" t="str">
        <f>VLOOKUP(G492,[1]ACHATS!$C:$D,2,0)</f>
        <v>AZOTE</v>
      </c>
      <c r="K492" s="33">
        <v>50</v>
      </c>
      <c r="L492" s="33">
        <f>VLOOKUP(E492,[1]PARCELLAIRE!$D$2:$F$29,3,0)</f>
        <v>10.93</v>
      </c>
      <c r="M492" s="33">
        <f t="shared" si="21"/>
        <v>546.5</v>
      </c>
      <c r="N492" s="34">
        <f t="array" ref="N492">INDEX('[1]COUT MOYEN - STOCK'!$G$2:$G$120,MATCH(A492,IF('[1]COUT MOYEN - STOCK'!$B$2:$B$120=G492,'[1]COUT MOYEN - STOCK'!$A$2:$A$120,""),0))</f>
        <v>0.3</v>
      </c>
      <c r="O492" s="35">
        <f t="shared" si="22"/>
        <v>163.95</v>
      </c>
      <c r="P492" s="36">
        <f t="shared" si="23"/>
        <v>1</v>
      </c>
      <c r="Q492" s="37" t="s">
        <v>156</v>
      </c>
    </row>
    <row r="493" spans="1:17" hidden="1">
      <c r="A493" s="29">
        <v>2014</v>
      </c>
      <c r="B493" s="29" t="s">
        <v>164</v>
      </c>
      <c r="C493" s="30" t="s">
        <v>47</v>
      </c>
      <c r="D493" s="24" t="str">
        <f t="array" ref="D493">INDEX([1]PARCELLAIRE!$C$2:$C$85,MATCH(A493,IF([1]PARCELLAIRE!$D$2:$D$85=E493,[1]PARCELLAIRE!$A$2:$A$85,""),0))</f>
        <v>PESCADOUX</v>
      </c>
      <c r="E493" s="29" t="s">
        <v>34</v>
      </c>
      <c r="F493" s="31">
        <v>41709</v>
      </c>
      <c r="G493" s="29" t="s">
        <v>111</v>
      </c>
      <c r="H493" s="32" t="s">
        <v>155</v>
      </c>
      <c r="I493" s="24" t="str">
        <f>VLOOKUP(G493,[1]ACHATS!$C:$E,3,0)</f>
        <v>Kg</v>
      </c>
      <c r="J493" s="24" t="str">
        <f>VLOOKUP(G493,[1]ACHATS!$C:$D,2,0)</f>
        <v>AZOTE</v>
      </c>
      <c r="K493" s="33">
        <v>50</v>
      </c>
      <c r="L493" s="33">
        <f>VLOOKUP(E493,[1]PARCELLAIRE!$D$2:$F$29,3,0)</f>
        <v>5.67</v>
      </c>
      <c r="M493" s="33">
        <f t="shared" si="21"/>
        <v>283.5</v>
      </c>
      <c r="N493" s="34">
        <f t="array" ref="N493">INDEX('[1]COUT MOYEN - STOCK'!$G$2:$G$120,MATCH(A493,IF('[1]COUT MOYEN - STOCK'!$B$2:$B$120=G493,'[1]COUT MOYEN - STOCK'!$A$2:$A$120,""),0))</f>
        <v>0.3</v>
      </c>
      <c r="O493" s="35">
        <f t="shared" si="22"/>
        <v>85.05</v>
      </c>
      <c r="P493" s="36">
        <f t="shared" si="23"/>
        <v>1</v>
      </c>
      <c r="Q493" s="37" t="s">
        <v>156</v>
      </c>
    </row>
    <row r="494" spans="1:17" hidden="1">
      <c r="A494" s="29">
        <v>2014</v>
      </c>
      <c r="B494" s="29" t="s">
        <v>164</v>
      </c>
      <c r="C494" s="30" t="s">
        <v>47</v>
      </c>
      <c r="D494" s="24" t="str">
        <f t="array" ref="D494">INDEX([1]PARCELLAIRE!$C$2:$C$85,MATCH(A494,IF([1]PARCELLAIRE!$D$2:$D$85=E494,[1]PARCELLAIRE!$A$2:$A$85,""),0))</f>
        <v>PESCADOUX</v>
      </c>
      <c r="E494" s="29" t="s">
        <v>16</v>
      </c>
      <c r="F494" s="31">
        <v>41709</v>
      </c>
      <c r="G494" s="29" t="s">
        <v>111</v>
      </c>
      <c r="H494" s="32" t="s">
        <v>155</v>
      </c>
      <c r="I494" s="24" t="str">
        <f>VLOOKUP(G494,[1]ACHATS!$C:$E,3,0)</f>
        <v>Kg</v>
      </c>
      <c r="J494" s="24" t="str">
        <f>VLOOKUP(G494,[1]ACHATS!$C:$D,2,0)</f>
        <v>AZOTE</v>
      </c>
      <c r="K494" s="33">
        <v>50</v>
      </c>
      <c r="L494" s="33">
        <f>VLOOKUP(E494,[1]PARCELLAIRE!$D$2:$F$29,3,0)</f>
        <v>5.17</v>
      </c>
      <c r="M494" s="33">
        <f t="shared" si="21"/>
        <v>258.5</v>
      </c>
      <c r="N494" s="34">
        <f t="array" ref="N494">INDEX('[1]COUT MOYEN - STOCK'!$G$2:$G$120,MATCH(A494,IF('[1]COUT MOYEN - STOCK'!$B$2:$B$120=G494,'[1]COUT MOYEN - STOCK'!$A$2:$A$120,""),0))</f>
        <v>0.3</v>
      </c>
      <c r="O494" s="35">
        <f t="shared" si="22"/>
        <v>77.55</v>
      </c>
      <c r="P494" s="36">
        <f t="shared" si="23"/>
        <v>1</v>
      </c>
      <c r="Q494" s="37" t="s">
        <v>156</v>
      </c>
    </row>
    <row r="495" spans="1:17" hidden="1">
      <c r="A495" s="29">
        <v>2014</v>
      </c>
      <c r="B495" s="29" t="s">
        <v>164</v>
      </c>
      <c r="C495" s="30" t="s">
        <v>47</v>
      </c>
      <c r="D495" s="24" t="str">
        <f t="array" ref="D495">INDEX([1]PARCELLAIRE!$C$2:$C$85,MATCH(A495,IF([1]PARCELLAIRE!$D$2:$D$85=E495,[1]PARCELLAIRE!$A$2:$A$85,""),0))</f>
        <v>MIRADOUX / FLORIDOU</v>
      </c>
      <c r="E495" s="29" t="s">
        <v>33</v>
      </c>
      <c r="F495" s="31">
        <v>41709</v>
      </c>
      <c r="G495" s="29" t="s">
        <v>111</v>
      </c>
      <c r="H495" s="32" t="s">
        <v>155</v>
      </c>
      <c r="I495" s="24" t="str">
        <f>VLOOKUP(G495,[1]ACHATS!$C:$E,3,0)</f>
        <v>Kg</v>
      </c>
      <c r="J495" s="24" t="str">
        <f>VLOOKUP(G495,[1]ACHATS!$C:$D,2,0)</f>
        <v>AZOTE</v>
      </c>
      <c r="K495" s="33">
        <v>50</v>
      </c>
      <c r="L495" s="33">
        <f>VLOOKUP(E495,[1]PARCELLAIRE!$D$2:$F$29,3,0)</f>
        <v>21.88</v>
      </c>
      <c r="M495" s="33">
        <f t="shared" si="21"/>
        <v>1094</v>
      </c>
      <c r="N495" s="34">
        <f t="array" ref="N495">INDEX('[1]COUT MOYEN - STOCK'!$G$2:$G$120,MATCH(A495,IF('[1]COUT MOYEN - STOCK'!$B$2:$B$120=G495,'[1]COUT MOYEN - STOCK'!$A$2:$A$120,""),0))</f>
        <v>0.3</v>
      </c>
      <c r="O495" s="35">
        <f t="shared" si="22"/>
        <v>328.2</v>
      </c>
      <c r="P495" s="36">
        <f t="shared" si="23"/>
        <v>1</v>
      </c>
      <c r="Q495" s="37" t="s">
        <v>156</v>
      </c>
    </row>
    <row r="496" spans="1:17" hidden="1">
      <c r="A496" s="29">
        <v>2014</v>
      </c>
      <c r="B496" s="29" t="s">
        <v>164</v>
      </c>
      <c r="C496" s="30" t="s">
        <v>47</v>
      </c>
      <c r="D496" s="24" t="str">
        <f t="array" ref="D496">INDEX([1]PARCELLAIRE!$C$2:$C$85,MATCH(A496,IF([1]PARCELLAIRE!$D$2:$D$85=E496,[1]PARCELLAIRE!$A$2:$A$85,""),0))</f>
        <v>SCULPTUR</v>
      </c>
      <c r="E496" s="29" t="s">
        <v>37</v>
      </c>
      <c r="F496" s="31">
        <v>41710</v>
      </c>
      <c r="G496" s="29" t="s">
        <v>109</v>
      </c>
      <c r="H496" s="32" t="s">
        <v>155</v>
      </c>
      <c r="I496" s="24" t="str">
        <f>VLOOKUP(G496,[1]ACHATS!$C:$E,3,0)</f>
        <v>Kg</v>
      </c>
      <c r="J496" s="24" t="str">
        <f>VLOOKUP(G496,[1]ACHATS!$C:$D,2,0)</f>
        <v>AZOTE</v>
      </c>
      <c r="K496" s="33">
        <v>110</v>
      </c>
      <c r="L496" s="33">
        <f>VLOOKUP(E496,[1]PARCELLAIRE!$D$2:$F$29,3,0)</f>
        <v>12.06</v>
      </c>
      <c r="M496" s="33">
        <f t="shared" si="21"/>
        <v>1326.6000000000001</v>
      </c>
      <c r="N496" s="34">
        <f t="array" ref="N496">INDEX('[1]COUT MOYEN - STOCK'!$G$2:$G$120,MATCH(A496,IF('[1]COUT MOYEN - STOCK'!$B$2:$B$120=G496,'[1]COUT MOYEN - STOCK'!$A$2:$A$120,""),0))</f>
        <v>0.33867396208124378</v>
      </c>
      <c r="O496" s="35">
        <f t="shared" si="22"/>
        <v>449.28487809697805</v>
      </c>
      <c r="P496" s="36">
        <f t="shared" si="23"/>
        <v>1</v>
      </c>
      <c r="Q496" s="37" t="s">
        <v>157</v>
      </c>
    </row>
    <row r="497" spans="1:17" hidden="1">
      <c r="A497" s="29">
        <v>2014</v>
      </c>
      <c r="B497" s="29" t="s">
        <v>164</v>
      </c>
      <c r="C497" s="30" t="s">
        <v>47</v>
      </c>
      <c r="D497" s="24" t="str">
        <f t="array" ref="D497">INDEX([1]PARCELLAIRE!$C$2:$C$85,MATCH(A497,IF([1]PARCELLAIRE!$D$2:$D$85=E497,[1]PARCELLAIRE!$A$2:$A$85,""),0))</f>
        <v>SCULPTUR</v>
      </c>
      <c r="E497" s="29" t="s">
        <v>36</v>
      </c>
      <c r="F497" s="31">
        <v>41710</v>
      </c>
      <c r="G497" s="29" t="s">
        <v>109</v>
      </c>
      <c r="H497" s="32" t="s">
        <v>155</v>
      </c>
      <c r="I497" s="24" t="str">
        <f>VLOOKUP(G497,[1]ACHATS!$C:$E,3,0)</f>
        <v>Kg</v>
      </c>
      <c r="J497" s="24" t="str">
        <f>VLOOKUP(G497,[1]ACHATS!$C:$D,2,0)</f>
        <v>AZOTE</v>
      </c>
      <c r="K497" s="33">
        <v>110</v>
      </c>
      <c r="L497" s="33">
        <f>VLOOKUP(E497,[1]PARCELLAIRE!$D$2:$F$29,3,0)</f>
        <v>4.42</v>
      </c>
      <c r="M497" s="33">
        <f t="shared" si="21"/>
        <v>486.2</v>
      </c>
      <c r="N497" s="34">
        <f t="array" ref="N497">INDEX('[1]COUT MOYEN - STOCK'!$G$2:$G$120,MATCH(A497,IF('[1]COUT MOYEN - STOCK'!$B$2:$B$120=G497,'[1]COUT MOYEN - STOCK'!$A$2:$A$120,""),0))</f>
        <v>0.33867396208124378</v>
      </c>
      <c r="O497" s="35">
        <f t="shared" si="22"/>
        <v>164.66328036390072</v>
      </c>
      <c r="P497" s="36">
        <f t="shared" si="23"/>
        <v>1</v>
      </c>
      <c r="Q497" s="37" t="s">
        <v>157</v>
      </c>
    </row>
    <row r="498" spans="1:17" hidden="1">
      <c r="A498" s="29">
        <v>2014</v>
      </c>
      <c r="B498" s="29" t="s">
        <v>164</v>
      </c>
      <c r="C498" s="30" t="s">
        <v>47</v>
      </c>
      <c r="D498" s="24" t="str">
        <f t="array" ref="D498">INDEX([1]PARCELLAIRE!$C$2:$C$85,MATCH(A498,IF([1]PARCELLAIRE!$D$2:$D$85=E498,[1]PARCELLAIRE!$A$2:$A$85,""),0))</f>
        <v>SCULPTUR</v>
      </c>
      <c r="E498" s="29" t="s">
        <v>35</v>
      </c>
      <c r="F498" s="31">
        <v>41710</v>
      </c>
      <c r="G498" s="29" t="s">
        <v>109</v>
      </c>
      <c r="H498" s="32" t="s">
        <v>155</v>
      </c>
      <c r="I498" s="24" t="str">
        <f>VLOOKUP(G498,[1]ACHATS!$C:$E,3,0)</f>
        <v>Kg</v>
      </c>
      <c r="J498" s="24" t="str">
        <f>VLOOKUP(G498,[1]ACHATS!$C:$D,2,0)</f>
        <v>AZOTE</v>
      </c>
      <c r="K498" s="33">
        <v>110</v>
      </c>
      <c r="L498" s="33">
        <f>VLOOKUP(E498,[1]PARCELLAIRE!$D$2:$F$29,3,0)</f>
        <v>4.12</v>
      </c>
      <c r="M498" s="33">
        <f t="shared" si="21"/>
        <v>453.2</v>
      </c>
      <c r="N498" s="34">
        <f t="array" ref="N498">INDEX('[1]COUT MOYEN - STOCK'!$G$2:$G$120,MATCH(A498,IF('[1]COUT MOYEN - STOCK'!$B$2:$B$120=G498,'[1]COUT MOYEN - STOCK'!$A$2:$A$120,""),0))</f>
        <v>0.33867396208124378</v>
      </c>
      <c r="O498" s="35">
        <f t="shared" si="22"/>
        <v>153.48703961521969</v>
      </c>
      <c r="P498" s="36">
        <f t="shared" si="23"/>
        <v>1</v>
      </c>
      <c r="Q498" s="37" t="s">
        <v>157</v>
      </c>
    </row>
    <row r="499" spans="1:17" hidden="1">
      <c r="A499" s="29">
        <v>2014</v>
      </c>
      <c r="B499" s="29" t="s">
        <v>164</v>
      </c>
      <c r="C499" s="30" t="s">
        <v>43</v>
      </c>
      <c r="D499" s="24" t="str">
        <f t="array" ref="D499">INDEX([1]PARCELLAIRE!$C$2:$C$85,MATCH(A499,IF([1]PARCELLAIRE!$D$2:$D$85=E499,[1]PARCELLAIRE!$A$2:$A$85,""),0))</f>
        <v>SOLEIHO</v>
      </c>
      <c r="E499" s="29" t="s">
        <v>27</v>
      </c>
      <c r="F499" s="31">
        <v>41710</v>
      </c>
      <c r="G499" s="29" t="s">
        <v>109</v>
      </c>
      <c r="H499" s="32" t="s">
        <v>155</v>
      </c>
      <c r="I499" s="24" t="str">
        <f>VLOOKUP(G499,[1]ACHATS!$C:$E,3,0)</f>
        <v>Kg</v>
      </c>
      <c r="J499" s="24" t="str">
        <f>VLOOKUP(G499,[1]ACHATS!$C:$D,2,0)</f>
        <v>AZOTE</v>
      </c>
      <c r="K499" s="33">
        <v>180</v>
      </c>
      <c r="L499" s="33">
        <f>VLOOKUP(E499,[1]PARCELLAIRE!$D$2:$F$29,3,0)</f>
        <v>15.64</v>
      </c>
      <c r="M499" s="33">
        <f t="shared" si="21"/>
        <v>2815.2000000000003</v>
      </c>
      <c r="N499" s="34">
        <f t="array" ref="N499">INDEX('[1]COUT MOYEN - STOCK'!$G$2:$G$120,MATCH(A499,IF('[1]COUT MOYEN - STOCK'!$B$2:$B$120=G499,'[1]COUT MOYEN - STOCK'!$A$2:$A$120,""),0))</f>
        <v>0.33867396208124378</v>
      </c>
      <c r="O499" s="35">
        <f t="shared" si="22"/>
        <v>953.43493805111757</v>
      </c>
      <c r="P499" s="36">
        <f t="shared" si="23"/>
        <v>1</v>
      </c>
      <c r="Q499" s="37" t="s">
        <v>158</v>
      </c>
    </row>
    <row r="500" spans="1:17" hidden="1">
      <c r="A500" s="29">
        <v>2014</v>
      </c>
      <c r="B500" s="29" t="s">
        <v>164</v>
      </c>
      <c r="C500" s="30" t="s">
        <v>43</v>
      </c>
      <c r="D500" s="24" t="str">
        <f t="array" ref="D500">INDEX([1]PARCELLAIRE!$C$2:$C$85,MATCH(A500,IF([1]PARCELLAIRE!$D$2:$D$85=E500,[1]PARCELLAIRE!$A$2:$A$85,""),0))</f>
        <v>SOLEIHO</v>
      </c>
      <c r="E500" s="29" t="s">
        <v>26</v>
      </c>
      <c r="F500" s="31">
        <v>41710</v>
      </c>
      <c r="G500" s="29" t="s">
        <v>109</v>
      </c>
      <c r="H500" s="32" t="s">
        <v>155</v>
      </c>
      <c r="I500" s="24" t="str">
        <f>VLOOKUP(G500,[1]ACHATS!$C:$E,3,0)</f>
        <v>Kg</v>
      </c>
      <c r="J500" s="24" t="str">
        <f>VLOOKUP(G500,[1]ACHATS!$C:$D,2,0)</f>
        <v>AZOTE</v>
      </c>
      <c r="K500" s="33">
        <v>180</v>
      </c>
      <c r="L500" s="33">
        <f>VLOOKUP(E500,[1]PARCELLAIRE!$D$2:$F$29,3,0)</f>
        <v>5.26</v>
      </c>
      <c r="M500" s="33">
        <f t="shared" si="21"/>
        <v>946.8</v>
      </c>
      <c r="N500" s="34">
        <f t="array" ref="N500">INDEX('[1]COUT MOYEN - STOCK'!$G$2:$G$120,MATCH(A500,IF('[1]COUT MOYEN - STOCK'!$B$2:$B$120=G500,'[1]COUT MOYEN - STOCK'!$A$2:$A$120,""),0))</f>
        <v>0.33867396208124378</v>
      </c>
      <c r="O500" s="35">
        <f t="shared" si="22"/>
        <v>320.6565072985216</v>
      </c>
      <c r="P500" s="36">
        <f t="shared" si="23"/>
        <v>1</v>
      </c>
      <c r="Q500" s="37" t="s">
        <v>158</v>
      </c>
    </row>
    <row r="501" spans="1:17" hidden="1">
      <c r="A501" s="29">
        <v>2014</v>
      </c>
      <c r="B501" s="29" t="s">
        <v>164</v>
      </c>
      <c r="C501" s="30" t="s">
        <v>47</v>
      </c>
      <c r="D501" s="24" t="str">
        <f t="array" ref="D501">INDEX([1]PARCELLAIRE!$C$2:$C$85,MATCH(A501,IF([1]PARCELLAIRE!$D$2:$D$85=E501,[1]PARCELLAIRE!$A$2:$A$85,""),0))</f>
        <v>PESCADOUX</v>
      </c>
      <c r="E501" s="29" t="s">
        <v>34</v>
      </c>
      <c r="F501" s="31">
        <v>41710</v>
      </c>
      <c r="G501" s="29" t="s">
        <v>109</v>
      </c>
      <c r="H501" s="32" t="s">
        <v>155</v>
      </c>
      <c r="I501" s="24" t="str">
        <f>VLOOKUP(G501,[1]ACHATS!$C:$E,3,0)</f>
        <v>Kg</v>
      </c>
      <c r="J501" s="24" t="str">
        <f>VLOOKUP(G501,[1]ACHATS!$C:$D,2,0)</f>
        <v>AZOTE</v>
      </c>
      <c r="K501" s="33">
        <v>110</v>
      </c>
      <c r="L501" s="33">
        <f>VLOOKUP(E501,[1]PARCELLAIRE!$D$2:$F$29,3,0)</f>
        <v>5.67</v>
      </c>
      <c r="M501" s="33">
        <f t="shared" si="21"/>
        <v>623.70000000000005</v>
      </c>
      <c r="N501" s="34">
        <f t="array" ref="N501">INDEX('[1]COUT MOYEN - STOCK'!$G$2:$G$120,MATCH(A501,IF('[1]COUT MOYEN - STOCK'!$B$2:$B$120=G501,'[1]COUT MOYEN - STOCK'!$A$2:$A$120,""),0))</f>
        <v>0.33867396208124378</v>
      </c>
      <c r="O501" s="35">
        <f t="shared" si="22"/>
        <v>211.23095015007178</v>
      </c>
      <c r="P501" s="36">
        <f t="shared" si="23"/>
        <v>1</v>
      </c>
      <c r="Q501" s="37" t="s">
        <v>157</v>
      </c>
    </row>
    <row r="502" spans="1:17" hidden="1">
      <c r="A502" s="29">
        <v>2014</v>
      </c>
      <c r="B502" s="29" t="s">
        <v>164</v>
      </c>
      <c r="C502" s="30" t="s">
        <v>47</v>
      </c>
      <c r="D502" s="24" t="str">
        <f t="array" ref="D502">INDEX([1]PARCELLAIRE!$C$2:$C$85,MATCH(A502,IF([1]PARCELLAIRE!$D$2:$D$85=E502,[1]PARCELLAIRE!$A$2:$A$85,""),0))</f>
        <v>PESCADOUX</v>
      </c>
      <c r="E502" s="29" t="s">
        <v>16</v>
      </c>
      <c r="F502" s="31">
        <v>41710</v>
      </c>
      <c r="G502" s="29" t="s">
        <v>109</v>
      </c>
      <c r="H502" s="32" t="s">
        <v>155</v>
      </c>
      <c r="I502" s="24" t="str">
        <f>VLOOKUP(G502,[1]ACHATS!$C:$E,3,0)</f>
        <v>Kg</v>
      </c>
      <c r="J502" s="24" t="str">
        <f>VLOOKUP(G502,[1]ACHATS!$C:$D,2,0)</f>
        <v>AZOTE</v>
      </c>
      <c r="K502" s="33">
        <v>110</v>
      </c>
      <c r="L502" s="33">
        <f>VLOOKUP(E502,[1]PARCELLAIRE!$D$2:$F$29,3,0)</f>
        <v>5.17</v>
      </c>
      <c r="M502" s="33">
        <f t="shared" si="21"/>
        <v>568.70000000000005</v>
      </c>
      <c r="N502" s="34">
        <f t="array" ref="N502">INDEX('[1]COUT MOYEN - STOCK'!$G$2:$G$120,MATCH(A502,IF('[1]COUT MOYEN - STOCK'!$B$2:$B$120=G502,'[1]COUT MOYEN - STOCK'!$A$2:$A$120,""),0))</f>
        <v>0.33867396208124378</v>
      </c>
      <c r="O502" s="35">
        <f t="shared" si="22"/>
        <v>192.60388223560335</v>
      </c>
      <c r="P502" s="36">
        <f t="shared" si="23"/>
        <v>1</v>
      </c>
      <c r="Q502" s="37" t="s">
        <v>157</v>
      </c>
    </row>
    <row r="503" spans="1:17" hidden="1">
      <c r="A503" s="29">
        <v>2014</v>
      </c>
      <c r="B503" s="29" t="s">
        <v>164</v>
      </c>
      <c r="C503" s="30" t="s">
        <v>47</v>
      </c>
      <c r="D503" s="24" t="str">
        <f t="array" ref="D503">INDEX([1]PARCELLAIRE!$C$2:$C$85,MATCH(A503,IF([1]PARCELLAIRE!$D$2:$D$85=E503,[1]PARCELLAIRE!$A$2:$A$85,""),0))</f>
        <v>MIRADOUX / FLORIDOU</v>
      </c>
      <c r="E503" s="29" t="s">
        <v>33</v>
      </c>
      <c r="F503" s="31">
        <v>41710</v>
      </c>
      <c r="G503" s="29" t="s">
        <v>109</v>
      </c>
      <c r="H503" s="32" t="s">
        <v>155</v>
      </c>
      <c r="I503" s="24" t="str">
        <f>VLOOKUP(G503,[1]ACHATS!$C:$E,3,0)</f>
        <v>Kg</v>
      </c>
      <c r="J503" s="24" t="str">
        <f>VLOOKUP(G503,[1]ACHATS!$C:$D,2,0)</f>
        <v>AZOTE</v>
      </c>
      <c r="K503" s="33">
        <v>110</v>
      </c>
      <c r="L503" s="33">
        <f>VLOOKUP(E503,[1]PARCELLAIRE!$D$2:$F$29,3,0)</f>
        <v>21.88</v>
      </c>
      <c r="M503" s="33">
        <f t="shared" si="21"/>
        <v>2406.7999999999997</v>
      </c>
      <c r="N503" s="34">
        <f t="array" ref="N503">INDEX('[1]COUT MOYEN - STOCK'!$G$2:$G$120,MATCH(A503,IF('[1]COUT MOYEN - STOCK'!$B$2:$B$120=G503,'[1]COUT MOYEN - STOCK'!$A$2:$A$120,""),0))</f>
        <v>0.33867396208124378</v>
      </c>
      <c r="O503" s="35">
        <f t="shared" si="22"/>
        <v>815.12049193713744</v>
      </c>
      <c r="P503" s="36">
        <f t="shared" si="23"/>
        <v>1</v>
      </c>
      <c r="Q503" s="37" t="s">
        <v>157</v>
      </c>
    </row>
    <row r="504" spans="1:17" hidden="1">
      <c r="A504" s="29">
        <v>2014</v>
      </c>
      <c r="B504" s="29" t="s">
        <v>164</v>
      </c>
      <c r="C504" s="30" t="s">
        <v>43</v>
      </c>
      <c r="D504" s="24" t="str">
        <f t="array" ref="D504">INDEX([1]PARCELLAIRE!$C$2:$C$85,MATCH(A504,IF([1]PARCELLAIRE!$D$2:$D$85=E504,[1]PARCELLAIRE!$A$2:$A$85,""),0))</f>
        <v>SOLEIHO</v>
      </c>
      <c r="E504" s="29" t="s">
        <v>18</v>
      </c>
      <c r="F504" s="31">
        <v>41711</v>
      </c>
      <c r="G504" s="29" t="s">
        <v>109</v>
      </c>
      <c r="H504" s="32" t="s">
        <v>155</v>
      </c>
      <c r="I504" s="24" t="str">
        <f>VLOOKUP(G504,[1]ACHATS!$C:$E,3,0)</f>
        <v>Kg</v>
      </c>
      <c r="J504" s="24" t="str">
        <f>VLOOKUP(G504,[1]ACHATS!$C:$D,2,0)</f>
        <v>AZOTE</v>
      </c>
      <c r="K504" s="33">
        <v>180</v>
      </c>
      <c r="L504" s="33">
        <f>VLOOKUP(E504,[1]PARCELLAIRE!$D$2:$F$29,3,0)</f>
        <v>2.33</v>
      </c>
      <c r="M504" s="33">
        <f t="shared" si="21"/>
        <v>419.40000000000003</v>
      </c>
      <c r="N504" s="34">
        <f t="array" ref="N504">INDEX('[1]COUT MOYEN - STOCK'!$G$2:$G$120,MATCH(A504,IF('[1]COUT MOYEN - STOCK'!$B$2:$B$120=G504,'[1]COUT MOYEN - STOCK'!$A$2:$A$120,""),0))</f>
        <v>0.33867396208124378</v>
      </c>
      <c r="O504" s="35">
        <f t="shared" si="22"/>
        <v>142.03985969687366</v>
      </c>
      <c r="P504" s="36">
        <f t="shared" si="23"/>
        <v>1</v>
      </c>
      <c r="Q504" s="37" t="s">
        <v>158</v>
      </c>
    </row>
    <row r="505" spans="1:17" hidden="1">
      <c r="A505" s="29">
        <v>2014</v>
      </c>
      <c r="B505" s="29" t="s">
        <v>164</v>
      </c>
      <c r="C505" s="30" t="s">
        <v>43</v>
      </c>
      <c r="D505" s="24" t="str">
        <f t="array" ref="D505">INDEX([1]PARCELLAIRE!$C$2:$C$85,MATCH(A505,IF([1]PARCELLAIRE!$D$2:$D$85=E505,[1]PARCELLAIRE!$A$2:$A$85,""),0))</f>
        <v>ASCOTT</v>
      </c>
      <c r="E505" s="29" t="s">
        <v>22</v>
      </c>
      <c r="F505" s="31">
        <v>41711</v>
      </c>
      <c r="G505" s="29" t="s">
        <v>109</v>
      </c>
      <c r="H505" s="32" t="s">
        <v>155</v>
      </c>
      <c r="I505" s="24" t="str">
        <f>VLOOKUP(G505,[1]ACHATS!$C:$E,3,0)</f>
        <v>Kg</v>
      </c>
      <c r="J505" s="24" t="str">
        <f>VLOOKUP(G505,[1]ACHATS!$C:$D,2,0)</f>
        <v>AZOTE</v>
      </c>
      <c r="K505" s="33">
        <v>180</v>
      </c>
      <c r="L505" s="33">
        <f>VLOOKUP(E505,[1]PARCELLAIRE!$D$2:$F$29,3,0)</f>
        <v>8.58</v>
      </c>
      <c r="M505" s="33">
        <f t="shared" si="21"/>
        <v>1544.4</v>
      </c>
      <c r="N505" s="34">
        <f t="array" ref="N505">INDEX('[1]COUT MOYEN - STOCK'!$G$2:$G$120,MATCH(A505,IF('[1]COUT MOYEN - STOCK'!$B$2:$B$120=G505,'[1]COUT MOYEN - STOCK'!$A$2:$A$120,""),0))</f>
        <v>0.33867396208124378</v>
      </c>
      <c r="O505" s="35">
        <f t="shared" si="22"/>
        <v>523.04806703827296</v>
      </c>
      <c r="P505" s="36">
        <f t="shared" si="23"/>
        <v>1</v>
      </c>
      <c r="Q505" s="37" t="s">
        <v>158</v>
      </c>
    </row>
    <row r="506" spans="1:17" hidden="1">
      <c r="A506" s="29">
        <v>2014</v>
      </c>
      <c r="B506" s="29" t="s">
        <v>164</v>
      </c>
      <c r="C506" s="30" t="s">
        <v>43</v>
      </c>
      <c r="D506" s="24" t="str">
        <f t="array" ref="D506">INDEX([1]PARCELLAIRE!$C$2:$C$85,MATCH(A506,IF([1]PARCELLAIRE!$D$2:$D$85=E506,[1]PARCELLAIRE!$A$2:$A$85,""),0))</f>
        <v>ASCOTT</v>
      </c>
      <c r="E506" s="29" t="s">
        <v>21</v>
      </c>
      <c r="F506" s="31">
        <v>41711</v>
      </c>
      <c r="G506" s="29" t="s">
        <v>109</v>
      </c>
      <c r="H506" s="32" t="s">
        <v>155</v>
      </c>
      <c r="I506" s="24" t="str">
        <f>VLOOKUP(G506,[1]ACHATS!$C:$E,3,0)</f>
        <v>Kg</v>
      </c>
      <c r="J506" s="24" t="str">
        <f>VLOOKUP(G506,[1]ACHATS!$C:$D,2,0)</f>
        <v>AZOTE</v>
      </c>
      <c r="K506" s="33">
        <v>180</v>
      </c>
      <c r="L506" s="33">
        <f>VLOOKUP(E506,[1]PARCELLAIRE!$D$2:$F$29,3,0)</f>
        <v>10.93</v>
      </c>
      <c r="M506" s="33">
        <f t="shared" si="21"/>
        <v>1967.3999999999999</v>
      </c>
      <c r="N506" s="34">
        <f t="array" ref="N506">INDEX('[1]COUT MOYEN - STOCK'!$G$2:$G$120,MATCH(A506,IF('[1]COUT MOYEN - STOCK'!$B$2:$B$120=G506,'[1]COUT MOYEN - STOCK'!$A$2:$A$120,""),0))</f>
        <v>0.33867396208124378</v>
      </c>
      <c r="O506" s="35">
        <f t="shared" si="22"/>
        <v>666.30715299863903</v>
      </c>
      <c r="P506" s="36">
        <f t="shared" si="23"/>
        <v>1</v>
      </c>
      <c r="Q506" s="37" t="s">
        <v>158</v>
      </c>
    </row>
    <row r="507" spans="1:17" hidden="1">
      <c r="A507" s="29">
        <v>2014</v>
      </c>
      <c r="B507" s="29" t="s">
        <v>164</v>
      </c>
      <c r="C507" s="30" t="s">
        <v>47</v>
      </c>
      <c r="D507" s="24" t="str">
        <f t="array" ref="D507">INDEX([1]PARCELLAIRE!$C$2:$C$85,MATCH(A507,IF([1]PARCELLAIRE!$D$2:$D$85=E507,[1]PARCELLAIRE!$A$2:$A$85,""),0))</f>
        <v>MIRADOUX / FLORIDOU</v>
      </c>
      <c r="E507" s="29" t="s">
        <v>33</v>
      </c>
      <c r="F507" s="31">
        <v>41712</v>
      </c>
      <c r="G507" s="29" t="s">
        <v>45</v>
      </c>
      <c r="H507" s="32" t="s">
        <v>155</v>
      </c>
      <c r="I507" s="24" t="str">
        <f>VLOOKUP(G507,[1]ACHATS!$C:$E,3,0)</f>
        <v>L</v>
      </c>
      <c r="J507" s="24" t="str">
        <f>VLOOKUP(G507,[1]ACHATS!$C:$D,2,0)</f>
        <v>DIVERS</v>
      </c>
      <c r="K507" s="33">
        <v>0.5</v>
      </c>
      <c r="L507" s="33">
        <v>5.13</v>
      </c>
      <c r="M507" s="33">
        <f t="shared" si="21"/>
        <v>2.5649999999999999</v>
      </c>
      <c r="N507" s="34">
        <f t="array" ref="N507">INDEX('[1]COUT MOYEN - STOCK'!$G$2:$G$120,MATCH(A507,IF('[1]COUT MOYEN - STOCK'!$B$2:$B$120=G507,'[1]COUT MOYEN - STOCK'!$A$2:$A$120,""),0))</f>
        <v>10.849625</v>
      </c>
      <c r="O507" s="35">
        <f t="shared" si="22"/>
        <v>27.829288124999998</v>
      </c>
      <c r="P507" s="36">
        <f t="shared" si="23"/>
        <v>1</v>
      </c>
      <c r="Q507" s="37"/>
    </row>
    <row r="508" spans="1:17" hidden="1">
      <c r="A508" s="29">
        <v>2014</v>
      </c>
      <c r="B508" s="29" t="s">
        <v>164</v>
      </c>
      <c r="C508" s="30" t="s">
        <v>47</v>
      </c>
      <c r="D508" s="24" t="str">
        <f t="array" ref="D508">INDEX([1]PARCELLAIRE!$C$2:$C$85,MATCH(A508,IF([1]PARCELLAIRE!$D$2:$D$85=E508,[1]PARCELLAIRE!$A$2:$A$85,""),0))</f>
        <v>PESCADOUX</v>
      </c>
      <c r="E508" s="29" t="s">
        <v>34</v>
      </c>
      <c r="F508" s="31">
        <v>41712</v>
      </c>
      <c r="G508" s="29" t="s">
        <v>45</v>
      </c>
      <c r="H508" s="32" t="s">
        <v>155</v>
      </c>
      <c r="I508" s="24" t="str">
        <f>VLOOKUP(G508,[1]ACHATS!$C:$E,3,0)</f>
        <v>L</v>
      </c>
      <c r="J508" s="24" t="str">
        <f>VLOOKUP(G508,[1]ACHATS!$C:$D,2,0)</f>
        <v>DIVERS</v>
      </c>
      <c r="K508" s="33">
        <v>0.5</v>
      </c>
      <c r="L508" s="33">
        <f>VLOOKUP(E508,[1]PARCELLAIRE!$D$2:$F$29,3,0)</f>
        <v>5.67</v>
      </c>
      <c r="M508" s="33">
        <f t="shared" si="21"/>
        <v>2.835</v>
      </c>
      <c r="N508" s="34">
        <f t="array" ref="N508">INDEX('[1]COUT MOYEN - STOCK'!$G$2:$G$120,MATCH(A508,IF('[1]COUT MOYEN - STOCK'!$B$2:$B$120=G508,'[1]COUT MOYEN - STOCK'!$A$2:$A$120,""),0))</f>
        <v>10.849625</v>
      </c>
      <c r="O508" s="35">
        <f t="shared" si="22"/>
        <v>30.758686874999999</v>
      </c>
      <c r="P508" s="36">
        <f t="shared" si="23"/>
        <v>1</v>
      </c>
      <c r="Q508" s="37"/>
    </row>
    <row r="509" spans="1:17" hidden="1">
      <c r="A509" s="29">
        <v>2014</v>
      </c>
      <c r="B509" s="29" t="s">
        <v>164</v>
      </c>
      <c r="C509" s="30" t="s">
        <v>47</v>
      </c>
      <c r="D509" s="24" t="str">
        <f t="array" ref="D509">INDEX([1]PARCELLAIRE!$C$2:$C$85,MATCH(A509,IF([1]PARCELLAIRE!$D$2:$D$85=E509,[1]PARCELLAIRE!$A$2:$A$85,""),0))</f>
        <v>PESCADOUX</v>
      </c>
      <c r="E509" s="29" t="s">
        <v>16</v>
      </c>
      <c r="F509" s="31">
        <v>41712</v>
      </c>
      <c r="G509" s="29" t="s">
        <v>45</v>
      </c>
      <c r="H509" s="32" t="s">
        <v>155</v>
      </c>
      <c r="I509" s="24" t="str">
        <f>VLOOKUP(G509,[1]ACHATS!$C:$E,3,0)</f>
        <v>L</v>
      </c>
      <c r="J509" s="24" t="str">
        <f>VLOOKUP(G509,[1]ACHATS!$C:$D,2,0)</f>
        <v>DIVERS</v>
      </c>
      <c r="K509" s="33">
        <v>0.5</v>
      </c>
      <c r="L509" s="33">
        <f>VLOOKUP(E509,[1]PARCELLAIRE!$D$2:$F$29,3,0)</f>
        <v>5.17</v>
      </c>
      <c r="M509" s="33">
        <f t="shared" si="21"/>
        <v>2.585</v>
      </c>
      <c r="N509" s="34">
        <f t="array" ref="N509">INDEX('[1]COUT MOYEN - STOCK'!$G$2:$G$120,MATCH(A509,IF('[1]COUT MOYEN - STOCK'!$B$2:$B$120=G509,'[1]COUT MOYEN - STOCK'!$A$2:$A$120,""),0))</f>
        <v>10.849625</v>
      </c>
      <c r="O509" s="35">
        <f t="shared" si="22"/>
        <v>28.046280624999998</v>
      </c>
      <c r="P509" s="36">
        <f t="shared" si="23"/>
        <v>1</v>
      </c>
      <c r="Q509" s="37"/>
    </row>
    <row r="510" spans="1:17" hidden="1">
      <c r="A510" s="29">
        <v>2014</v>
      </c>
      <c r="B510" s="29" t="s">
        <v>164</v>
      </c>
      <c r="C510" s="30" t="s">
        <v>47</v>
      </c>
      <c r="D510" s="24" t="str">
        <f t="array" ref="D510">INDEX([1]PARCELLAIRE!$C$2:$C$85,MATCH(A510,IF([1]PARCELLAIRE!$D$2:$D$85=E510,[1]PARCELLAIRE!$A$2:$A$85,""),0))</f>
        <v>PESCADOUX</v>
      </c>
      <c r="E510" s="29" t="s">
        <v>34</v>
      </c>
      <c r="F510" s="31">
        <v>41712</v>
      </c>
      <c r="G510" s="29" t="s">
        <v>61</v>
      </c>
      <c r="H510" s="32" t="s">
        <v>155</v>
      </c>
      <c r="I510" s="24" t="str">
        <f>VLOOKUP(G510,[1]ACHATS!$C:$E,3,0)</f>
        <v>L</v>
      </c>
      <c r="J510" s="24" t="str">
        <f>VLOOKUP(G510,[1]ACHATS!$C:$D,2,0)</f>
        <v>DESHERBANT</v>
      </c>
      <c r="K510" s="33">
        <v>0.9</v>
      </c>
      <c r="L510" s="33">
        <f>VLOOKUP(E510,[1]PARCELLAIRE!$D$2:$F$29,3,0)</f>
        <v>5.67</v>
      </c>
      <c r="M510" s="33">
        <f t="shared" si="21"/>
        <v>5.1029999999999998</v>
      </c>
      <c r="N510" s="34">
        <f t="array" ref="N510">INDEX('[1]COUT MOYEN - STOCK'!$G$2:$G$120,MATCH(A510,IF('[1]COUT MOYEN - STOCK'!$B$2:$B$120=G510,'[1]COUT MOYEN - STOCK'!$A$2:$A$120,""),0))</f>
        <v>30.275324675324672</v>
      </c>
      <c r="O510" s="35">
        <f t="shared" si="22"/>
        <v>154.4949818181818</v>
      </c>
      <c r="P510" s="36">
        <f t="shared" si="23"/>
        <v>1</v>
      </c>
      <c r="Q510" s="37" t="s">
        <v>159</v>
      </c>
    </row>
    <row r="511" spans="1:17" hidden="1">
      <c r="A511" s="29">
        <v>2014</v>
      </c>
      <c r="B511" s="29" t="s">
        <v>164</v>
      </c>
      <c r="C511" s="30" t="s">
        <v>47</v>
      </c>
      <c r="D511" s="24" t="str">
        <f t="array" ref="D511">INDEX([1]PARCELLAIRE!$C$2:$C$85,MATCH(A511,IF([1]PARCELLAIRE!$D$2:$D$85=E511,[1]PARCELLAIRE!$A$2:$A$85,""),0))</f>
        <v>PESCADOUX</v>
      </c>
      <c r="E511" s="29" t="s">
        <v>16</v>
      </c>
      <c r="F511" s="31">
        <v>41712</v>
      </c>
      <c r="G511" s="29" t="s">
        <v>61</v>
      </c>
      <c r="H511" s="32" t="s">
        <v>155</v>
      </c>
      <c r="I511" s="24" t="str">
        <f>VLOOKUP(G511,[1]ACHATS!$C:$E,3,0)</f>
        <v>L</v>
      </c>
      <c r="J511" s="24" t="str">
        <f>VLOOKUP(G511,[1]ACHATS!$C:$D,2,0)</f>
        <v>DESHERBANT</v>
      </c>
      <c r="K511" s="33">
        <v>0.9</v>
      </c>
      <c r="L511" s="33">
        <f>VLOOKUP(E511,[1]PARCELLAIRE!$D$2:$F$29,3,0)</f>
        <v>5.17</v>
      </c>
      <c r="M511" s="33">
        <f t="shared" si="21"/>
        <v>4.6530000000000005</v>
      </c>
      <c r="N511" s="34">
        <f t="array" ref="N511">INDEX('[1]COUT MOYEN - STOCK'!$G$2:$G$120,MATCH(A511,IF('[1]COUT MOYEN - STOCK'!$B$2:$B$120=G511,'[1]COUT MOYEN - STOCK'!$A$2:$A$120,""),0))</f>
        <v>30.275324675324672</v>
      </c>
      <c r="O511" s="35">
        <f t="shared" si="22"/>
        <v>140.87108571428573</v>
      </c>
      <c r="P511" s="36">
        <f t="shared" si="23"/>
        <v>1</v>
      </c>
      <c r="Q511" s="37" t="s">
        <v>159</v>
      </c>
    </row>
    <row r="512" spans="1:17" hidden="1">
      <c r="A512" s="29">
        <v>2014</v>
      </c>
      <c r="B512" s="29" t="s">
        <v>164</v>
      </c>
      <c r="C512" s="30" t="s">
        <v>47</v>
      </c>
      <c r="D512" s="24" t="str">
        <f t="array" ref="D512">INDEX([1]PARCELLAIRE!$C$2:$C$85,MATCH(A512,IF([1]PARCELLAIRE!$D$2:$D$85=E512,[1]PARCELLAIRE!$A$2:$A$85,""),0))</f>
        <v>MIRADOUX / FLORIDOU</v>
      </c>
      <c r="E512" s="29" t="s">
        <v>33</v>
      </c>
      <c r="F512" s="31">
        <v>41712</v>
      </c>
      <c r="G512" s="29" t="s">
        <v>61</v>
      </c>
      <c r="H512" s="32" t="s">
        <v>155</v>
      </c>
      <c r="I512" s="24" t="str">
        <f>VLOOKUP(G512,[1]ACHATS!$C:$E,3,0)</f>
        <v>L</v>
      </c>
      <c r="J512" s="24" t="str">
        <f>VLOOKUP(G512,[1]ACHATS!$C:$D,2,0)</f>
        <v>DESHERBANT</v>
      </c>
      <c r="K512" s="33">
        <v>0.9</v>
      </c>
      <c r="L512" s="33">
        <f>VLOOKUP(E512,[1]PARCELLAIRE!$D$2:$F$29,3,0)</f>
        <v>21.88</v>
      </c>
      <c r="M512" s="33">
        <f t="shared" si="21"/>
        <v>19.692</v>
      </c>
      <c r="N512" s="34">
        <f t="array" ref="N512">INDEX('[1]COUT MOYEN - STOCK'!$G$2:$G$120,MATCH(A512,IF('[1]COUT MOYEN - STOCK'!$B$2:$B$120=G512,'[1]COUT MOYEN - STOCK'!$A$2:$A$120,""),0))</f>
        <v>30.275324675324672</v>
      </c>
      <c r="O512" s="35">
        <f t="shared" si="22"/>
        <v>596.1816935064935</v>
      </c>
      <c r="P512" s="36">
        <f t="shared" si="23"/>
        <v>1</v>
      </c>
      <c r="Q512" s="37" t="s">
        <v>159</v>
      </c>
    </row>
    <row r="513" spans="1:17" hidden="1">
      <c r="A513" s="29">
        <v>2014</v>
      </c>
      <c r="B513" s="29" t="s">
        <v>164</v>
      </c>
      <c r="C513" s="30" t="s">
        <v>43</v>
      </c>
      <c r="D513" s="24" t="str">
        <f t="array" ref="D513">INDEX([1]PARCELLAIRE!$C$2:$C$85,MATCH(A513,IF([1]PARCELLAIRE!$D$2:$D$85=E513,[1]PARCELLAIRE!$A$2:$A$85,""),0))</f>
        <v>SOLEIHO</v>
      </c>
      <c r="E513" s="29" t="s">
        <v>18</v>
      </c>
      <c r="F513" s="31">
        <v>41715</v>
      </c>
      <c r="G513" s="29" t="s">
        <v>45</v>
      </c>
      <c r="H513" s="32" t="s">
        <v>155</v>
      </c>
      <c r="I513" s="24" t="str">
        <f>VLOOKUP(G513,[1]ACHATS!$C:$E,3,0)</f>
        <v>L</v>
      </c>
      <c r="J513" s="24" t="str">
        <f>VLOOKUP(G513,[1]ACHATS!$C:$D,2,0)</f>
        <v>DIVERS</v>
      </c>
      <c r="K513" s="33">
        <v>0.5</v>
      </c>
      <c r="L513" s="33">
        <f>VLOOKUP(E513,[1]PARCELLAIRE!$D$2:$F$29,3,0)</f>
        <v>2.33</v>
      </c>
      <c r="M513" s="33">
        <f t="shared" si="21"/>
        <v>1.165</v>
      </c>
      <c r="N513" s="34">
        <f t="array" ref="N513">INDEX('[1]COUT MOYEN - STOCK'!$G$2:$G$120,MATCH(A513,IF('[1]COUT MOYEN - STOCK'!$B$2:$B$120=G513,'[1]COUT MOYEN - STOCK'!$A$2:$A$120,""),0))</f>
        <v>10.849625</v>
      </c>
      <c r="O513" s="35">
        <f t="shared" si="22"/>
        <v>12.639813125</v>
      </c>
      <c r="P513" s="36">
        <f t="shared" si="23"/>
        <v>1</v>
      </c>
      <c r="Q513" s="37"/>
    </row>
    <row r="514" spans="1:17" hidden="1">
      <c r="A514" s="29">
        <v>2014</v>
      </c>
      <c r="B514" s="29" t="s">
        <v>164</v>
      </c>
      <c r="C514" s="30" t="s">
        <v>43</v>
      </c>
      <c r="D514" s="24" t="str">
        <f t="array" ref="D514">INDEX([1]PARCELLAIRE!$C$2:$C$85,MATCH(A514,IF([1]PARCELLAIRE!$D$2:$D$85=E514,[1]PARCELLAIRE!$A$2:$A$85,""),0))</f>
        <v>SOLEIHO</v>
      </c>
      <c r="E514" s="29" t="s">
        <v>18</v>
      </c>
      <c r="F514" s="31">
        <v>41715</v>
      </c>
      <c r="G514" s="29" t="s">
        <v>61</v>
      </c>
      <c r="H514" s="32" t="s">
        <v>155</v>
      </c>
      <c r="I514" s="24" t="str">
        <f>VLOOKUP(G514,[1]ACHATS!$C:$E,3,0)</f>
        <v>L</v>
      </c>
      <c r="J514" s="24" t="str">
        <f>VLOOKUP(G514,[1]ACHATS!$C:$D,2,0)</f>
        <v>DESHERBANT</v>
      </c>
      <c r="K514" s="33">
        <v>0.9</v>
      </c>
      <c r="L514" s="33">
        <f>VLOOKUP(E514,[1]PARCELLAIRE!$D$2:$F$29,3,0)</f>
        <v>2.33</v>
      </c>
      <c r="M514" s="33">
        <f t="shared" ref="M514:M523" si="24">L514*K514</f>
        <v>2.097</v>
      </c>
      <c r="N514" s="34">
        <f t="array" ref="N514">INDEX('[1]COUT MOYEN - STOCK'!$G$2:$G$120,MATCH(A514,IF('[1]COUT MOYEN - STOCK'!$B$2:$B$120=G514,'[1]COUT MOYEN - STOCK'!$A$2:$A$120,""),0))</f>
        <v>30.275324675324672</v>
      </c>
      <c r="O514" s="35">
        <f t="shared" ref="O514:O523" si="25">N514*M514</f>
        <v>63.487355844155836</v>
      </c>
      <c r="P514" s="36">
        <f t="shared" ref="P514:P523" si="26">IF(WHEN=A514,E514,1)</f>
        <v>1</v>
      </c>
      <c r="Q514" s="37"/>
    </row>
    <row r="515" spans="1:17" hidden="1">
      <c r="A515" s="29">
        <v>2014</v>
      </c>
      <c r="B515" s="29" t="s">
        <v>164</v>
      </c>
      <c r="C515" s="30" t="s">
        <v>43</v>
      </c>
      <c r="D515" s="24" t="str">
        <f t="array" ref="D515">INDEX([1]PARCELLAIRE!$C$2:$C$85,MATCH(A515,IF([1]PARCELLAIRE!$D$2:$D$85=E515,[1]PARCELLAIRE!$A$2:$A$85,""),0))</f>
        <v>ASCOTT</v>
      </c>
      <c r="E515" s="29" t="s">
        <v>22</v>
      </c>
      <c r="F515" s="31">
        <v>41715</v>
      </c>
      <c r="G515" s="29" t="s">
        <v>112</v>
      </c>
      <c r="H515" s="32" t="s">
        <v>155</v>
      </c>
      <c r="I515" s="24" t="str">
        <f>VLOOKUP(G515,[1]ACHATS!$C:$E,3,0)</f>
        <v>L</v>
      </c>
      <c r="J515" s="24" t="str">
        <f>VLOOKUP(G515,[1]ACHATS!$C:$D,2,0)</f>
        <v>DIVERS</v>
      </c>
      <c r="K515" s="33">
        <v>0.8</v>
      </c>
      <c r="L515" s="33">
        <f>VLOOKUP(E515,[1]PARCELLAIRE!$D$2:$F$29,3,0)</f>
        <v>8.58</v>
      </c>
      <c r="M515" s="33">
        <f t="shared" si="24"/>
        <v>6.8640000000000008</v>
      </c>
      <c r="N515" s="34">
        <f t="array" ref="N515">INDEX('[1]COUT MOYEN - STOCK'!$G$2:$G$120,MATCH(A515,IF('[1]COUT MOYEN - STOCK'!$B$2:$B$120=G515,'[1]COUT MOYEN - STOCK'!$A$2:$A$120,""),0))</f>
        <v>0.85225000000000006</v>
      </c>
      <c r="O515" s="35">
        <f t="shared" si="25"/>
        <v>5.8498440000000009</v>
      </c>
      <c r="P515" s="36">
        <f t="shared" si="26"/>
        <v>1</v>
      </c>
      <c r="Q515" s="37"/>
    </row>
    <row r="516" spans="1:17" hidden="1">
      <c r="A516" s="29">
        <v>2014</v>
      </c>
      <c r="B516" s="29" t="s">
        <v>164</v>
      </c>
      <c r="C516" s="30" t="s">
        <v>43</v>
      </c>
      <c r="D516" s="24" t="str">
        <f t="array" ref="D516">INDEX([1]PARCELLAIRE!$C$2:$C$85,MATCH(A516,IF([1]PARCELLAIRE!$D$2:$D$85=E516,[1]PARCELLAIRE!$A$2:$A$85,""),0))</f>
        <v>ASCOTT</v>
      </c>
      <c r="E516" s="29" t="s">
        <v>22</v>
      </c>
      <c r="F516" s="31">
        <v>41715</v>
      </c>
      <c r="G516" s="29" t="s">
        <v>113</v>
      </c>
      <c r="H516" s="32" t="s">
        <v>155</v>
      </c>
      <c r="I516" s="24" t="str">
        <f>VLOOKUP(G516,[1]ACHATS!$C:$E,3,0)</f>
        <v>L</v>
      </c>
      <c r="J516" s="24" t="str">
        <f>VLOOKUP(G516,[1]ACHATS!$C:$D,2,0)</f>
        <v>DIVERS</v>
      </c>
      <c r="K516" s="33">
        <v>1</v>
      </c>
      <c r="L516" s="33">
        <f>VLOOKUP(E516,[1]PARCELLAIRE!$D$2:$F$29,3,0)</f>
        <v>8.58</v>
      </c>
      <c r="M516" s="33">
        <f t="shared" si="24"/>
        <v>8.58</v>
      </c>
      <c r="N516" s="34">
        <f t="array" ref="N516">INDEX('[1]COUT MOYEN - STOCK'!$G$2:$G$120,MATCH(A516,IF('[1]COUT MOYEN - STOCK'!$B$2:$B$120=G516,'[1]COUT MOYEN - STOCK'!$A$2:$A$120,""),0))</f>
        <v>2.62</v>
      </c>
      <c r="O516" s="35">
        <f t="shared" si="25"/>
        <v>22.479600000000001</v>
      </c>
      <c r="P516" s="36">
        <f t="shared" si="26"/>
        <v>1</v>
      </c>
      <c r="Q516" s="37"/>
    </row>
    <row r="517" spans="1:17" hidden="1">
      <c r="A517" s="29">
        <v>2014</v>
      </c>
      <c r="B517" s="29" t="s">
        <v>164</v>
      </c>
      <c r="C517" s="30" t="s">
        <v>43</v>
      </c>
      <c r="D517" s="24" t="str">
        <f t="array" ref="D517">INDEX([1]PARCELLAIRE!$C$2:$C$85,MATCH(A517,IF([1]PARCELLAIRE!$D$2:$D$85=E517,[1]PARCELLAIRE!$A$2:$A$85,""),0))</f>
        <v>ASCOTT</v>
      </c>
      <c r="E517" s="29" t="s">
        <v>22</v>
      </c>
      <c r="F517" s="31">
        <v>41715</v>
      </c>
      <c r="G517" s="29" t="s">
        <v>114</v>
      </c>
      <c r="H517" s="32" t="s">
        <v>155</v>
      </c>
      <c r="I517" s="24" t="str">
        <f>VLOOKUP(G517,[1]ACHATS!$C:$E,3,0)</f>
        <v>Kg</v>
      </c>
      <c r="J517" s="24" t="str">
        <f>VLOOKUP(G517,[1]ACHATS!$C:$D,2,0)</f>
        <v>DESHERBANT</v>
      </c>
      <c r="K517" s="33">
        <v>0.22</v>
      </c>
      <c r="L517" s="33">
        <f>VLOOKUP(E517,[1]PARCELLAIRE!$D$2:$F$29,3,0)</f>
        <v>8.58</v>
      </c>
      <c r="M517" s="33">
        <f t="shared" si="24"/>
        <v>1.8875999999999999</v>
      </c>
      <c r="N517" s="34">
        <f t="array" ref="N517">INDEX('[1]COUT MOYEN - STOCK'!$G$2:$G$120,MATCH(A517,IF('[1]COUT MOYEN - STOCK'!$B$2:$B$120=G517,'[1]COUT MOYEN - STOCK'!$A$2:$A$120,""),0))</f>
        <v>205.62</v>
      </c>
      <c r="O517" s="35">
        <f t="shared" si="25"/>
        <v>388.12831199999999</v>
      </c>
      <c r="P517" s="36">
        <f t="shared" si="26"/>
        <v>1</v>
      </c>
      <c r="Q517" s="37" t="s">
        <v>160</v>
      </c>
    </row>
    <row r="518" spans="1:17" hidden="1">
      <c r="A518" s="29">
        <v>2014</v>
      </c>
      <c r="B518" s="29" t="s">
        <v>164</v>
      </c>
      <c r="C518" s="30" t="s">
        <v>47</v>
      </c>
      <c r="D518" s="24" t="str">
        <f t="array" ref="D518">INDEX([1]PARCELLAIRE!$C$2:$C$85,MATCH(A518,IF([1]PARCELLAIRE!$D$2:$D$85=E518,[1]PARCELLAIRE!$A$2:$A$85,""),0))</f>
        <v>SCULPTUR</v>
      </c>
      <c r="E518" s="29" t="s">
        <v>35</v>
      </c>
      <c r="F518" s="31">
        <v>41729</v>
      </c>
      <c r="G518" s="29" t="s">
        <v>58</v>
      </c>
      <c r="H518" s="32" t="s">
        <v>155</v>
      </c>
      <c r="I518" s="24" t="str">
        <f>VLOOKUP(G518,[1]ACHATS!$C:$E,3,0)</f>
        <v>Kg</v>
      </c>
      <c r="J518" s="24" t="str">
        <f>VLOOKUP(G518,[1]ACHATS!$C:$D,2,0)</f>
        <v>AZOTE</v>
      </c>
      <c r="K518" s="33">
        <v>60</v>
      </c>
      <c r="L518" s="33">
        <f>VLOOKUP(E518,[1]PARCELLAIRE!$D$2:$F$29,3,0)</f>
        <v>4.12</v>
      </c>
      <c r="M518" s="33">
        <f t="shared" si="24"/>
        <v>247.20000000000002</v>
      </c>
      <c r="N518" s="34">
        <f t="array" ref="N518">INDEX('[1]COUT MOYEN - STOCK'!$G$2:$G$120,MATCH(A518,IF('[1]COUT MOYEN - STOCK'!$B$2:$B$120=G518,'[1]COUT MOYEN - STOCK'!$A$2:$A$120,""),0))</f>
        <v>0.33867396208124378</v>
      </c>
      <c r="O518" s="35">
        <f t="shared" si="25"/>
        <v>83.720203426483465</v>
      </c>
      <c r="P518" s="36">
        <f t="shared" si="26"/>
        <v>1</v>
      </c>
      <c r="Q518" s="37" t="s">
        <v>161</v>
      </c>
    </row>
    <row r="519" spans="1:17" hidden="1">
      <c r="A519" s="29">
        <v>2014</v>
      </c>
      <c r="B519" s="29" t="s">
        <v>164</v>
      </c>
      <c r="C519" s="30" t="s">
        <v>47</v>
      </c>
      <c r="D519" s="24" t="str">
        <f t="array" ref="D519">INDEX([1]PARCELLAIRE!$C$2:$C$85,MATCH(A519,IF([1]PARCELLAIRE!$D$2:$D$85=E519,[1]PARCELLAIRE!$A$2:$A$85,""),0))</f>
        <v>SCULPTUR</v>
      </c>
      <c r="E519" s="29" t="s">
        <v>36</v>
      </c>
      <c r="F519" s="31">
        <v>41729</v>
      </c>
      <c r="G519" s="29" t="s">
        <v>58</v>
      </c>
      <c r="H519" s="32" t="s">
        <v>155</v>
      </c>
      <c r="I519" s="24" t="str">
        <f>VLOOKUP(G519,[1]ACHATS!$C:$E,3,0)</f>
        <v>Kg</v>
      </c>
      <c r="J519" s="24" t="str">
        <f>VLOOKUP(G519,[1]ACHATS!$C:$D,2,0)</f>
        <v>AZOTE</v>
      </c>
      <c r="K519" s="33">
        <v>60</v>
      </c>
      <c r="L519" s="33">
        <f>VLOOKUP(E519,[1]PARCELLAIRE!$D$2:$F$29,3,0)</f>
        <v>4.42</v>
      </c>
      <c r="M519" s="33">
        <f t="shared" si="24"/>
        <v>265.2</v>
      </c>
      <c r="N519" s="34">
        <f t="array" ref="N519">INDEX('[1]COUT MOYEN - STOCK'!$G$2:$G$120,MATCH(A519,IF('[1]COUT MOYEN - STOCK'!$B$2:$B$120=G519,'[1]COUT MOYEN - STOCK'!$A$2:$A$120,""),0))</f>
        <v>0.33867396208124378</v>
      </c>
      <c r="O519" s="35">
        <f t="shared" si="25"/>
        <v>89.816334743945845</v>
      </c>
      <c r="P519" s="36">
        <f t="shared" si="26"/>
        <v>1</v>
      </c>
      <c r="Q519" s="37" t="s">
        <v>161</v>
      </c>
    </row>
    <row r="520" spans="1:17" hidden="1">
      <c r="A520" s="29">
        <v>2014</v>
      </c>
      <c r="B520" s="29" t="s">
        <v>164</v>
      </c>
      <c r="C520" s="30" t="s">
        <v>47</v>
      </c>
      <c r="D520" s="24" t="str">
        <f t="array" ref="D520">INDEX([1]PARCELLAIRE!$C$2:$C$85,MATCH(A520,IF([1]PARCELLAIRE!$D$2:$D$85=E520,[1]PARCELLAIRE!$A$2:$A$85,""),0))</f>
        <v>SCULPTUR</v>
      </c>
      <c r="E520" s="29" t="s">
        <v>37</v>
      </c>
      <c r="F520" s="31">
        <v>41729</v>
      </c>
      <c r="G520" s="29" t="s">
        <v>58</v>
      </c>
      <c r="H520" s="32" t="s">
        <v>155</v>
      </c>
      <c r="I520" s="24" t="str">
        <f>VLOOKUP(G520,[1]ACHATS!$C:$E,3,0)</f>
        <v>Kg</v>
      </c>
      <c r="J520" s="24" t="str">
        <f>VLOOKUP(G520,[1]ACHATS!$C:$D,2,0)</f>
        <v>AZOTE</v>
      </c>
      <c r="K520" s="33">
        <v>60</v>
      </c>
      <c r="L520" s="33">
        <f>VLOOKUP(E520,[1]PARCELLAIRE!$D$2:$F$29,3,0)</f>
        <v>12.06</v>
      </c>
      <c r="M520" s="33">
        <f t="shared" si="24"/>
        <v>723.6</v>
      </c>
      <c r="N520" s="34">
        <f t="array" ref="N520">INDEX('[1]COUT MOYEN - STOCK'!$G$2:$G$120,MATCH(A520,IF('[1]COUT MOYEN - STOCK'!$B$2:$B$120=G520,'[1]COUT MOYEN - STOCK'!$A$2:$A$120,""),0))</f>
        <v>0.33867396208124378</v>
      </c>
      <c r="O520" s="35">
        <f t="shared" si="25"/>
        <v>245.06447896198802</v>
      </c>
      <c r="P520" s="36">
        <f t="shared" si="26"/>
        <v>1</v>
      </c>
      <c r="Q520" s="37" t="s">
        <v>161</v>
      </c>
    </row>
    <row r="521" spans="1:17" hidden="1">
      <c r="A521" s="29">
        <v>2014</v>
      </c>
      <c r="B521" s="29" t="s">
        <v>164</v>
      </c>
      <c r="C521" s="30" t="s">
        <v>47</v>
      </c>
      <c r="D521" s="24" t="str">
        <f t="array" ref="D521">INDEX([1]PARCELLAIRE!$C$2:$C$85,MATCH(A521,IF([1]PARCELLAIRE!$D$2:$D$85=E521,[1]PARCELLAIRE!$A$2:$A$85,""),0))</f>
        <v>PESCADOUX</v>
      </c>
      <c r="E521" s="29" t="s">
        <v>34</v>
      </c>
      <c r="F521" s="31">
        <v>41729</v>
      </c>
      <c r="G521" s="29" t="s">
        <v>58</v>
      </c>
      <c r="H521" s="32" t="s">
        <v>155</v>
      </c>
      <c r="I521" s="24" t="str">
        <f>VLOOKUP(G521,[1]ACHATS!$C:$E,3,0)</f>
        <v>Kg</v>
      </c>
      <c r="J521" s="24" t="str">
        <f>VLOOKUP(G521,[1]ACHATS!$C:$D,2,0)</f>
        <v>AZOTE</v>
      </c>
      <c r="K521" s="33">
        <v>130</v>
      </c>
      <c r="L521" s="33">
        <f>VLOOKUP(E521,[1]PARCELLAIRE!$D$2:$F$29,3,0)</f>
        <v>5.67</v>
      </c>
      <c r="M521" s="33">
        <f t="shared" si="24"/>
        <v>737.1</v>
      </c>
      <c r="N521" s="34">
        <f t="array" ref="N521">INDEX('[1]COUT MOYEN - STOCK'!$G$2:$G$120,MATCH(A521,IF('[1]COUT MOYEN - STOCK'!$B$2:$B$120=G521,'[1]COUT MOYEN - STOCK'!$A$2:$A$120,""),0))</f>
        <v>0.33867396208124378</v>
      </c>
      <c r="O521" s="35">
        <f t="shared" si="25"/>
        <v>249.63657745008481</v>
      </c>
      <c r="P521" s="36">
        <f t="shared" si="26"/>
        <v>1</v>
      </c>
      <c r="Q521" s="37" t="s">
        <v>162</v>
      </c>
    </row>
    <row r="522" spans="1:17" hidden="1">
      <c r="A522" s="29">
        <v>2014</v>
      </c>
      <c r="B522" s="29" t="s">
        <v>164</v>
      </c>
      <c r="C522" s="30" t="s">
        <v>47</v>
      </c>
      <c r="D522" s="24" t="str">
        <f t="array" ref="D522">INDEX([1]PARCELLAIRE!$C$2:$C$85,MATCH(A522,IF([1]PARCELLAIRE!$D$2:$D$85=E522,[1]PARCELLAIRE!$A$2:$A$85,""),0))</f>
        <v>PESCADOUX</v>
      </c>
      <c r="E522" s="29" t="s">
        <v>16</v>
      </c>
      <c r="F522" s="31">
        <v>41729</v>
      </c>
      <c r="G522" s="29" t="s">
        <v>58</v>
      </c>
      <c r="H522" s="32" t="s">
        <v>155</v>
      </c>
      <c r="I522" s="24" t="str">
        <f>VLOOKUP(G522,[1]ACHATS!$C:$E,3,0)</f>
        <v>Kg</v>
      </c>
      <c r="J522" s="24" t="str">
        <f>VLOOKUP(G522,[1]ACHATS!$C:$D,2,0)</f>
        <v>AZOTE</v>
      </c>
      <c r="K522" s="33">
        <v>130</v>
      </c>
      <c r="L522" s="33">
        <f>VLOOKUP(E522,[1]PARCELLAIRE!$D$2:$F$29,3,0)</f>
        <v>5.17</v>
      </c>
      <c r="M522" s="33">
        <f t="shared" si="24"/>
        <v>672.1</v>
      </c>
      <c r="N522" s="34">
        <f t="array" ref="N522">INDEX('[1]COUT MOYEN - STOCK'!$G$2:$G$120,MATCH(A522,IF('[1]COUT MOYEN - STOCK'!$B$2:$B$120=G522,'[1]COUT MOYEN - STOCK'!$A$2:$A$120,""),0))</f>
        <v>0.33867396208124378</v>
      </c>
      <c r="O522" s="35">
        <f t="shared" si="25"/>
        <v>227.62276991480397</v>
      </c>
      <c r="P522" s="36">
        <f t="shared" si="26"/>
        <v>1</v>
      </c>
      <c r="Q522" s="37" t="s">
        <v>162</v>
      </c>
    </row>
    <row r="523" spans="1:17" hidden="1">
      <c r="A523" s="29">
        <v>2014</v>
      </c>
      <c r="B523" s="29" t="s">
        <v>164</v>
      </c>
      <c r="C523" s="30" t="s">
        <v>47</v>
      </c>
      <c r="D523" s="24" t="str">
        <f t="array" ref="D523">INDEX([1]PARCELLAIRE!$C$2:$C$85,MATCH(A523,IF([1]PARCELLAIRE!$D$2:$D$85=E523,[1]PARCELLAIRE!$A$2:$A$85,""),0))</f>
        <v>MIRADOUX / FLORIDOU</v>
      </c>
      <c r="E523" s="29" t="s">
        <v>33</v>
      </c>
      <c r="F523" s="31">
        <v>41729</v>
      </c>
      <c r="G523" s="29" t="s">
        <v>58</v>
      </c>
      <c r="H523" s="32" t="s">
        <v>155</v>
      </c>
      <c r="I523" s="24" t="str">
        <f>VLOOKUP(G523,[1]ACHATS!$C:$E,3,0)</f>
        <v>Kg</v>
      </c>
      <c r="J523" s="24" t="str">
        <f>VLOOKUP(G523,[1]ACHATS!$C:$D,2,0)</f>
        <v>AZOTE</v>
      </c>
      <c r="K523" s="33">
        <v>130</v>
      </c>
      <c r="L523" s="33">
        <f>VLOOKUP(E523,[1]PARCELLAIRE!$D$2:$F$29,3,0)</f>
        <v>21.88</v>
      </c>
      <c r="M523" s="33">
        <f t="shared" si="24"/>
        <v>2844.4</v>
      </c>
      <c r="N523" s="34">
        <f t="array" ref="N523">INDEX('[1]COUT MOYEN - STOCK'!$G$2:$G$120,MATCH(A523,IF('[1]COUT MOYEN - STOCK'!$B$2:$B$120=G523,'[1]COUT MOYEN - STOCK'!$A$2:$A$120,""),0))</f>
        <v>0.33867396208124378</v>
      </c>
      <c r="O523" s="35">
        <f t="shared" si="25"/>
        <v>963.3242177438899</v>
      </c>
      <c r="P523" s="36">
        <f t="shared" si="26"/>
        <v>1</v>
      </c>
      <c r="Q523" s="37" t="s">
        <v>162</v>
      </c>
    </row>
  </sheetData>
  <dataValidations count="3">
    <dataValidation type="list" allowBlank="1" showInputMessage="1" showErrorMessage="1" sqref="C2:C523">
      <formula1>STADE</formula1>
    </dataValidation>
    <dataValidation type="list" allowBlank="1" showInputMessage="1" showErrorMessage="1" sqref="A58:B58">
      <formula1>Liste_Annee</formula1>
    </dataValidation>
    <dataValidation type="list" allowBlank="1" showInputMessage="1" showErrorMessage="1" sqref="H2:H523">
      <formula1>INDIRECT(#REF!)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[1]PARCELLAIRE!#REF!</xm:f>
          </x14:formula1>
          <xm:sqref>E58:E65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MENU</vt:lpstr>
      <vt:lpstr>PARCELLAIRE</vt:lpstr>
      <vt:lpstr>Col_Annee</vt:lpstr>
      <vt:lpstr>Col_Categorie</vt:lpstr>
      <vt:lpstr>Col_Culture</vt:lpstr>
      <vt:lpstr>Col_Date</vt:lpstr>
      <vt:lpstr>Col_Parcelle</vt:lpstr>
      <vt:lpstr>Col_Prix</vt:lpstr>
      <vt:lpstr>Col_Produit</vt:lpstr>
      <vt:lpstr>Col_Quantite</vt:lpstr>
      <vt:lpstr>Col_Societe</vt:lpstr>
      <vt:lpstr>Col_Surface</vt:lpstr>
      <vt:lpstr>Col_Vart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R@chid</cp:lastModifiedBy>
  <dcterms:created xsi:type="dcterms:W3CDTF">2013-08-26T09:32:46Z</dcterms:created>
  <dcterms:modified xsi:type="dcterms:W3CDTF">2015-05-16T12:13:05Z</dcterms:modified>
</cp:coreProperties>
</file>