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filterPrivacy="1" autoCompressPictures="0"/>
  <bookViews>
    <workbookView xWindow="0" yWindow="89940" windowWidth="15600" windowHeight="11760"/>
  </bookViews>
  <sheets>
    <sheet name="Travail" sheetId="6" r:id="rId1"/>
    <sheet name="Synthése" sheetId="10" r:id="rId2"/>
    <sheet name="Calcul" sheetId="8" r:id="rId3"/>
    <sheet name="Paie" sheetId="7" r:id="rId4"/>
  </sheets>
  <definedNames>
    <definedName name="Année_Calendaire">Travail!$A$1</definedName>
    <definedName name="Aoû_Dim1">DATE(Année_Calendaire,8,1)-WEEKDAY(DATE(Année_Calendaire,8,1))+1</definedName>
    <definedName name="Avr_Dim1">DATE(Année_Calendaire,4,1)-WEEKDAY(DATE(Année_Calendaire,4,1))+1</definedName>
    <definedName name="Déc_Dim1">DATE(Année_Calendaire,12,1)-WEEKDAY(DATE(Année_Calendaire,12,1))+1</definedName>
    <definedName name="Fév_Dim1">DATE(Année_Calendaire,2,1)-WEEKDAY(DATE(Année_Calendaire,2,1))+1</definedName>
    <definedName name="Jan_Dim1">DATE(Année_Calendaire,1,1)-WEEKDAY(DATE(Année_Calendaire,1,1))+1</definedName>
    <definedName name="Juil_Dim1">DATE(Année_Calendaire,7,1)-WEEKDAY(DATE(Année_Calendaire,7,1))+1</definedName>
    <definedName name="Juin_Dim1">DATE(Année_Calendaire,6,1)-WEEKDAY(DATE(Année_Calendaire,6,1))+1</definedName>
    <definedName name="Mai_Dim1">DATE(Année_Calendaire,5,1)-WEEKDAY(DATE(Année_Calendaire,5,1))+1</definedName>
    <definedName name="Mar_Dim1">DATE(Année_Calendaire,3,1)-WEEKDAY(DATE(Année_Calendaire,3,1))+1</definedName>
    <definedName name="Nov_Dim1">DATE(Année_Calendaire,11,1)-WEEKDAY(DATE(Année_Calendaire,11,1))+1</definedName>
    <definedName name="Oct_Dim1">DATE(Année_Calendaire,10,1)-WEEKDAY(DATE(Année_Calendaire,10,1))+1</definedName>
    <definedName name="Sep_Dim1">DATE(Année_Calendaire,9,1)-WEEKDAY(DATE(Année_Calendaire,9,1))+1</definedName>
    <definedName name="_xlnm.Print_Area" localSheetId="0">Travail!$A$2:$H$121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S66" i="6" l="1"/>
  <c r="L31" i="6" l="1"/>
  <c r="AQ212" i="6" l="1"/>
  <c r="AP212" i="6"/>
  <c r="AN212" i="6"/>
  <c r="AM212" i="6"/>
  <c r="AL212" i="6"/>
  <c r="AK212" i="6"/>
  <c r="AJ212" i="6"/>
  <c r="AI212" i="6"/>
  <c r="AH212" i="6"/>
  <c r="AF212" i="6"/>
  <c r="AE212" i="6"/>
  <c r="AD212" i="6"/>
  <c r="AC212" i="6"/>
  <c r="AB212" i="6"/>
  <c r="AA212" i="6"/>
  <c r="Z212" i="6"/>
  <c r="X212" i="6"/>
  <c r="W212" i="6"/>
  <c r="V212" i="6"/>
  <c r="U212" i="6"/>
  <c r="T212" i="6"/>
  <c r="S212" i="6"/>
  <c r="R212" i="6"/>
  <c r="Y212" i="6" s="1"/>
  <c r="P212" i="6"/>
  <c r="O212" i="6"/>
  <c r="N212" i="6"/>
  <c r="M212" i="6"/>
  <c r="L212" i="6"/>
  <c r="K212" i="6"/>
  <c r="J212" i="6"/>
  <c r="H212" i="6"/>
  <c r="G212" i="6"/>
  <c r="F212" i="6"/>
  <c r="E212" i="6"/>
  <c r="D212" i="6"/>
  <c r="C212" i="6"/>
  <c r="B212" i="6"/>
  <c r="AQ194" i="6"/>
  <c r="AP194" i="6"/>
  <c r="AN194" i="6"/>
  <c r="AM194" i="6"/>
  <c r="AL194" i="6"/>
  <c r="AK194" i="6"/>
  <c r="AJ194" i="6"/>
  <c r="AI194" i="6"/>
  <c r="AH194" i="6"/>
  <c r="AF194" i="6"/>
  <c r="AE194" i="6"/>
  <c r="AD194" i="6"/>
  <c r="AC194" i="6"/>
  <c r="AB194" i="6"/>
  <c r="AA194" i="6"/>
  <c r="Z194" i="6"/>
  <c r="X194" i="6"/>
  <c r="W194" i="6"/>
  <c r="V194" i="6"/>
  <c r="U194" i="6"/>
  <c r="T194" i="6"/>
  <c r="S194" i="6"/>
  <c r="R194" i="6"/>
  <c r="P194" i="6"/>
  <c r="O194" i="6"/>
  <c r="N194" i="6"/>
  <c r="M194" i="6"/>
  <c r="L194" i="6"/>
  <c r="K194" i="6"/>
  <c r="J194" i="6"/>
  <c r="H194" i="6"/>
  <c r="G194" i="6"/>
  <c r="F194" i="6"/>
  <c r="E194" i="6"/>
  <c r="D194" i="6"/>
  <c r="C194" i="6"/>
  <c r="B194" i="6"/>
  <c r="AQ176" i="6"/>
  <c r="AP176" i="6"/>
  <c r="AN176" i="6"/>
  <c r="AM176" i="6"/>
  <c r="AL176" i="6"/>
  <c r="AK176" i="6"/>
  <c r="AJ176" i="6"/>
  <c r="AI176" i="6"/>
  <c r="AH176" i="6"/>
  <c r="AF176" i="6"/>
  <c r="AE176" i="6"/>
  <c r="AD176" i="6"/>
  <c r="AC176" i="6"/>
  <c r="AB176" i="6"/>
  <c r="AA176" i="6"/>
  <c r="Z176" i="6"/>
  <c r="X176" i="6"/>
  <c r="W176" i="6"/>
  <c r="V176" i="6"/>
  <c r="U176" i="6"/>
  <c r="T176" i="6"/>
  <c r="S176" i="6"/>
  <c r="R176" i="6"/>
  <c r="P176" i="6"/>
  <c r="O176" i="6"/>
  <c r="N176" i="6"/>
  <c r="M176" i="6"/>
  <c r="L176" i="6"/>
  <c r="K176" i="6"/>
  <c r="J176" i="6"/>
  <c r="H176" i="6"/>
  <c r="G176" i="6"/>
  <c r="F176" i="6"/>
  <c r="E176" i="6"/>
  <c r="D176" i="6"/>
  <c r="C176" i="6"/>
  <c r="B176" i="6"/>
  <c r="I176" i="6" s="1"/>
  <c r="AQ158" i="6"/>
  <c r="AP158" i="6"/>
  <c r="AN158" i="6"/>
  <c r="AM158" i="6"/>
  <c r="AL158" i="6"/>
  <c r="AK158" i="6"/>
  <c r="AJ158" i="6"/>
  <c r="AI158" i="6"/>
  <c r="AH158" i="6"/>
  <c r="AF158" i="6"/>
  <c r="AE158" i="6"/>
  <c r="AD158" i="6"/>
  <c r="AC158" i="6"/>
  <c r="AB158" i="6"/>
  <c r="AA158" i="6"/>
  <c r="Z158" i="6"/>
  <c r="AG158" i="6" s="1"/>
  <c r="X158" i="6"/>
  <c r="W158" i="6"/>
  <c r="V158" i="6"/>
  <c r="U158" i="6"/>
  <c r="T158" i="6"/>
  <c r="S158" i="6"/>
  <c r="R158" i="6"/>
  <c r="P158" i="6"/>
  <c r="O158" i="6"/>
  <c r="N158" i="6"/>
  <c r="M158" i="6"/>
  <c r="L158" i="6"/>
  <c r="K158" i="6"/>
  <c r="J158" i="6"/>
  <c r="H158" i="6"/>
  <c r="G158" i="6"/>
  <c r="F158" i="6"/>
  <c r="E158" i="6"/>
  <c r="D158" i="6"/>
  <c r="C158" i="6"/>
  <c r="B158" i="6"/>
  <c r="AQ140" i="6"/>
  <c r="AP140" i="6"/>
  <c r="AN140" i="6"/>
  <c r="AM140" i="6"/>
  <c r="AL140" i="6"/>
  <c r="AK140" i="6"/>
  <c r="AJ140" i="6"/>
  <c r="AI140" i="6"/>
  <c r="AH140" i="6"/>
  <c r="AF140" i="6"/>
  <c r="AE140" i="6"/>
  <c r="AD140" i="6"/>
  <c r="AC140" i="6"/>
  <c r="AB140" i="6"/>
  <c r="AA140" i="6"/>
  <c r="Z140" i="6"/>
  <c r="X140" i="6"/>
  <c r="W140" i="6"/>
  <c r="V140" i="6"/>
  <c r="U140" i="6"/>
  <c r="T140" i="6"/>
  <c r="S140" i="6"/>
  <c r="R140" i="6"/>
  <c r="P140" i="6"/>
  <c r="O140" i="6"/>
  <c r="N140" i="6"/>
  <c r="M140" i="6"/>
  <c r="L140" i="6"/>
  <c r="K140" i="6"/>
  <c r="J140" i="6"/>
  <c r="H140" i="6"/>
  <c r="G140" i="6"/>
  <c r="F140" i="6"/>
  <c r="E140" i="6"/>
  <c r="D140" i="6"/>
  <c r="C140" i="6"/>
  <c r="B140" i="6"/>
  <c r="AQ122" i="6"/>
  <c r="AP122" i="6"/>
  <c r="AN122" i="6"/>
  <c r="AM122" i="6"/>
  <c r="AL122" i="6"/>
  <c r="AK122" i="6"/>
  <c r="AJ122" i="6"/>
  <c r="AI122" i="6"/>
  <c r="AH122" i="6"/>
  <c r="AF122" i="6"/>
  <c r="AE122" i="6"/>
  <c r="AD122" i="6"/>
  <c r="AC122" i="6"/>
  <c r="AB122" i="6"/>
  <c r="AA122" i="6"/>
  <c r="Z122" i="6"/>
  <c r="X122" i="6"/>
  <c r="W122" i="6"/>
  <c r="V122" i="6"/>
  <c r="U122" i="6"/>
  <c r="T122" i="6"/>
  <c r="S122" i="6"/>
  <c r="R122" i="6"/>
  <c r="P122" i="6"/>
  <c r="O122" i="6"/>
  <c r="N122" i="6"/>
  <c r="M122" i="6"/>
  <c r="L122" i="6"/>
  <c r="K122" i="6"/>
  <c r="J122" i="6"/>
  <c r="H122" i="6"/>
  <c r="G122" i="6"/>
  <c r="F122" i="6"/>
  <c r="E122" i="6"/>
  <c r="D122" i="6"/>
  <c r="C122" i="6"/>
  <c r="B122" i="6"/>
  <c r="AQ104" i="6"/>
  <c r="AP104" i="6"/>
  <c r="AN104" i="6"/>
  <c r="AM104" i="6"/>
  <c r="AL104" i="6"/>
  <c r="AK104" i="6"/>
  <c r="AJ104" i="6"/>
  <c r="AI104" i="6"/>
  <c r="AH104" i="6"/>
  <c r="AF104" i="6"/>
  <c r="AE104" i="6"/>
  <c r="AD104" i="6"/>
  <c r="AC104" i="6"/>
  <c r="AB104" i="6"/>
  <c r="AA104" i="6"/>
  <c r="Z104" i="6"/>
  <c r="X104" i="6"/>
  <c r="W104" i="6"/>
  <c r="V104" i="6"/>
  <c r="U104" i="6"/>
  <c r="T104" i="6"/>
  <c r="S104" i="6"/>
  <c r="R104" i="6"/>
  <c r="P104" i="6"/>
  <c r="O104" i="6"/>
  <c r="N104" i="6"/>
  <c r="M104" i="6"/>
  <c r="L104" i="6"/>
  <c r="K104" i="6"/>
  <c r="J104" i="6"/>
  <c r="H104" i="6"/>
  <c r="G104" i="6"/>
  <c r="F104" i="6"/>
  <c r="E104" i="6"/>
  <c r="D104" i="6"/>
  <c r="C104" i="6"/>
  <c r="B104" i="6"/>
  <c r="AQ86" i="6"/>
  <c r="AP86" i="6"/>
  <c r="AN86" i="6"/>
  <c r="AM86" i="6"/>
  <c r="AL86" i="6"/>
  <c r="AK86" i="6"/>
  <c r="AJ86" i="6"/>
  <c r="AI86" i="6"/>
  <c r="AH86" i="6"/>
  <c r="AF86" i="6"/>
  <c r="AE86" i="6"/>
  <c r="AD86" i="6"/>
  <c r="AC86" i="6"/>
  <c r="AB86" i="6"/>
  <c r="AA86" i="6"/>
  <c r="Z86" i="6"/>
  <c r="X86" i="6"/>
  <c r="W86" i="6"/>
  <c r="V86" i="6"/>
  <c r="U86" i="6"/>
  <c r="T86" i="6"/>
  <c r="S86" i="6"/>
  <c r="R86" i="6"/>
  <c r="P86" i="6"/>
  <c r="O86" i="6"/>
  <c r="N86" i="6"/>
  <c r="M86" i="6"/>
  <c r="L86" i="6"/>
  <c r="K86" i="6"/>
  <c r="J86" i="6"/>
  <c r="H86" i="6"/>
  <c r="G86" i="6"/>
  <c r="F86" i="6"/>
  <c r="E86" i="6"/>
  <c r="D86" i="6"/>
  <c r="C86" i="6"/>
  <c r="B86" i="6"/>
  <c r="AQ68" i="6"/>
  <c r="AP68" i="6"/>
  <c r="AN68" i="6"/>
  <c r="AM68" i="6"/>
  <c r="AL68" i="6"/>
  <c r="AK68" i="6"/>
  <c r="AJ68" i="6"/>
  <c r="AI68" i="6"/>
  <c r="AH68" i="6"/>
  <c r="AF68" i="6"/>
  <c r="AE68" i="6"/>
  <c r="AD68" i="6"/>
  <c r="AC68" i="6"/>
  <c r="AB68" i="6"/>
  <c r="AA68" i="6"/>
  <c r="Z68" i="6"/>
  <c r="X68" i="6"/>
  <c r="W68" i="6"/>
  <c r="V68" i="6"/>
  <c r="U68" i="6"/>
  <c r="T68" i="6"/>
  <c r="S68" i="6"/>
  <c r="R68" i="6"/>
  <c r="Y68" i="6" s="1"/>
  <c r="P68" i="6"/>
  <c r="O68" i="6"/>
  <c r="N68" i="6"/>
  <c r="M68" i="6"/>
  <c r="L68" i="6"/>
  <c r="K68" i="6"/>
  <c r="J68" i="6"/>
  <c r="H68" i="6"/>
  <c r="G68" i="6"/>
  <c r="F68" i="6"/>
  <c r="E68" i="6"/>
  <c r="D68" i="6"/>
  <c r="C68" i="6"/>
  <c r="B68" i="6"/>
  <c r="AQ50" i="6"/>
  <c r="AP50" i="6"/>
  <c r="AN50" i="6"/>
  <c r="AM50" i="6"/>
  <c r="AL50" i="6"/>
  <c r="AK50" i="6"/>
  <c r="AJ50" i="6"/>
  <c r="AI50" i="6"/>
  <c r="AH50" i="6"/>
  <c r="AF50" i="6"/>
  <c r="AE50" i="6"/>
  <c r="AD50" i="6"/>
  <c r="AC50" i="6"/>
  <c r="AB50" i="6"/>
  <c r="AA50" i="6"/>
  <c r="Z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H50" i="6"/>
  <c r="G50" i="6"/>
  <c r="F50" i="6"/>
  <c r="E50" i="6"/>
  <c r="D50" i="6"/>
  <c r="C50" i="6"/>
  <c r="B50" i="6"/>
  <c r="AR32" i="6"/>
  <c r="O32" i="6"/>
  <c r="AQ32" i="6"/>
  <c r="AP32" i="6"/>
  <c r="AN32" i="6"/>
  <c r="AM32" i="6"/>
  <c r="AL32" i="6"/>
  <c r="AK32" i="6"/>
  <c r="AJ32" i="6"/>
  <c r="AI32" i="6"/>
  <c r="AH32" i="6"/>
  <c r="AO32" i="6" s="1"/>
  <c r="AF32" i="6"/>
  <c r="AE32" i="6"/>
  <c r="AD32" i="6"/>
  <c r="AC32" i="6"/>
  <c r="AB32" i="6"/>
  <c r="AA32" i="6"/>
  <c r="Z32" i="6"/>
  <c r="X32" i="6"/>
  <c r="W32" i="6"/>
  <c r="V32" i="6"/>
  <c r="U32" i="6"/>
  <c r="T32" i="6"/>
  <c r="S32" i="6"/>
  <c r="R32" i="6"/>
  <c r="P32" i="6"/>
  <c r="N32" i="6"/>
  <c r="M32" i="6"/>
  <c r="L32" i="6"/>
  <c r="K32" i="6"/>
  <c r="J32" i="6"/>
  <c r="H32" i="6"/>
  <c r="G32" i="6"/>
  <c r="F32" i="6"/>
  <c r="E32" i="6"/>
  <c r="D32" i="6"/>
  <c r="C32" i="6"/>
  <c r="B32" i="6"/>
  <c r="AP14" i="6"/>
  <c r="AQ14" i="6"/>
  <c r="AN14" i="6"/>
  <c r="AM14" i="6"/>
  <c r="AL14" i="6"/>
  <c r="AK14" i="6"/>
  <c r="AJ14" i="6"/>
  <c r="AI14" i="6"/>
  <c r="AH14" i="6"/>
  <c r="AF14" i="6"/>
  <c r="AE14" i="6"/>
  <c r="AD14" i="6"/>
  <c r="AC14" i="6"/>
  <c r="AB14" i="6"/>
  <c r="AA14" i="6"/>
  <c r="Z14" i="6"/>
  <c r="X14" i="6"/>
  <c r="W14" i="6"/>
  <c r="V14" i="6"/>
  <c r="U14" i="6"/>
  <c r="T14" i="6"/>
  <c r="S14" i="6"/>
  <c r="R14" i="6"/>
  <c r="P14" i="6"/>
  <c r="O14" i="6"/>
  <c r="N14" i="6"/>
  <c r="M14" i="6"/>
  <c r="L14" i="6"/>
  <c r="K14" i="6"/>
  <c r="J14" i="6"/>
  <c r="C14" i="6"/>
  <c r="D14" i="6"/>
  <c r="E14" i="6"/>
  <c r="F14" i="6"/>
  <c r="G14" i="6"/>
  <c r="H14" i="6"/>
  <c r="B14" i="6"/>
  <c r="Q122" i="6" l="1"/>
  <c r="AO104" i="6"/>
  <c r="AO50" i="6"/>
  <c r="Y50" i="6"/>
  <c r="I50" i="6"/>
  <c r="Y32" i="6"/>
  <c r="AG68" i="6"/>
  <c r="I86" i="6"/>
  <c r="Y122" i="6"/>
  <c r="AO158" i="6"/>
  <c r="Q176" i="6"/>
  <c r="AG212" i="6"/>
  <c r="AG50" i="6"/>
  <c r="Q68" i="6"/>
  <c r="AG104" i="6"/>
  <c r="I122" i="6"/>
  <c r="Y158" i="6"/>
  <c r="AO194" i="6"/>
  <c r="Q212" i="6"/>
  <c r="I32" i="6"/>
  <c r="I68" i="6"/>
  <c r="Y104" i="6"/>
  <c r="AO140" i="6"/>
  <c r="Q158" i="6"/>
  <c r="AG194" i="6"/>
  <c r="I212" i="6"/>
  <c r="AO86" i="6"/>
  <c r="Q104" i="6"/>
  <c r="AG140" i="6"/>
  <c r="I158" i="6"/>
  <c r="Y194" i="6"/>
  <c r="AG86" i="6"/>
  <c r="I104" i="6"/>
  <c r="Y140" i="6"/>
  <c r="AO176" i="6"/>
  <c r="Q194" i="6"/>
  <c r="Y86" i="6"/>
  <c r="AO122" i="6"/>
  <c r="Q140" i="6"/>
  <c r="AG176" i="6"/>
  <c r="I194" i="6"/>
  <c r="AG32" i="6"/>
  <c r="AO68" i="6"/>
  <c r="Q86" i="6"/>
  <c r="AG122" i="6"/>
  <c r="I140" i="6"/>
  <c r="Y176" i="6"/>
  <c r="AO212" i="6"/>
  <c r="Q32" i="6"/>
  <c r="AR208" i="6" l="1"/>
  <c r="AR216" i="6"/>
  <c r="AR215" i="6"/>
  <c r="AR214" i="6"/>
  <c r="AR213" i="6"/>
  <c r="AR212" i="6"/>
  <c r="AR198" i="6"/>
  <c r="AR197" i="6"/>
  <c r="AR196" i="6"/>
  <c r="AR195" i="6"/>
  <c r="AR194" i="6"/>
  <c r="AR190" i="6"/>
  <c r="AR180" i="6"/>
  <c r="AR179" i="6"/>
  <c r="AR178" i="6"/>
  <c r="AR177" i="6"/>
  <c r="AR176" i="6"/>
  <c r="AR172" i="6"/>
  <c r="AR162" i="6"/>
  <c r="AR161" i="6"/>
  <c r="AR160" i="6"/>
  <c r="AR159" i="6"/>
  <c r="AR158" i="6"/>
  <c r="AR154" i="6"/>
  <c r="AR144" i="6"/>
  <c r="AR143" i="6"/>
  <c r="AR142" i="6"/>
  <c r="AR141" i="6"/>
  <c r="AR140" i="6"/>
  <c r="AR136" i="6"/>
  <c r="AR126" i="6"/>
  <c r="AR125" i="6"/>
  <c r="AR124" i="6"/>
  <c r="AR123" i="6"/>
  <c r="AR122" i="6"/>
  <c r="AR118" i="6"/>
  <c r="AR108" i="6"/>
  <c r="AR107" i="6"/>
  <c r="AR106" i="6"/>
  <c r="AR105" i="6"/>
  <c r="AR104" i="6"/>
  <c r="AR100" i="6"/>
  <c r="AR90" i="6"/>
  <c r="AR89" i="6"/>
  <c r="AR88" i="6"/>
  <c r="AR87" i="6"/>
  <c r="AR86" i="6"/>
  <c r="AR82" i="6"/>
  <c r="AR72" i="6"/>
  <c r="AR71" i="6"/>
  <c r="AR70" i="6"/>
  <c r="AR69" i="6"/>
  <c r="AR68" i="6"/>
  <c r="AR64" i="6"/>
  <c r="AR54" i="6"/>
  <c r="AR53" i="6"/>
  <c r="AR52" i="6"/>
  <c r="AR51" i="6"/>
  <c r="AR50" i="6"/>
  <c r="AR46" i="6"/>
  <c r="AR36" i="6"/>
  <c r="AR35" i="6"/>
  <c r="AR34" i="6"/>
  <c r="AR33" i="6"/>
  <c r="AR28" i="6"/>
  <c r="AR16" i="6"/>
  <c r="AR17" i="6"/>
  <c r="AR18" i="6"/>
  <c r="AR15" i="6"/>
  <c r="AR14" i="6"/>
  <c r="AR10" i="6"/>
  <c r="G5" i="10" l="1"/>
  <c r="AM4" i="6" l="1"/>
  <c r="W4" i="6"/>
  <c r="AM22" i="6"/>
  <c r="W22" i="6"/>
  <c r="AM40" i="6"/>
  <c r="W40" i="6"/>
  <c r="AM58" i="6"/>
  <c r="W58" i="6"/>
  <c r="AM76" i="6"/>
  <c r="W76" i="6"/>
  <c r="AM94" i="6"/>
  <c r="W94" i="6"/>
  <c r="AM112" i="6"/>
  <c r="W112" i="6"/>
  <c r="AM130" i="6"/>
  <c r="W130" i="6"/>
  <c r="AM148" i="6"/>
  <c r="W148" i="6"/>
  <c r="AM166" i="6"/>
  <c r="W166" i="6"/>
  <c r="AM184" i="6"/>
  <c r="W184" i="6"/>
  <c r="AM202" i="6"/>
  <c r="W202" i="6"/>
  <c r="AQ217" i="6" l="1"/>
  <c r="AP217" i="6"/>
  <c r="AR217" i="6" s="1"/>
  <c r="AN217" i="6"/>
  <c r="AM217" i="6"/>
  <c r="AL217" i="6"/>
  <c r="AK217" i="6"/>
  <c r="AJ217" i="6"/>
  <c r="AI217" i="6"/>
  <c r="AH217" i="6"/>
  <c r="AF217" i="6"/>
  <c r="AE217" i="6"/>
  <c r="AD217" i="6"/>
  <c r="AC217" i="6"/>
  <c r="AB217" i="6"/>
  <c r="AA217" i="6"/>
  <c r="Z217" i="6"/>
  <c r="X217" i="6"/>
  <c r="W217" i="6"/>
  <c r="V217" i="6"/>
  <c r="U217" i="6"/>
  <c r="T217" i="6"/>
  <c r="Y217" i="6" s="1"/>
  <c r="S217" i="6"/>
  <c r="R217" i="6"/>
  <c r="P217" i="6"/>
  <c r="O217" i="6"/>
  <c r="N217" i="6"/>
  <c r="M217" i="6"/>
  <c r="L217" i="6"/>
  <c r="K217" i="6"/>
  <c r="J217" i="6"/>
  <c r="H217" i="6"/>
  <c r="G217" i="6"/>
  <c r="F217" i="6"/>
  <c r="E217" i="6"/>
  <c r="D217" i="6"/>
  <c r="C217" i="6"/>
  <c r="B217" i="6"/>
  <c r="AQ199" i="6"/>
  <c r="AP199" i="6"/>
  <c r="AR199" i="6" s="1"/>
  <c r="AN199" i="6"/>
  <c r="AM199" i="6"/>
  <c r="AL199" i="6"/>
  <c r="AK199" i="6"/>
  <c r="AJ199" i="6"/>
  <c r="AI199" i="6"/>
  <c r="AH199" i="6"/>
  <c r="AF199" i="6"/>
  <c r="AE199" i="6"/>
  <c r="AD199" i="6"/>
  <c r="AC199" i="6"/>
  <c r="AB199" i="6"/>
  <c r="AA199" i="6"/>
  <c r="Z199" i="6"/>
  <c r="X199" i="6"/>
  <c r="W199" i="6"/>
  <c r="V199" i="6"/>
  <c r="U199" i="6"/>
  <c r="T199" i="6"/>
  <c r="S199" i="6"/>
  <c r="R199" i="6"/>
  <c r="P199" i="6"/>
  <c r="O199" i="6"/>
  <c r="N199" i="6"/>
  <c r="M199" i="6"/>
  <c r="L199" i="6"/>
  <c r="K199" i="6"/>
  <c r="J199" i="6"/>
  <c r="H199" i="6"/>
  <c r="G199" i="6"/>
  <c r="F199" i="6"/>
  <c r="E199" i="6"/>
  <c r="D199" i="6"/>
  <c r="C199" i="6"/>
  <c r="B199" i="6"/>
  <c r="AQ181" i="6"/>
  <c r="AP181" i="6"/>
  <c r="AR181" i="6" s="1"/>
  <c r="AN181" i="6"/>
  <c r="AM181" i="6"/>
  <c r="AL181" i="6"/>
  <c r="AK181" i="6"/>
  <c r="AJ181" i="6"/>
  <c r="AI181" i="6"/>
  <c r="AH181" i="6"/>
  <c r="AF181" i="6"/>
  <c r="AE181" i="6"/>
  <c r="AD181" i="6"/>
  <c r="AC181" i="6"/>
  <c r="AB181" i="6"/>
  <c r="AA181" i="6"/>
  <c r="Z181" i="6"/>
  <c r="X181" i="6"/>
  <c r="W181" i="6"/>
  <c r="V181" i="6"/>
  <c r="U181" i="6"/>
  <c r="T181" i="6"/>
  <c r="S181" i="6"/>
  <c r="R181" i="6"/>
  <c r="P181" i="6"/>
  <c r="O181" i="6"/>
  <c r="N181" i="6"/>
  <c r="M181" i="6"/>
  <c r="L181" i="6"/>
  <c r="K181" i="6"/>
  <c r="J181" i="6"/>
  <c r="Q181" i="6" s="1"/>
  <c r="H181" i="6"/>
  <c r="G181" i="6"/>
  <c r="F181" i="6"/>
  <c r="E181" i="6"/>
  <c r="D181" i="6"/>
  <c r="C181" i="6"/>
  <c r="B181" i="6"/>
  <c r="I181" i="6" s="1"/>
  <c r="AQ163" i="6"/>
  <c r="AP163" i="6"/>
  <c r="AN163" i="6"/>
  <c r="AM163" i="6"/>
  <c r="AL163" i="6"/>
  <c r="AK163" i="6"/>
  <c r="AJ163" i="6"/>
  <c r="AI163" i="6"/>
  <c r="AH163" i="6"/>
  <c r="AF163" i="6"/>
  <c r="AE163" i="6"/>
  <c r="AD163" i="6"/>
  <c r="AC163" i="6"/>
  <c r="AB163" i="6"/>
  <c r="AA163" i="6"/>
  <c r="Z163" i="6"/>
  <c r="X163" i="6"/>
  <c r="W163" i="6"/>
  <c r="V163" i="6"/>
  <c r="U163" i="6"/>
  <c r="T163" i="6"/>
  <c r="S163" i="6"/>
  <c r="R163" i="6"/>
  <c r="P163" i="6"/>
  <c r="O163" i="6"/>
  <c r="N163" i="6"/>
  <c r="M163" i="6"/>
  <c r="L163" i="6"/>
  <c r="K163" i="6"/>
  <c r="J163" i="6"/>
  <c r="H163" i="6"/>
  <c r="G163" i="6"/>
  <c r="F163" i="6"/>
  <c r="E163" i="6"/>
  <c r="D163" i="6"/>
  <c r="C163" i="6"/>
  <c r="B163" i="6"/>
  <c r="AQ145" i="6"/>
  <c r="AP145" i="6"/>
  <c r="AN145" i="6"/>
  <c r="AM145" i="6"/>
  <c r="AL145" i="6"/>
  <c r="AK145" i="6"/>
  <c r="AJ145" i="6"/>
  <c r="AI145" i="6"/>
  <c r="AH145" i="6"/>
  <c r="AF145" i="6"/>
  <c r="AE145" i="6"/>
  <c r="AD145" i="6"/>
  <c r="AC145" i="6"/>
  <c r="AB145" i="6"/>
  <c r="AA145" i="6"/>
  <c r="Z145" i="6"/>
  <c r="X145" i="6"/>
  <c r="W145" i="6"/>
  <c r="V145" i="6"/>
  <c r="U145" i="6"/>
  <c r="T145" i="6"/>
  <c r="S145" i="6"/>
  <c r="R145" i="6"/>
  <c r="P145" i="6"/>
  <c r="O145" i="6"/>
  <c r="N145" i="6"/>
  <c r="M145" i="6"/>
  <c r="L145" i="6"/>
  <c r="K145" i="6"/>
  <c r="J145" i="6"/>
  <c r="H145" i="6"/>
  <c r="G145" i="6"/>
  <c r="F145" i="6"/>
  <c r="E145" i="6"/>
  <c r="D145" i="6"/>
  <c r="C145" i="6"/>
  <c r="B145" i="6"/>
  <c r="AQ127" i="6"/>
  <c r="AP127" i="6"/>
  <c r="AR127" i="6" s="1"/>
  <c r="AN127" i="6"/>
  <c r="AM127" i="6"/>
  <c r="AL127" i="6"/>
  <c r="AK127" i="6"/>
  <c r="AJ127" i="6"/>
  <c r="AI127" i="6"/>
  <c r="AH127" i="6"/>
  <c r="AF127" i="6"/>
  <c r="AE127" i="6"/>
  <c r="AD127" i="6"/>
  <c r="AC127" i="6"/>
  <c r="AB127" i="6"/>
  <c r="AA127" i="6"/>
  <c r="Z127" i="6"/>
  <c r="X127" i="6"/>
  <c r="W127" i="6"/>
  <c r="V127" i="6"/>
  <c r="U127" i="6"/>
  <c r="T127" i="6"/>
  <c r="S127" i="6"/>
  <c r="R127" i="6"/>
  <c r="P127" i="6"/>
  <c r="O127" i="6"/>
  <c r="N127" i="6"/>
  <c r="M127" i="6"/>
  <c r="L127" i="6"/>
  <c r="K127" i="6"/>
  <c r="J127" i="6"/>
  <c r="H127" i="6"/>
  <c r="G127" i="6"/>
  <c r="F127" i="6"/>
  <c r="E127" i="6"/>
  <c r="D127" i="6"/>
  <c r="C127" i="6"/>
  <c r="B127" i="6"/>
  <c r="AQ109" i="6"/>
  <c r="AP109" i="6"/>
  <c r="AR109" i="6" s="1"/>
  <c r="AN109" i="6"/>
  <c r="AM109" i="6"/>
  <c r="AL109" i="6"/>
  <c r="AK109" i="6"/>
  <c r="AJ109" i="6"/>
  <c r="AI109" i="6"/>
  <c r="AH109" i="6"/>
  <c r="AF109" i="6"/>
  <c r="AE109" i="6"/>
  <c r="AD109" i="6"/>
  <c r="AC109" i="6"/>
  <c r="AB109" i="6"/>
  <c r="AA109" i="6"/>
  <c r="Z109" i="6"/>
  <c r="X109" i="6"/>
  <c r="W109" i="6"/>
  <c r="V109" i="6"/>
  <c r="U109" i="6"/>
  <c r="T109" i="6"/>
  <c r="S109" i="6"/>
  <c r="R109" i="6"/>
  <c r="P109" i="6"/>
  <c r="O109" i="6"/>
  <c r="N109" i="6"/>
  <c r="M109" i="6"/>
  <c r="L109" i="6"/>
  <c r="K109" i="6"/>
  <c r="J109" i="6"/>
  <c r="H109" i="6"/>
  <c r="G109" i="6"/>
  <c r="F109" i="6"/>
  <c r="E109" i="6"/>
  <c r="D109" i="6"/>
  <c r="C109" i="6"/>
  <c r="B109" i="6"/>
  <c r="AQ91" i="6"/>
  <c r="AP91" i="6"/>
  <c r="AR91" i="6" s="1"/>
  <c r="AN91" i="6"/>
  <c r="AM91" i="6"/>
  <c r="AL91" i="6"/>
  <c r="AK91" i="6"/>
  <c r="AJ91" i="6"/>
  <c r="AI91" i="6"/>
  <c r="AH91" i="6"/>
  <c r="AF91" i="6"/>
  <c r="AE91" i="6"/>
  <c r="AD91" i="6"/>
  <c r="AC91" i="6"/>
  <c r="AB91" i="6"/>
  <c r="AA91" i="6"/>
  <c r="Z91" i="6"/>
  <c r="X91" i="6"/>
  <c r="W91" i="6"/>
  <c r="V91" i="6"/>
  <c r="U91" i="6"/>
  <c r="T91" i="6"/>
  <c r="S91" i="6"/>
  <c r="R91" i="6"/>
  <c r="P91" i="6"/>
  <c r="O91" i="6"/>
  <c r="N91" i="6"/>
  <c r="M91" i="6"/>
  <c r="L91" i="6"/>
  <c r="K91" i="6"/>
  <c r="J91" i="6"/>
  <c r="H91" i="6"/>
  <c r="G91" i="6"/>
  <c r="F91" i="6"/>
  <c r="E91" i="6"/>
  <c r="D91" i="6"/>
  <c r="C91" i="6"/>
  <c r="B91" i="6"/>
  <c r="I91" i="6" s="1"/>
  <c r="AQ73" i="6"/>
  <c r="AP73" i="6"/>
  <c r="AR73" i="6" s="1"/>
  <c r="AN73" i="6"/>
  <c r="AM73" i="6"/>
  <c r="AL73" i="6"/>
  <c r="AK73" i="6"/>
  <c r="AJ73" i="6"/>
  <c r="AI73" i="6"/>
  <c r="AH73" i="6"/>
  <c r="AF73" i="6"/>
  <c r="AE73" i="6"/>
  <c r="AD73" i="6"/>
  <c r="AC73" i="6"/>
  <c r="AB73" i="6"/>
  <c r="AA73" i="6"/>
  <c r="Z73" i="6"/>
  <c r="X73" i="6"/>
  <c r="W73" i="6"/>
  <c r="V73" i="6"/>
  <c r="U73" i="6"/>
  <c r="T73" i="6"/>
  <c r="S73" i="6"/>
  <c r="R73" i="6"/>
  <c r="Y73" i="6" s="1"/>
  <c r="P73" i="6"/>
  <c r="O73" i="6"/>
  <c r="N73" i="6"/>
  <c r="M73" i="6"/>
  <c r="L73" i="6"/>
  <c r="K73" i="6"/>
  <c r="J73" i="6"/>
  <c r="H73" i="6"/>
  <c r="G73" i="6"/>
  <c r="F73" i="6"/>
  <c r="E73" i="6"/>
  <c r="D73" i="6"/>
  <c r="C73" i="6"/>
  <c r="B73" i="6"/>
  <c r="AQ55" i="6"/>
  <c r="AP55" i="6"/>
  <c r="AR55" i="6" s="1"/>
  <c r="AN55" i="6"/>
  <c r="AM55" i="6"/>
  <c r="AL55" i="6"/>
  <c r="AK55" i="6"/>
  <c r="AJ55" i="6"/>
  <c r="AI55" i="6"/>
  <c r="AH55" i="6"/>
  <c r="AF55" i="6"/>
  <c r="AE55" i="6"/>
  <c r="AD55" i="6"/>
  <c r="AC55" i="6"/>
  <c r="AB55" i="6"/>
  <c r="AA55" i="6"/>
  <c r="Z55" i="6"/>
  <c r="X55" i="6"/>
  <c r="W55" i="6"/>
  <c r="V55" i="6"/>
  <c r="U55" i="6"/>
  <c r="T55" i="6"/>
  <c r="S55" i="6"/>
  <c r="R55" i="6"/>
  <c r="P55" i="6"/>
  <c r="O55" i="6"/>
  <c r="N55" i="6"/>
  <c r="M55" i="6"/>
  <c r="L55" i="6"/>
  <c r="K55" i="6"/>
  <c r="J55" i="6"/>
  <c r="H55" i="6"/>
  <c r="G55" i="6"/>
  <c r="F55" i="6"/>
  <c r="E55" i="6"/>
  <c r="D55" i="6"/>
  <c r="C55" i="6"/>
  <c r="B55" i="6"/>
  <c r="B37" i="6"/>
  <c r="AQ37" i="6"/>
  <c r="AP37" i="6"/>
  <c r="AR37" i="6" s="1"/>
  <c r="AN37" i="6"/>
  <c r="AM37" i="6"/>
  <c r="AL37" i="6"/>
  <c r="AK37" i="6"/>
  <c r="AJ37" i="6"/>
  <c r="AI37" i="6"/>
  <c r="AH37" i="6"/>
  <c r="AF37" i="6"/>
  <c r="AE37" i="6"/>
  <c r="AD37" i="6"/>
  <c r="AC37" i="6"/>
  <c r="AB37" i="6"/>
  <c r="AA37" i="6"/>
  <c r="Z37" i="6"/>
  <c r="X37" i="6"/>
  <c r="W37" i="6"/>
  <c r="V37" i="6"/>
  <c r="U37" i="6"/>
  <c r="T37" i="6"/>
  <c r="S37" i="6"/>
  <c r="R37" i="6"/>
  <c r="P37" i="6"/>
  <c r="O37" i="6"/>
  <c r="N37" i="6"/>
  <c r="M37" i="6"/>
  <c r="L37" i="6"/>
  <c r="K37" i="6"/>
  <c r="J37" i="6"/>
  <c r="H37" i="6"/>
  <c r="G37" i="6"/>
  <c r="F37" i="6"/>
  <c r="E37" i="6"/>
  <c r="D37" i="6"/>
  <c r="C37" i="6"/>
  <c r="AQ19" i="6"/>
  <c r="AP19" i="6"/>
  <c r="AN19" i="6"/>
  <c r="AM19" i="6"/>
  <c r="AL19" i="6"/>
  <c r="AK19" i="6"/>
  <c r="AJ19" i="6"/>
  <c r="AI19" i="6"/>
  <c r="AH19" i="6"/>
  <c r="AF19" i="6"/>
  <c r="AE19" i="6"/>
  <c r="AD19" i="6"/>
  <c r="AC19" i="6"/>
  <c r="AB19" i="6"/>
  <c r="AA19" i="6"/>
  <c r="Z19" i="6"/>
  <c r="X19" i="6"/>
  <c r="W19" i="6"/>
  <c r="V19" i="6"/>
  <c r="U19" i="6"/>
  <c r="T19" i="6"/>
  <c r="S19" i="6"/>
  <c r="R19" i="6"/>
  <c r="P19" i="6"/>
  <c r="O19" i="6"/>
  <c r="N19" i="6"/>
  <c r="M19" i="6"/>
  <c r="L19" i="6"/>
  <c r="K19" i="6"/>
  <c r="J19" i="6"/>
  <c r="F19" i="6"/>
  <c r="C19" i="6"/>
  <c r="D19" i="6"/>
  <c r="E19" i="6"/>
  <c r="G19" i="6"/>
  <c r="H19" i="6"/>
  <c r="B19" i="6"/>
  <c r="B8" i="6"/>
  <c r="Q109" i="6" l="1"/>
  <c r="AO127" i="6"/>
  <c r="AG73" i="6"/>
  <c r="I55" i="6"/>
  <c r="Y37" i="6"/>
  <c r="I109" i="6"/>
  <c r="AG127" i="6"/>
  <c r="Q73" i="6"/>
  <c r="Y127" i="6"/>
  <c r="AR145" i="6"/>
  <c r="AO163" i="6"/>
  <c r="AO199" i="6"/>
  <c r="AG217" i="6"/>
  <c r="AG199" i="6"/>
  <c r="AO55" i="6"/>
  <c r="AO91" i="6"/>
  <c r="I127" i="6"/>
  <c r="AG145" i="6"/>
  <c r="Y163" i="6"/>
  <c r="Y199" i="6"/>
  <c r="Q217" i="6"/>
  <c r="I73" i="6"/>
  <c r="Q127" i="6"/>
  <c r="AG55" i="6"/>
  <c r="AG91" i="6"/>
  <c r="AO109" i="6"/>
  <c r="Y145" i="6"/>
  <c r="Q163" i="6"/>
  <c r="AO181" i="6"/>
  <c r="Q199" i="6"/>
  <c r="I217" i="6"/>
  <c r="AG163" i="6"/>
  <c r="AO37" i="6"/>
  <c r="Y55" i="6"/>
  <c r="Y91" i="6"/>
  <c r="AG109" i="6"/>
  <c r="Q145" i="6"/>
  <c r="I163" i="6"/>
  <c r="AG181" i="6"/>
  <c r="I199" i="6"/>
  <c r="AO145" i="6"/>
  <c r="AR19" i="6"/>
  <c r="AG37" i="6"/>
  <c r="Q55" i="6"/>
  <c r="AO73" i="6"/>
  <c r="Q91" i="6"/>
  <c r="Y109" i="6"/>
  <c r="I145" i="6"/>
  <c r="AR163" i="6"/>
  <c r="Y181" i="6"/>
  <c r="AS181" i="6" s="1"/>
  <c r="L20" i="10" s="1"/>
  <c r="Q37" i="6"/>
  <c r="AO217" i="6"/>
  <c r="AS199" i="6"/>
  <c r="M20" i="10" s="1"/>
  <c r="I37" i="6"/>
  <c r="AO216" i="6"/>
  <c r="AG216" i="6"/>
  <c r="Y216" i="6"/>
  <c r="Q216" i="6"/>
  <c r="I216" i="6"/>
  <c r="AO215" i="6"/>
  <c r="AG215" i="6"/>
  <c r="Y215" i="6"/>
  <c r="Q215" i="6"/>
  <c r="I215" i="6"/>
  <c r="AO214" i="6"/>
  <c r="AG214" i="6"/>
  <c r="Y214" i="6"/>
  <c r="Q214" i="6"/>
  <c r="I214" i="6"/>
  <c r="AO213" i="6"/>
  <c r="AG213" i="6"/>
  <c r="Y213" i="6"/>
  <c r="Q213" i="6"/>
  <c r="I213" i="6"/>
  <c r="AQ211" i="6"/>
  <c r="AP211" i="6"/>
  <c r="AN211" i="6"/>
  <c r="AJ211" i="6"/>
  <c r="AK211" i="6" s="1"/>
  <c r="AI211" i="6"/>
  <c r="AH211" i="6"/>
  <c r="AF211" i="6"/>
  <c r="AE211" i="6"/>
  <c r="AD211" i="6"/>
  <c r="AC211" i="6"/>
  <c r="AB211" i="6"/>
  <c r="AA211" i="6"/>
  <c r="Z211" i="6"/>
  <c r="X211" i="6"/>
  <c r="W211" i="6"/>
  <c r="V211" i="6"/>
  <c r="U211" i="6"/>
  <c r="T211" i="6"/>
  <c r="S211" i="6"/>
  <c r="R211" i="6"/>
  <c r="Y211" i="6" s="1"/>
  <c r="P211" i="6"/>
  <c r="O211" i="6"/>
  <c r="N211" i="6"/>
  <c r="M211" i="6"/>
  <c r="L211" i="6"/>
  <c r="K211" i="6"/>
  <c r="J211" i="6"/>
  <c r="H211" i="6"/>
  <c r="G211" i="6"/>
  <c r="F211" i="6"/>
  <c r="E211" i="6"/>
  <c r="D211" i="6"/>
  <c r="C211" i="6"/>
  <c r="B211" i="6"/>
  <c r="AQ210" i="6"/>
  <c r="AP210" i="6"/>
  <c r="AR210" i="6" s="1"/>
  <c r="AN210" i="6"/>
  <c r="AI210" i="6"/>
  <c r="AH210" i="6"/>
  <c r="AF210" i="6"/>
  <c r="AE210" i="6"/>
  <c r="AD210" i="6"/>
  <c r="AC210" i="6"/>
  <c r="AB210" i="6"/>
  <c r="AA210" i="6"/>
  <c r="Z210" i="6"/>
  <c r="AG210" i="6" s="1"/>
  <c r="X210" i="6"/>
  <c r="W210" i="6"/>
  <c r="V210" i="6"/>
  <c r="U210" i="6"/>
  <c r="T210" i="6"/>
  <c r="S210" i="6"/>
  <c r="R210" i="6"/>
  <c r="Y210" i="6" s="1"/>
  <c r="P210" i="6"/>
  <c r="O210" i="6"/>
  <c r="N210" i="6"/>
  <c r="M210" i="6"/>
  <c r="L210" i="6"/>
  <c r="K210" i="6"/>
  <c r="J210" i="6"/>
  <c r="Q210" i="6" s="1"/>
  <c r="H210" i="6"/>
  <c r="G210" i="6"/>
  <c r="F210" i="6"/>
  <c r="E210" i="6"/>
  <c r="D210" i="6"/>
  <c r="C210" i="6"/>
  <c r="B210" i="6"/>
  <c r="I210" i="6" s="1"/>
  <c r="AQ209" i="6"/>
  <c r="AP209" i="6"/>
  <c r="AR209" i="6" s="1"/>
  <c r="AN209" i="6"/>
  <c r="AI209" i="6"/>
  <c r="AH209" i="6"/>
  <c r="AF209" i="6"/>
  <c r="AE209" i="6"/>
  <c r="AD209" i="6"/>
  <c r="AC209" i="6"/>
  <c r="AB209" i="6"/>
  <c r="AA209" i="6"/>
  <c r="Z209" i="6"/>
  <c r="X209" i="6"/>
  <c r="W209" i="6"/>
  <c r="V209" i="6"/>
  <c r="U209" i="6"/>
  <c r="T209" i="6"/>
  <c r="S209" i="6"/>
  <c r="R209" i="6"/>
  <c r="P209" i="6"/>
  <c r="O209" i="6"/>
  <c r="N209" i="6"/>
  <c r="M209" i="6"/>
  <c r="L209" i="6"/>
  <c r="K209" i="6"/>
  <c r="J209" i="6"/>
  <c r="H209" i="6"/>
  <c r="G209" i="6"/>
  <c r="F209" i="6"/>
  <c r="E209" i="6"/>
  <c r="D209" i="6"/>
  <c r="C209" i="6"/>
  <c r="B209" i="6"/>
  <c r="AO208" i="6"/>
  <c r="AG208" i="6"/>
  <c r="Y208" i="6"/>
  <c r="Q208" i="6"/>
  <c r="I208" i="6"/>
  <c r="AQ207" i="6"/>
  <c r="AP207" i="6"/>
  <c r="AR207" i="6" s="1"/>
  <c r="AN207" i="6"/>
  <c r="AM207" i="6"/>
  <c r="AL207" i="6"/>
  <c r="AK207" i="6"/>
  <c r="AJ207" i="6"/>
  <c r="AI207" i="6"/>
  <c r="AH207" i="6"/>
  <c r="AF207" i="6"/>
  <c r="AE207" i="6"/>
  <c r="AD207" i="6"/>
  <c r="AC207" i="6"/>
  <c r="AB207" i="6"/>
  <c r="AA207" i="6"/>
  <c r="Z207" i="6"/>
  <c r="X207" i="6"/>
  <c r="W207" i="6"/>
  <c r="V207" i="6"/>
  <c r="U207" i="6"/>
  <c r="T207" i="6"/>
  <c r="S207" i="6"/>
  <c r="R207" i="6"/>
  <c r="Y207" i="6" s="1"/>
  <c r="P207" i="6"/>
  <c r="O207" i="6"/>
  <c r="N207" i="6"/>
  <c r="M207" i="6"/>
  <c r="L207" i="6"/>
  <c r="K207" i="6"/>
  <c r="J207" i="6"/>
  <c r="H207" i="6"/>
  <c r="G207" i="6"/>
  <c r="F207" i="6"/>
  <c r="E207" i="6"/>
  <c r="D207" i="6"/>
  <c r="C207" i="6"/>
  <c r="B207" i="6"/>
  <c r="AQ206" i="6"/>
  <c r="AP206" i="6"/>
  <c r="AR206" i="6" s="1"/>
  <c r="AN206" i="6"/>
  <c r="AM206" i="6"/>
  <c r="AL206" i="6"/>
  <c r="AK206" i="6"/>
  <c r="AJ206" i="6"/>
  <c r="AI206" i="6"/>
  <c r="AH206" i="6"/>
  <c r="AF206" i="6"/>
  <c r="AE206" i="6"/>
  <c r="AD206" i="6"/>
  <c r="AC206" i="6"/>
  <c r="AB206" i="6"/>
  <c r="AA206" i="6"/>
  <c r="Z206" i="6"/>
  <c r="X206" i="6"/>
  <c r="W206" i="6"/>
  <c r="V206" i="6"/>
  <c r="U206" i="6"/>
  <c r="T206" i="6"/>
  <c r="S206" i="6"/>
  <c r="R206" i="6"/>
  <c r="P206" i="6"/>
  <c r="O206" i="6"/>
  <c r="N206" i="6"/>
  <c r="M206" i="6"/>
  <c r="L206" i="6"/>
  <c r="K206" i="6"/>
  <c r="J206" i="6"/>
  <c r="H206" i="6"/>
  <c r="G206" i="6"/>
  <c r="F206" i="6"/>
  <c r="E206" i="6"/>
  <c r="D206" i="6"/>
  <c r="C206" i="6"/>
  <c r="B206" i="6"/>
  <c r="AO198" i="6"/>
  <c r="AG198" i="6"/>
  <c r="Y198" i="6"/>
  <c r="Q198" i="6"/>
  <c r="I198" i="6"/>
  <c r="AO197" i="6"/>
  <c r="AG197" i="6"/>
  <c r="Y197" i="6"/>
  <c r="Q197" i="6"/>
  <c r="I197" i="6"/>
  <c r="AO196" i="6"/>
  <c r="AG196" i="6"/>
  <c r="Y196" i="6"/>
  <c r="Q196" i="6"/>
  <c r="I196" i="6"/>
  <c r="AO195" i="6"/>
  <c r="AG195" i="6"/>
  <c r="Y195" i="6"/>
  <c r="Q195" i="6"/>
  <c r="I195" i="6"/>
  <c r="AQ193" i="6"/>
  <c r="AP193" i="6"/>
  <c r="AN193" i="6"/>
  <c r="AM193" i="6"/>
  <c r="AL193" i="6"/>
  <c r="AK193" i="6"/>
  <c r="AJ193" i="6"/>
  <c r="AI193" i="6"/>
  <c r="AH193" i="6"/>
  <c r="AO193" i="6" s="1"/>
  <c r="AF193" i="6"/>
  <c r="AE193" i="6"/>
  <c r="AD193" i="6"/>
  <c r="AC193" i="6"/>
  <c r="AB193" i="6"/>
  <c r="AA193" i="6"/>
  <c r="Z193" i="6"/>
  <c r="X193" i="6"/>
  <c r="W193" i="6"/>
  <c r="V193" i="6"/>
  <c r="U193" i="6"/>
  <c r="T193" i="6"/>
  <c r="S193" i="6"/>
  <c r="R193" i="6"/>
  <c r="P193" i="6"/>
  <c r="O193" i="6"/>
  <c r="N193" i="6"/>
  <c r="M193" i="6"/>
  <c r="L193" i="6"/>
  <c r="K193" i="6"/>
  <c r="J193" i="6"/>
  <c r="H193" i="6"/>
  <c r="G193" i="6"/>
  <c r="F193" i="6"/>
  <c r="E193" i="6"/>
  <c r="D193" i="6"/>
  <c r="C193" i="6"/>
  <c r="B193" i="6"/>
  <c r="AQ192" i="6"/>
  <c r="AP192" i="6"/>
  <c r="AN192" i="6"/>
  <c r="AM192" i="6"/>
  <c r="AL192" i="6"/>
  <c r="AK192" i="6"/>
  <c r="AJ192" i="6"/>
  <c r="AI192" i="6"/>
  <c r="AO192" i="6" s="1"/>
  <c r="AH192" i="6"/>
  <c r="AF192" i="6"/>
  <c r="AE192" i="6"/>
  <c r="AD192" i="6"/>
  <c r="AC192" i="6"/>
  <c r="AB192" i="6"/>
  <c r="AA192" i="6"/>
  <c r="AG192" i="6" s="1"/>
  <c r="Z192" i="6"/>
  <c r="X192" i="6"/>
  <c r="W192" i="6"/>
  <c r="V192" i="6"/>
  <c r="U192" i="6"/>
  <c r="T192" i="6"/>
  <c r="S192" i="6"/>
  <c r="Y192" i="6" s="1"/>
  <c r="R192" i="6"/>
  <c r="P192" i="6"/>
  <c r="O192" i="6"/>
  <c r="N192" i="6"/>
  <c r="M192" i="6"/>
  <c r="L192" i="6"/>
  <c r="K192" i="6"/>
  <c r="Q192" i="6" s="1"/>
  <c r="J192" i="6"/>
  <c r="H192" i="6"/>
  <c r="G192" i="6"/>
  <c r="F192" i="6"/>
  <c r="E192" i="6"/>
  <c r="D192" i="6"/>
  <c r="C192" i="6"/>
  <c r="I192" i="6" s="1"/>
  <c r="B192" i="6"/>
  <c r="AQ191" i="6"/>
  <c r="AP191" i="6"/>
  <c r="AR191" i="6" s="1"/>
  <c r="AN191" i="6"/>
  <c r="AM191" i="6"/>
  <c r="AL191" i="6"/>
  <c r="AK191" i="6"/>
  <c r="AJ191" i="6"/>
  <c r="AI191" i="6"/>
  <c r="AH191" i="6"/>
  <c r="AF191" i="6"/>
  <c r="AE191" i="6"/>
  <c r="AD191" i="6"/>
  <c r="AC191" i="6"/>
  <c r="AB191" i="6"/>
  <c r="AA191" i="6"/>
  <c r="Z191" i="6"/>
  <c r="X191" i="6"/>
  <c r="W191" i="6"/>
  <c r="V191" i="6"/>
  <c r="U191" i="6"/>
  <c r="T191" i="6"/>
  <c r="S191" i="6"/>
  <c r="R191" i="6"/>
  <c r="P191" i="6"/>
  <c r="O191" i="6"/>
  <c r="N191" i="6"/>
  <c r="M191" i="6"/>
  <c r="L191" i="6"/>
  <c r="K191" i="6"/>
  <c r="J191" i="6"/>
  <c r="H191" i="6"/>
  <c r="G191" i="6"/>
  <c r="F191" i="6"/>
  <c r="E191" i="6"/>
  <c r="D191" i="6"/>
  <c r="C191" i="6"/>
  <c r="B191" i="6"/>
  <c r="AO190" i="6"/>
  <c r="AG190" i="6"/>
  <c r="Y190" i="6"/>
  <c r="Q190" i="6"/>
  <c r="I190" i="6"/>
  <c r="AQ189" i="6"/>
  <c r="AP189" i="6"/>
  <c r="AR189" i="6" s="1"/>
  <c r="AN189" i="6"/>
  <c r="AM189" i="6"/>
  <c r="AL189" i="6"/>
  <c r="AK189" i="6"/>
  <c r="AJ189" i="6"/>
  <c r="AI189" i="6"/>
  <c r="AH189" i="6"/>
  <c r="AF189" i="6"/>
  <c r="AE189" i="6"/>
  <c r="AD189" i="6"/>
  <c r="AC189" i="6"/>
  <c r="AB189" i="6"/>
  <c r="AA189" i="6"/>
  <c r="Z189" i="6"/>
  <c r="AG189" i="6" s="1"/>
  <c r="X189" i="6"/>
  <c r="W189" i="6"/>
  <c r="V189" i="6"/>
  <c r="U189" i="6"/>
  <c r="T189" i="6"/>
  <c r="S189" i="6"/>
  <c r="R189" i="6"/>
  <c r="P189" i="6"/>
  <c r="O189" i="6"/>
  <c r="N189" i="6"/>
  <c r="M189" i="6"/>
  <c r="L189" i="6"/>
  <c r="K189" i="6"/>
  <c r="J189" i="6"/>
  <c r="H189" i="6"/>
  <c r="G189" i="6"/>
  <c r="F189" i="6"/>
  <c r="E189" i="6"/>
  <c r="D189" i="6"/>
  <c r="C189" i="6"/>
  <c r="B189" i="6"/>
  <c r="AQ188" i="6"/>
  <c r="AP188" i="6"/>
  <c r="AR188" i="6" s="1"/>
  <c r="AN188" i="6"/>
  <c r="AM188" i="6"/>
  <c r="AL188" i="6"/>
  <c r="AK188" i="6"/>
  <c r="AJ188" i="6"/>
  <c r="AI188" i="6"/>
  <c r="AH188" i="6"/>
  <c r="AF188" i="6"/>
  <c r="AE188" i="6"/>
  <c r="AD188" i="6"/>
  <c r="AC188" i="6"/>
  <c r="AB188" i="6"/>
  <c r="AA188" i="6"/>
  <c r="Z188" i="6"/>
  <c r="X188" i="6"/>
  <c r="W188" i="6"/>
  <c r="V188" i="6"/>
  <c r="U188" i="6"/>
  <c r="T188" i="6"/>
  <c r="S188" i="6"/>
  <c r="R188" i="6"/>
  <c r="P188" i="6"/>
  <c r="O188" i="6"/>
  <c r="N188" i="6"/>
  <c r="M188" i="6"/>
  <c r="L188" i="6"/>
  <c r="K188" i="6"/>
  <c r="J188" i="6"/>
  <c r="H188" i="6"/>
  <c r="G188" i="6"/>
  <c r="F188" i="6"/>
  <c r="E188" i="6"/>
  <c r="D188" i="6"/>
  <c r="C188" i="6"/>
  <c r="B188" i="6"/>
  <c r="AO180" i="6"/>
  <c r="AG180" i="6"/>
  <c r="Y180" i="6"/>
  <c r="Q180" i="6"/>
  <c r="I180" i="6"/>
  <c r="AO179" i="6"/>
  <c r="AG179" i="6"/>
  <c r="Y179" i="6"/>
  <c r="Q179" i="6"/>
  <c r="I179" i="6"/>
  <c r="AO178" i="6"/>
  <c r="AG178" i="6"/>
  <c r="Y178" i="6"/>
  <c r="Q178" i="6"/>
  <c r="I178" i="6"/>
  <c r="AO177" i="6"/>
  <c r="AG177" i="6"/>
  <c r="Y177" i="6"/>
  <c r="Q177" i="6"/>
  <c r="I177" i="6"/>
  <c r="AQ175" i="6"/>
  <c r="AP175" i="6"/>
  <c r="AR175" i="6" s="1"/>
  <c r="AN175" i="6"/>
  <c r="AM175" i="6"/>
  <c r="AL175" i="6"/>
  <c r="AK175" i="6"/>
  <c r="AJ175" i="6"/>
  <c r="AI175" i="6"/>
  <c r="AH175" i="6"/>
  <c r="AF175" i="6"/>
  <c r="AE175" i="6"/>
  <c r="AD175" i="6"/>
  <c r="AC175" i="6"/>
  <c r="AB175" i="6"/>
  <c r="AA175" i="6"/>
  <c r="Z175" i="6"/>
  <c r="X175" i="6"/>
  <c r="W175" i="6"/>
  <c r="V175" i="6"/>
  <c r="U175" i="6"/>
  <c r="T175" i="6"/>
  <c r="S175" i="6"/>
  <c r="R175" i="6"/>
  <c r="P175" i="6"/>
  <c r="O175" i="6"/>
  <c r="N175" i="6"/>
  <c r="M175" i="6"/>
  <c r="L175" i="6"/>
  <c r="K175" i="6"/>
  <c r="J175" i="6"/>
  <c r="H175" i="6"/>
  <c r="G175" i="6"/>
  <c r="F175" i="6"/>
  <c r="E175" i="6"/>
  <c r="D175" i="6"/>
  <c r="C175" i="6"/>
  <c r="B175" i="6"/>
  <c r="AQ174" i="6"/>
  <c r="AP174" i="6"/>
  <c r="AR174" i="6" s="1"/>
  <c r="AN174" i="6"/>
  <c r="AM174" i="6"/>
  <c r="AL174" i="6"/>
  <c r="AK174" i="6"/>
  <c r="AJ174" i="6"/>
  <c r="AI174" i="6"/>
  <c r="AH174" i="6"/>
  <c r="AF174" i="6"/>
  <c r="AE174" i="6"/>
  <c r="AD174" i="6"/>
  <c r="AC174" i="6"/>
  <c r="AB174" i="6"/>
  <c r="AA174" i="6"/>
  <c r="Z174" i="6"/>
  <c r="X174" i="6"/>
  <c r="W174" i="6"/>
  <c r="V174" i="6"/>
  <c r="U174" i="6"/>
  <c r="T174" i="6"/>
  <c r="S174" i="6"/>
  <c r="R174" i="6"/>
  <c r="P174" i="6"/>
  <c r="O174" i="6"/>
  <c r="N174" i="6"/>
  <c r="M174" i="6"/>
  <c r="L174" i="6"/>
  <c r="K174" i="6"/>
  <c r="J174" i="6"/>
  <c r="H174" i="6"/>
  <c r="G174" i="6"/>
  <c r="F174" i="6"/>
  <c r="E174" i="6"/>
  <c r="D174" i="6"/>
  <c r="C174" i="6"/>
  <c r="B174" i="6"/>
  <c r="I174" i="6" s="1"/>
  <c r="AQ173" i="6"/>
  <c r="AP173" i="6"/>
  <c r="AR173" i="6" s="1"/>
  <c r="AN173" i="6"/>
  <c r="AM173" i="6"/>
  <c r="AL173" i="6"/>
  <c r="AK173" i="6"/>
  <c r="AJ173" i="6"/>
  <c r="AI173" i="6"/>
  <c r="AH173" i="6"/>
  <c r="AF173" i="6"/>
  <c r="AE173" i="6"/>
  <c r="AD173" i="6"/>
  <c r="AC173" i="6"/>
  <c r="AB173" i="6"/>
  <c r="AA173" i="6"/>
  <c r="Z173" i="6"/>
  <c r="AG173" i="6" s="1"/>
  <c r="X173" i="6"/>
  <c r="W173" i="6"/>
  <c r="V173" i="6"/>
  <c r="U173" i="6"/>
  <c r="T173" i="6"/>
  <c r="S173" i="6"/>
  <c r="R173" i="6"/>
  <c r="P173" i="6"/>
  <c r="O173" i="6"/>
  <c r="N173" i="6"/>
  <c r="M173" i="6"/>
  <c r="L173" i="6"/>
  <c r="K173" i="6"/>
  <c r="J173" i="6"/>
  <c r="H173" i="6"/>
  <c r="G173" i="6"/>
  <c r="F173" i="6"/>
  <c r="E173" i="6"/>
  <c r="D173" i="6"/>
  <c r="C173" i="6"/>
  <c r="B173" i="6"/>
  <c r="AO172" i="6"/>
  <c r="AG172" i="6"/>
  <c r="Y172" i="6"/>
  <c r="Q172" i="6"/>
  <c r="I172" i="6"/>
  <c r="AQ171" i="6"/>
  <c r="AP171" i="6"/>
  <c r="AN171" i="6"/>
  <c r="AM171" i="6"/>
  <c r="AL171" i="6"/>
  <c r="AK171" i="6"/>
  <c r="AJ171" i="6"/>
  <c r="AI171" i="6"/>
  <c r="AH171" i="6"/>
  <c r="AF171" i="6"/>
  <c r="AE171" i="6"/>
  <c r="AD171" i="6"/>
  <c r="AC171" i="6"/>
  <c r="AB171" i="6"/>
  <c r="AA171" i="6"/>
  <c r="Z171" i="6"/>
  <c r="X171" i="6"/>
  <c r="W171" i="6"/>
  <c r="V171" i="6"/>
  <c r="U171" i="6"/>
  <c r="T171" i="6"/>
  <c r="S171" i="6"/>
  <c r="R171" i="6"/>
  <c r="P171" i="6"/>
  <c r="O171" i="6"/>
  <c r="N171" i="6"/>
  <c r="M171" i="6"/>
  <c r="L171" i="6"/>
  <c r="K171" i="6"/>
  <c r="J171" i="6"/>
  <c r="Q171" i="6" s="1"/>
  <c r="H171" i="6"/>
  <c r="G171" i="6"/>
  <c r="F171" i="6"/>
  <c r="E171" i="6"/>
  <c r="D171" i="6"/>
  <c r="C171" i="6"/>
  <c r="B171" i="6"/>
  <c r="AQ170" i="6"/>
  <c r="AP170" i="6"/>
  <c r="AN170" i="6"/>
  <c r="AM170" i="6"/>
  <c r="AL170" i="6"/>
  <c r="AK170" i="6"/>
  <c r="AJ170" i="6"/>
  <c r="AI170" i="6"/>
  <c r="AH170" i="6"/>
  <c r="AO170" i="6" s="1"/>
  <c r="AF170" i="6"/>
  <c r="AE170" i="6"/>
  <c r="AD170" i="6"/>
  <c r="AC170" i="6"/>
  <c r="AB170" i="6"/>
  <c r="AA170" i="6"/>
  <c r="Z170" i="6"/>
  <c r="X170" i="6"/>
  <c r="W170" i="6"/>
  <c r="V170" i="6"/>
  <c r="U170" i="6"/>
  <c r="T170" i="6"/>
  <c r="S170" i="6"/>
  <c r="R170" i="6"/>
  <c r="P170" i="6"/>
  <c r="O170" i="6"/>
  <c r="N170" i="6"/>
  <c r="M170" i="6"/>
  <c r="L170" i="6"/>
  <c r="K170" i="6"/>
  <c r="J170" i="6"/>
  <c r="H170" i="6"/>
  <c r="G170" i="6"/>
  <c r="F170" i="6"/>
  <c r="E170" i="6"/>
  <c r="D170" i="6"/>
  <c r="C170" i="6"/>
  <c r="B170" i="6"/>
  <c r="AO162" i="6"/>
  <c r="AG162" i="6"/>
  <c r="Y162" i="6"/>
  <c r="Q162" i="6"/>
  <c r="I162" i="6"/>
  <c r="AO161" i="6"/>
  <c r="AG161" i="6"/>
  <c r="Y161" i="6"/>
  <c r="Q161" i="6"/>
  <c r="I161" i="6"/>
  <c r="AO160" i="6"/>
  <c r="AG160" i="6"/>
  <c r="Y160" i="6"/>
  <c r="Q160" i="6"/>
  <c r="I160" i="6"/>
  <c r="AO159" i="6"/>
  <c r="AG159" i="6"/>
  <c r="Y159" i="6"/>
  <c r="Q159" i="6"/>
  <c r="I159" i="6"/>
  <c r="AQ157" i="6"/>
  <c r="AP157" i="6"/>
  <c r="AR157" i="6" s="1"/>
  <c r="AN157" i="6"/>
  <c r="AM157" i="6"/>
  <c r="AL157" i="6"/>
  <c r="AK157" i="6"/>
  <c r="AJ157" i="6"/>
  <c r="AI157" i="6"/>
  <c r="AH157" i="6"/>
  <c r="AF157" i="6"/>
  <c r="AE157" i="6"/>
  <c r="AD157" i="6"/>
  <c r="AC157" i="6"/>
  <c r="AB157" i="6"/>
  <c r="AA157" i="6"/>
  <c r="Z157" i="6"/>
  <c r="AG157" i="6" s="1"/>
  <c r="X157" i="6"/>
  <c r="W157" i="6"/>
  <c r="V157" i="6"/>
  <c r="U157" i="6"/>
  <c r="T157" i="6"/>
  <c r="S157" i="6"/>
  <c r="R157" i="6"/>
  <c r="P157" i="6"/>
  <c r="O157" i="6"/>
  <c r="N157" i="6"/>
  <c r="M157" i="6"/>
  <c r="L157" i="6"/>
  <c r="K157" i="6"/>
  <c r="J157" i="6"/>
  <c r="H157" i="6"/>
  <c r="G157" i="6"/>
  <c r="F157" i="6"/>
  <c r="E157" i="6"/>
  <c r="D157" i="6"/>
  <c r="C157" i="6"/>
  <c r="B157" i="6"/>
  <c r="AQ156" i="6"/>
  <c r="AP156" i="6"/>
  <c r="AR156" i="6" s="1"/>
  <c r="AO156" i="6"/>
  <c r="AN156" i="6"/>
  <c r="AM156" i="6"/>
  <c r="AL156" i="6"/>
  <c r="AK156" i="6"/>
  <c r="AJ156" i="6"/>
  <c r="AI156" i="6"/>
  <c r="AH156" i="6"/>
  <c r="AG156" i="6"/>
  <c r="AF156" i="6"/>
  <c r="AE156" i="6"/>
  <c r="AD156" i="6"/>
  <c r="AC156" i="6"/>
  <c r="AB156" i="6"/>
  <c r="AA156" i="6"/>
  <c r="Z156" i="6"/>
  <c r="Y156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J156" i="6"/>
  <c r="I156" i="6"/>
  <c r="H156" i="6"/>
  <c r="G156" i="6"/>
  <c r="F156" i="6"/>
  <c r="E156" i="6"/>
  <c r="D156" i="6"/>
  <c r="C156" i="6"/>
  <c r="B156" i="6"/>
  <c r="AQ155" i="6"/>
  <c r="AP155" i="6"/>
  <c r="AN155" i="6"/>
  <c r="AM155" i="6"/>
  <c r="AL155" i="6"/>
  <c r="AK155" i="6"/>
  <c r="AJ155" i="6"/>
  <c r="AI155" i="6"/>
  <c r="AH155" i="6"/>
  <c r="AO155" i="6" s="1"/>
  <c r="AF155" i="6"/>
  <c r="AE155" i="6"/>
  <c r="AD155" i="6"/>
  <c r="AC155" i="6"/>
  <c r="AB155" i="6"/>
  <c r="AA155" i="6"/>
  <c r="Z155" i="6"/>
  <c r="X155" i="6"/>
  <c r="W155" i="6"/>
  <c r="V155" i="6"/>
  <c r="U155" i="6"/>
  <c r="T155" i="6"/>
  <c r="S155" i="6"/>
  <c r="R155" i="6"/>
  <c r="P155" i="6"/>
  <c r="O155" i="6"/>
  <c r="N155" i="6"/>
  <c r="M155" i="6"/>
  <c r="L155" i="6"/>
  <c r="K155" i="6"/>
  <c r="J155" i="6"/>
  <c r="H155" i="6"/>
  <c r="G155" i="6"/>
  <c r="F155" i="6"/>
  <c r="E155" i="6"/>
  <c r="D155" i="6"/>
  <c r="C155" i="6"/>
  <c r="B155" i="6"/>
  <c r="AO154" i="6"/>
  <c r="AG154" i="6"/>
  <c r="Y154" i="6"/>
  <c r="Q154" i="6"/>
  <c r="I154" i="6"/>
  <c r="AQ153" i="6"/>
  <c r="AP153" i="6"/>
  <c r="AR153" i="6" s="1"/>
  <c r="AN153" i="6"/>
  <c r="AM153" i="6"/>
  <c r="AL153" i="6"/>
  <c r="AK153" i="6"/>
  <c r="AJ153" i="6"/>
  <c r="AI153" i="6"/>
  <c r="AH153" i="6"/>
  <c r="AF153" i="6"/>
  <c r="AE153" i="6"/>
  <c r="AD153" i="6"/>
  <c r="AC153" i="6"/>
  <c r="AB153" i="6"/>
  <c r="AA153" i="6"/>
  <c r="Z153" i="6"/>
  <c r="X153" i="6"/>
  <c r="W153" i="6"/>
  <c r="V153" i="6"/>
  <c r="U153" i="6"/>
  <c r="T153" i="6"/>
  <c r="S153" i="6"/>
  <c r="R153" i="6"/>
  <c r="Y153" i="6" s="1"/>
  <c r="P153" i="6"/>
  <c r="O153" i="6"/>
  <c r="N153" i="6"/>
  <c r="M153" i="6"/>
  <c r="L153" i="6"/>
  <c r="K153" i="6"/>
  <c r="J153" i="6"/>
  <c r="H153" i="6"/>
  <c r="G153" i="6"/>
  <c r="F153" i="6"/>
  <c r="E153" i="6"/>
  <c r="D153" i="6"/>
  <c r="C153" i="6"/>
  <c r="B153" i="6"/>
  <c r="AQ152" i="6"/>
  <c r="AP152" i="6"/>
  <c r="AR152" i="6" s="1"/>
  <c r="AN152" i="6"/>
  <c r="AM152" i="6"/>
  <c r="AL152" i="6"/>
  <c r="AK152" i="6"/>
  <c r="AJ152" i="6"/>
  <c r="AI152" i="6"/>
  <c r="AH152" i="6"/>
  <c r="AF152" i="6"/>
  <c r="AE152" i="6"/>
  <c r="AD152" i="6"/>
  <c r="AC152" i="6"/>
  <c r="AB152" i="6"/>
  <c r="AA152" i="6"/>
  <c r="Z152" i="6"/>
  <c r="X152" i="6"/>
  <c r="W152" i="6"/>
  <c r="V152" i="6"/>
  <c r="U152" i="6"/>
  <c r="T152" i="6"/>
  <c r="S152" i="6"/>
  <c r="R152" i="6"/>
  <c r="P152" i="6"/>
  <c r="O152" i="6"/>
  <c r="N152" i="6"/>
  <c r="M152" i="6"/>
  <c r="L152" i="6"/>
  <c r="K152" i="6"/>
  <c r="J152" i="6"/>
  <c r="H152" i="6"/>
  <c r="G152" i="6"/>
  <c r="F152" i="6"/>
  <c r="E152" i="6"/>
  <c r="D152" i="6"/>
  <c r="C152" i="6"/>
  <c r="B152" i="6"/>
  <c r="AO144" i="6"/>
  <c r="AG144" i="6"/>
  <c r="Y144" i="6"/>
  <c r="Q144" i="6"/>
  <c r="I144" i="6"/>
  <c r="AO143" i="6"/>
  <c r="AG143" i="6"/>
  <c r="Y143" i="6"/>
  <c r="Q143" i="6"/>
  <c r="I143" i="6"/>
  <c r="AO142" i="6"/>
  <c r="AG142" i="6"/>
  <c r="Y142" i="6"/>
  <c r="Q142" i="6"/>
  <c r="I142" i="6"/>
  <c r="AO141" i="6"/>
  <c r="AG141" i="6"/>
  <c r="Y141" i="6"/>
  <c r="Q141" i="6"/>
  <c r="I141" i="6"/>
  <c r="AQ139" i="6"/>
  <c r="AP139" i="6"/>
  <c r="AN139" i="6"/>
  <c r="AM139" i="6"/>
  <c r="AL139" i="6"/>
  <c r="AK139" i="6"/>
  <c r="AJ139" i="6"/>
  <c r="AI139" i="6"/>
  <c r="AH139" i="6"/>
  <c r="AO139" i="6" s="1"/>
  <c r="AF139" i="6"/>
  <c r="AE139" i="6"/>
  <c r="AD139" i="6"/>
  <c r="AC139" i="6"/>
  <c r="AB139" i="6"/>
  <c r="AA139" i="6"/>
  <c r="Z139" i="6"/>
  <c r="X139" i="6"/>
  <c r="W139" i="6"/>
  <c r="V139" i="6"/>
  <c r="U139" i="6"/>
  <c r="T139" i="6"/>
  <c r="S139" i="6"/>
  <c r="R139" i="6"/>
  <c r="P139" i="6"/>
  <c r="O139" i="6"/>
  <c r="N139" i="6"/>
  <c r="M139" i="6"/>
  <c r="L139" i="6"/>
  <c r="K139" i="6"/>
  <c r="J139" i="6"/>
  <c r="H139" i="6"/>
  <c r="G139" i="6"/>
  <c r="F139" i="6"/>
  <c r="E139" i="6"/>
  <c r="D139" i="6"/>
  <c r="C139" i="6"/>
  <c r="B139" i="6"/>
  <c r="AQ138" i="6"/>
  <c r="AP138" i="6"/>
  <c r="AN138" i="6"/>
  <c r="AM138" i="6"/>
  <c r="AL138" i="6"/>
  <c r="AK138" i="6"/>
  <c r="AJ138" i="6"/>
  <c r="AI138" i="6"/>
  <c r="AH138" i="6"/>
  <c r="AF138" i="6"/>
  <c r="AE138" i="6"/>
  <c r="AD138" i="6"/>
  <c r="AG138" i="6" s="1"/>
  <c r="AC138" i="6"/>
  <c r="AB138" i="6"/>
  <c r="AA138" i="6"/>
  <c r="Z138" i="6"/>
  <c r="X138" i="6"/>
  <c r="W138" i="6"/>
  <c r="V138" i="6"/>
  <c r="U138" i="6"/>
  <c r="T138" i="6"/>
  <c r="S138" i="6"/>
  <c r="R138" i="6"/>
  <c r="P138" i="6"/>
  <c r="O138" i="6"/>
  <c r="N138" i="6"/>
  <c r="M138" i="6"/>
  <c r="L138" i="6"/>
  <c r="K138" i="6"/>
  <c r="J138" i="6"/>
  <c r="H138" i="6"/>
  <c r="F138" i="6"/>
  <c r="G138" i="6" s="1"/>
  <c r="E138" i="6"/>
  <c r="D138" i="6"/>
  <c r="C138" i="6"/>
  <c r="B138" i="6"/>
  <c r="AQ137" i="6"/>
  <c r="AP137" i="6"/>
  <c r="AR137" i="6" s="1"/>
  <c r="AN137" i="6"/>
  <c r="AM137" i="6"/>
  <c r="AL137" i="6"/>
  <c r="AK137" i="6"/>
  <c r="AJ137" i="6"/>
  <c r="AI137" i="6"/>
  <c r="AH137" i="6"/>
  <c r="AF137" i="6"/>
  <c r="AE137" i="6"/>
  <c r="AD137" i="6"/>
  <c r="AC137" i="6"/>
  <c r="AB137" i="6"/>
  <c r="AA137" i="6"/>
  <c r="Z137" i="6"/>
  <c r="X137" i="6"/>
  <c r="W137" i="6"/>
  <c r="V137" i="6"/>
  <c r="U137" i="6"/>
  <c r="T137" i="6"/>
  <c r="S137" i="6"/>
  <c r="R137" i="6"/>
  <c r="Y137" i="6" s="1"/>
  <c r="P137" i="6"/>
  <c r="O137" i="6"/>
  <c r="N137" i="6"/>
  <c r="M137" i="6"/>
  <c r="L137" i="6"/>
  <c r="K137" i="6"/>
  <c r="J137" i="6"/>
  <c r="H137" i="6"/>
  <c r="G137" i="6"/>
  <c r="F137" i="6"/>
  <c r="E137" i="6"/>
  <c r="D137" i="6"/>
  <c r="C137" i="6"/>
  <c r="B137" i="6"/>
  <c r="AO136" i="6"/>
  <c r="AG136" i="6"/>
  <c r="Y136" i="6"/>
  <c r="Q136" i="6"/>
  <c r="I136" i="6"/>
  <c r="AQ135" i="6"/>
  <c r="AP135" i="6"/>
  <c r="AR135" i="6" s="1"/>
  <c r="AN135" i="6"/>
  <c r="AM135" i="6"/>
  <c r="AL135" i="6"/>
  <c r="AK135" i="6"/>
  <c r="AJ135" i="6"/>
  <c r="AI135" i="6"/>
  <c r="AH135" i="6"/>
  <c r="AF135" i="6"/>
  <c r="AE135" i="6"/>
  <c r="AD135" i="6"/>
  <c r="AC135" i="6"/>
  <c r="AG135" i="6" s="1"/>
  <c r="AB135" i="6"/>
  <c r="AA135" i="6"/>
  <c r="Z135" i="6"/>
  <c r="X135" i="6"/>
  <c r="W135" i="6"/>
  <c r="V135" i="6"/>
  <c r="U135" i="6"/>
  <c r="T135" i="6"/>
  <c r="S135" i="6"/>
  <c r="R135" i="6"/>
  <c r="P135" i="6"/>
  <c r="O135" i="6"/>
  <c r="N135" i="6"/>
  <c r="M135" i="6"/>
  <c r="L135" i="6"/>
  <c r="K135" i="6"/>
  <c r="J135" i="6"/>
  <c r="H135" i="6"/>
  <c r="G135" i="6"/>
  <c r="F135" i="6"/>
  <c r="E135" i="6"/>
  <c r="D135" i="6"/>
  <c r="C135" i="6"/>
  <c r="B135" i="6"/>
  <c r="AQ134" i="6"/>
  <c r="AP134" i="6"/>
  <c r="AR134" i="6" s="1"/>
  <c r="AN134" i="6"/>
  <c r="AM134" i="6"/>
  <c r="AL134" i="6"/>
  <c r="AK134" i="6"/>
  <c r="AJ134" i="6"/>
  <c r="AI134" i="6"/>
  <c r="AH134" i="6"/>
  <c r="AF134" i="6"/>
  <c r="AE134" i="6"/>
  <c r="AD134" i="6"/>
  <c r="AC134" i="6"/>
  <c r="AB134" i="6"/>
  <c r="AA134" i="6"/>
  <c r="Z134" i="6"/>
  <c r="X134" i="6"/>
  <c r="W134" i="6"/>
  <c r="V134" i="6"/>
  <c r="U134" i="6"/>
  <c r="T134" i="6"/>
  <c r="Y134" i="6" s="1"/>
  <c r="S134" i="6"/>
  <c r="R134" i="6"/>
  <c r="P134" i="6"/>
  <c r="O134" i="6"/>
  <c r="N134" i="6"/>
  <c r="M134" i="6"/>
  <c r="L134" i="6"/>
  <c r="Q134" i="6" s="1"/>
  <c r="K134" i="6"/>
  <c r="J134" i="6"/>
  <c r="H134" i="6"/>
  <c r="G134" i="6"/>
  <c r="F134" i="6"/>
  <c r="E134" i="6"/>
  <c r="D134" i="6"/>
  <c r="C134" i="6"/>
  <c r="B134" i="6"/>
  <c r="AO126" i="6"/>
  <c r="AG126" i="6"/>
  <c r="Y126" i="6"/>
  <c r="Q126" i="6"/>
  <c r="I126" i="6"/>
  <c r="AO125" i="6"/>
  <c r="AG125" i="6"/>
  <c r="Y125" i="6"/>
  <c r="Q125" i="6"/>
  <c r="I125" i="6"/>
  <c r="AO124" i="6"/>
  <c r="AG124" i="6"/>
  <c r="Y124" i="6"/>
  <c r="Q124" i="6"/>
  <c r="I124" i="6"/>
  <c r="AO123" i="6"/>
  <c r="AG123" i="6"/>
  <c r="Y123" i="6"/>
  <c r="Q123" i="6"/>
  <c r="I123" i="6"/>
  <c r="AQ121" i="6"/>
  <c r="AP121" i="6"/>
  <c r="AR121" i="6" s="1"/>
  <c r="AN121" i="6"/>
  <c r="AM121" i="6"/>
  <c r="AL121" i="6"/>
  <c r="AK121" i="6"/>
  <c r="AJ121" i="6"/>
  <c r="AI121" i="6"/>
  <c r="AH121" i="6"/>
  <c r="AF121" i="6"/>
  <c r="AE121" i="6"/>
  <c r="AD121" i="6"/>
  <c r="AC121" i="6"/>
  <c r="AB121" i="6"/>
  <c r="AA121" i="6"/>
  <c r="Z121" i="6"/>
  <c r="X121" i="6"/>
  <c r="W121" i="6"/>
  <c r="V121" i="6"/>
  <c r="U121" i="6"/>
  <c r="T121" i="6"/>
  <c r="S121" i="6"/>
  <c r="R121" i="6"/>
  <c r="P121" i="6"/>
  <c r="O121" i="6"/>
  <c r="N121" i="6"/>
  <c r="M121" i="6"/>
  <c r="L121" i="6"/>
  <c r="K121" i="6"/>
  <c r="J121" i="6"/>
  <c r="H121" i="6"/>
  <c r="G121" i="6"/>
  <c r="F121" i="6"/>
  <c r="E121" i="6"/>
  <c r="D121" i="6"/>
  <c r="C121" i="6"/>
  <c r="B121" i="6"/>
  <c r="AQ120" i="6"/>
  <c r="AP120" i="6"/>
  <c r="AR120" i="6" s="1"/>
  <c r="AN120" i="6"/>
  <c r="AM120" i="6"/>
  <c r="AL120" i="6"/>
  <c r="AK120" i="6"/>
  <c r="AJ120" i="6"/>
  <c r="AI120" i="6"/>
  <c r="AH120" i="6"/>
  <c r="AF120" i="6"/>
  <c r="AC120" i="6"/>
  <c r="AB120" i="6"/>
  <c r="AA120" i="6"/>
  <c r="Z120" i="6"/>
  <c r="X120" i="6"/>
  <c r="U120" i="6"/>
  <c r="T120" i="6"/>
  <c r="S120" i="6"/>
  <c r="R120" i="6"/>
  <c r="P120" i="6"/>
  <c r="M120" i="6"/>
  <c r="L120" i="6"/>
  <c r="K120" i="6"/>
  <c r="J120" i="6"/>
  <c r="H120" i="6"/>
  <c r="G120" i="6"/>
  <c r="E120" i="6"/>
  <c r="D120" i="6"/>
  <c r="C120" i="6"/>
  <c r="B120" i="6"/>
  <c r="AQ119" i="6"/>
  <c r="AP119" i="6"/>
  <c r="AR119" i="6" s="1"/>
  <c r="AN119" i="6"/>
  <c r="AL119" i="6"/>
  <c r="AM119" i="6" s="1"/>
  <c r="AK119" i="6"/>
  <c r="AJ119" i="6"/>
  <c r="AI119" i="6"/>
  <c r="AH119" i="6"/>
  <c r="AF119" i="6"/>
  <c r="AC119" i="6"/>
  <c r="AB119" i="6"/>
  <c r="AA119" i="6"/>
  <c r="Z119" i="6"/>
  <c r="X119" i="6"/>
  <c r="T119" i="6"/>
  <c r="U119" i="6" s="1"/>
  <c r="V119" i="6" s="1"/>
  <c r="W119" i="6" s="1"/>
  <c r="S119" i="6"/>
  <c r="R119" i="6"/>
  <c r="P119" i="6"/>
  <c r="L119" i="6"/>
  <c r="K119" i="6"/>
  <c r="J119" i="6"/>
  <c r="H119" i="6"/>
  <c r="G119" i="6"/>
  <c r="E119" i="6"/>
  <c r="D119" i="6"/>
  <c r="C119" i="6"/>
  <c r="B119" i="6"/>
  <c r="AO118" i="6"/>
  <c r="AG118" i="6"/>
  <c r="Y118" i="6"/>
  <c r="Q118" i="6"/>
  <c r="I118" i="6"/>
  <c r="AQ117" i="6"/>
  <c r="AP117" i="6"/>
  <c r="AN117" i="6"/>
  <c r="AM117" i="6"/>
  <c r="AL117" i="6"/>
  <c r="AK117" i="6"/>
  <c r="AJ117" i="6"/>
  <c r="AI117" i="6"/>
  <c r="AH117" i="6"/>
  <c r="AF117" i="6"/>
  <c r="AE117" i="6"/>
  <c r="AD117" i="6"/>
  <c r="AC117" i="6"/>
  <c r="AB117" i="6"/>
  <c r="AA117" i="6"/>
  <c r="Z117" i="6"/>
  <c r="X117" i="6"/>
  <c r="W117" i="6"/>
  <c r="V117" i="6"/>
  <c r="U117" i="6"/>
  <c r="T117" i="6"/>
  <c r="S117" i="6"/>
  <c r="R117" i="6"/>
  <c r="P117" i="6"/>
  <c r="O117" i="6"/>
  <c r="N117" i="6"/>
  <c r="M117" i="6"/>
  <c r="L117" i="6"/>
  <c r="K117" i="6"/>
  <c r="J117" i="6"/>
  <c r="H117" i="6"/>
  <c r="G117" i="6"/>
  <c r="F117" i="6"/>
  <c r="E117" i="6"/>
  <c r="D117" i="6"/>
  <c r="C117" i="6"/>
  <c r="B117" i="6"/>
  <c r="AQ116" i="6"/>
  <c r="AP116" i="6"/>
  <c r="AN116" i="6"/>
  <c r="AM116" i="6"/>
  <c r="AL116" i="6"/>
  <c r="AK116" i="6"/>
  <c r="AJ116" i="6"/>
  <c r="AI116" i="6"/>
  <c r="AH116" i="6"/>
  <c r="AF116" i="6"/>
  <c r="AE116" i="6"/>
  <c r="AD116" i="6"/>
  <c r="AC116" i="6"/>
  <c r="AB116" i="6"/>
  <c r="AA116" i="6"/>
  <c r="Z116" i="6"/>
  <c r="X116" i="6"/>
  <c r="W116" i="6"/>
  <c r="V116" i="6"/>
  <c r="U116" i="6"/>
  <c r="T116" i="6"/>
  <c r="S116" i="6"/>
  <c r="R116" i="6"/>
  <c r="P116" i="6"/>
  <c r="O116" i="6"/>
  <c r="N116" i="6"/>
  <c r="M116" i="6"/>
  <c r="L116" i="6"/>
  <c r="K116" i="6"/>
  <c r="J116" i="6"/>
  <c r="H116" i="6"/>
  <c r="G116" i="6"/>
  <c r="F116" i="6"/>
  <c r="E116" i="6"/>
  <c r="D116" i="6"/>
  <c r="C116" i="6"/>
  <c r="B116" i="6"/>
  <c r="AO108" i="6"/>
  <c r="AG108" i="6"/>
  <c r="Y108" i="6"/>
  <c r="Q108" i="6"/>
  <c r="I108" i="6"/>
  <c r="AO107" i="6"/>
  <c r="AG107" i="6"/>
  <c r="Y107" i="6"/>
  <c r="Q107" i="6"/>
  <c r="I107" i="6"/>
  <c r="AO106" i="6"/>
  <c r="AG106" i="6"/>
  <c r="Y106" i="6"/>
  <c r="Q106" i="6"/>
  <c r="I106" i="6"/>
  <c r="AO105" i="6"/>
  <c r="AG105" i="6"/>
  <c r="Y105" i="6"/>
  <c r="Q105" i="6"/>
  <c r="I105" i="6"/>
  <c r="AQ103" i="6"/>
  <c r="AP103" i="6"/>
  <c r="AR103" i="6" s="1"/>
  <c r="AN103" i="6"/>
  <c r="AM103" i="6"/>
  <c r="AL103" i="6"/>
  <c r="AK103" i="6"/>
  <c r="AJ103" i="6"/>
  <c r="AI103" i="6"/>
  <c r="AH103" i="6"/>
  <c r="AF103" i="6"/>
  <c r="AE103" i="6"/>
  <c r="AD103" i="6"/>
  <c r="AC103" i="6"/>
  <c r="AB103" i="6"/>
  <c r="AA103" i="6"/>
  <c r="Z103" i="6"/>
  <c r="X103" i="6"/>
  <c r="W103" i="6"/>
  <c r="V103" i="6"/>
  <c r="U103" i="6"/>
  <c r="T103" i="6"/>
  <c r="S103" i="6"/>
  <c r="R103" i="6"/>
  <c r="P103" i="6"/>
  <c r="O103" i="6"/>
  <c r="N103" i="6"/>
  <c r="M103" i="6"/>
  <c r="L103" i="6"/>
  <c r="K103" i="6"/>
  <c r="J103" i="6"/>
  <c r="H103" i="6"/>
  <c r="G103" i="6"/>
  <c r="F103" i="6"/>
  <c r="E103" i="6"/>
  <c r="D103" i="6"/>
  <c r="C103" i="6"/>
  <c r="B103" i="6"/>
  <c r="AQ102" i="6"/>
  <c r="AP102" i="6"/>
  <c r="AN102" i="6"/>
  <c r="AM102" i="6"/>
  <c r="AL102" i="6"/>
  <c r="AK102" i="6"/>
  <c r="AJ102" i="6"/>
  <c r="AI102" i="6"/>
  <c r="AH102" i="6"/>
  <c r="AF102" i="6"/>
  <c r="AC102" i="6"/>
  <c r="AB102" i="6"/>
  <c r="AA102" i="6"/>
  <c r="Z102" i="6"/>
  <c r="X102" i="6"/>
  <c r="W102" i="6"/>
  <c r="V102" i="6"/>
  <c r="U102" i="6"/>
  <c r="T102" i="6"/>
  <c r="S102" i="6"/>
  <c r="Y102" i="6" s="1"/>
  <c r="R102" i="6"/>
  <c r="P102" i="6"/>
  <c r="M102" i="6"/>
  <c r="L102" i="6"/>
  <c r="K102" i="6"/>
  <c r="J102" i="6"/>
  <c r="H102" i="6"/>
  <c r="G102" i="6"/>
  <c r="F102" i="6"/>
  <c r="E102" i="6"/>
  <c r="D102" i="6"/>
  <c r="C102" i="6"/>
  <c r="B102" i="6"/>
  <c r="AQ101" i="6"/>
  <c r="AP101" i="6"/>
  <c r="AN101" i="6"/>
  <c r="AM101" i="6"/>
  <c r="AL101" i="6"/>
  <c r="AK101" i="6"/>
  <c r="AJ101" i="6"/>
  <c r="AI101" i="6"/>
  <c r="AH101" i="6"/>
  <c r="AF101" i="6"/>
  <c r="AC101" i="6"/>
  <c r="AB101" i="6"/>
  <c r="AA101" i="6"/>
  <c r="Z101" i="6"/>
  <c r="X101" i="6"/>
  <c r="W101" i="6"/>
  <c r="V101" i="6"/>
  <c r="U101" i="6"/>
  <c r="T101" i="6"/>
  <c r="S101" i="6"/>
  <c r="R101" i="6"/>
  <c r="P101" i="6"/>
  <c r="M101" i="6"/>
  <c r="L101" i="6"/>
  <c r="K101" i="6"/>
  <c r="J101" i="6"/>
  <c r="H101" i="6"/>
  <c r="G101" i="6"/>
  <c r="F101" i="6"/>
  <c r="E101" i="6"/>
  <c r="D101" i="6"/>
  <c r="C101" i="6"/>
  <c r="B101" i="6"/>
  <c r="AO100" i="6"/>
  <c r="AG100" i="6"/>
  <c r="Y100" i="6"/>
  <c r="Q100" i="6"/>
  <c r="I100" i="6"/>
  <c r="AQ99" i="6"/>
  <c r="AP99" i="6"/>
  <c r="AR99" i="6" s="1"/>
  <c r="AN99" i="6"/>
  <c r="AM99" i="6"/>
  <c r="AL99" i="6"/>
  <c r="AK99" i="6"/>
  <c r="AJ99" i="6"/>
  <c r="AI99" i="6"/>
  <c r="AH99" i="6"/>
  <c r="AF99" i="6"/>
  <c r="AE99" i="6"/>
  <c r="AD99" i="6"/>
  <c r="AC99" i="6"/>
  <c r="AB99" i="6"/>
  <c r="AA99" i="6"/>
  <c r="Z99" i="6"/>
  <c r="X99" i="6"/>
  <c r="W99" i="6"/>
  <c r="V99" i="6"/>
  <c r="U99" i="6"/>
  <c r="T99" i="6"/>
  <c r="S99" i="6"/>
  <c r="R99" i="6"/>
  <c r="P99" i="6"/>
  <c r="O99" i="6"/>
  <c r="N99" i="6"/>
  <c r="M99" i="6"/>
  <c r="L99" i="6"/>
  <c r="K99" i="6"/>
  <c r="J99" i="6"/>
  <c r="H99" i="6"/>
  <c r="G99" i="6"/>
  <c r="F99" i="6"/>
  <c r="E99" i="6"/>
  <c r="D99" i="6"/>
  <c r="C99" i="6"/>
  <c r="B99" i="6"/>
  <c r="AQ98" i="6"/>
  <c r="AP98" i="6"/>
  <c r="AR98" i="6" s="1"/>
  <c r="AN98" i="6"/>
  <c r="AM98" i="6"/>
  <c r="AL98" i="6"/>
  <c r="AK98" i="6"/>
  <c r="AJ98" i="6"/>
  <c r="AI98" i="6"/>
  <c r="AH98" i="6"/>
  <c r="AF98" i="6"/>
  <c r="AE98" i="6"/>
  <c r="AD98" i="6"/>
  <c r="AC98" i="6"/>
  <c r="AB98" i="6"/>
  <c r="AA98" i="6"/>
  <c r="Z98" i="6"/>
  <c r="X98" i="6"/>
  <c r="W98" i="6"/>
  <c r="V98" i="6"/>
  <c r="U98" i="6"/>
  <c r="T98" i="6"/>
  <c r="S98" i="6"/>
  <c r="R98" i="6"/>
  <c r="P98" i="6"/>
  <c r="O98" i="6"/>
  <c r="N98" i="6"/>
  <c r="M98" i="6"/>
  <c r="L98" i="6"/>
  <c r="K98" i="6"/>
  <c r="J98" i="6"/>
  <c r="H98" i="6"/>
  <c r="G98" i="6"/>
  <c r="F98" i="6"/>
  <c r="E98" i="6"/>
  <c r="D98" i="6"/>
  <c r="C98" i="6"/>
  <c r="B98" i="6"/>
  <c r="AO90" i="6"/>
  <c r="AG90" i="6"/>
  <c r="Y90" i="6"/>
  <c r="Q90" i="6"/>
  <c r="I90" i="6"/>
  <c r="AO89" i="6"/>
  <c r="AG89" i="6"/>
  <c r="Y89" i="6"/>
  <c r="Q89" i="6"/>
  <c r="I89" i="6"/>
  <c r="AO88" i="6"/>
  <c r="AG88" i="6"/>
  <c r="Y88" i="6"/>
  <c r="Q88" i="6"/>
  <c r="I88" i="6"/>
  <c r="AO87" i="6"/>
  <c r="AG87" i="6"/>
  <c r="Y87" i="6"/>
  <c r="Q87" i="6"/>
  <c r="I87" i="6"/>
  <c r="AQ85" i="6"/>
  <c r="AP85" i="6"/>
  <c r="AN85" i="6"/>
  <c r="AM85" i="6"/>
  <c r="AL85" i="6"/>
  <c r="AK85" i="6"/>
  <c r="AJ85" i="6"/>
  <c r="AI85" i="6"/>
  <c r="AH85" i="6"/>
  <c r="AF85" i="6"/>
  <c r="AE85" i="6"/>
  <c r="AD85" i="6"/>
  <c r="AC85" i="6"/>
  <c r="AB85" i="6"/>
  <c r="AA85" i="6"/>
  <c r="Z85" i="6"/>
  <c r="X85" i="6"/>
  <c r="W85" i="6"/>
  <c r="V85" i="6"/>
  <c r="U85" i="6"/>
  <c r="T85" i="6"/>
  <c r="S85" i="6"/>
  <c r="R85" i="6"/>
  <c r="P85" i="6"/>
  <c r="O85" i="6"/>
  <c r="N85" i="6"/>
  <c r="M85" i="6"/>
  <c r="L85" i="6"/>
  <c r="K85" i="6"/>
  <c r="J85" i="6"/>
  <c r="H85" i="6"/>
  <c r="G85" i="6"/>
  <c r="F85" i="6"/>
  <c r="E85" i="6"/>
  <c r="D85" i="6"/>
  <c r="C85" i="6"/>
  <c r="B85" i="6"/>
  <c r="AQ84" i="6"/>
  <c r="AP84" i="6"/>
  <c r="AR84" i="6" s="1"/>
  <c r="AK84" i="6"/>
  <c r="AJ84" i="6"/>
  <c r="AI84" i="6"/>
  <c r="AH84" i="6"/>
  <c r="AF84" i="6"/>
  <c r="AE84" i="6"/>
  <c r="AD84" i="6"/>
  <c r="AC84" i="6"/>
  <c r="AB84" i="6"/>
  <c r="AA84" i="6"/>
  <c r="Z84" i="6"/>
  <c r="U84" i="6"/>
  <c r="T84" i="6"/>
  <c r="S84" i="6"/>
  <c r="R84" i="6"/>
  <c r="P84" i="6"/>
  <c r="O84" i="6"/>
  <c r="N84" i="6"/>
  <c r="M84" i="6"/>
  <c r="L84" i="6"/>
  <c r="K84" i="6"/>
  <c r="J84" i="6"/>
  <c r="H84" i="6"/>
  <c r="G84" i="6"/>
  <c r="F84" i="6"/>
  <c r="E84" i="6"/>
  <c r="D84" i="6"/>
  <c r="C84" i="6"/>
  <c r="B84" i="6"/>
  <c r="I84" i="6" s="1"/>
  <c r="AQ83" i="6"/>
  <c r="AP83" i="6"/>
  <c r="AR83" i="6" s="1"/>
  <c r="AK83" i="6"/>
  <c r="AJ83" i="6"/>
  <c r="AI83" i="6"/>
  <c r="AH83" i="6"/>
  <c r="AF83" i="6"/>
  <c r="AE83" i="6"/>
  <c r="AD83" i="6"/>
  <c r="AC83" i="6"/>
  <c r="AB83" i="6"/>
  <c r="AA83" i="6"/>
  <c r="Z83" i="6"/>
  <c r="U83" i="6"/>
  <c r="T83" i="6"/>
  <c r="S83" i="6"/>
  <c r="R83" i="6"/>
  <c r="P83" i="6"/>
  <c r="O83" i="6"/>
  <c r="N83" i="6"/>
  <c r="M83" i="6"/>
  <c r="L83" i="6"/>
  <c r="K83" i="6"/>
  <c r="J83" i="6"/>
  <c r="H83" i="6"/>
  <c r="G83" i="6"/>
  <c r="F83" i="6"/>
  <c r="E83" i="6"/>
  <c r="D83" i="6"/>
  <c r="C83" i="6"/>
  <c r="B83" i="6"/>
  <c r="I83" i="6" s="1"/>
  <c r="AO82" i="6"/>
  <c r="AG82" i="6"/>
  <c r="Y82" i="6"/>
  <c r="Q82" i="6"/>
  <c r="I82" i="6"/>
  <c r="AQ81" i="6"/>
  <c r="AP81" i="6"/>
  <c r="AR81" i="6" s="1"/>
  <c r="AN81" i="6"/>
  <c r="AM81" i="6"/>
  <c r="AL81" i="6"/>
  <c r="AK81" i="6"/>
  <c r="AJ81" i="6"/>
  <c r="AI81" i="6"/>
  <c r="AH81" i="6"/>
  <c r="AF81" i="6"/>
  <c r="AE81" i="6"/>
  <c r="AD81" i="6"/>
  <c r="AC81" i="6"/>
  <c r="AB81" i="6"/>
  <c r="AA81" i="6"/>
  <c r="Z81" i="6"/>
  <c r="X81" i="6"/>
  <c r="W81" i="6"/>
  <c r="V81" i="6"/>
  <c r="U81" i="6"/>
  <c r="T81" i="6"/>
  <c r="S81" i="6"/>
  <c r="R81" i="6"/>
  <c r="P81" i="6"/>
  <c r="O81" i="6"/>
  <c r="N81" i="6"/>
  <c r="M81" i="6"/>
  <c r="L81" i="6"/>
  <c r="K81" i="6"/>
  <c r="J81" i="6"/>
  <c r="H81" i="6"/>
  <c r="G81" i="6"/>
  <c r="F81" i="6"/>
  <c r="E81" i="6"/>
  <c r="D81" i="6"/>
  <c r="C81" i="6"/>
  <c r="B81" i="6"/>
  <c r="AQ80" i="6"/>
  <c r="AP80" i="6"/>
  <c r="AN80" i="6"/>
  <c r="AM80" i="6"/>
  <c r="AL80" i="6"/>
  <c r="AK80" i="6"/>
  <c r="AJ80" i="6"/>
  <c r="AI80" i="6"/>
  <c r="AH80" i="6"/>
  <c r="AF80" i="6"/>
  <c r="AE80" i="6"/>
  <c r="AD80" i="6"/>
  <c r="AC80" i="6"/>
  <c r="AB80" i="6"/>
  <c r="AA80" i="6"/>
  <c r="Z80" i="6"/>
  <c r="X80" i="6"/>
  <c r="W80" i="6"/>
  <c r="V80" i="6"/>
  <c r="U80" i="6"/>
  <c r="T80" i="6"/>
  <c r="S80" i="6"/>
  <c r="R80" i="6"/>
  <c r="P80" i="6"/>
  <c r="O80" i="6"/>
  <c r="N80" i="6"/>
  <c r="M80" i="6"/>
  <c r="L80" i="6"/>
  <c r="K80" i="6"/>
  <c r="J80" i="6"/>
  <c r="H80" i="6"/>
  <c r="G80" i="6"/>
  <c r="F80" i="6"/>
  <c r="E80" i="6"/>
  <c r="D80" i="6"/>
  <c r="C80" i="6"/>
  <c r="B80" i="6"/>
  <c r="AE67" i="6"/>
  <c r="AO72" i="6"/>
  <c r="AG72" i="6"/>
  <c r="Y72" i="6"/>
  <c r="Q72" i="6"/>
  <c r="I72" i="6"/>
  <c r="AO71" i="6"/>
  <c r="AG71" i="6"/>
  <c r="Y71" i="6"/>
  <c r="Q71" i="6"/>
  <c r="I71" i="6"/>
  <c r="AO70" i="6"/>
  <c r="AG70" i="6"/>
  <c r="Y70" i="6"/>
  <c r="Q70" i="6"/>
  <c r="I70" i="6"/>
  <c r="AO69" i="6"/>
  <c r="AG69" i="6"/>
  <c r="Y69" i="6"/>
  <c r="Q69" i="6"/>
  <c r="I69" i="6"/>
  <c r="AQ67" i="6"/>
  <c r="AP67" i="6"/>
  <c r="AN67" i="6"/>
  <c r="AM67" i="6"/>
  <c r="AL67" i="6"/>
  <c r="AK67" i="6"/>
  <c r="AJ67" i="6"/>
  <c r="AI67" i="6"/>
  <c r="AH67" i="6"/>
  <c r="AF67" i="6"/>
  <c r="AD67" i="6"/>
  <c r="AC67" i="6"/>
  <c r="AB67" i="6"/>
  <c r="AA67" i="6"/>
  <c r="Z67" i="6"/>
  <c r="X67" i="6"/>
  <c r="W67" i="6"/>
  <c r="V67" i="6"/>
  <c r="U67" i="6"/>
  <c r="T67" i="6"/>
  <c r="S67" i="6"/>
  <c r="R67" i="6"/>
  <c r="P67" i="6"/>
  <c r="O67" i="6"/>
  <c r="N67" i="6"/>
  <c r="M67" i="6"/>
  <c r="L67" i="6"/>
  <c r="K67" i="6"/>
  <c r="J67" i="6"/>
  <c r="H67" i="6"/>
  <c r="G67" i="6"/>
  <c r="F67" i="6"/>
  <c r="E67" i="6"/>
  <c r="D67" i="6"/>
  <c r="C67" i="6"/>
  <c r="B67" i="6"/>
  <c r="AQ66" i="6"/>
  <c r="AP66" i="6"/>
  <c r="AR66" i="6" s="1"/>
  <c r="AN66" i="6"/>
  <c r="AL66" i="6"/>
  <c r="AM66" i="6" s="1"/>
  <c r="AK66" i="6"/>
  <c r="AJ66" i="6"/>
  <c r="AI66" i="6"/>
  <c r="AH66" i="6"/>
  <c r="AF66" i="6"/>
  <c r="AE66" i="6"/>
  <c r="AD66" i="6"/>
  <c r="AC66" i="6"/>
  <c r="AB66" i="6"/>
  <c r="AA66" i="6"/>
  <c r="Z66" i="6"/>
  <c r="X66" i="6"/>
  <c r="W66" i="6"/>
  <c r="V66" i="6"/>
  <c r="U66" i="6"/>
  <c r="T66" i="6"/>
  <c r="Y66" i="6" s="1"/>
  <c r="S66" i="6"/>
  <c r="R66" i="6"/>
  <c r="P66" i="6"/>
  <c r="N66" i="6"/>
  <c r="O66" i="6" s="1"/>
  <c r="M66" i="6"/>
  <c r="L66" i="6"/>
  <c r="K66" i="6"/>
  <c r="J66" i="6"/>
  <c r="H66" i="6"/>
  <c r="G66" i="6"/>
  <c r="F66" i="6"/>
  <c r="E66" i="6"/>
  <c r="D66" i="6"/>
  <c r="C66" i="6"/>
  <c r="B66" i="6"/>
  <c r="AQ65" i="6"/>
  <c r="AP65" i="6"/>
  <c r="AN65" i="6"/>
  <c r="AL65" i="6"/>
  <c r="AM65" i="6" s="1"/>
  <c r="AK65" i="6"/>
  <c r="AJ65" i="6"/>
  <c r="AI65" i="6"/>
  <c r="AH65" i="6"/>
  <c r="AF65" i="6"/>
  <c r="AE65" i="6"/>
  <c r="AD65" i="6"/>
  <c r="AC65" i="6"/>
  <c r="AB65" i="6"/>
  <c r="AA65" i="6"/>
  <c r="Z65" i="6"/>
  <c r="X65" i="6"/>
  <c r="W65" i="6"/>
  <c r="V65" i="6"/>
  <c r="U65" i="6"/>
  <c r="T65" i="6"/>
  <c r="S65" i="6"/>
  <c r="R65" i="6"/>
  <c r="P65" i="6"/>
  <c r="N65" i="6"/>
  <c r="O65" i="6" s="1"/>
  <c r="M65" i="6"/>
  <c r="L65" i="6"/>
  <c r="K65" i="6"/>
  <c r="J65" i="6"/>
  <c r="H65" i="6"/>
  <c r="G65" i="6"/>
  <c r="F65" i="6"/>
  <c r="E65" i="6"/>
  <c r="D65" i="6"/>
  <c r="C65" i="6"/>
  <c r="B65" i="6"/>
  <c r="AO64" i="6"/>
  <c r="AG64" i="6"/>
  <c r="Y64" i="6"/>
  <c r="Q64" i="6"/>
  <c r="I64" i="6"/>
  <c r="AQ63" i="6"/>
  <c r="AP63" i="6"/>
  <c r="AN63" i="6"/>
  <c r="AM63" i="6"/>
  <c r="AL63" i="6"/>
  <c r="AK63" i="6"/>
  <c r="AJ63" i="6"/>
  <c r="AI63" i="6"/>
  <c r="AH63" i="6"/>
  <c r="AF63" i="6"/>
  <c r="AE63" i="6"/>
  <c r="AD63" i="6"/>
  <c r="AC63" i="6"/>
  <c r="AB63" i="6"/>
  <c r="AA63" i="6"/>
  <c r="Z63" i="6"/>
  <c r="X63" i="6"/>
  <c r="W63" i="6"/>
  <c r="V63" i="6"/>
  <c r="U63" i="6"/>
  <c r="T63" i="6"/>
  <c r="S63" i="6"/>
  <c r="R63" i="6"/>
  <c r="P63" i="6"/>
  <c r="O63" i="6"/>
  <c r="N63" i="6"/>
  <c r="M63" i="6"/>
  <c r="L63" i="6"/>
  <c r="K63" i="6"/>
  <c r="J63" i="6"/>
  <c r="H63" i="6"/>
  <c r="G63" i="6"/>
  <c r="F63" i="6"/>
  <c r="E63" i="6"/>
  <c r="D63" i="6"/>
  <c r="C63" i="6"/>
  <c r="B63" i="6"/>
  <c r="AQ62" i="6"/>
  <c r="AP62" i="6"/>
  <c r="AR62" i="6" s="1"/>
  <c r="AN62" i="6"/>
  <c r="AM62" i="6"/>
  <c r="AL62" i="6"/>
  <c r="AK62" i="6"/>
  <c r="AJ62" i="6"/>
  <c r="AI62" i="6"/>
  <c r="AH62" i="6"/>
  <c r="AF62" i="6"/>
  <c r="AE62" i="6"/>
  <c r="AD62" i="6"/>
  <c r="AC62" i="6"/>
  <c r="AB62" i="6"/>
  <c r="AA62" i="6"/>
  <c r="Z62" i="6"/>
  <c r="X62" i="6"/>
  <c r="W62" i="6"/>
  <c r="V62" i="6"/>
  <c r="U62" i="6"/>
  <c r="T62" i="6"/>
  <c r="S62" i="6"/>
  <c r="R62" i="6"/>
  <c r="Y62" i="6" s="1"/>
  <c r="P62" i="6"/>
  <c r="O62" i="6"/>
  <c r="N62" i="6"/>
  <c r="M62" i="6"/>
  <c r="L62" i="6"/>
  <c r="K62" i="6"/>
  <c r="J62" i="6"/>
  <c r="H62" i="6"/>
  <c r="G62" i="6"/>
  <c r="F62" i="6"/>
  <c r="E62" i="6"/>
  <c r="D62" i="6"/>
  <c r="C62" i="6"/>
  <c r="B62" i="6"/>
  <c r="AM49" i="6"/>
  <c r="AK49" i="6"/>
  <c r="AQ48" i="6"/>
  <c r="AO54" i="6"/>
  <c r="AG54" i="6"/>
  <c r="Y54" i="6"/>
  <c r="Q54" i="6"/>
  <c r="I54" i="6"/>
  <c r="AO53" i="6"/>
  <c r="AG53" i="6"/>
  <c r="Y53" i="6"/>
  <c r="Q53" i="6"/>
  <c r="I53" i="6"/>
  <c r="AO52" i="6"/>
  <c r="AG52" i="6"/>
  <c r="Y52" i="6"/>
  <c r="Q52" i="6"/>
  <c r="I52" i="6"/>
  <c r="AO51" i="6"/>
  <c r="AG51" i="6"/>
  <c r="Y51" i="6"/>
  <c r="Q51" i="6"/>
  <c r="I51" i="6"/>
  <c r="AQ49" i="6"/>
  <c r="AP49" i="6"/>
  <c r="AR49" i="6" s="1"/>
  <c r="AN49" i="6"/>
  <c r="AL49" i="6"/>
  <c r="AJ49" i="6"/>
  <c r="AI49" i="6"/>
  <c r="AH49" i="6"/>
  <c r="AF49" i="6"/>
  <c r="AE49" i="6"/>
  <c r="AD49" i="6"/>
  <c r="AC49" i="6"/>
  <c r="AB49" i="6"/>
  <c r="AA49" i="6"/>
  <c r="Z49" i="6"/>
  <c r="X49" i="6"/>
  <c r="W49" i="6"/>
  <c r="V49" i="6"/>
  <c r="U49" i="6"/>
  <c r="T49" i="6"/>
  <c r="S49" i="6"/>
  <c r="R49" i="6"/>
  <c r="P49" i="6"/>
  <c r="O49" i="6"/>
  <c r="N49" i="6"/>
  <c r="M49" i="6"/>
  <c r="L49" i="6"/>
  <c r="K49" i="6"/>
  <c r="J49" i="6"/>
  <c r="H49" i="6"/>
  <c r="G49" i="6"/>
  <c r="F49" i="6"/>
  <c r="E49" i="6"/>
  <c r="D49" i="6"/>
  <c r="C49" i="6"/>
  <c r="B49" i="6"/>
  <c r="AP48" i="6"/>
  <c r="AR48" i="6" s="1"/>
  <c r="AN48" i="6"/>
  <c r="AM48" i="6"/>
  <c r="AL48" i="6"/>
  <c r="AK48" i="6"/>
  <c r="AJ48" i="6"/>
  <c r="AI48" i="6"/>
  <c r="AH48" i="6"/>
  <c r="AF48" i="6"/>
  <c r="AD48" i="6"/>
  <c r="AE48" i="6" s="1"/>
  <c r="AC48" i="6"/>
  <c r="AB48" i="6"/>
  <c r="AA48" i="6"/>
  <c r="Z48" i="6"/>
  <c r="X48" i="6"/>
  <c r="U48" i="6"/>
  <c r="T48" i="6"/>
  <c r="S48" i="6"/>
  <c r="R48" i="6"/>
  <c r="P48" i="6"/>
  <c r="O48" i="6"/>
  <c r="N48" i="6"/>
  <c r="M48" i="6"/>
  <c r="L48" i="6"/>
  <c r="K48" i="6"/>
  <c r="J48" i="6"/>
  <c r="H48" i="6"/>
  <c r="G48" i="6"/>
  <c r="F48" i="6"/>
  <c r="E48" i="6"/>
  <c r="D48" i="6"/>
  <c r="C48" i="6"/>
  <c r="B48" i="6"/>
  <c r="AQ47" i="6"/>
  <c r="AP47" i="6"/>
  <c r="AR47" i="6" s="1"/>
  <c r="AN47" i="6"/>
  <c r="AM47" i="6"/>
  <c r="AL47" i="6"/>
  <c r="AK47" i="6"/>
  <c r="AJ47" i="6"/>
  <c r="AI47" i="6"/>
  <c r="AH47" i="6"/>
  <c r="AF47" i="6"/>
  <c r="AD47" i="6"/>
  <c r="AC47" i="6"/>
  <c r="AB47" i="6"/>
  <c r="AE47" i="6" s="1"/>
  <c r="AA47" i="6"/>
  <c r="Z47" i="6"/>
  <c r="X47" i="6"/>
  <c r="U47" i="6"/>
  <c r="T47" i="6"/>
  <c r="S47" i="6"/>
  <c r="R47" i="6"/>
  <c r="P47" i="6"/>
  <c r="O47" i="6"/>
  <c r="N47" i="6"/>
  <c r="M47" i="6"/>
  <c r="L47" i="6"/>
  <c r="K47" i="6"/>
  <c r="J47" i="6"/>
  <c r="H47" i="6"/>
  <c r="G47" i="6"/>
  <c r="F47" i="6"/>
  <c r="E47" i="6"/>
  <c r="D47" i="6"/>
  <c r="C47" i="6"/>
  <c r="B47" i="6"/>
  <c r="AO46" i="6"/>
  <c r="AG46" i="6"/>
  <c r="Y46" i="6"/>
  <c r="Q46" i="6"/>
  <c r="I46" i="6"/>
  <c r="AQ45" i="6"/>
  <c r="AP45" i="6"/>
  <c r="AR45" i="6" s="1"/>
  <c r="AN45" i="6"/>
  <c r="AM45" i="6"/>
  <c r="AL45" i="6"/>
  <c r="AK45" i="6"/>
  <c r="AJ45" i="6"/>
  <c r="AI45" i="6"/>
  <c r="AH45" i="6"/>
  <c r="AF45" i="6"/>
  <c r="AE45" i="6"/>
  <c r="AD45" i="6"/>
  <c r="AC45" i="6"/>
  <c r="AB45" i="6"/>
  <c r="AA45" i="6"/>
  <c r="Z45" i="6"/>
  <c r="X45" i="6"/>
  <c r="W45" i="6"/>
  <c r="V45" i="6"/>
  <c r="U45" i="6"/>
  <c r="T45" i="6"/>
  <c r="S45" i="6"/>
  <c r="R45" i="6"/>
  <c r="P45" i="6"/>
  <c r="O45" i="6"/>
  <c r="N45" i="6"/>
  <c r="M45" i="6"/>
  <c r="L45" i="6"/>
  <c r="K45" i="6"/>
  <c r="J45" i="6"/>
  <c r="H45" i="6"/>
  <c r="G45" i="6"/>
  <c r="F45" i="6"/>
  <c r="E45" i="6"/>
  <c r="D45" i="6"/>
  <c r="C45" i="6"/>
  <c r="B45" i="6"/>
  <c r="AQ44" i="6"/>
  <c r="AP44" i="6"/>
  <c r="AN44" i="6"/>
  <c r="AM44" i="6"/>
  <c r="AL44" i="6"/>
  <c r="AK44" i="6"/>
  <c r="AJ44" i="6"/>
  <c r="AI44" i="6"/>
  <c r="AH44" i="6"/>
  <c r="AF44" i="6"/>
  <c r="AE44" i="6"/>
  <c r="AD44" i="6"/>
  <c r="AC44" i="6"/>
  <c r="AB44" i="6"/>
  <c r="AA44" i="6"/>
  <c r="Z44" i="6"/>
  <c r="X44" i="6"/>
  <c r="W44" i="6"/>
  <c r="V44" i="6"/>
  <c r="U44" i="6"/>
  <c r="T44" i="6"/>
  <c r="S44" i="6"/>
  <c r="R44" i="6"/>
  <c r="P44" i="6"/>
  <c r="O44" i="6"/>
  <c r="N44" i="6"/>
  <c r="M44" i="6"/>
  <c r="L44" i="6"/>
  <c r="K44" i="6"/>
  <c r="J44" i="6"/>
  <c r="H44" i="6"/>
  <c r="G44" i="6"/>
  <c r="F44" i="6"/>
  <c r="E44" i="6"/>
  <c r="D44" i="6"/>
  <c r="C44" i="6"/>
  <c r="B44" i="6"/>
  <c r="AQ30" i="6"/>
  <c r="W30" i="6"/>
  <c r="V30" i="6"/>
  <c r="U31" i="6"/>
  <c r="M29" i="6"/>
  <c r="AO36" i="6"/>
  <c r="AG36" i="6"/>
  <c r="Y36" i="6"/>
  <c r="Q36" i="6"/>
  <c r="I36" i="6"/>
  <c r="AO35" i="6"/>
  <c r="AG35" i="6"/>
  <c r="Y35" i="6"/>
  <c r="Q35" i="6"/>
  <c r="I35" i="6"/>
  <c r="AO34" i="6"/>
  <c r="AG34" i="6"/>
  <c r="Y34" i="6"/>
  <c r="Q34" i="6"/>
  <c r="I34" i="6"/>
  <c r="AO33" i="6"/>
  <c r="AG33" i="6"/>
  <c r="Y33" i="6"/>
  <c r="Q33" i="6"/>
  <c r="I33" i="6"/>
  <c r="AQ31" i="6"/>
  <c r="AP31" i="6"/>
  <c r="AR31" i="6" s="1"/>
  <c r="AN31" i="6"/>
  <c r="AM31" i="6"/>
  <c r="AL31" i="6"/>
  <c r="AK31" i="6"/>
  <c r="AJ31" i="6"/>
  <c r="AI31" i="6"/>
  <c r="AH31" i="6"/>
  <c r="AF31" i="6"/>
  <c r="AE31" i="6"/>
  <c r="AD31" i="6"/>
  <c r="AC31" i="6"/>
  <c r="AB31" i="6"/>
  <c r="AA31" i="6"/>
  <c r="Z31" i="6"/>
  <c r="X31" i="6"/>
  <c r="W31" i="6"/>
  <c r="V31" i="6"/>
  <c r="T31" i="6"/>
  <c r="S31" i="6"/>
  <c r="R31" i="6"/>
  <c r="P31" i="6"/>
  <c r="O31" i="6"/>
  <c r="N31" i="6"/>
  <c r="M31" i="6"/>
  <c r="K31" i="6"/>
  <c r="J31" i="6"/>
  <c r="H31" i="6"/>
  <c r="D31" i="6"/>
  <c r="C31" i="6"/>
  <c r="B31" i="6"/>
  <c r="AP30" i="6"/>
  <c r="AR30" i="6" s="1"/>
  <c r="AN30" i="6"/>
  <c r="AM30" i="6"/>
  <c r="AL30" i="6"/>
  <c r="AK30" i="6"/>
  <c r="AJ30" i="6"/>
  <c r="AI30" i="6"/>
  <c r="AH30" i="6"/>
  <c r="AF30" i="6"/>
  <c r="AE30" i="6"/>
  <c r="AD30" i="6"/>
  <c r="AC30" i="6"/>
  <c r="AB30" i="6"/>
  <c r="AA30" i="6"/>
  <c r="Z30" i="6"/>
  <c r="X30" i="6"/>
  <c r="U30" i="6"/>
  <c r="T30" i="6"/>
  <c r="S30" i="6"/>
  <c r="R30" i="6"/>
  <c r="P30" i="6"/>
  <c r="N30" i="6"/>
  <c r="O30" i="6" s="1"/>
  <c r="M30" i="6"/>
  <c r="L30" i="6"/>
  <c r="K30" i="6"/>
  <c r="J30" i="6"/>
  <c r="H30" i="6"/>
  <c r="C30" i="6"/>
  <c r="B30" i="6"/>
  <c r="AQ29" i="6"/>
  <c r="AP29" i="6"/>
  <c r="AN29" i="6"/>
  <c r="AM29" i="6"/>
  <c r="AL29" i="6"/>
  <c r="AK29" i="6"/>
  <c r="AJ29" i="6"/>
  <c r="AI29" i="6"/>
  <c r="AH29" i="6"/>
  <c r="AF29" i="6"/>
  <c r="AD29" i="6"/>
  <c r="AE29" i="6" s="1"/>
  <c r="AC29" i="6"/>
  <c r="AB29" i="6"/>
  <c r="AA29" i="6"/>
  <c r="Z29" i="6"/>
  <c r="X29" i="6"/>
  <c r="W29" i="6"/>
  <c r="V29" i="6"/>
  <c r="U29" i="6"/>
  <c r="T29" i="6"/>
  <c r="S29" i="6"/>
  <c r="R29" i="6"/>
  <c r="P29" i="6"/>
  <c r="N29" i="6"/>
  <c r="O29" i="6" s="1"/>
  <c r="L29" i="6"/>
  <c r="K29" i="6"/>
  <c r="J29" i="6"/>
  <c r="H29" i="6"/>
  <c r="C29" i="6"/>
  <c r="D29" i="6" s="1"/>
  <c r="E29" i="6" s="1"/>
  <c r="B29" i="6"/>
  <c r="AO28" i="6"/>
  <c r="AG28" i="6"/>
  <c r="Y28" i="6"/>
  <c r="Q28" i="6"/>
  <c r="I28" i="6"/>
  <c r="AQ27" i="6"/>
  <c r="AP27" i="6"/>
  <c r="AN27" i="6"/>
  <c r="AM27" i="6"/>
  <c r="AL27" i="6"/>
  <c r="AK27" i="6"/>
  <c r="AJ27" i="6"/>
  <c r="AI27" i="6"/>
  <c r="AH27" i="6"/>
  <c r="AF27" i="6"/>
  <c r="AE27" i="6"/>
  <c r="AD27" i="6"/>
  <c r="AC27" i="6"/>
  <c r="AB27" i="6"/>
  <c r="AA27" i="6"/>
  <c r="Z27" i="6"/>
  <c r="X27" i="6"/>
  <c r="W27" i="6"/>
  <c r="V27" i="6"/>
  <c r="U27" i="6"/>
  <c r="T27" i="6"/>
  <c r="S27" i="6"/>
  <c r="R27" i="6"/>
  <c r="P27" i="6"/>
  <c r="O27" i="6"/>
  <c r="N27" i="6"/>
  <c r="M27" i="6"/>
  <c r="L27" i="6"/>
  <c r="K27" i="6"/>
  <c r="J27" i="6"/>
  <c r="H27" i="6"/>
  <c r="G27" i="6"/>
  <c r="F27" i="6"/>
  <c r="E27" i="6"/>
  <c r="D27" i="6"/>
  <c r="C27" i="6"/>
  <c r="B27" i="6"/>
  <c r="AQ26" i="6"/>
  <c r="AP26" i="6"/>
  <c r="AN26" i="6"/>
  <c r="AM26" i="6"/>
  <c r="AL26" i="6"/>
  <c r="AK26" i="6"/>
  <c r="AJ26" i="6"/>
  <c r="AI26" i="6"/>
  <c r="AH26" i="6"/>
  <c r="AO26" i="6" s="1"/>
  <c r="AF26" i="6"/>
  <c r="AE26" i="6"/>
  <c r="AD26" i="6"/>
  <c r="AC26" i="6"/>
  <c r="AB26" i="6"/>
  <c r="AA26" i="6"/>
  <c r="Z26" i="6"/>
  <c r="X26" i="6"/>
  <c r="W26" i="6"/>
  <c r="V26" i="6"/>
  <c r="U26" i="6"/>
  <c r="T26" i="6"/>
  <c r="S26" i="6"/>
  <c r="R26" i="6"/>
  <c r="P26" i="6"/>
  <c r="O26" i="6"/>
  <c r="N26" i="6"/>
  <c r="M26" i="6"/>
  <c r="L26" i="6"/>
  <c r="K26" i="6"/>
  <c r="J26" i="6"/>
  <c r="H26" i="6"/>
  <c r="G26" i="6"/>
  <c r="F26" i="6"/>
  <c r="E26" i="6"/>
  <c r="D26" i="6"/>
  <c r="C26" i="6"/>
  <c r="B26" i="6"/>
  <c r="C9" i="6"/>
  <c r="AJ11" i="6"/>
  <c r="AK11" i="6" s="1"/>
  <c r="AN11" i="6"/>
  <c r="AN12" i="6"/>
  <c r="AJ13" i="6"/>
  <c r="AK13" i="6"/>
  <c r="AL13" i="6"/>
  <c r="AN13" i="6"/>
  <c r="AI13" i="6"/>
  <c r="AI12" i="6"/>
  <c r="AJ12" i="6" s="1"/>
  <c r="AI11" i="6"/>
  <c r="AF12" i="6"/>
  <c r="AF13" i="6"/>
  <c r="AD13" i="6"/>
  <c r="AQ11" i="6"/>
  <c r="AQ13" i="6"/>
  <c r="AQ12" i="6"/>
  <c r="AP13" i="6"/>
  <c r="AP12" i="6"/>
  <c r="AP11" i="6"/>
  <c r="AR11" i="6" s="1"/>
  <c r="AH13" i="6"/>
  <c r="AH12" i="6"/>
  <c r="AH11" i="6"/>
  <c r="AB11" i="6"/>
  <c r="AC11" i="6" s="1"/>
  <c r="AF11" i="6"/>
  <c r="AB13" i="6"/>
  <c r="AC13" i="6" s="1"/>
  <c r="AA13" i="6"/>
  <c r="AA12" i="6"/>
  <c r="AB12" i="6" s="1"/>
  <c r="AA11" i="6"/>
  <c r="Z13" i="6"/>
  <c r="Z12" i="6"/>
  <c r="Z11" i="6"/>
  <c r="T13" i="6"/>
  <c r="T12" i="6"/>
  <c r="U12" i="6" s="1"/>
  <c r="T11" i="6"/>
  <c r="U11" i="6" s="1"/>
  <c r="X11" i="6"/>
  <c r="X12" i="6"/>
  <c r="X13" i="6"/>
  <c r="S13" i="6"/>
  <c r="S12" i="6"/>
  <c r="S11" i="6"/>
  <c r="R13" i="6"/>
  <c r="R12" i="6"/>
  <c r="R11" i="6"/>
  <c r="C13" i="6"/>
  <c r="D13" i="6"/>
  <c r="H11" i="6"/>
  <c r="H12" i="6"/>
  <c r="H13" i="6"/>
  <c r="L11" i="6"/>
  <c r="P11" i="6"/>
  <c r="L12" i="6"/>
  <c r="P12" i="6"/>
  <c r="L13" i="6"/>
  <c r="M13" i="6" s="1"/>
  <c r="P13" i="6"/>
  <c r="K13" i="6"/>
  <c r="K12" i="6"/>
  <c r="K11" i="6"/>
  <c r="J13" i="6"/>
  <c r="J12" i="6"/>
  <c r="J11" i="6"/>
  <c r="B13" i="6"/>
  <c r="B12" i="6"/>
  <c r="C12" i="6" s="1"/>
  <c r="D12" i="6" s="1"/>
  <c r="E12" i="6" s="1"/>
  <c r="B11" i="6"/>
  <c r="C11" i="6" s="1"/>
  <c r="V120" i="6" l="1"/>
  <c r="W120" i="6" s="1"/>
  <c r="AO120" i="6"/>
  <c r="AO117" i="6"/>
  <c r="AG120" i="6"/>
  <c r="Q120" i="6"/>
  <c r="I120" i="6"/>
  <c r="AO102" i="6"/>
  <c r="AG102" i="6"/>
  <c r="Q102" i="6"/>
  <c r="I98" i="6"/>
  <c r="AO134" i="6"/>
  <c r="AG134" i="6"/>
  <c r="AS145" i="6"/>
  <c r="J20" i="10" s="1"/>
  <c r="I134" i="6"/>
  <c r="AS127" i="6"/>
  <c r="I20" i="10" s="1"/>
  <c r="I102" i="6"/>
  <c r="AS109" i="6"/>
  <c r="H20" i="10" s="1"/>
  <c r="AO84" i="6"/>
  <c r="AG84" i="6"/>
  <c r="Y84" i="6"/>
  <c r="AS91" i="6"/>
  <c r="G20" i="10" s="1"/>
  <c r="Q84" i="6"/>
  <c r="Q80" i="6"/>
  <c r="I66" i="6"/>
  <c r="AO66" i="6"/>
  <c r="AG66" i="6"/>
  <c r="Q66" i="6"/>
  <c r="Q65" i="6"/>
  <c r="I67" i="6"/>
  <c r="AS73" i="6"/>
  <c r="F20" i="10" s="1"/>
  <c r="AO48" i="6"/>
  <c r="AG48" i="6"/>
  <c r="AG47" i="6"/>
  <c r="AG44" i="6"/>
  <c r="Y48" i="6"/>
  <c r="Q48" i="6"/>
  <c r="Q49" i="6"/>
  <c r="AS55" i="6"/>
  <c r="E20" i="10" s="1"/>
  <c r="I45" i="6"/>
  <c r="I48" i="6"/>
  <c r="AG26" i="6"/>
  <c r="AR29" i="6"/>
  <c r="AO31" i="6"/>
  <c r="Y44" i="6"/>
  <c r="Y47" i="6"/>
  <c r="I49" i="6"/>
  <c r="Q62" i="6"/>
  <c r="I65" i="6"/>
  <c r="I80" i="6"/>
  <c r="AO99" i="6"/>
  <c r="AG117" i="6"/>
  <c r="AO121" i="6"/>
  <c r="Y135" i="6"/>
  <c r="Q137" i="6"/>
  <c r="Y138" i="6"/>
  <c r="AG139" i="6"/>
  <c r="AO152" i="6"/>
  <c r="Q153" i="6"/>
  <c r="AG155" i="6"/>
  <c r="Y157" i="6"/>
  <c r="AG170" i="6"/>
  <c r="I171" i="6"/>
  <c r="Y173" i="6"/>
  <c r="AO175" i="6"/>
  <c r="Y189" i="6"/>
  <c r="AO191" i="6"/>
  <c r="AG193" i="6"/>
  <c r="AO206" i="6"/>
  <c r="Q207" i="6"/>
  <c r="AG209" i="6"/>
  <c r="Q211" i="6"/>
  <c r="Y26" i="6"/>
  <c r="AO29" i="6"/>
  <c r="AG31" i="6"/>
  <c r="Q44" i="6"/>
  <c r="Q47" i="6"/>
  <c r="I62" i="6"/>
  <c r="AR63" i="6"/>
  <c r="AR67" i="6"/>
  <c r="AO81" i="6"/>
  <c r="AR85" i="6"/>
  <c r="AG99" i="6"/>
  <c r="AR101" i="6"/>
  <c r="AO103" i="6"/>
  <c r="AR116" i="6"/>
  <c r="Y117" i="6"/>
  <c r="AO119" i="6"/>
  <c r="AG121" i="6"/>
  <c r="Q135" i="6"/>
  <c r="I137" i="6"/>
  <c r="AS137" i="6" s="1"/>
  <c r="J12" i="10" s="1"/>
  <c r="Q138" i="6"/>
  <c r="AR138" i="6"/>
  <c r="Y139" i="6"/>
  <c r="AG152" i="6"/>
  <c r="I153" i="6"/>
  <c r="Y155" i="6"/>
  <c r="Q157" i="6"/>
  <c r="Y170" i="6"/>
  <c r="Q173" i="6"/>
  <c r="AG175" i="6"/>
  <c r="Q189" i="6"/>
  <c r="AG191" i="6"/>
  <c r="AR192" i="6"/>
  <c r="Y193" i="6"/>
  <c r="AG206" i="6"/>
  <c r="I207" i="6"/>
  <c r="Y209" i="6"/>
  <c r="I211" i="6"/>
  <c r="AR211" i="6"/>
  <c r="AS214" i="6"/>
  <c r="N17" i="10" s="1"/>
  <c r="Q26" i="6"/>
  <c r="AG29" i="6"/>
  <c r="AG30" i="6"/>
  <c r="AO30" i="6"/>
  <c r="I44" i="6"/>
  <c r="I47" i="6"/>
  <c r="AO63" i="6"/>
  <c r="AO67" i="6"/>
  <c r="AG81" i="6"/>
  <c r="AO85" i="6"/>
  <c r="Y99" i="6"/>
  <c r="AO101" i="6"/>
  <c r="AG103" i="6"/>
  <c r="AO116" i="6"/>
  <c r="Q117" i="6"/>
  <c r="AG119" i="6"/>
  <c r="Y121" i="6"/>
  <c r="I135" i="6"/>
  <c r="I138" i="6"/>
  <c r="Q139" i="6"/>
  <c r="Y152" i="6"/>
  <c r="Q155" i="6"/>
  <c r="I157" i="6"/>
  <c r="Q170" i="6"/>
  <c r="I173" i="6"/>
  <c r="Y175" i="6"/>
  <c r="AO188" i="6"/>
  <c r="I189" i="6"/>
  <c r="Y191" i="6"/>
  <c r="Q193" i="6"/>
  <c r="Y206" i="6"/>
  <c r="Q209" i="6"/>
  <c r="AR27" i="6"/>
  <c r="Y29" i="6"/>
  <c r="Y31" i="6"/>
  <c r="AO45" i="6"/>
  <c r="AG63" i="6"/>
  <c r="AR65" i="6"/>
  <c r="AR80" i="6"/>
  <c r="Y81" i="6"/>
  <c r="AO83" i="6"/>
  <c r="AG85" i="6"/>
  <c r="AO98" i="6"/>
  <c r="Q99" i="6"/>
  <c r="AG101" i="6"/>
  <c r="AR102" i="6"/>
  <c r="Y103" i="6"/>
  <c r="AG116" i="6"/>
  <c r="I117" i="6"/>
  <c r="Y119" i="6"/>
  <c r="Q121" i="6"/>
  <c r="I139" i="6"/>
  <c r="AS139" i="6" s="1"/>
  <c r="J14" i="10" s="1"/>
  <c r="Q152" i="6"/>
  <c r="I155" i="6"/>
  <c r="I170" i="6"/>
  <c r="AR171" i="6"/>
  <c r="AO174" i="6"/>
  <c r="Q175" i="6"/>
  <c r="AG188" i="6"/>
  <c r="Q191" i="6"/>
  <c r="I193" i="6"/>
  <c r="Q206" i="6"/>
  <c r="I209" i="6"/>
  <c r="AS213" i="6"/>
  <c r="N16" i="10" s="1"/>
  <c r="AO27" i="6"/>
  <c r="AG45" i="6"/>
  <c r="Y63" i="6"/>
  <c r="AO65" i="6"/>
  <c r="AO80" i="6"/>
  <c r="Q81" i="6"/>
  <c r="AG83" i="6"/>
  <c r="Y85" i="6"/>
  <c r="AG98" i="6"/>
  <c r="I99" i="6"/>
  <c r="Y101" i="6"/>
  <c r="Q103" i="6"/>
  <c r="AS103" i="6" s="1"/>
  <c r="H14" i="10" s="1"/>
  <c r="Y116" i="6"/>
  <c r="Q119" i="6"/>
  <c r="I121" i="6"/>
  <c r="I152" i="6"/>
  <c r="AS152" i="6" s="1"/>
  <c r="K9" i="10" s="1"/>
  <c r="AO171" i="6"/>
  <c r="AG174" i="6"/>
  <c r="I175" i="6"/>
  <c r="Y188" i="6"/>
  <c r="I191" i="6"/>
  <c r="I206" i="6"/>
  <c r="AG27" i="6"/>
  <c r="AR44" i="6"/>
  <c r="Y45" i="6"/>
  <c r="AG49" i="6"/>
  <c r="AO62" i="6"/>
  <c r="Q63" i="6"/>
  <c r="AG65" i="6"/>
  <c r="Y67" i="6"/>
  <c r="AG80" i="6"/>
  <c r="I81" i="6"/>
  <c r="Y83" i="6"/>
  <c r="Q85" i="6"/>
  <c r="Y98" i="6"/>
  <c r="Q101" i="6"/>
  <c r="I103" i="6"/>
  <c r="Q116" i="6"/>
  <c r="I119" i="6"/>
  <c r="AO137" i="6"/>
  <c r="AO153" i="6"/>
  <c r="AG171" i="6"/>
  <c r="Y174" i="6"/>
  <c r="Q188" i="6"/>
  <c r="AS215" i="6"/>
  <c r="N18" i="10" s="1"/>
  <c r="AR26" i="6"/>
  <c r="Y27" i="6"/>
  <c r="AO44" i="6"/>
  <c r="Q45" i="6"/>
  <c r="AO47" i="6"/>
  <c r="Y49" i="6"/>
  <c r="AG62" i="6"/>
  <c r="I63" i="6"/>
  <c r="Y65" i="6"/>
  <c r="Q67" i="6"/>
  <c r="Y80" i="6"/>
  <c r="Q83" i="6"/>
  <c r="I85" i="6"/>
  <c r="Q98" i="6"/>
  <c r="I101" i="6"/>
  <c r="I116" i="6"/>
  <c r="AR117" i="6"/>
  <c r="AG137" i="6"/>
  <c r="AO138" i="6"/>
  <c r="AR139" i="6"/>
  <c r="AG153" i="6"/>
  <c r="AR155" i="6"/>
  <c r="AO157" i="6"/>
  <c r="AR170" i="6"/>
  <c r="Y171" i="6"/>
  <c r="AO173" i="6"/>
  <c r="Q174" i="6"/>
  <c r="I188" i="6"/>
  <c r="AS188" i="6" s="1"/>
  <c r="M9" i="10" s="1"/>
  <c r="AO189" i="6"/>
  <c r="AR193" i="6"/>
  <c r="AG207" i="6"/>
  <c r="AG211" i="6"/>
  <c r="AS216" i="6"/>
  <c r="N19" i="10" s="1"/>
  <c r="AS163" i="6"/>
  <c r="K20" i="10" s="1"/>
  <c r="Q31" i="6"/>
  <c r="Q29" i="6"/>
  <c r="Q30" i="6"/>
  <c r="Q27" i="6"/>
  <c r="AR12" i="6"/>
  <c r="AR13" i="6"/>
  <c r="AS206" i="6"/>
  <c r="N9" i="10" s="1"/>
  <c r="AM211" i="6"/>
  <c r="AO207" i="6"/>
  <c r="AJ209" i="6"/>
  <c r="AK209" i="6" s="1"/>
  <c r="AJ210" i="6"/>
  <c r="AL211" i="6"/>
  <c r="AS217" i="6"/>
  <c r="N20" i="10" s="1"/>
  <c r="D30" i="6"/>
  <c r="E30" i="6" s="1"/>
  <c r="E31" i="6"/>
  <c r="F31" i="6" s="1"/>
  <c r="AS37" i="6"/>
  <c r="D20" i="10" s="1"/>
  <c r="D11" i="6"/>
  <c r="E11" i="6" s="1"/>
  <c r="AS208" i="6"/>
  <c r="N11" i="10" s="1"/>
  <c r="AS198" i="6"/>
  <c r="M19" i="10" s="1"/>
  <c r="AS197" i="6"/>
  <c r="M18" i="10" s="1"/>
  <c r="AS177" i="6"/>
  <c r="L16" i="10" s="1"/>
  <c r="AS192" i="6"/>
  <c r="AS190" i="6"/>
  <c r="M11" i="10" s="1"/>
  <c r="AS194" i="6"/>
  <c r="M15" i="10" s="1"/>
  <c r="AS196" i="6"/>
  <c r="M17" i="10" s="1"/>
  <c r="AS189" i="6"/>
  <c r="M10" i="10" s="1"/>
  <c r="AS195" i="6"/>
  <c r="M16" i="10" s="1"/>
  <c r="AS193" i="6"/>
  <c r="M14" i="10" s="1"/>
  <c r="AS191" i="6"/>
  <c r="M12" i="10" s="1"/>
  <c r="AS178" i="6"/>
  <c r="L17" i="10" s="1"/>
  <c r="AS172" i="6"/>
  <c r="L11" i="10" s="1"/>
  <c r="AS180" i="6"/>
  <c r="L19" i="10" s="1"/>
  <c r="AS153" i="6"/>
  <c r="K10" i="10" s="1"/>
  <c r="AS175" i="6"/>
  <c r="L14" i="10" s="1"/>
  <c r="AS171" i="6"/>
  <c r="L10" i="10" s="1"/>
  <c r="AS174" i="6"/>
  <c r="AS170" i="6"/>
  <c r="L9" i="10" s="1"/>
  <c r="AS173" i="6"/>
  <c r="L12" i="10" s="1"/>
  <c r="AS176" i="6"/>
  <c r="L15" i="10" s="1"/>
  <c r="AS179" i="6"/>
  <c r="L18" i="10" s="1"/>
  <c r="AS118" i="6"/>
  <c r="I11" i="10" s="1"/>
  <c r="AS140" i="6"/>
  <c r="J15" i="10" s="1"/>
  <c r="AS161" i="6"/>
  <c r="K18" i="10" s="1"/>
  <c r="AS154" i="6"/>
  <c r="K11" i="10" s="1"/>
  <c r="AS159" i="6"/>
  <c r="K16" i="10" s="1"/>
  <c r="AS158" i="6"/>
  <c r="K15" i="10" s="1"/>
  <c r="AS156" i="6"/>
  <c r="AS160" i="6"/>
  <c r="K17" i="10" s="1"/>
  <c r="AS157" i="6"/>
  <c r="K14" i="10" s="1"/>
  <c r="AS155" i="6"/>
  <c r="K12" i="10" s="1"/>
  <c r="AS162" i="6"/>
  <c r="K19" i="10" s="1"/>
  <c r="AS143" i="6"/>
  <c r="J18" i="10" s="1"/>
  <c r="AS144" i="6"/>
  <c r="J19" i="10" s="1"/>
  <c r="AS142" i="6"/>
  <c r="J17" i="10" s="1"/>
  <c r="AS136" i="6"/>
  <c r="J11" i="10" s="1"/>
  <c r="AS141" i="6"/>
  <c r="J16" i="10" s="1"/>
  <c r="AO135" i="6"/>
  <c r="AS135" i="6" s="1"/>
  <c r="J10" i="10" s="1"/>
  <c r="AS138" i="6"/>
  <c r="AS126" i="6"/>
  <c r="I19" i="10" s="1"/>
  <c r="AS90" i="6"/>
  <c r="G19" i="10" s="1"/>
  <c r="AS122" i="6"/>
  <c r="I15" i="10" s="1"/>
  <c r="AS124" i="6"/>
  <c r="I17" i="10" s="1"/>
  <c r="AS123" i="6"/>
  <c r="I16" i="10" s="1"/>
  <c r="AS125" i="6"/>
  <c r="I18" i="10" s="1"/>
  <c r="AS100" i="6"/>
  <c r="H11" i="10" s="1"/>
  <c r="AS82" i="6"/>
  <c r="G11" i="10" s="1"/>
  <c r="AS104" i="6"/>
  <c r="H15" i="10" s="1"/>
  <c r="AS105" i="6"/>
  <c r="H16" i="10" s="1"/>
  <c r="AS107" i="6"/>
  <c r="H18" i="10" s="1"/>
  <c r="H5" i="10" s="1"/>
  <c r="I5" i="10" s="1"/>
  <c r="AS108" i="6"/>
  <c r="H19" i="10" s="1"/>
  <c r="AS106" i="6"/>
  <c r="H17" i="10" s="1"/>
  <c r="AS88" i="6"/>
  <c r="G17" i="10" s="1"/>
  <c r="AS89" i="6"/>
  <c r="G18" i="10" s="1"/>
  <c r="AS86" i="6"/>
  <c r="G15" i="10" s="1"/>
  <c r="AS87" i="6"/>
  <c r="G16" i="10" s="1"/>
  <c r="AS64" i="6"/>
  <c r="F11" i="10" s="1"/>
  <c r="AS68" i="6"/>
  <c r="F15" i="10" s="1"/>
  <c r="AS70" i="6"/>
  <c r="F17" i="10" s="1"/>
  <c r="AS69" i="6"/>
  <c r="F16" i="10" s="1"/>
  <c r="AS71" i="6"/>
  <c r="F18" i="10" s="1"/>
  <c r="AG67" i="6"/>
  <c r="AS72" i="6"/>
  <c r="F19" i="10" s="1"/>
  <c r="AS33" i="6"/>
  <c r="D16" i="10" s="1"/>
  <c r="AS46" i="6"/>
  <c r="E11" i="10" s="1"/>
  <c r="AS50" i="6"/>
  <c r="E15" i="10" s="1"/>
  <c r="AS53" i="6"/>
  <c r="E18" i="10" s="1"/>
  <c r="AS54" i="6"/>
  <c r="E19" i="10" s="1"/>
  <c r="AS52" i="6"/>
  <c r="E17" i="10" s="1"/>
  <c r="AO49" i="6"/>
  <c r="AS51" i="6"/>
  <c r="E16" i="10" s="1"/>
  <c r="AS35" i="6"/>
  <c r="D18" i="10" s="1"/>
  <c r="AS28" i="6"/>
  <c r="D11" i="10" s="1"/>
  <c r="Y30" i="6"/>
  <c r="I27" i="6"/>
  <c r="I29" i="6"/>
  <c r="I26" i="6"/>
  <c r="AS34" i="6"/>
  <c r="D17" i="10" s="1"/>
  <c r="AS36" i="6"/>
  <c r="D19" i="10" s="1"/>
  <c r="AM13" i="6"/>
  <c r="AL11" i="6"/>
  <c r="AM11" i="6" s="1"/>
  <c r="AK12" i="6"/>
  <c r="AL12" i="6" s="1"/>
  <c r="AM12" i="6" s="1"/>
  <c r="AE13" i="6"/>
  <c r="AG11" i="6"/>
  <c r="AC12" i="6"/>
  <c r="U13" i="6"/>
  <c r="V13" i="6" s="1"/>
  <c r="V12" i="6"/>
  <c r="W12" i="6" s="1"/>
  <c r="V11" i="6"/>
  <c r="W11" i="6" s="1"/>
  <c r="E13" i="6"/>
  <c r="F13" i="6" s="1"/>
  <c r="G13" i="6" s="1"/>
  <c r="F12" i="6"/>
  <c r="G12" i="6" s="1"/>
  <c r="F11" i="6"/>
  <c r="G11" i="6" s="1"/>
  <c r="N13" i="6"/>
  <c r="O13" i="6" s="1"/>
  <c r="I19" i="6"/>
  <c r="AO19" i="6"/>
  <c r="AO18" i="6"/>
  <c r="AO17" i="6"/>
  <c r="AO16" i="6"/>
  <c r="AO15" i="6"/>
  <c r="AO14" i="6"/>
  <c r="AO10" i="6"/>
  <c r="AG19" i="6"/>
  <c r="AG18" i="6"/>
  <c r="AG17" i="6"/>
  <c r="AG16" i="6"/>
  <c r="AG15" i="6"/>
  <c r="AG14" i="6"/>
  <c r="AG10" i="6"/>
  <c r="Y19" i="6"/>
  <c r="Y18" i="6"/>
  <c r="Y17" i="6"/>
  <c r="Y16" i="6"/>
  <c r="Y15" i="6"/>
  <c r="Y14" i="6"/>
  <c r="Y10" i="6"/>
  <c r="Q19" i="6"/>
  <c r="Q18" i="6"/>
  <c r="Q17" i="6"/>
  <c r="Q16" i="6"/>
  <c r="Q15" i="6"/>
  <c r="Q14" i="6"/>
  <c r="Q10" i="6"/>
  <c r="AQ9" i="6"/>
  <c r="AP9" i="6"/>
  <c r="AR9" i="6" s="1"/>
  <c r="AN9" i="6"/>
  <c r="AM9" i="6"/>
  <c r="AL9" i="6"/>
  <c r="AK9" i="6"/>
  <c r="AJ9" i="6"/>
  <c r="AI9" i="6"/>
  <c r="AH9" i="6"/>
  <c r="AF9" i="6"/>
  <c r="AE9" i="6"/>
  <c r="AD9" i="6"/>
  <c r="AC9" i="6"/>
  <c r="AB9" i="6"/>
  <c r="AA9" i="6"/>
  <c r="Z9" i="6"/>
  <c r="X9" i="6"/>
  <c r="W9" i="6"/>
  <c r="V9" i="6"/>
  <c r="U9" i="6"/>
  <c r="T9" i="6"/>
  <c r="S9" i="6"/>
  <c r="R9" i="6"/>
  <c r="P9" i="6"/>
  <c r="O9" i="6"/>
  <c r="N9" i="6"/>
  <c r="M9" i="6"/>
  <c r="L9" i="6"/>
  <c r="K9" i="6"/>
  <c r="J9" i="6"/>
  <c r="D9" i="6"/>
  <c r="E9" i="6"/>
  <c r="F9" i="6"/>
  <c r="G9" i="6"/>
  <c r="H9" i="6"/>
  <c r="B9" i="6"/>
  <c r="Y120" i="6" l="1"/>
  <c r="AS120" i="6" s="1"/>
  <c r="I13" i="10" s="1"/>
  <c r="AS121" i="6"/>
  <c r="I14" i="10" s="1"/>
  <c r="AS85" i="6"/>
  <c r="G14" i="10" s="1"/>
  <c r="AS117" i="6"/>
  <c r="I10" i="10" s="1"/>
  <c r="AS119" i="6"/>
  <c r="I12" i="10" s="1"/>
  <c r="AS101" i="6"/>
  <c r="H12" i="10" s="1"/>
  <c r="AS99" i="6"/>
  <c r="H10" i="10" s="1"/>
  <c r="AS102" i="6"/>
  <c r="AT95" i="6" s="1"/>
  <c r="H21" i="10" s="1"/>
  <c r="AS98" i="6"/>
  <c r="H9" i="10" s="1"/>
  <c r="AS81" i="6"/>
  <c r="G10" i="10" s="1"/>
  <c r="AS134" i="6"/>
  <c r="J9" i="10" s="1"/>
  <c r="AS116" i="6"/>
  <c r="I9" i="10" s="1"/>
  <c r="AS80" i="6"/>
  <c r="G9" i="10" s="1"/>
  <c r="AS84" i="6"/>
  <c r="G13" i="10" s="1"/>
  <c r="AS83" i="6"/>
  <c r="G12" i="10" s="1"/>
  <c r="AS62" i="6"/>
  <c r="F9" i="10" s="1"/>
  <c r="F13" i="10"/>
  <c r="AS63" i="6"/>
  <c r="F10" i="10" s="1"/>
  <c r="AS65" i="6"/>
  <c r="F12" i="10" s="1"/>
  <c r="AS45" i="6"/>
  <c r="E10" i="10" s="1"/>
  <c r="AS48" i="6"/>
  <c r="E13" i="10" s="1"/>
  <c r="AS47" i="6"/>
  <c r="E12" i="10" s="1"/>
  <c r="AS49" i="6"/>
  <c r="E14" i="10" s="1"/>
  <c r="AS26" i="6"/>
  <c r="D9" i="10" s="1"/>
  <c r="AS44" i="6"/>
  <c r="E9" i="10" s="1"/>
  <c r="AO211" i="6"/>
  <c r="M13" i="10"/>
  <c r="AT185" i="6"/>
  <c r="M21" i="10" s="1"/>
  <c r="L13" i="10"/>
  <c r="AT167" i="6"/>
  <c r="L21" i="10" s="1"/>
  <c r="K13" i="10"/>
  <c r="AT149" i="6"/>
  <c r="K21" i="10" s="1"/>
  <c r="J5" i="10"/>
  <c r="K5" i="10" s="1"/>
  <c r="L5" i="10" s="1"/>
  <c r="M5" i="10" s="1"/>
  <c r="N5" i="10" s="1"/>
  <c r="P5" i="10" s="1"/>
  <c r="J13" i="10"/>
  <c r="AT131" i="6"/>
  <c r="J21" i="10" s="1"/>
  <c r="AL210" i="6"/>
  <c r="AM210" i="6" s="1"/>
  <c r="AS207" i="6"/>
  <c r="N10" i="10" s="1"/>
  <c r="AS212" i="6"/>
  <c r="N15" i="10" s="1"/>
  <c r="AK210" i="6"/>
  <c r="AL209" i="6"/>
  <c r="AM209" i="6"/>
  <c r="G31" i="6"/>
  <c r="I31" i="6" s="1"/>
  <c r="AS31" i="6" s="1"/>
  <c r="D14" i="10" s="1"/>
  <c r="AS29" i="6"/>
  <c r="D12" i="10" s="1"/>
  <c r="AS67" i="6"/>
  <c r="F14" i="10" s="1"/>
  <c r="AS32" i="6"/>
  <c r="D15" i="10" s="1"/>
  <c r="AS27" i="6"/>
  <c r="D10" i="10" s="1"/>
  <c r="AS19" i="6"/>
  <c r="C20" i="10" s="1"/>
  <c r="AO9" i="6"/>
  <c r="AG9" i="6"/>
  <c r="AG13" i="6"/>
  <c r="W13" i="6"/>
  <c r="Y9" i="6"/>
  <c r="Q9" i="6"/>
  <c r="Q13" i="6"/>
  <c r="AT113" i="6" l="1"/>
  <c r="I21" i="10" s="1"/>
  <c r="H13" i="10"/>
  <c r="AT77" i="6"/>
  <c r="G21" i="10" s="1"/>
  <c r="AT41" i="6"/>
  <c r="E21" i="10" s="1"/>
  <c r="P20" i="10"/>
  <c r="AT59" i="6"/>
  <c r="F21" i="10" s="1"/>
  <c r="AO209" i="6"/>
  <c r="AS211" i="6"/>
  <c r="N14" i="10" s="1"/>
  <c r="AO210" i="6"/>
  <c r="I30" i="6"/>
  <c r="AS30" i="6" s="1"/>
  <c r="AO11" i="6"/>
  <c r="AG12" i="6"/>
  <c r="Q12" i="6"/>
  <c r="Q11" i="6"/>
  <c r="D13" i="10" l="1"/>
  <c r="AT23" i="6"/>
  <c r="D21" i="10" s="1"/>
  <c r="AS210" i="6"/>
  <c r="AS209" i="6"/>
  <c r="N12" i="10" s="1"/>
  <c r="AO13" i="6"/>
  <c r="Y13" i="6"/>
  <c r="AP6" i="6"/>
  <c r="I9" i="6"/>
  <c r="I10" i="6"/>
  <c r="I11" i="6"/>
  <c r="I12" i="6"/>
  <c r="I13" i="6"/>
  <c r="I14" i="6"/>
  <c r="AS14" i="6" s="1"/>
  <c r="C15" i="10" s="1"/>
  <c r="P15" i="10" s="1"/>
  <c r="I15" i="6"/>
  <c r="I16" i="6"/>
  <c r="I17" i="6"/>
  <c r="I18" i="6"/>
  <c r="AS18" i="6" s="1"/>
  <c r="C19" i="10" s="1"/>
  <c r="C8" i="10" s="1"/>
  <c r="D8" i="10" s="1"/>
  <c r="E8" i="10" s="1"/>
  <c r="F8" i="10" s="1"/>
  <c r="G8" i="10" s="1"/>
  <c r="H8" i="10" s="1"/>
  <c r="I8" i="10" s="1"/>
  <c r="J8" i="10" s="1"/>
  <c r="K8" i="10" s="1"/>
  <c r="L8" i="10" s="1"/>
  <c r="M8" i="10" s="1"/>
  <c r="N8" i="10" s="1"/>
  <c r="AT203" i="6" l="1"/>
  <c r="N21" i="10" s="1"/>
  <c r="N13" i="10"/>
  <c r="P8" i="10"/>
  <c r="P19" i="10"/>
  <c r="AS13" i="6"/>
  <c r="C14" i="10" s="1"/>
  <c r="P14" i="10" s="1"/>
  <c r="Y12" i="6"/>
  <c r="AS10" i="6"/>
  <c r="C11" i="10" s="1"/>
  <c r="P11" i="10" s="1"/>
  <c r="AS17" i="6"/>
  <c r="C18" i="10" s="1"/>
  <c r="AS16" i="6"/>
  <c r="C17" i="10" s="1"/>
  <c r="AS15" i="6"/>
  <c r="C16" i="10" s="1"/>
  <c r="P16" i="10" s="1"/>
  <c r="AS9" i="6"/>
  <c r="C10" i="10" s="1"/>
  <c r="P10" i="10" s="1"/>
  <c r="C8" i="6"/>
  <c r="D8" i="6"/>
  <c r="E8" i="6"/>
  <c r="F8" i="6"/>
  <c r="G8" i="6"/>
  <c r="H8" i="6"/>
  <c r="J8" i="6"/>
  <c r="K8" i="6"/>
  <c r="L8" i="6"/>
  <c r="M8" i="6"/>
  <c r="N8" i="6"/>
  <c r="O8" i="6"/>
  <c r="P8" i="6"/>
  <c r="R8" i="6"/>
  <c r="S8" i="6"/>
  <c r="T8" i="6"/>
  <c r="U8" i="6"/>
  <c r="V8" i="6"/>
  <c r="W8" i="6"/>
  <c r="X8" i="6"/>
  <c r="Z8" i="6"/>
  <c r="AA8" i="6"/>
  <c r="AB8" i="6"/>
  <c r="AC8" i="6"/>
  <c r="AD8" i="6"/>
  <c r="AE8" i="6"/>
  <c r="AF8" i="6"/>
  <c r="AH8" i="6"/>
  <c r="AI8" i="6"/>
  <c r="AJ8" i="6"/>
  <c r="AK8" i="6"/>
  <c r="AL8" i="6"/>
  <c r="AM8" i="6"/>
  <c r="AN8" i="6"/>
  <c r="AP8" i="6"/>
  <c r="AQ8" i="6"/>
  <c r="AR8" i="6" l="1"/>
  <c r="AO8" i="6"/>
  <c r="C7" i="10"/>
  <c r="D7" i="10" s="1"/>
  <c r="E7" i="10" s="1"/>
  <c r="F7" i="10" s="1"/>
  <c r="G7" i="10" s="1"/>
  <c r="H7" i="10" s="1"/>
  <c r="I7" i="10" s="1"/>
  <c r="J7" i="10" s="1"/>
  <c r="K7" i="10" s="1"/>
  <c r="L7" i="10" s="1"/>
  <c r="M7" i="10" s="1"/>
  <c r="N7" i="10" s="1"/>
  <c r="P7" i="10" s="1"/>
  <c r="AG8" i="6"/>
  <c r="Y8" i="6"/>
  <c r="Q8" i="6"/>
  <c r="P17" i="10"/>
  <c r="P18" i="10"/>
  <c r="C6" i="10"/>
  <c r="D6" i="10" s="1"/>
  <c r="E6" i="10" s="1"/>
  <c r="F6" i="10" s="1"/>
  <c r="P6" i="10" s="1"/>
  <c r="I8" i="6"/>
  <c r="AQ204" i="6"/>
  <c r="AP204" i="6"/>
  <c r="AN204" i="6"/>
  <c r="AM204" i="6"/>
  <c r="AL204" i="6"/>
  <c r="AK204" i="6"/>
  <c r="AJ204" i="6"/>
  <c r="AI204" i="6"/>
  <c r="AH204" i="6"/>
  <c r="AF204" i="6"/>
  <c r="AE204" i="6"/>
  <c r="AD204" i="6"/>
  <c r="AC204" i="6"/>
  <c r="AB204" i="6"/>
  <c r="AA204" i="6"/>
  <c r="Z204" i="6"/>
  <c r="X204" i="6"/>
  <c r="W204" i="6"/>
  <c r="V204" i="6"/>
  <c r="U204" i="6"/>
  <c r="T204" i="6"/>
  <c r="S204" i="6"/>
  <c r="R204" i="6"/>
  <c r="P204" i="6"/>
  <c r="O204" i="6"/>
  <c r="N204" i="6"/>
  <c r="M204" i="6"/>
  <c r="L204" i="6"/>
  <c r="K204" i="6"/>
  <c r="J204" i="6"/>
  <c r="H204" i="6"/>
  <c r="G204" i="6"/>
  <c r="F204" i="6"/>
  <c r="E204" i="6"/>
  <c r="D204" i="6"/>
  <c r="C204" i="6"/>
  <c r="B204" i="6"/>
  <c r="AQ186" i="6"/>
  <c r="AP186" i="6"/>
  <c r="AN186" i="6"/>
  <c r="AM186" i="6"/>
  <c r="AL186" i="6"/>
  <c r="AK186" i="6"/>
  <c r="AJ186" i="6"/>
  <c r="AI186" i="6"/>
  <c r="AH186" i="6"/>
  <c r="AF186" i="6"/>
  <c r="AE186" i="6"/>
  <c r="AD186" i="6"/>
  <c r="AC186" i="6"/>
  <c r="AB186" i="6"/>
  <c r="AA186" i="6"/>
  <c r="Z186" i="6"/>
  <c r="X186" i="6"/>
  <c r="W186" i="6"/>
  <c r="V186" i="6"/>
  <c r="U186" i="6"/>
  <c r="T186" i="6"/>
  <c r="S186" i="6"/>
  <c r="R186" i="6"/>
  <c r="P186" i="6"/>
  <c r="O186" i="6"/>
  <c r="N186" i="6"/>
  <c r="M186" i="6"/>
  <c r="L186" i="6"/>
  <c r="K186" i="6"/>
  <c r="J186" i="6"/>
  <c r="H186" i="6"/>
  <c r="G186" i="6"/>
  <c r="F186" i="6"/>
  <c r="E186" i="6"/>
  <c r="D186" i="6"/>
  <c r="C186" i="6"/>
  <c r="B186" i="6"/>
  <c r="G202" i="6"/>
  <c r="G184" i="6"/>
  <c r="AQ168" i="6"/>
  <c r="AP168" i="6"/>
  <c r="AN168" i="6"/>
  <c r="AM168" i="6"/>
  <c r="AL168" i="6"/>
  <c r="AK168" i="6"/>
  <c r="AJ168" i="6"/>
  <c r="AI168" i="6"/>
  <c r="AH168" i="6"/>
  <c r="AF168" i="6"/>
  <c r="AE168" i="6"/>
  <c r="AD168" i="6"/>
  <c r="AC168" i="6"/>
  <c r="AB168" i="6"/>
  <c r="AA168" i="6"/>
  <c r="Z168" i="6"/>
  <c r="X168" i="6"/>
  <c r="W168" i="6"/>
  <c r="V168" i="6"/>
  <c r="U168" i="6"/>
  <c r="T168" i="6"/>
  <c r="S168" i="6"/>
  <c r="R168" i="6"/>
  <c r="P168" i="6"/>
  <c r="O168" i="6"/>
  <c r="N168" i="6"/>
  <c r="M168" i="6"/>
  <c r="L168" i="6"/>
  <c r="K168" i="6"/>
  <c r="J168" i="6"/>
  <c r="H168" i="6"/>
  <c r="G168" i="6"/>
  <c r="F168" i="6"/>
  <c r="E168" i="6"/>
  <c r="D168" i="6"/>
  <c r="C168" i="6"/>
  <c r="B168" i="6"/>
  <c r="G166" i="6"/>
  <c r="AQ150" i="6"/>
  <c r="AP150" i="6"/>
  <c r="AN150" i="6"/>
  <c r="AM150" i="6"/>
  <c r="AL150" i="6"/>
  <c r="AK150" i="6"/>
  <c r="AJ150" i="6"/>
  <c r="AI150" i="6"/>
  <c r="AH150" i="6"/>
  <c r="AF150" i="6"/>
  <c r="AE150" i="6"/>
  <c r="AD150" i="6"/>
  <c r="AC150" i="6"/>
  <c r="AB150" i="6"/>
  <c r="AA150" i="6"/>
  <c r="Z150" i="6"/>
  <c r="X150" i="6"/>
  <c r="W150" i="6"/>
  <c r="V150" i="6"/>
  <c r="U150" i="6"/>
  <c r="T150" i="6"/>
  <c r="S150" i="6"/>
  <c r="R150" i="6"/>
  <c r="P150" i="6"/>
  <c r="O150" i="6"/>
  <c r="N150" i="6"/>
  <c r="M150" i="6"/>
  <c r="L150" i="6"/>
  <c r="K150" i="6"/>
  <c r="J150" i="6"/>
  <c r="H150" i="6"/>
  <c r="G150" i="6"/>
  <c r="F150" i="6"/>
  <c r="E150" i="6"/>
  <c r="D150" i="6"/>
  <c r="C150" i="6"/>
  <c r="B150" i="6"/>
  <c r="G148" i="6"/>
  <c r="AQ132" i="6"/>
  <c r="AP132" i="6"/>
  <c r="AN132" i="6"/>
  <c r="AM132" i="6"/>
  <c r="AL132" i="6"/>
  <c r="AK132" i="6"/>
  <c r="AJ132" i="6"/>
  <c r="AI132" i="6"/>
  <c r="AH132" i="6"/>
  <c r="AF132" i="6"/>
  <c r="AE132" i="6"/>
  <c r="AD132" i="6"/>
  <c r="AC132" i="6"/>
  <c r="AB132" i="6"/>
  <c r="AA132" i="6"/>
  <c r="Z132" i="6"/>
  <c r="P132" i="6"/>
  <c r="O132" i="6"/>
  <c r="N132" i="6"/>
  <c r="M132" i="6"/>
  <c r="L132" i="6"/>
  <c r="K132" i="6"/>
  <c r="J132" i="6"/>
  <c r="X132" i="6"/>
  <c r="W132" i="6"/>
  <c r="V132" i="6"/>
  <c r="U132" i="6"/>
  <c r="T132" i="6"/>
  <c r="S132" i="6"/>
  <c r="R132" i="6"/>
  <c r="H132" i="6"/>
  <c r="G132" i="6"/>
  <c r="F132" i="6"/>
  <c r="E132" i="6"/>
  <c r="D132" i="6"/>
  <c r="C132" i="6"/>
  <c r="B132" i="6"/>
  <c r="AS8" i="6" l="1"/>
  <c r="C9" i="10" s="1"/>
  <c r="P9" i="10" s="1"/>
  <c r="AO12" i="6"/>
  <c r="Y11" i="6"/>
  <c r="AS11" i="6" s="1"/>
  <c r="C12" i="10" s="1"/>
  <c r="P12" i="10" s="1"/>
  <c r="G130" i="6"/>
  <c r="AQ114" i="6"/>
  <c r="AP114" i="6"/>
  <c r="AN114" i="6"/>
  <c r="AM114" i="6"/>
  <c r="AL114" i="6"/>
  <c r="AK114" i="6"/>
  <c r="AJ114" i="6"/>
  <c r="AI114" i="6"/>
  <c r="AH114" i="6"/>
  <c r="AF114" i="6"/>
  <c r="AE114" i="6"/>
  <c r="AD114" i="6"/>
  <c r="AC114" i="6"/>
  <c r="AB114" i="6"/>
  <c r="AA114" i="6"/>
  <c r="Z114" i="6"/>
  <c r="X114" i="6"/>
  <c r="W114" i="6"/>
  <c r="V114" i="6"/>
  <c r="U114" i="6"/>
  <c r="T114" i="6"/>
  <c r="S114" i="6"/>
  <c r="R114" i="6"/>
  <c r="P114" i="6"/>
  <c r="O114" i="6"/>
  <c r="N114" i="6"/>
  <c r="M114" i="6"/>
  <c r="L114" i="6"/>
  <c r="K114" i="6"/>
  <c r="J114" i="6"/>
  <c r="H114" i="6"/>
  <c r="G114" i="6"/>
  <c r="F114" i="6"/>
  <c r="E114" i="6"/>
  <c r="D114" i="6"/>
  <c r="C114" i="6"/>
  <c r="B114" i="6"/>
  <c r="AS12" i="6" l="1"/>
  <c r="G112" i="6"/>
  <c r="AQ96" i="6"/>
  <c r="AP96" i="6"/>
  <c r="AN96" i="6"/>
  <c r="AM96" i="6"/>
  <c r="AL96" i="6"/>
  <c r="AK96" i="6"/>
  <c r="AJ96" i="6"/>
  <c r="AI96" i="6"/>
  <c r="AH96" i="6"/>
  <c r="AF96" i="6"/>
  <c r="AE96" i="6"/>
  <c r="AD96" i="6"/>
  <c r="AC96" i="6"/>
  <c r="AB96" i="6"/>
  <c r="AA96" i="6"/>
  <c r="Z96" i="6"/>
  <c r="X96" i="6"/>
  <c r="W96" i="6"/>
  <c r="V96" i="6"/>
  <c r="U96" i="6"/>
  <c r="T96" i="6"/>
  <c r="S96" i="6"/>
  <c r="R96" i="6"/>
  <c r="P96" i="6"/>
  <c r="O96" i="6"/>
  <c r="N96" i="6"/>
  <c r="M96" i="6"/>
  <c r="L96" i="6"/>
  <c r="K96" i="6"/>
  <c r="J96" i="6"/>
  <c r="H96" i="6"/>
  <c r="G96" i="6"/>
  <c r="F96" i="6"/>
  <c r="E96" i="6"/>
  <c r="D96" i="6"/>
  <c r="C96" i="6"/>
  <c r="B96" i="6"/>
  <c r="G94" i="6"/>
  <c r="AQ78" i="6"/>
  <c r="AP78" i="6"/>
  <c r="AN78" i="6"/>
  <c r="AM78" i="6"/>
  <c r="AL78" i="6"/>
  <c r="AK78" i="6"/>
  <c r="AJ78" i="6"/>
  <c r="AI78" i="6"/>
  <c r="AH78" i="6"/>
  <c r="AF78" i="6"/>
  <c r="AE78" i="6"/>
  <c r="AD78" i="6"/>
  <c r="AC78" i="6"/>
  <c r="AB78" i="6"/>
  <c r="AA78" i="6"/>
  <c r="Z78" i="6"/>
  <c r="X78" i="6"/>
  <c r="W78" i="6"/>
  <c r="V78" i="6"/>
  <c r="U78" i="6"/>
  <c r="T78" i="6"/>
  <c r="S78" i="6"/>
  <c r="R78" i="6"/>
  <c r="P78" i="6"/>
  <c r="O78" i="6"/>
  <c r="N78" i="6"/>
  <c r="M78" i="6"/>
  <c r="L78" i="6"/>
  <c r="K78" i="6"/>
  <c r="J78" i="6"/>
  <c r="H78" i="6"/>
  <c r="G78" i="6"/>
  <c r="F78" i="6"/>
  <c r="E78" i="6"/>
  <c r="D78" i="6"/>
  <c r="C78" i="6"/>
  <c r="B78" i="6"/>
  <c r="G76" i="6"/>
  <c r="AQ60" i="6"/>
  <c r="AP60" i="6"/>
  <c r="AN60" i="6"/>
  <c r="AM60" i="6"/>
  <c r="AL60" i="6"/>
  <c r="AK60" i="6"/>
  <c r="AJ60" i="6"/>
  <c r="AI60" i="6"/>
  <c r="AH60" i="6"/>
  <c r="AF60" i="6"/>
  <c r="AE60" i="6"/>
  <c r="AD60" i="6"/>
  <c r="AC60" i="6"/>
  <c r="AB60" i="6"/>
  <c r="AA60" i="6"/>
  <c r="Z60" i="6"/>
  <c r="X60" i="6"/>
  <c r="W60" i="6"/>
  <c r="V60" i="6"/>
  <c r="U60" i="6"/>
  <c r="T60" i="6"/>
  <c r="S60" i="6"/>
  <c r="R60" i="6"/>
  <c r="P60" i="6"/>
  <c r="O60" i="6"/>
  <c r="N60" i="6"/>
  <c r="M60" i="6"/>
  <c r="L60" i="6"/>
  <c r="K60" i="6"/>
  <c r="J60" i="6"/>
  <c r="H60" i="6"/>
  <c r="G60" i="6"/>
  <c r="F60" i="6"/>
  <c r="E60" i="6"/>
  <c r="D60" i="6"/>
  <c r="C60" i="6"/>
  <c r="B60" i="6"/>
  <c r="G58" i="6"/>
  <c r="AQ42" i="6"/>
  <c r="AP42" i="6"/>
  <c r="AN42" i="6"/>
  <c r="AM42" i="6"/>
  <c r="AL42" i="6"/>
  <c r="AK42" i="6"/>
  <c r="AJ42" i="6"/>
  <c r="AI42" i="6"/>
  <c r="AH42" i="6"/>
  <c r="AF42" i="6"/>
  <c r="AE42" i="6"/>
  <c r="AD42" i="6"/>
  <c r="AC42" i="6"/>
  <c r="AB42" i="6"/>
  <c r="AA42" i="6"/>
  <c r="Z42" i="6"/>
  <c r="X42" i="6"/>
  <c r="W42" i="6"/>
  <c r="V42" i="6"/>
  <c r="U42" i="6"/>
  <c r="T42" i="6"/>
  <c r="S42" i="6"/>
  <c r="R42" i="6"/>
  <c r="P42" i="6"/>
  <c r="O42" i="6"/>
  <c r="N42" i="6"/>
  <c r="M42" i="6"/>
  <c r="L42" i="6"/>
  <c r="K42" i="6"/>
  <c r="J42" i="6"/>
  <c r="H42" i="6"/>
  <c r="G42" i="6"/>
  <c r="F42" i="6"/>
  <c r="E42" i="6"/>
  <c r="D42" i="6"/>
  <c r="C42" i="6"/>
  <c r="B42" i="6"/>
  <c r="G40" i="6"/>
  <c r="AQ24" i="6"/>
  <c r="AP24" i="6"/>
  <c r="AN24" i="6"/>
  <c r="AM24" i="6"/>
  <c r="AL24" i="6"/>
  <c r="AK24" i="6"/>
  <c r="AJ24" i="6"/>
  <c r="AI24" i="6"/>
  <c r="AH24" i="6"/>
  <c r="AF24" i="6"/>
  <c r="AE24" i="6"/>
  <c r="AD24" i="6"/>
  <c r="AC24" i="6"/>
  <c r="AB24" i="6"/>
  <c r="AA24" i="6"/>
  <c r="Z24" i="6"/>
  <c r="X24" i="6"/>
  <c r="W24" i="6"/>
  <c r="V24" i="6"/>
  <c r="U24" i="6"/>
  <c r="T24" i="6"/>
  <c r="S24" i="6"/>
  <c r="R24" i="6"/>
  <c r="P24" i="6"/>
  <c r="O24" i="6"/>
  <c r="N24" i="6"/>
  <c r="M24" i="6"/>
  <c r="L24" i="6"/>
  <c r="K24" i="6"/>
  <c r="J24" i="6"/>
  <c r="H24" i="6"/>
  <c r="G24" i="6"/>
  <c r="F24" i="6"/>
  <c r="E24" i="6"/>
  <c r="D24" i="6"/>
  <c r="C24" i="6"/>
  <c r="B24" i="6"/>
  <c r="G22" i="6"/>
  <c r="AQ6" i="6"/>
  <c r="AN6" i="6"/>
  <c r="AM6" i="6"/>
  <c r="AL6" i="6"/>
  <c r="AK6" i="6"/>
  <c r="AJ6" i="6"/>
  <c r="AI6" i="6"/>
  <c r="AH6" i="6"/>
  <c r="AF6" i="6"/>
  <c r="AE6" i="6"/>
  <c r="AD6" i="6"/>
  <c r="AC6" i="6"/>
  <c r="AB6" i="6"/>
  <c r="AA6" i="6"/>
  <c r="Z6" i="6"/>
  <c r="X6" i="6"/>
  <c r="W6" i="6"/>
  <c r="V6" i="6"/>
  <c r="U6" i="6"/>
  <c r="T6" i="6"/>
  <c r="S6" i="6"/>
  <c r="R6" i="6"/>
  <c r="P6" i="6"/>
  <c r="O6" i="6"/>
  <c r="N6" i="6"/>
  <c r="M6" i="6"/>
  <c r="L6" i="6"/>
  <c r="K6" i="6"/>
  <c r="J6" i="6"/>
  <c r="C13" i="10" l="1"/>
  <c r="P13" i="10" s="1"/>
  <c r="AT5" i="6"/>
  <c r="C21" i="10" s="1"/>
  <c r="C3" i="8"/>
  <c r="AU5" i="6" l="1"/>
  <c r="AU23" i="6" s="1"/>
  <c r="B5" i="8"/>
  <c r="E3" i="8" l="1"/>
  <c r="G3" i="8"/>
  <c r="C5" i="8"/>
  <c r="C8" i="8" s="1"/>
  <c r="F3" i="8"/>
  <c r="C22" i="10"/>
  <c r="AU41" i="6"/>
  <c r="D22" i="10"/>
  <c r="D38" i="7"/>
  <c r="D42" i="7" s="1"/>
  <c r="D33" i="7"/>
  <c r="D36" i="7" s="1"/>
  <c r="D9" i="7"/>
  <c r="D6" i="7"/>
  <c r="D4" i="7"/>
  <c r="AU59" i="6" l="1"/>
  <c r="E22" i="10"/>
  <c r="D16" i="7"/>
  <c r="B20" i="7" s="1"/>
  <c r="D20" i="7" s="1"/>
  <c r="B22" i="7" l="1"/>
  <c r="D22" i="7" s="1"/>
  <c r="B25" i="7"/>
  <c r="D25" i="7" s="1"/>
  <c r="B23" i="7"/>
  <c r="D23" i="7" s="1"/>
  <c r="B26" i="7"/>
  <c r="D26" i="7" s="1"/>
  <c r="B27" i="7"/>
  <c r="D27" i="7" s="1"/>
  <c r="B19" i="7"/>
  <c r="D19" i="7" s="1"/>
  <c r="B18" i="7"/>
  <c r="D18" i="7" s="1"/>
  <c r="D31" i="7" s="1"/>
  <c r="D45" i="7" s="1"/>
  <c r="B29" i="7"/>
  <c r="D29" i="7" s="1"/>
  <c r="AU77" i="6"/>
  <c r="F22" i="10"/>
  <c r="E6" i="6"/>
  <c r="G6" i="6"/>
  <c r="G4" i="6"/>
  <c r="B6" i="6"/>
  <c r="D6" i="6"/>
  <c r="H6" i="6"/>
  <c r="F6" i="6"/>
  <c r="C6" i="6"/>
  <c r="AU95" i="6" l="1"/>
  <c r="G22" i="10"/>
  <c r="AU113" i="6" l="1"/>
  <c r="H22" i="10"/>
  <c r="AU131" i="6" l="1"/>
  <c r="I22" i="10"/>
  <c r="AU149" i="6" l="1"/>
  <c r="J22" i="10"/>
  <c r="AU167" i="6" l="1"/>
  <c r="K22" i="10"/>
  <c r="AU185" i="6" l="1"/>
  <c r="L22" i="10"/>
  <c r="AU203" i="6" l="1"/>
  <c r="N22" i="10" s="1"/>
  <c r="P22" i="10" s="1"/>
  <c r="M22" i="10"/>
</calcChain>
</file>

<file path=xl/sharedStrings.xml><?xml version="1.0" encoding="utf-8"?>
<sst xmlns="http://schemas.openxmlformats.org/spreadsheetml/2006/main" count="974" uniqueCount="115">
  <si>
    <t xml:space="preserve">JANVIER </t>
  </si>
  <si>
    <t xml:space="preserve">FÉVRIER </t>
  </si>
  <si>
    <t>Equipe</t>
  </si>
  <si>
    <t>Nbr heure</t>
  </si>
  <si>
    <t>Travailler</t>
  </si>
  <si>
    <t>CP</t>
  </si>
  <si>
    <t>Taux horaire</t>
  </si>
  <si>
    <t>Salaire de base</t>
  </si>
  <si>
    <t>Nombre ou base</t>
  </si>
  <si>
    <t>Taux ou %</t>
  </si>
  <si>
    <t>Montant a ajouter</t>
  </si>
  <si>
    <t>Montant à déduire</t>
  </si>
  <si>
    <t>Prime assiduité</t>
  </si>
  <si>
    <t>HS a 125 %</t>
  </si>
  <si>
    <t>HS a 200 %</t>
  </si>
  <si>
    <t>Heure complementaire</t>
  </si>
  <si>
    <t>Prime anciennete</t>
  </si>
  <si>
    <t>Prime equipe de nuit</t>
  </si>
  <si>
    <t>Prime casse croute</t>
  </si>
  <si>
    <t>Prime exceptionnelle 2</t>
  </si>
  <si>
    <t>Prime objectif</t>
  </si>
  <si>
    <t>Remuneration brute</t>
  </si>
  <si>
    <t>S Maladie TT</t>
  </si>
  <si>
    <t>S Vieillesse TA</t>
  </si>
  <si>
    <t>S Vieillesse TT</t>
  </si>
  <si>
    <t>S CSG deductible TT</t>
  </si>
  <si>
    <t>C Chomage rac TA</t>
  </si>
  <si>
    <t>A20 AGFF</t>
  </si>
  <si>
    <t>C20 IRSIM</t>
  </si>
  <si>
    <t>M Mutuelle</t>
  </si>
  <si>
    <t>87 Prev allianz</t>
  </si>
  <si>
    <t>Ajouter</t>
  </si>
  <si>
    <t>Deduire</t>
  </si>
  <si>
    <t>Indemnite transport</t>
  </si>
  <si>
    <t>Indemnite panier de nuit</t>
  </si>
  <si>
    <t>Retenue ticket restaurant</t>
  </si>
  <si>
    <t>S CSG TT</t>
  </si>
  <si>
    <t>S RDS TT</t>
  </si>
  <si>
    <t>Toatal de la paie</t>
  </si>
  <si>
    <t>HS 50%</t>
  </si>
  <si>
    <t>HS 25%</t>
  </si>
  <si>
    <t>HS 200%</t>
  </si>
  <si>
    <t>HS 25 %</t>
  </si>
  <si>
    <t>Base</t>
  </si>
  <si>
    <t>Taux horaire brut</t>
  </si>
  <si>
    <t>Taux horaire net</t>
  </si>
  <si>
    <t>Taux de charge</t>
  </si>
  <si>
    <t>Prime prod</t>
  </si>
  <si>
    <t>Prime nuit</t>
  </si>
  <si>
    <t xml:space="preserve">Salaire moyen </t>
  </si>
  <si>
    <t>36éme a 43éme inclus</t>
  </si>
  <si>
    <t>44éme à 48éme inclus</t>
  </si>
  <si>
    <t>32éme à 35éme heure</t>
  </si>
  <si>
    <t>heure complémentaire</t>
  </si>
  <si>
    <t>RC de nuit</t>
  </si>
  <si>
    <t>Dimanche</t>
  </si>
  <si>
    <t>Prime jour férier</t>
  </si>
  <si>
    <t xml:space="preserve">Calcul base de </t>
  </si>
  <si>
    <t>32h</t>
  </si>
  <si>
    <t>HR +</t>
  </si>
  <si>
    <t>HR -</t>
  </si>
  <si>
    <t>RC -</t>
  </si>
  <si>
    <t>CP -</t>
  </si>
  <si>
    <t>Ticket resto</t>
  </si>
  <si>
    <t>Lun</t>
  </si>
  <si>
    <t>Mar</t>
  </si>
  <si>
    <t>Mer</t>
  </si>
  <si>
    <t>Jeu</t>
  </si>
  <si>
    <t>Ven</t>
  </si>
  <si>
    <t>Sam</t>
  </si>
  <si>
    <t>Dim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</si>
  <si>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</si>
  <si>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</si>
  <si>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</si>
  <si>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</si>
  <si>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</si>
  <si>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</si>
  <si>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</si>
  <si>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</si>
  <si>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</si>
  <si>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</si>
  <si>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</si>
  <si>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</si>
  <si>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</si>
  <si>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</si>
  <si>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</si>
  <si>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</si>
  <si>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</si>
  <si>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</si>
  <si>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</si>
  <si>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</si>
  <si>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</si>
  <si>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</si>
  <si>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</si>
  <si>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</si>
  <si>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</si>
  <si>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</si>
  <si>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</si>
  <si>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</si>
  <si>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</si>
  <si>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</si>
  <si>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</si>
  <si>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</si>
  <si>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</si>
  <si>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</si>
  <si>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</si>
  <si>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am</t>
  </si>
  <si>
    <t>matin</t>
  </si>
  <si>
    <t>nuit</t>
  </si>
  <si>
    <t>Formation</t>
  </si>
  <si>
    <t>journee</t>
  </si>
  <si>
    <t>hs</t>
  </si>
  <si>
    <t>ferie</t>
  </si>
  <si>
    <t>Ferie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</si>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</sst>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164" formatCode="d"/>
    <numFmt numFmtId="165" formatCode="mmmm"/>
  </numFmts>
  <fonts count="25" x14ac:knownFonts="1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1"/>
      <name val="Cambria"/>
      <family val="1"/>
      <scheme val="minor"/>
    </font>
    <font>
      <sz val="28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b/>
      <sz val="11"/>
      <name val="Cambria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u/>
      <sz val="12"/>
      <name val="Cambria"/>
      <family val="2"/>
      <scheme val="minor"/>
    </font>
    <font>
      <i/>
      <sz val="11"/>
      <color rgb="FF7F7F7F"/>
      <name val="Cambria"/>
      <family val="2"/>
      <scheme val="minor"/>
    </font>
    <font>
      <sz val="1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C0C0C0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7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01">
    <xf numFmtId="0" fontId="0" fillId="0" borderId="0" xfId="0"/>
    <xf numFmtId="165" fontId="8" fillId="0" borderId="0" xfId="0" applyNumberFormat="1" applyFont="1" applyFill="1" applyBorder="1" applyAlignment="1">
      <alignment vertical="center" textRotation="90"/>
    </xf>
    <xf numFmtId="0" fontId="2" fillId="0" borderId="0" xfId="1" applyFont="1"/>
    <xf numFmtId="0" fontId="9" fillId="0" borderId="0" xfId="1" applyFont="1"/>
    <xf numFmtId="0" fontId="4" fillId="0" borderId="0" xfId="1" applyNumberFormat="1" applyFont="1"/>
    <xf numFmtId="165" fontId="8" fillId="0" borderId="0" xfId="0" applyNumberFormat="1" applyFont="1" applyFill="1" applyBorder="1" applyAlignment="1">
      <alignment horizontal="center" vertical="center" textRotation="90"/>
    </xf>
    <xf numFmtId="0" fontId="2" fillId="0" borderId="0" xfId="1" applyFont="1" applyAlignment="1">
      <alignment horizontal="center"/>
    </xf>
    <xf numFmtId="0" fontId="11" fillId="0" borderId="0" xfId="1" applyFont="1"/>
    <xf numFmtId="0" fontId="11" fillId="0" borderId="0" xfId="1" applyNumberFormat="1" applyFont="1"/>
    <xf numFmtId="0" fontId="13" fillId="0" borderId="0" xfId="0" applyFont="1"/>
    <xf numFmtId="0" fontId="13" fillId="0" borderId="0" xfId="0" applyFont="1" applyAlignment="1">
      <alignment horizontal="center"/>
    </xf>
    <xf numFmtId="2" fontId="13" fillId="0" borderId="0" xfId="0" applyNumberFormat="1" applyFont="1"/>
    <xf numFmtId="0" fontId="13" fillId="4" borderId="0" xfId="0" applyFont="1" applyFill="1"/>
    <xf numFmtId="0" fontId="14" fillId="0" borderId="0" xfId="0" applyFont="1"/>
    <xf numFmtId="0" fontId="14" fillId="0" borderId="0" xfId="0" applyFont="1" applyAlignment="1">
      <alignment horizontal="right"/>
    </xf>
    <xf numFmtId="2" fontId="14" fillId="0" borderId="0" xfId="0" applyNumberFormat="1" applyFont="1"/>
    <xf numFmtId="0" fontId="15" fillId="4" borderId="0" xfId="0" applyFont="1" applyFill="1"/>
    <xf numFmtId="2" fontId="15" fillId="4" borderId="0" xfId="0" applyNumberFormat="1" applyFont="1" applyFill="1"/>
    <xf numFmtId="0" fontId="13" fillId="5" borderId="0" xfId="0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16" fillId="0" borderId="0" xfId="0" applyFont="1" applyAlignment="1">
      <alignment horizontal="center" vertical="center"/>
    </xf>
    <xf numFmtId="2" fontId="0" fillId="0" borderId="0" xfId="0" applyNumberFormat="1"/>
    <xf numFmtId="0" fontId="2" fillId="0" borderId="0" xfId="1" applyFont="1" applyFill="1" applyBorder="1" applyAlignment="1">
      <alignment horizontal="left"/>
    </xf>
    <xf numFmtId="164" fontId="10" fillId="0" borderId="0" xfId="1" applyNumberFormat="1" applyFont="1" applyFill="1" applyBorder="1" applyAlignment="1">
      <alignment horizontal="center" vertical="top" wrapText="1"/>
    </xf>
    <xf numFmtId="9" fontId="13" fillId="0" borderId="0" xfId="0" applyNumberFormat="1" applyFont="1"/>
    <xf numFmtId="6" fontId="13" fillId="0" borderId="0" xfId="0" applyNumberFormat="1" applyFont="1"/>
    <xf numFmtId="0" fontId="13" fillId="0" borderId="0" xfId="0" applyFont="1" applyAlignment="1">
      <alignment horizontal="right"/>
    </xf>
    <xf numFmtId="2" fontId="0" fillId="5" borderId="0" xfId="0" applyNumberFormat="1" applyFill="1"/>
    <xf numFmtId="0" fontId="0" fillId="5" borderId="0" xfId="0" applyFill="1"/>
    <xf numFmtId="2" fontId="2" fillId="0" borderId="0" xfId="1" applyNumberFormat="1" applyFont="1" applyFill="1" applyBorder="1" applyAlignment="1"/>
    <xf numFmtId="0" fontId="2" fillId="0" borderId="0" xfId="1" applyFont="1" applyBorder="1" applyAlignment="1">
      <alignment horizontal="center"/>
    </xf>
    <xf numFmtId="2" fontId="10" fillId="0" borderId="0" xfId="1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top" wrapText="1"/>
    </xf>
    <xf numFmtId="0" fontId="2" fillId="0" borderId="0" xfId="1" applyFont="1" applyFill="1" applyAlignment="1"/>
    <xf numFmtId="0" fontId="2" fillId="0" borderId="0" xfId="1" applyFont="1" applyFill="1"/>
    <xf numFmtId="164" fontId="10" fillId="0" borderId="0" xfId="1" applyNumberFormat="1" applyFont="1" applyFill="1" applyBorder="1" applyAlignment="1">
      <alignment horizontal="left" vertical="top" wrapText="1"/>
    </xf>
    <xf numFmtId="0" fontId="10" fillId="0" borderId="0" xfId="1" applyNumberFormat="1" applyFont="1" applyFill="1" applyBorder="1" applyAlignment="1">
      <alignment horizontal="left" vertical="top" wrapText="1"/>
    </xf>
    <xf numFmtId="0" fontId="11" fillId="0" borderId="0" xfId="1" applyFont="1" applyFill="1" applyBorder="1"/>
    <xf numFmtId="49" fontId="17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vertical="center"/>
    </xf>
    <xf numFmtId="0" fontId="18" fillId="0" borderId="0" xfId="0" applyFont="1"/>
    <xf numFmtId="49" fontId="9" fillId="0" borderId="0" xfId="1" applyNumberFormat="1" applyFont="1" applyBorder="1" applyAlignment="1">
      <alignment vertical="center"/>
    </xf>
    <xf numFmtId="49" fontId="9" fillId="0" borderId="0" xfId="1" applyNumberFormat="1" applyFont="1" applyBorder="1" applyAlignment="1">
      <alignment horizontal="center" vertical="center"/>
    </xf>
    <xf numFmtId="0" fontId="20" fillId="0" borderId="0" xfId="0" applyFont="1"/>
    <xf numFmtId="165" fontId="11" fillId="0" borderId="0" xfId="0" applyNumberFormat="1" applyFont="1" applyFill="1" applyBorder="1" applyAlignment="1">
      <alignment vertical="center" textRotation="90"/>
    </xf>
    <xf numFmtId="0" fontId="11" fillId="0" borderId="0" xfId="0" applyFont="1"/>
    <xf numFmtId="0" fontId="10" fillId="0" borderId="0" xfId="1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0" applyNumberFormat="1" applyFont="1"/>
    <xf numFmtId="0" fontId="11" fillId="0" borderId="0" xfId="0" applyNumberFormat="1" applyFont="1" applyBorder="1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/>
    <xf numFmtId="0" fontId="10" fillId="0" borderId="0" xfId="3" applyNumberFormat="1" applyFont="1" applyFill="1" applyBorder="1" applyAlignment="1">
      <alignment horizontal="center" vertical="top" wrapText="1"/>
    </xf>
    <xf numFmtId="0" fontId="10" fillId="6" borderId="0" xfId="0" applyFont="1" applyFill="1" applyBorder="1"/>
    <xf numFmtId="164" fontId="10" fillId="6" borderId="0" xfId="1" applyNumberFormat="1" applyFont="1" applyFill="1" applyBorder="1" applyAlignment="1">
      <alignment horizontal="left" vertical="top" wrapText="1"/>
    </xf>
    <xf numFmtId="164" fontId="21" fillId="0" borderId="0" xfId="1" applyNumberFormat="1" applyFont="1" applyFill="1" applyBorder="1" applyAlignment="1">
      <alignment horizontal="left" vertical="top" wrapText="1"/>
    </xf>
    <xf numFmtId="165" fontId="11" fillId="0" borderId="0" xfId="0" applyNumberFormat="1" applyFont="1" applyFill="1" applyBorder="1" applyAlignment="1">
      <alignment horizontal="center" vertical="center" textRotation="90"/>
    </xf>
    <xf numFmtId="0" fontId="11" fillId="0" borderId="0" xfId="3" applyNumberFormat="1" applyFont="1" applyFill="1" applyBorder="1" applyAlignment="1">
      <alignment horizontal="center" vertical="top" wrapText="1"/>
    </xf>
    <xf numFmtId="2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/>
    <xf numFmtId="0" fontId="11" fillId="0" borderId="0" xfId="1" applyNumberFormat="1" applyFont="1" applyFill="1" applyBorder="1" applyAlignment="1">
      <alignment horizontal="center"/>
    </xf>
    <xf numFmtId="164" fontId="21" fillId="0" borderId="0" xfId="1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1" fillId="0" borderId="0" xfId="1" applyNumberFormat="1" applyFont="1" applyAlignment="1">
      <alignment horizont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>
      <alignment horizontal="center" vertical="top" wrapText="1"/>
    </xf>
    <xf numFmtId="0" fontId="11" fillId="0" borderId="0" xfId="1" applyNumberFormat="1" applyFont="1" applyFill="1" applyBorder="1" applyAlignment="1">
      <alignment horizontal="center" vertical="top" wrapText="1"/>
    </xf>
    <xf numFmtId="2" fontId="10" fillId="0" borderId="0" xfId="1" applyNumberFormat="1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top" wrapText="1"/>
    </xf>
    <xf numFmtId="0" fontId="9" fillId="0" borderId="0" xfId="1" applyFont="1" applyFill="1" applyBorder="1"/>
    <xf numFmtId="0" fontId="22" fillId="0" borderId="0" xfId="5" applyFont="1" applyFill="1" applyBorder="1"/>
    <xf numFmtId="0" fontId="0" fillId="0" borderId="0" xfId="0" applyAlignment="1">
      <alignment horizontal="center"/>
    </xf>
    <xf numFmtId="164" fontId="10" fillId="0" borderId="0" xfId="1" applyNumberFormat="1" applyFont="1" applyFill="1" applyBorder="1" applyAlignment="1">
      <alignment vertical="top" wrapText="1"/>
    </xf>
    <xf numFmtId="0" fontId="10" fillId="4" borderId="0" xfId="1" applyNumberFormat="1" applyFont="1" applyFill="1" applyBorder="1" applyAlignment="1">
      <alignment horizontal="center" vertical="top" wrapText="1"/>
    </xf>
    <xf numFmtId="164" fontId="10" fillId="4" borderId="0" xfId="1" applyNumberFormat="1" applyFont="1" applyFill="1" applyBorder="1" applyAlignment="1">
      <alignment horizontal="center" vertical="top" wrapText="1"/>
    </xf>
    <xf numFmtId="0" fontId="18" fillId="4" borderId="0" xfId="2" applyFont="1" applyFill="1" applyBorder="1" applyAlignment="1">
      <alignment horizontal="center" vertical="center"/>
    </xf>
    <xf numFmtId="0" fontId="21" fillId="4" borderId="0" xfId="1" applyNumberFormat="1" applyFont="1" applyFill="1" applyBorder="1" applyAlignment="1">
      <alignment horizontal="center" vertical="top" wrapText="1"/>
    </xf>
    <xf numFmtId="0" fontId="10" fillId="4" borderId="0" xfId="3" applyNumberFormat="1" applyFont="1" applyFill="1" applyBorder="1" applyAlignment="1">
      <alignment horizontal="center" vertical="top" wrapText="1"/>
    </xf>
    <xf numFmtId="0" fontId="11" fillId="4" borderId="0" xfId="1" applyNumberFormat="1" applyFont="1" applyFill="1" applyBorder="1" applyAlignment="1">
      <alignment horizontal="center" vertical="top" wrapText="1"/>
    </xf>
    <xf numFmtId="0" fontId="24" fillId="7" borderId="0" xfId="6" applyFont="1" applyFill="1" applyBorder="1" applyAlignment="1">
      <alignment horizontal="center" vertical="top" wrapText="1"/>
    </xf>
    <xf numFmtId="164" fontId="21" fillId="4" borderId="0" xfId="1" applyNumberFormat="1" applyFont="1" applyFill="1" applyBorder="1" applyAlignment="1">
      <alignment horizontal="center" vertical="top" wrapText="1"/>
    </xf>
    <xf numFmtId="164" fontId="21" fillId="6" borderId="0" xfId="1" applyNumberFormat="1" applyFont="1" applyFill="1" applyBorder="1" applyAlignment="1">
      <alignment horizontal="left" vertical="top" wrapText="1"/>
    </xf>
    <xf numFmtId="164" fontId="21" fillId="6" borderId="0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11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center" vertical="top" wrapText="1"/>
    </xf>
    <xf numFmtId="49" fontId="9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0" fontId="18" fillId="4" borderId="0" xfId="2" applyFont="1" applyFill="1" applyBorder="1" applyAlignment="1">
      <alignment horizontal="center" vertical="center" textRotation="45"/>
    </xf>
    <xf numFmtId="0" fontId="19" fillId="4" borderId="0" xfId="2" applyFont="1" applyFill="1" applyBorder="1" applyAlignment="1">
      <alignment horizontal="center" vertical="center" wrapText="1"/>
    </xf>
    <xf numFmtId="2" fontId="10" fillId="0" borderId="0" xfId="1" applyNumberFormat="1" applyFont="1" applyFill="1" applyBorder="1" applyAlignment="1">
      <alignment horizontal="center" vertical="center" wrapText="1"/>
    </xf>
    <xf numFmtId="2" fontId="12" fillId="0" borderId="0" xfId="2" applyNumberFormat="1" applyFont="1" applyFill="1" applyBorder="1" applyAlignment="1">
      <alignment horizontal="center" vertical="top" wrapText="1"/>
    </xf>
  </cellXfs>
  <cellStyles count="7">
    <cellStyle name="40% - Accent1 2" xfId="3"/>
    <cellStyle name="Accent1 2" xfId="2"/>
    <cellStyle name="Heading 1 2" xfId="4"/>
    <cellStyle name="Lien hypertexte" xfId="5" builtinId="8"/>
    <cellStyle name="Normal" xfId="0" builtinId="0" customBuiltin="1"/>
    <cellStyle name="Normal 2" xfId="1"/>
    <cellStyle name="Texte explicatif" xfId="6" builtinId="53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FDFDFD"/>
      <color rgb="FFEAE8E0"/>
      <color rgb="FFA19574"/>
      <color rgb="FFC17529"/>
      <color rgb="FFEAE8EA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60960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A219"/>
  <sheetViews>
    <sheetView showGridLines="0" showZeros="0" tabSelected="1" zoomScaleNormal="100" workbookViewId="0">
      <pane xSplit="1" ySplit="3" topLeftCell="R112" activePane="bottomRight" state="frozen"/>
      <selection pane="topRight" activeCell="B1" sqref="B1"/>
      <selection pane="bottomLeft" activeCell="A4" sqref="A4"/>
      <selection pane="bottomRight" activeCell="AL119" sqref="AL119"/>
    </sheetView>
  </sheetViews>
  <sheetFormatPr baseColWidth="10" defaultColWidth="6.6328125" defaultRowHeight="13.8" x14ac:dyDescent="0.25"/>
  <cols>
    <col min="1" max="1" width="11.1796875" style="2" customWidth="1"/>
    <col min="2" max="44" width="4.81640625" style="2" customWidth="1"/>
    <col min="45" max="51" width="7.81640625" style="2" customWidth="1"/>
    <col min="52" max="52" width="4.54296875" style="2" customWidth="1"/>
    <col min="53" max="16384" width="6.6328125" style="2"/>
  </cols>
  <sheetData>
    <row r="1" spans="1:53" ht="24.6" x14ac:dyDescent="0.25">
      <c r="A1" s="39">
        <v>2016</v>
      </c>
      <c r="B1" s="34"/>
      <c r="C1" s="20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Z1" s="20"/>
    </row>
    <row r="2" spans="1:53" ht="27.75" customHeight="1" x14ac:dyDescent="0.25">
      <c r="B2" s="40"/>
      <c r="C2" s="35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T2" s="98" t="s">
        <v>96</v>
      </c>
      <c r="AU2" s="98" t="s">
        <v>97</v>
      </c>
      <c r="AV2" s="21"/>
      <c r="AZ2" s="30"/>
    </row>
    <row r="3" spans="1:53" s="6" customFormat="1" x14ac:dyDescent="0.25">
      <c r="A3" s="31"/>
      <c r="B3" s="31"/>
      <c r="D3" s="23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T3" s="98"/>
      <c r="AU3" s="98"/>
      <c r="AZ3" s="19"/>
    </row>
    <row r="4" spans="1:53" s="3" customFormat="1" ht="27.6" x14ac:dyDescent="0.45">
      <c r="A4" s="41"/>
      <c r="B4" s="42" t="s">
        <v>0</v>
      </c>
      <c r="C4" s="42"/>
      <c r="D4" s="42"/>
      <c r="E4" s="42"/>
      <c r="F4" s="42"/>
      <c r="G4" s="95">
        <f>Année_Calendaire</f>
        <v>2016</v>
      </c>
      <c r="H4" s="95"/>
      <c r="I4" s="66"/>
      <c r="J4" s="43"/>
      <c r="K4" s="43"/>
      <c r="L4" s="43"/>
      <c r="M4" s="43"/>
      <c r="N4" s="43"/>
      <c r="O4" s="43"/>
      <c r="P4" s="43"/>
      <c r="Q4" s="66"/>
      <c r="R4" s="42" t="s">
        <v>0</v>
      </c>
      <c r="S4" s="42"/>
      <c r="T4" s="42"/>
      <c r="U4" s="42"/>
      <c r="V4" s="42"/>
      <c r="W4" s="95">
        <f>Année_Calendaire</f>
        <v>2016</v>
      </c>
      <c r="X4" s="95"/>
      <c r="Y4" s="66"/>
      <c r="Z4" s="43"/>
      <c r="AA4" s="43"/>
      <c r="AB4" s="43"/>
      <c r="AC4" s="43"/>
      <c r="AD4" s="43"/>
      <c r="AE4" s="43"/>
      <c r="AF4" s="43"/>
      <c r="AG4" s="66"/>
      <c r="AH4" s="42" t="s">
        <v>0</v>
      </c>
      <c r="AI4" s="42"/>
      <c r="AJ4" s="42"/>
      <c r="AK4" s="42"/>
      <c r="AL4" s="42"/>
      <c r="AM4" s="95">
        <f>Année_Calendaire</f>
        <v>2016</v>
      </c>
      <c r="AN4" s="95"/>
      <c r="AO4" s="66"/>
      <c r="AP4" s="43"/>
      <c r="AQ4" s="43"/>
      <c r="AR4" s="66"/>
      <c r="AS4" s="40"/>
      <c r="AT4" s="40"/>
      <c r="AU4" s="40"/>
      <c r="AV4" s="40"/>
      <c r="AW4" s="40"/>
      <c r="AX4" s="96"/>
      <c r="AY4" s="96"/>
      <c r="AZ4" s="72"/>
    </row>
    <row r="5" spans="1:53" s="44" customFormat="1" ht="29.25" customHeight="1" x14ac:dyDescent="0.25">
      <c r="A5" s="63"/>
      <c r="B5" s="78" t="s">
        <v>64</v>
      </c>
      <c r="C5" s="78" t="s">
        <v>65</v>
      </c>
      <c r="D5" s="78" t="s">
        <v>66</v>
      </c>
      <c r="E5" s="78" t="s">
        <v>67</v>
      </c>
      <c r="F5" s="78" t="s">
        <v>68</v>
      </c>
      <c r="G5" s="78" t="s">
        <v>69</v>
      </c>
      <c r="H5" s="78" t="s">
        <v>70</v>
      </c>
      <c r="I5" s="97" t="s">
        <v>83</v>
      </c>
      <c r="J5" s="78" t="s">
        <v>64</v>
      </c>
      <c r="K5" s="78" t="s">
        <v>65</v>
      </c>
      <c r="L5" s="78" t="s">
        <v>66</v>
      </c>
      <c r="M5" s="78" t="s">
        <v>67</v>
      </c>
      <c r="N5" s="78" t="s">
        <v>68</v>
      </c>
      <c r="O5" s="78" t="s">
        <v>69</v>
      </c>
      <c r="P5" s="78" t="s">
        <v>70</v>
      </c>
      <c r="Q5" s="97" t="s">
        <v>83</v>
      </c>
      <c r="R5" s="78" t="s">
        <v>64</v>
      </c>
      <c r="S5" s="78" t="s">
        <v>65</v>
      </c>
      <c r="T5" s="78" t="s">
        <v>66</v>
      </c>
      <c r="U5" s="78" t="s">
        <v>67</v>
      </c>
      <c r="V5" s="78" t="s">
        <v>68</v>
      </c>
      <c r="W5" s="78" t="s">
        <v>69</v>
      </c>
      <c r="X5" s="78" t="s">
        <v>70</v>
      </c>
      <c r="Y5" s="97" t="s">
        <v>83</v>
      </c>
      <c r="Z5" s="78" t="s">
        <v>64</v>
      </c>
      <c r="AA5" s="78" t="s">
        <v>65</v>
      </c>
      <c r="AB5" s="78" t="s">
        <v>66</v>
      </c>
      <c r="AC5" s="78" t="s">
        <v>67</v>
      </c>
      <c r="AD5" s="78" t="s">
        <v>68</v>
      </c>
      <c r="AE5" s="78" t="s">
        <v>69</v>
      </c>
      <c r="AF5" s="78" t="s">
        <v>70</v>
      </c>
      <c r="AG5" s="97" t="s">
        <v>83</v>
      </c>
      <c r="AH5" s="78" t="s">
        <v>64</v>
      </c>
      <c r="AI5" s="78" t="s">
        <v>65</v>
      </c>
      <c r="AJ5" s="78" t="s">
        <v>66</v>
      </c>
      <c r="AK5" s="78" t="s">
        <v>67</v>
      </c>
      <c r="AL5" s="78" t="s">
        <v>68</v>
      </c>
      <c r="AM5" s="78" t="s">
        <v>69</v>
      </c>
      <c r="AN5" s="78" t="s">
        <v>70</v>
      </c>
      <c r="AO5" s="97" t="s">
        <v>83</v>
      </c>
      <c r="AP5" s="78" t="s">
        <v>64</v>
      </c>
      <c r="AQ5" s="78" t="s">
        <v>65</v>
      </c>
      <c r="AR5" s="97" t="s">
        <v>83</v>
      </c>
      <c r="AS5" s="97" t="s">
        <v>86</v>
      </c>
      <c r="AT5" s="98">
        <f>AS12+AS13+AS14</f>
        <v>2</v>
      </c>
      <c r="AU5" s="98">
        <f>AT5</f>
        <v>2</v>
      </c>
      <c r="AV5" s="67"/>
      <c r="AW5" s="67"/>
      <c r="AX5" s="67"/>
      <c r="AY5" s="67"/>
      <c r="AZ5" s="60"/>
    </row>
    <row r="6" spans="1:53" s="46" customFormat="1" ht="15" customHeight="1" x14ac:dyDescent="0.25">
      <c r="A6" s="24"/>
      <c r="B6" s="77" t="str">
        <f>IF(DAY(Jan_Dim1)=1,"",IF(AND(YEAR(Jan_Dim1+1)=Année_Calendaire,MONTH(Jan_Dim1+1)=1),Jan_Dim1+1,""))</f>
        <v/>
      </c>
      <c r="C6" s="77" t="str">
        <f>IF(DAY(Jan_Dim1)=1,"",IF(AND(YEAR(Jan_Dim1+2)=Année_Calendaire,MONTH(Jan_Dim1+2)=1),Jan_Dim1+2,""))</f>
        <v/>
      </c>
      <c r="D6" s="77" t="str">
        <f>IF(DAY(Jan_Dim1)=1,"",IF(AND(YEAR(Jan_Dim1+3)=Année_Calendaire,MONTH(Jan_Dim1+3)=1),Jan_Dim1+3,""))</f>
        <v/>
      </c>
      <c r="E6" s="77" t="str">
        <f>IF(DAY(Jan_Dim1)=1,"",IF(AND(YEAR(Jan_Dim1+4)=Année_Calendaire,MONTH(Jan_Dim1+4)=1),Jan_Dim1+4,""))</f>
        <v/>
      </c>
      <c r="F6" s="77">
        <f>IF(DAY(Jan_Dim1)=1,"",IF(AND(YEAR(Jan_Dim1+5)=Année_Calendaire,MONTH(Jan_Dim1+5)=1),Jan_Dim1+5,""))</f>
        <v>42370</v>
      </c>
      <c r="G6" s="77">
        <f>IF(DAY(Jan_Dim1)=1,"",IF(AND(YEAR(Jan_Dim1+6)=Année_Calendaire,MONTH(Jan_Dim1+6)=1),Jan_Dim1+6,""))</f>
        <v>42371</v>
      </c>
      <c r="H6" s="77">
        <f>IF(DAY(Jan_Dim1)=1,IF(AND(YEAR(Jan_Dim1)=Année_Calendaire,MONTH(Jan_Dim1)=1),Jan_Dim1,""),IF(AND(YEAR(Jan_Dim1+7)=Année_Calendaire,MONTH(Jan_Dim1+7)=1),Jan_Dim1+7,""))</f>
        <v>42372</v>
      </c>
      <c r="I6" s="97"/>
      <c r="J6" s="77">
        <f>IF(DAY(Jan_Dim1)=1,IF(AND(YEAR(Jan_Dim1+1)=Année_Calendaire,MONTH(Jan_Dim1+1)=1),Jan_Dim1+1,""),IF(AND(YEAR(Jan_Dim1+8)=Année_Calendaire,MONTH(Jan_Dim1+8)=1),Jan_Dim1+8,""))</f>
        <v>42373</v>
      </c>
      <c r="K6" s="77">
        <f>IF(DAY(Jan_Dim1)=1,IF(AND(YEAR(Jan_Dim1+2)=Année_Calendaire,MONTH(Jan_Dim1+2)=1),Jan_Dim1+2,""),IF(AND(YEAR(Jan_Dim1+9)=Année_Calendaire,MONTH(Jan_Dim1+9)=1),Jan_Dim1+9,""))</f>
        <v>42374</v>
      </c>
      <c r="L6" s="77">
        <f>IF(DAY(Jan_Dim1)=1,IF(AND(YEAR(Jan_Dim1+3)=Année_Calendaire,MONTH(Jan_Dim1+3)=1),Jan_Dim1+3,""),IF(AND(YEAR(Jan_Dim1+10)=Année_Calendaire,MONTH(Jan_Dim1+10)=1),Jan_Dim1+10,""))</f>
        <v>42375</v>
      </c>
      <c r="M6" s="77">
        <f>IF(DAY(Jan_Dim1)=1,IF(AND(YEAR(Jan_Dim1+4)=Année_Calendaire,MONTH(Jan_Dim1+4)=1),Jan_Dim1+4,""),IF(AND(YEAR(Jan_Dim1+11)=Année_Calendaire,MONTH(Jan_Dim1+11)=1),Jan_Dim1+11,""))</f>
        <v>42376</v>
      </c>
      <c r="N6" s="77">
        <f>IF(DAY(Jan_Dim1)=1,IF(AND(YEAR(Jan_Dim1+5)=Année_Calendaire,MONTH(Jan_Dim1+5)=1),Jan_Dim1+5,""),IF(AND(YEAR(Jan_Dim1+12)=Année_Calendaire,MONTH(Jan_Dim1+12)=1),Jan_Dim1+12,""))</f>
        <v>42377</v>
      </c>
      <c r="O6" s="77">
        <f>IF(DAY(Jan_Dim1)=1,IF(AND(YEAR(Jan_Dim1+6)=Année_Calendaire,MONTH(Jan_Dim1+6)=1),Jan_Dim1+6,""),IF(AND(YEAR(Jan_Dim1+13)=Année_Calendaire,MONTH(Jan_Dim1+13)=1),Jan_Dim1+13,""))</f>
        <v>42378</v>
      </c>
      <c r="P6" s="77">
        <f>IF(DAY(Jan_Dim1)=1,IF(AND(YEAR(Jan_Dim1+7)=Année_Calendaire,MONTH(Jan_Dim1+7)=1),Jan_Dim1+7,""),IF(AND(YEAR(Jan_Dim1+14)=Année_Calendaire,MONTH(Jan_Dim1+14)=1),Jan_Dim1+14,""))</f>
        <v>42379</v>
      </c>
      <c r="Q6" s="97"/>
      <c r="R6" s="77">
        <f>IF(DAY(Jan_Dim1)=1,IF(AND(YEAR(Jan_Dim1+8)=Année_Calendaire,MONTH(Jan_Dim1+8)=1),Jan_Dim1+8,""),IF(AND(YEAR(Jan_Dim1+15)=Année_Calendaire,MONTH(Jan_Dim1+15)=1),Jan_Dim1+15,""))</f>
        <v>42380</v>
      </c>
      <c r="S6" s="77">
        <f>IF(DAY(Jan_Dim1)=1,IF(AND(YEAR(Jan_Dim1+9)=Année_Calendaire,MONTH(Jan_Dim1+9)=1),Jan_Dim1+9,""),IF(AND(YEAR(Jan_Dim1+16)=Année_Calendaire,MONTH(Jan_Dim1+16)=1),Jan_Dim1+16,""))</f>
        <v>42381</v>
      </c>
      <c r="T6" s="77">
        <f>IF(DAY(Jan_Dim1)=1,IF(AND(YEAR(Jan_Dim1+10)=Année_Calendaire,MONTH(Jan_Dim1+10)=1),Jan_Dim1+10,""),IF(AND(YEAR(Jan_Dim1+17)=Année_Calendaire,MONTH(Jan_Dim1+17)=1),Jan_Dim1+17,""))</f>
        <v>42382</v>
      </c>
      <c r="U6" s="77">
        <f>IF(DAY(Jan_Dim1)=1,IF(AND(YEAR(Jan_Dim1+11)=Année_Calendaire,MONTH(Jan_Dim1+11)=1),Jan_Dim1+11,""),IF(AND(YEAR(Jan_Dim1+18)=Année_Calendaire,MONTH(Jan_Dim1+18)=1),Jan_Dim1+18,""))</f>
        <v>42383</v>
      </c>
      <c r="V6" s="77">
        <f>IF(DAY(Jan_Dim1)=1,IF(AND(YEAR(Jan_Dim1+12)=Année_Calendaire,MONTH(Jan_Dim1+12)=1),Jan_Dim1+12,""),IF(AND(YEAR(Jan_Dim1+19)=Année_Calendaire,MONTH(Jan_Dim1+19)=1),Jan_Dim1+19,""))</f>
        <v>42384</v>
      </c>
      <c r="W6" s="77">
        <f>IF(DAY(Jan_Dim1)=1,IF(AND(YEAR(Jan_Dim1+13)=Année_Calendaire,MONTH(Jan_Dim1+13)=1),Jan_Dim1+13,""),IF(AND(YEAR(Jan_Dim1+20)=Année_Calendaire,MONTH(Jan_Dim1+20)=1),Jan_Dim1+20,""))</f>
        <v>42385</v>
      </c>
      <c r="X6" s="77">
        <f>IF(DAY(Jan_Dim1)=1,IF(AND(YEAR(Jan_Dim1+14)=Année_Calendaire,MONTH(Jan_Dim1+14)=1),Jan_Dim1+14,""),IF(AND(YEAR(Jan_Dim1+21)=Année_Calendaire,MONTH(Jan_Dim1+21)=1),Jan_Dim1+21,""))</f>
        <v>42386</v>
      </c>
      <c r="Y6" s="97"/>
      <c r="Z6" s="77">
        <f>IF(DAY(Jan_Dim1)=1,IF(AND(YEAR(Jan_Dim1+15)=Année_Calendaire,MONTH(Jan_Dim1+15)=1),Jan_Dim1+15,""),IF(AND(YEAR(Jan_Dim1+22)=Année_Calendaire,MONTH(Jan_Dim1+22)=1),Jan_Dim1+22,""))</f>
        <v>42387</v>
      </c>
      <c r="AA6" s="77">
        <f>IF(DAY(Jan_Dim1)=1,IF(AND(YEAR(Jan_Dim1+16)=Année_Calendaire,MONTH(Jan_Dim1+16)=1),Jan_Dim1+16,""),IF(AND(YEAR(Jan_Dim1+23)=Année_Calendaire,MONTH(Jan_Dim1+23)=1),Jan_Dim1+23,""))</f>
        <v>42388</v>
      </c>
      <c r="AB6" s="77">
        <f>IF(DAY(Jan_Dim1)=1,IF(AND(YEAR(Jan_Dim1+17)=Année_Calendaire,MONTH(Jan_Dim1+17)=1),Jan_Dim1+17,""),IF(AND(YEAR(Jan_Dim1+24)=Année_Calendaire,MONTH(Jan_Dim1+24)=1),Jan_Dim1+24,""))</f>
        <v>42389</v>
      </c>
      <c r="AC6" s="77">
        <f>IF(DAY(Jan_Dim1)=1,IF(AND(YEAR(Jan_Dim1+18)=Année_Calendaire,MONTH(Jan_Dim1+18)=1),Jan_Dim1+18,""),IF(AND(YEAR(Jan_Dim1+25)=Année_Calendaire,MONTH(Jan_Dim1+25)=1),Jan_Dim1+25,""))</f>
        <v>42390</v>
      </c>
      <c r="AD6" s="77">
        <f>IF(DAY(Jan_Dim1)=1,IF(AND(YEAR(Jan_Dim1+19)=Année_Calendaire,MONTH(Jan_Dim1+19)=1),Jan_Dim1+19,""),IF(AND(YEAR(Jan_Dim1+26)=Année_Calendaire,MONTH(Jan_Dim1+26)=1),Jan_Dim1+26,""))</f>
        <v>42391</v>
      </c>
      <c r="AE6" s="77">
        <f>IF(DAY(Jan_Dim1)=1,IF(AND(YEAR(Jan_Dim1+20)=Année_Calendaire,MONTH(Jan_Dim1+20)=1),Jan_Dim1+20,""),IF(AND(YEAR(Jan_Dim1+27)=Année_Calendaire,MONTH(Jan_Dim1+27)=1),Jan_Dim1+27,""))</f>
        <v>42392</v>
      </c>
      <c r="AF6" s="77">
        <f>IF(DAY(Jan_Dim1)=1,IF(AND(YEAR(Jan_Dim1+21)=Année_Calendaire,MONTH(Jan_Dim1+21)=1),Jan_Dim1+21,""),IF(AND(YEAR(Jan_Dim1+28)=Année_Calendaire,MONTH(Jan_Dim1+28)=1),Jan_Dim1+28,""))</f>
        <v>42393</v>
      </c>
      <c r="AG6" s="97"/>
      <c r="AH6" s="77">
        <f>IF(DAY(Jan_Dim1)=1,IF(AND(YEAR(Jan_Dim1+22)=Année_Calendaire,MONTH(Jan_Dim1+22)=1),Jan_Dim1+22,""),IF(AND(YEAR(Jan_Dim1+29)=Année_Calendaire,MONTH(Jan_Dim1+29)=1),Jan_Dim1+29,""))</f>
        <v>42394</v>
      </c>
      <c r="AI6" s="77">
        <f>IF(DAY(Jan_Dim1)=1,IF(AND(YEAR(Jan_Dim1+23)=Année_Calendaire,MONTH(Jan_Dim1+23)=1),Jan_Dim1+23,""),IF(AND(YEAR(Jan_Dim1+30)=Année_Calendaire,MONTH(Jan_Dim1+30)=1),Jan_Dim1+30,""))</f>
        <v>42395</v>
      </c>
      <c r="AJ6" s="77">
        <f>IF(DAY(Jan_Dim1)=1,IF(AND(YEAR(Jan_Dim1+24)=Année_Calendaire,MONTH(Jan_Dim1+24)=1),Jan_Dim1+24,""),IF(AND(YEAR(Jan_Dim1+31)=Année_Calendaire,MONTH(Jan_Dim1+31)=1),Jan_Dim1+31,""))</f>
        <v>42396</v>
      </c>
      <c r="AK6" s="77">
        <f>IF(DAY(Jan_Dim1)=1,IF(AND(YEAR(Jan_Dim1+25)=Année_Calendaire,MONTH(Jan_Dim1+25)=1),Jan_Dim1+25,""),IF(AND(YEAR(Jan_Dim1+32)=Année_Calendaire,MONTH(Jan_Dim1+32)=1),Jan_Dim1+32,""))</f>
        <v>42397</v>
      </c>
      <c r="AL6" s="77">
        <f>IF(DAY(Jan_Dim1)=1,IF(AND(YEAR(Jan_Dim1+26)=Année_Calendaire,MONTH(Jan_Dim1+26)=1),Jan_Dim1+26,""),IF(AND(YEAR(Jan_Dim1+33)=Année_Calendaire,MONTH(Jan_Dim1+33)=1),Jan_Dim1+33,""))</f>
        <v>42398</v>
      </c>
      <c r="AM6" s="77">
        <f>IF(DAY(Jan_Dim1)=1,IF(AND(YEAR(Jan_Dim1+27)=Année_Calendaire,MONTH(Jan_Dim1+27)=1),Jan_Dim1+27,""),IF(AND(YEAR(Jan_Dim1+34)=Année_Calendaire,MONTH(Jan_Dim1+34)=1),Jan_Dim1+34,""))</f>
        <v>42399</v>
      </c>
      <c r="AN6" s="77">
        <f>IF(DAY(Jan_Dim1)=1,IF(AND(YEAR(Jan_Dim1+28)=Année_Calendaire,MONTH(Jan_Dim1+28)=1),Jan_Dim1+28,""),IF(AND(YEAR(Jan_Dim1+35)=Année_Calendaire,MONTH(Jan_Dim1+35)=1),Jan_Dim1+35,""))</f>
        <v>42400</v>
      </c>
      <c r="AO6" s="97"/>
      <c r="AP6" s="77" t="str">
        <f>IF(DAY(Jan_Dim1)=1,IF(AND(YEAR(Jan_Dim1+29)=Année_Calendaire,MONTH(Jan_Dim1+29)=1),Jan_Dim1+29,""),IF(AND(YEAR(Jan_Dim1+36)=Année_Calendaire,MONTH(Jan_Dim1+36)=1),Jan_Dim1+36,""))</f>
        <v/>
      </c>
      <c r="AQ6" s="77" t="str">
        <f>IF(DAY(Jan_Dim1)=1,IF(AND(YEAR(Jan_Dim1+30)=Année_Calendaire,MONTH(Jan_Dim1+30)=1),Jan_Dim1+30,""),IF(AND(YEAR(Jan_Dim1+37)=Année_Calendaire,MONTH(Jan_Dim1+37)=1),Jan_Dim1+37,""))</f>
        <v/>
      </c>
      <c r="AR6" s="97"/>
      <c r="AS6" s="97"/>
      <c r="AT6" s="98"/>
      <c r="AU6" s="98"/>
      <c r="AV6" s="56"/>
      <c r="AW6" s="56"/>
      <c r="AX6" s="56"/>
      <c r="AY6" s="56"/>
      <c r="AZ6" s="45"/>
    </row>
    <row r="7" spans="1:53" s="49" customFormat="1" ht="15" customHeight="1" x14ac:dyDescent="0.25">
      <c r="A7" s="37" t="s">
        <v>2</v>
      </c>
      <c r="B7" s="47"/>
      <c r="C7" s="47"/>
      <c r="D7" s="47"/>
      <c r="E7" s="47"/>
      <c r="F7" s="47"/>
      <c r="G7" s="47"/>
      <c r="H7" s="47"/>
      <c r="I7" s="76"/>
      <c r="J7" s="47" t="s">
        <v>106</v>
      </c>
      <c r="K7" s="47" t="s">
        <v>106</v>
      </c>
      <c r="L7" s="47" t="s">
        <v>106</v>
      </c>
      <c r="M7" s="47" t="s">
        <v>106</v>
      </c>
      <c r="N7" s="47" t="s">
        <v>106</v>
      </c>
      <c r="O7" s="47"/>
      <c r="P7" s="47"/>
      <c r="Q7" s="76"/>
      <c r="R7" s="47" t="s">
        <v>107</v>
      </c>
      <c r="S7" s="47" t="s">
        <v>107</v>
      </c>
      <c r="T7" s="47" t="s">
        <v>107</v>
      </c>
      <c r="U7" s="47"/>
      <c r="V7" s="47"/>
      <c r="W7" s="47"/>
      <c r="X7" s="47"/>
      <c r="Y7" s="76"/>
      <c r="Z7" s="47" t="s">
        <v>108</v>
      </c>
      <c r="AA7" s="47" t="s">
        <v>108</v>
      </c>
      <c r="AB7" s="47" t="s">
        <v>108</v>
      </c>
      <c r="AC7" s="47" t="s">
        <v>108</v>
      </c>
      <c r="AD7" s="47" t="s">
        <v>108</v>
      </c>
      <c r="AE7" s="47"/>
      <c r="AF7" s="47"/>
      <c r="AG7" s="76"/>
      <c r="AH7" s="47" t="s">
        <v>107</v>
      </c>
      <c r="AI7" s="47" t="s">
        <v>107</v>
      </c>
      <c r="AJ7" s="47" t="s">
        <v>107</v>
      </c>
      <c r="AK7" s="47" t="s">
        <v>107</v>
      </c>
      <c r="AL7" s="47"/>
      <c r="AM7" s="47"/>
      <c r="AN7" s="47"/>
      <c r="AO7" s="76"/>
      <c r="AP7" s="47"/>
      <c r="AQ7" s="47"/>
      <c r="AR7" s="76"/>
      <c r="AS7" s="79"/>
      <c r="AT7" s="68"/>
      <c r="AU7" s="68"/>
      <c r="AV7" s="68"/>
      <c r="AW7" s="68"/>
      <c r="AX7" s="68"/>
      <c r="AY7" s="68"/>
      <c r="AZ7" s="48"/>
    </row>
    <row r="8" spans="1:53" s="49" customFormat="1" ht="15" customHeight="1" x14ac:dyDescent="0.25">
      <c r="A8" s="37" t="s">
        <v>63</v>
      </c>
      <c r="B8" s="76">
        <f>IF(B7="Matin",1,IF(B7="AM",1,0))</f>
        <v>0</v>
      </c>
      <c r="C8" s="76">
        <f t="shared" ref="C8" si="0">IF(C7="Matin",1,IF(C7="AM",1,0))</f>
        <v>0</v>
      </c>
      <c r="D8" s="76">
        <f t="shared" ref="D8" si="1">IF(D7="Matin",1,IF(D7="AM",1,0))</f>
        <v>0</v>
      </c>
      <c r="E8" s="76">
        <f t="shared" ref="E8" si="2">IF(E7="Matin",1,IF(E7="AM",1,0))</f>
        <v>0</v>
      </c>
      <c r="F8" s="76">
        <f t="shared" ref="F8" si="3">IF(F7="Matin",1,IF(F7="AM",1,0))</f>
        <v>0</v>
      </c>
      <c r="G8" s="76">
        <f t="shared" ref="G8" si="4">IF(G7="Matin",1,IF(G7="AM",1,0))</f>
        <v>0</v>
      </c>
      <c r="H8" s="76">
        <f t="shared" ref="H8" si="5">IF(H7="Matin",1,IF(H7="AM",1,0))</f>
        <v>0</v>
      </c>
      <c r="I8" s="76">
        <f>SUM(B8:H8)</f>
        <v>0</v>
      </c>
      <c r="J8" s="76">
        <f t="shared" ref="J8" si="6">IF(J7="Matin",1,IF(J7="AM",1,0))</f>
        <v>1</v>
      </c>
      <c r="K8" s="76">
        <f t="shared" ref="K8" si="7">IF(K7="Matin",1,IF(K7="AM",1,0))</f>
        <v>1</v>
      </c>
      <c r="L8" s="76">
        <f t="shared" ref="L8" si="8">IF(L7="Matin",1,IF(L7="AM",1,0))</f>
        <v>1</v>
      </c>
      <c r="M8" s="76">
        <f t="shared" ref="M8" si="9">IF(M7="Matin",1,IF(M7="AM",1,0))</f>
        <v>1</v>
      </c>
      <c r="N8" s="76">
        <f t="shared" ref="N8" si="10">IF(N7="Matin",1,IF(N7="AM",1,0))</f>
        <v>1</v>
      </c>
      <c r="O8" s="76">
        <f t="shared" ref="O8" si="11">IF(O7="Matin",1,IF(O7="AM",1,0))</f>
        <v>0</v>
      </c>
      <c r="P8" s="76">
        <f t="shared" ref="P8" si="12">IF(P7="Matin",1,IF(P7="AM",1,0))</f>
        <v>0</v>
      </c>
      <c r="Q8" s="76">
        <f>SUM(J8:P8)</f>
        <v>5</v>
      </c>
      <c r="R8" s="76">
        <f t="shared" ref="R8" si="13">IF(R7="Matin",1,IF(R7="AM",1,0))</f>
        <v>1</v>
      </c>
      <c r="S8" s="76">
        <f t="shared" ref="S8" si="14">IF(S7="Matin",1,IF(S7="AM",1,0))</f>
        <v>1</v>
      </c>
      <c r="T8" s="76">
        <f t="shared" ref="T8" si="15">IF(T7="Matin",1,IF(T7="AM",1,0))</f>
        <v>1</v>
      </c>
      <c r="U8" s="76">
        <f t="shared" ref="U8" si="16">IF(U7="Matin",1,IF(U7="AM",1,0))</f>
        <v>0</v>
      </c>
      <c r="V8" s="76">
        <f t="shared" ref="V8" si="17">IF(V7="Matin",1,IF(V7="AM",1,0))</f>
        <v>0</v>
      </c>
      <c r="W8" s="76">
        <f t="shared" ref="W8" si="18">IF(W7="Matin",1,IF(W7="AM",1,0))</f>
        <v>0</v>
      </c>
      <c r="X8" s="76">
        <f t="shared" ref="X8" si="19">IF(X7="Matin",1,IF(X7="AM",1,0))</f>
        <v>0</v>
      </c>
      <c r="Y8" s="76">
        <f>SUM(R8:X8)</f>
        <v>3</v>
      </c>
      <c r="Z8" s="76">
        <f t="shared" ref="Z8" si="20">IF(Z7="Matin",1,IF(Z7="AM",1,0))</f>
        <v>0</v>
      </c>
      <c r="AA8" s="76">
        <f t="shared" ref="AA8" si="21">IF(AA7="Matin",1,IF(AA7="AM",1,0))</f>
        <v>0</v>
      </c>
      <c r="AB8" s="76">
        <f t="shared" ref="AB8" si="22">IF(AB7="Matin",1,IF(AB7="AM",1,0))</f>
        <v>0</v>
      </c>
      <c r="AC8" s="76">
        <f t="shared" ref="AC8" si="23">IF(AC7="Matin",1,IF(AC7="AM",1,0))</f>
        <v>0</v>
      </c>
      <c r="AD8" s="76">
        <f t="shared" ref="AD8" si="24">IF(AD7="Matin",1,IF(AD7="AM",1,0))</f>
        <v>0</v>
      </c>
      <c r="AE8" s="76">
        <f t="shared" ref="AE8" si="25">IF(AE7="Matin",1,IF(AE7="AM",1,0))</f>
        <v>0</v>
      </c>
      <c r="AF8" s="76">
        <f t="shared" ref="AF8" si="26">IF(AF7="Matin",1,IF(AF7="AM",1,0))</f>
        <v>0</v>
      </c>
      <c r="AG8" s="76">
        <f>SUM(Z8:AF8)</f>
        <v>0</v>
      </c>
      <c r="AH8" s="76">
        <f t="shared" ref="AH8" si="27">IF(AH7="Matin",1,IF(AH7="AM",1,0))</f>
        <v>1</v>
      </c>
      <c r="AI8" s="76">
        <f t="shared" ref="AI8" si="28">IF(AI7="Matin",1,IF(AI7="AM",1,0))</f>
        <v>1</v>
      </c>
      <c r="AJ8" s="76">
        <f t="shared" ref="AJ8" si="29">IF(AJ7="Matin",1,IF(AJ7="AM",1,0))</f>
        <v>1</v>
      </c>
      <c r="AK8" s="76">
        <f t="shared" ref="AK8" si="30">IF(AK7="Matin",1,IF(AK7="AM",1,0))</f>
        <v>1</v>
      </c>
      <c r="AL8" s="76">
        <f t="shared" ref="AL8" si="31">IF(AL7="Matin",1,IF(AL7="AM",1,0))</f>
        <v>0</v>
      </c>
      <c r="AM8" s="76">
        <f t="shared" ref="AM8" si="32">IF(AM7="Matin",1,IF(AM7="AM",1,0))</f>
        <v>0</v>
      </c>
      <c r="AN8" s="76">
        <f t="shared" ref="AN8" si="33">IF(AN7="Matin",1,IF(AN7="AM",1,0))</f>
        <v>0</v>
      </c>
      <c r="AO8" s="76">
        <f>SUM(AH8:AN8)</f>
        <v>4</v>
      </c>
      <c r="AP8" s="76">
        <f t="shared" ref="AP8" si="34">IF(AP7="Matin",1,IF(AP7="AM",1,0))</f>
        <v>0</v>
      </c>
      <c r="AQ8" s="76">
        <f t="shared" ref="AQ8" si="35">IF(AQ7="Matin",1,IF(AQ7="AM",1,0))</f>
        <v>0</v>
      </c>
      <c r="AR8" s="76">
        <f t="shared" ref="AR8:AR15" si="36">SUM(AP8:AQ8)</f>
        <v>0</v>
      </c>
      <c r="AS8" s="76">
        <f>I8+Q8+Y8+AG8+AO8+AR8</f>
        <v>12</v>
      </c>
      <c r="AT8" s="47"/>
      <c r="AU8" s="47"/>
      <c r="AV8" s="47"/>
      <c r="AW8" s="47"/>
      <c r="AX8" s="47"/>
      <c r="AY8" s="47"/>
      <c r="AZ8" s="47"/>
      <c r="BA8" s="50"/>
    </row>
    <row r="9" spans="1:53" s="49" customFormat="1" ht="15" customHeight="1" x14ac:dyDescent="0.25">
      <c r="A9" s="37" t="s">
        <v>4</v>
      </c>
      <c r="B9" s="76">
        <f>IF(B10&gt;=1,1,0)</f>
        <v>0</v>
      </c>
      <c r="C9" s="76">
        <f>IF(C10&gt;=1,1,0)</f>
        <v>0</v>
      </c>
      <c r="D9" s="76">
        <f t="shared" ref="D9:H9" si="37">IF(D10&gt;=1,1,0)</f>
        <v>0</v>
      </c>
      <c r="E9" s="76">
        <f t="shared" si="37"/>
        <v>0</v>
      </c>
      <c r="F9" s="76">
        <f t="shared" si="37"/>
        <v>0</v>
      </c>
      <c r="G9" s="76">
        <f t="shared" si="37"/>
        <v>0</v>
      </c>
      <c r="H9" s="76">
        <f t="shared" si="37"/>
        <v>0</v>
      </c>
      <c r="I9" s="76">
        <f t="shared" ref="I9:I19" si="38">SUM(B9:H9)</f>
        <v>0</v>
      </c>
      <c r="J9" s="76">
        <f>IF(J10&gt;=1,1,0)</f>
        <v>1</v>
      </c>
      <c r="K9" s="76">
        <f t="shared" ref="K9" si="39">IF(K10&gt;=1,1,0)</f>
        <v>1</v>
      </c>
      <c r="L9" s="76">
        <f t="shared" ref="L9" si="40">IF(L10&gt;=1,1,0)</f>
        <v>1</v>
      </c>
      <c r="M9" s="76">
        <f t="shared" ref="M9" si="41">IF(M10&gt;=1,1,0)</f>
        <v>1</v>
      </c>
      <c r="N9" s="76">
        <f t="shared" ref="N9" si="42">IF(N10&gt;=1,1,0)</f>
        <v>1</v>
      </c>
      <c r="O9" s="76">
        <f t="shared" ref="O9" si="43">IF(O10&gt;=1,1,0)</f>
        <v>0</v>
      </c>
      <c r="P9" s="76">
        <f t="shared" ref="P9" si="44">IF(P10&gt;=1,1,0)</f>
        <v>0</v>
      </c>
      <c r="Q9" s="76">
        <f t="shared" ref="Q9:Q19" si="45">SUM(J9:P9)</f>
        <v>5</v>
      </c>
      <c r="R9" s="76">
        <f>IF(R10&gt;=1,1,0)</f>
        <v>1</v>
      </c>
      <c r="S9" s="76">
        <f t="shared" ref="S9" si="46">IF(S10&gt;=1,1,0)</f>
        <v>1</v>
      </c>
      <c r="T9" s="76">
        <f t="shared" ref="T9" si="47">IF(T10&gt;=1,1,0)</f>
        <v>1</v>
      </c>
      <c r="U9" s="76">
        <f t="shared" ref="U9" si="48">IF(U10&gt;=1,1,0)</f>
        <v>0</v>
      </c>
      <c r="V9" s="76">
        <f t="shared" ref="V9" si="49">IF(V10&gt;=1,1,0)</f>
        <v>0</v>
      </c>
      <c r="W9" s="76">
        <f t="shared" ref="W9" si="50">IF(W10&gt;=1,1,0)</f>
        <v>0</v>
      </c>
      <c r="X9" s="76">
        <f t="shared" ref="X9" si="51">IF(X10&gt;=1,1,0)</f>
        <v>0</v>
      </c>
      <c r="Y9" s="76">
        <f t="shared" ref="Y9:Y19" si="52">SUM(R9:X9)</f>
        <v>3</v>
      </c>
      <c r="Z9" s="76">
        <f>IF(Z10&gt;=1,1,0)</f>
        <v>1</v>
      </c>
      <c r="AA9" s="76">
        <f t="shared" ref="AA9" si="53">IF(AA10&gt;=1,1,0)</f>
        <v>1</v>
      </c>
      <c r="AB9" s="76">
        <f t="shared" ref="AB9" si="54">IF(AB10&gt;=1,1,0)</f>
        <v>1</v>
      </c>
      <c r="AC9" s="76">
        <f t="shared" ref="AC9" si="55">IF(AC10&gt;=1,1,0)</f>
        <v>1</v>
      </c>
      <c r="AD9" s="76">
        <f t="shared" ref="AD9" si="56">IF(AD10&gt;=1,1,0)</f>
        <v>1</v>
      </c>
      <c r="AE9" s="76">
        <f t="shared" ref="AE9" si="57">IF(AE10&gt;=1,1,0)</f>
        <v>0</v>
      </c>
      <c r="AF9" s="76">
        <f t="shared" ref="AF9" si="58">IF(AF10&gt;=1,1,0)</f>
        <v>0</v>
      </c>
      <c r="AG9" s="76">
        <f t="shared" ref="AG9:AG19" si="59">SUM(Z9:AF9)</f>
        <v>5</v>
      </c>
      <c r="AH9" s="76">
        <f>IF(AH10&gt;=1,1,0)</f>
        <v>1</v>
      </c>
      <c r="AI9" s="76">
        <f t="shared" ref="AI9" si="60">IF(AI10&gt;=1,1,0)</f>
        <v>1</v>
      </c>
      <c r="AJ9" s="76">
        <f t="shared" ref="AJ9" si="61">IF(AJ10&gt;=1,1,0)</f>
        <v>1</v>
      </c>
      <c r="AK9" s="76">
        <f t="shared" ref="AK9" si="62">IF(AK10&gt;=1,1,0)</f>
        <v>1</v>
      </c>
      <c r="AL9" s="76">
        <f t="shared" ref="AL9" si="63">IF(AL10&gt;=1,1,0)</f>
        <v>0</v>
      </c>
      <c r="AM9" s="76">
        <f t="shared" ref="AM9" si="64">IF(AM10&gt;=1,1,0)</f>
        <v>0</v>
      </c>
      <c r="AN9" s="76">
        <f t="shared" ref="AN9" si="65">IF(AN10&gt;=1,1,0)</f>
        <v>0</v>
      </c>
      <c r="AO9" s="76">
        <f t="shared" ref="AO9:AO19" si="66">SUM(AH9:AN9)</f>
        <v>4</v>
      </c>
      <c r="AP9" s="76">
        <f>IF(AP10&gt;=1,1,0)</f>
        <v>0</v>
      </c>
      <c r="AQ9" s="76">
        <f t="shared" ref="AQ9" si="67">IF(AQ10&gt;=1,1,0)</f>
        <v>0</v>
      </c>
      <c r="AR9" s="76">
        <f t="shared" si="36"/>
        <v>0</v>
      </c>
      <c r="AS9" s="76">
        <f t="shared" ref="AS9:AS18" si="68">I9+Q9+Y9+AG9+AO9+AR9</f>
        <v>17</v>
      </c>
      <c r="AT9" s="68"/>
      <c r="AU9" s="68"/>
      <c r="AV9" s="68"/>
      <c r="AW9" s="68"/>
      <c r="AX9" s="68"/>
      <c r="AY9" s="68"/>
      <c r="AZ9" s="51"/>
    </row>
    <row r="10" spans="1:53" s="49" customFormat="1" ht="15" customHeight="1" x14ac:dyDescent="0.25">
      <c r="A10" s="37" t="s">
        <v>3</v>
      </c>
      <c r="B10" s="47"/>
      <c r="C10" s="47"/>
      <c r="D10" s="47"/>
      <c r="E10" s="47"/>
      <c r="F10" s="47"/>
      <c r="G10" s="47"/>
      <c r="H10" s="47"/>
      <c r="I10" s="76">
        <f t="shared" si="38"/>
        <v>0</v>
      </c>
      <c r="J10" s="47">
        <v>8</v>
      </c>
      <c r="K10" s="47">
        <v>8</v>
      </c>
      <c r="L10" s="47">
        <v>8</v>
      </c>
      <c r="M10" s="47">
        <v>8.5</v>
      </c>
      <c r="N10" s="47">
        <v>9.5</v>
      </c>
      <c r="O10" s="47"/>
      <c r="P10" s="47"/>
      <c r="Q10" s="76">
        <f t="shared" si="45"/>
        <v>42</v>
      </c>
      <c r="R10" s="47">
        <v>8</v>
      </c>
      <c r="S10" s="47">
        <v>8</v>
      </c>
      <c r="T10" s="47">
        <v>8</v>
      </c>
      <c r="U10" s="47"/>
      <c r="V10" s="47"/>
      <c r="W10" s="47"/>
      <c r="X10" s="47"/>
      <c r="Y10" s="76">
        <f t="shared" si="52"/>
        <v>24</v>
      </c>
      <c r="Z10" s="47">
        <v>8</v>
      </c>
      <c r="AA10" s="47">
        <v>8</v>
      </c>
      <c r="AB10" s="47">
        <v>8</v>
      </c>
      <c r="AC10" s="47">
        <v>8</v>
      </c>
      <c r="AD10" s="47">
        <v>8</v>
      </c>
      <c r="AE10" s="47"/>
      <c r="AF10" s="47"/>
      <c r="AG10" s="76">
        <f t="shared" si="59"/>
        <v>40</v>
      </c>
      <c r="AH10" s="47">
        <v>8</v>
      </c>
      <c r="AI10" s="47">
        <v>8</v>
      </c>
      <c r="AJ10" s="47">
        <v>8</v>
      </c>
      <c r="AK10" s="47">
        <v>8</v>
      </c>
      <c r="AL10" s="47"/>
      <c r="AM10" s="47"/>
      <c r="AN10" s="47"/>
      <c r="AO10" s="76">
        <f t="shared" si="66"/>
        <v>32</v>
      </c>
      <c r="AP10" s="47"/>
      <c r="AQ10" s="47"/>
      <c r="AR10" s="76">
        <f t="shared" si="36"/>
        <v>0</v>
      </c>
      <c r="AS10" s="76">
        <f t="shared" si="68"/>
        <v>138</v>
      </c>
      <c r="AT10" s="68"/>
      <c r="AU10" s="68"/>
      <c r="AV10" s="68"/>
      <c r="AW10" s="68"/>
      <c r="AX10" s="68"/>
      <c r="AY10" s="68"/>
      <c r="AZ10" s="51"/>
    </row>
    <row r="11" spans="1:53" s="49" customFormat="1" ht="15" customHeight="1" x14ac:dyDescent="0.25">
      <c r="A11" s="52" t="s">
        <v>71</v>
      </c>
      <c r="B11" s="82">
        <f>IF(B5&lt;&gt;"Dim",IF(B10&gt;32,MIN(B10,35)-32,0),0)</f>
        <v>0</v>
      </c>
      <c r="C11" s="82">
        <f>IF(C5&lt;&gt;"Dim",IF(SUM($B10:C10)&gt;32,MIN(SUM($B10:C10),35)-32-SUM($B11:B11),0),0)</f>
        <v>0</v>
      </c>
      <c r="D11" s="82">
        <f>IF(D5&lt;&gt;"Dim",IF(SUM($B10:D10)&gt;32,MIN(SUM($B10:D10),35)-32-SUM($B11:C11),0),0)</f>
        <v>0</v>
      </c>
      <c r="E11" s="82">
        <f>IF(E5&lt;&gt;"Dim",IF(SUM($B10:E10)&gt;32,MIN(SUM($B10:E10),35)-32-SUM($B11:D11),0),0)</f>
        <v>0</v>
      </c>
      <c r="F11" s="82">
        <f>IF(F5&lt;&gt;"Dim",IF(SUM($B10:F10)&gt;32,MIN(SUM($B10:F10),35)-32-SUM($B11:E11),0),0)</f>
        <v>0</v>
      </c>
      <c r="G11" s="82">
        <f>IF(G5&lt;&gt;"Dim",IF(SUM($B10:G10)&gt;32,MIN(SUM($B10:G10),35)-32-SUM($B11:F11),0),0)</f>
        <v>0</v>
      </c>
      <c r="H11" s="82">
        <f>IF(H5&lt;&gt;"Dim",IF(SUM($B10:H10)&gt;32,MIN(SUM($B10:H10),35)-32-SUM($B11:G11),0),0)</f>
        <v>0</v>
      </c>
      <c r="I11" s="76">
        <f t="shared" si="38"/>
        <v>0</v>
      </c>
      <c r="J11" s="82">
        <f>IF(J5&lt;&gt;"Dim",IF(J10&gt;32,MIN(J10,35)-32,0),0)</f>
        <v>0</v>
      </c>
      <c r="K11" s="82">
        <f>IF(K5&lt;&gt;"Dim",IF(SUM($J10:K10)&gt;32,MIN(SUM($J10:K10),35)-32-SUM($J11:J11),0),0)</f>
        <v>0</v>
      </c>
      <c r="L11" s="82">
        <f>IF(L5&lt;&gt;"Dim",IF(SUM($J10:L10)&gt;32,MIN(SUM($J10:L10),35)-32-SUM($J11:K11),0),0)</f>
        <v>0</v>
      </c>
      <c r="M11" s="82"/>
      <c r="N11" s="82"/>
      <c r="O11" s="82"/>
      <c r="P11" s="82">
        <f>IF(P5&lt;&gt;"Dim",IF(SUM($J10:P10)&gt;32,MIN(SUM($J10:P10),35)-32-SUM($J11:O11),0),0)</f>
        <v>0</v>
      </c>
      <c r="Q11" s="76">
        <f t="shared" si="45"/>
        <v>0</v>
      </c>
      <c r="R11" s="82">
        <f>IF(R5&lt;&gt;"Dim",IF(R10&gt;32,MIN(R10,35)-32,0),0)</f>
        <v>0</v>
      </c>
      <c r="S11" s="82">
        <f>IF(S5&lt;&gt;"Dim",IF(SUM($R10:S10)&gt;32,MIN(SUM($R10:S10),35)-32-SUM($R11:R11),0),0)</f>
        <v>0</v>
      </c>
      <c r="T11" s="82">
        <f>IF(T5&lt;&gt;"Dim",IF(SUM($R10:T10)&gt;32,MIN(SUM($R10:T10),35)-32-SUM($R11:S11),0),0)</f>
        <v>0</v>
      </c>
      <c r="U11" s="82">
        <f>IF(U5&lt;&gt;"Dim",IF(SUM($R10:U10)&gt;32,MIN(SUM($R10:U10),35)-32-SUM($R11:T11),0),0)</f>
        <v>0</v>
      </c>
      <c r="V11" s="82">
        <f>IF(V5&lt;&gt;"Dim",IF(SUM($R10:V10)&gt;32,MIN(SUM($R10:V10),35)-32-SUM($R11:U11),0),0)</f>
        <v>0</v>
      </c>
      <c r="W11" s="82">
        <f>IF(W5&lt;&gt;"Dim",IF(SUM($R10:W10)&gt;32,MIN(SUM($R10:W10),35)-32-SUM($R11:V11),0),0)</f>
        <v>0</v>
      </c>
      <c r="X11" s="82">
        <f>IF(X5&lt;&gt;"Dim",IF(SUM($R10:X10)&gt;32,MIN(SUM($R10:X10),35)-32-SUM($R11:W11),0),0)</f>
        <v>0</v>
      </c>
      <c r="Y11" s="76">
        <f t="shared" si="52"/>
        <v>0</v>
      </c>
      <c r="Z11" s="82">
        <f>IF(Z5&lt;&gt;"Dim",IF(Z10&gt;32,MIN(Z10,35)-32,0),0)</f>
        <v>0</v>
      </c>
      <c r="AA11" s="82">
        <f>IF(AA5&lt;&gt;"Dim",IF(SUM($Z10:AA10)&gt;32,MIN(SUM($Z10:AA10),35)-32-SUM($Z11:Z11),0),0)</f>
        <v>0</v>
      </c>
      <c r="AB11" s="82">
        <f>IF(AB5&lt;&gt;"Dim",IF(SUM($Z10:AB10)&gt;32,MIN(SUM($Z10:AB10),35)-32-SUM($Z11:AA11),0),0)</f>
        <v>0</v>
      </c>
      <c r="AC11" s="82">
        <f>IF(AC5&lt;&gt;"Dim",IF(SUM($Z10:AC10)&gt;32,MIN(SUM($Z10:AC10),35)-32-SUM($Z11:AB11),0),0)</f>
        <v>0</v>
      </c>
      <c r="AD11" s="82"/>
      <c r="AE11" s="82"/>
      <c r="AF11" s="82">
        <f>IF(AF5&lt;&gt;"Dim",IF(SUM($Z10:AF10)&gt;32,MIN(SUM($Z10:AF10),35)-32-SUM($Z11:AE11),0),0)</f>
        <v>0</v>
      </c>
      <c r="AG11" s="76">
        <f t="shared" si="59"/>
        <v>0</v>
      </c>
      <c r="AH11" s="82">
        <f>IF(AH5&lt;&gt;"Dim",IF(AH10&gt;32,MIN(AH10,35)-32,0),0)</f>
        <v>0</v>
      </c>
      <c r="AI11" s="82">
        <f>IF(AI5&lt;&gt;"Dim",IF(SUM($AH10:AI10)&gt;32,MIN(SUM($AH10:AI10),35)-32-SUM($AH11:AH11),0),0)</f>
        <v>0</v>
      </c>
      <c r="AJ11" s="82">
        <f>IF(AJ5&lt;&gt;"Dim",IF(SUM($AH10:AJ10)&gt;32,MIN(SUM($AH10:AJ10),35)-32-SUM($AH11:AI11),0),0)</f>
        <v>0</v>
      </c>
      <c r="AK11" s="82">
        <f>IF(AK5&lt;&gt;"Dim",IF(SUM($AH10:AK10)&gt;32,MIN(SUM($AH10:AK10),35)-32-SUM($AH11:AJ11),0),0)</f>
        <v>0</v>
      </c>
      <c r="AL11" s="82">
        <f>IF(AL5&lt;&gt;"Dim",IF(SUM($AH10:AL10)&gt;32,MIN(SUM($AH10:AL10),35)-32-SUM($AH11:AK11),0),0)</f>
        <v>0</v>
      </c>
      <c r="AM11" s="82">
        <f>IF(AM5&lt;&gt;"Dim",IF(SUM($AH10:AM10)&gt;32,MIN(SUM($AH10:AM10),35)-32-SUM($AH11:AL11),0),0)</f>
        <v>0</v>
      </c>
      <c r="AN11" s="82">
        <f>IF(AN5&lt;&gt;"Dim",IF(SUM($AH10:AN10)&gt;32,MIN(SUM($AH10:AN10),35)-32-SUM($AH11:AM11),0),0)</f>
        <v>0</v>
      </c>
      <c r="AO11" s="76">
        <f t="shared" si="66"/>
        <v>0</v>
      </c>
      <c r="AP11" s="82">
        <f>IF(AP5&lt;&gt;"Dim",IF(AP10&gt;32,MIN(AP10,35)-32,0),0)</f>
        <v>0</v>
      </c>
      <c r="AQ11" s="82">
        <f>IF(AQ5&lt;&gt;"Dim",IF(SUM($AP10:AQ10)&gt;32,MIN(SUM($AP10:AQ10),35)-32-SUM($AP11:AP11),0),0)</f>
        <v>0</v>
      </c>
      <c r="AR11" s="76">
        <f t="shared" si="36"/>
        <v>0</v>
      </c>
      <c r="AS11" s="76">
        <f t="shared" si="68"/>
        <v>0</v>
      </c>
      <c r="AT11" s="68"/>
      <c r="AU11" s="68"/>
      <c r="AV11" s="68"/>
      <c r="AW11" s="68"/>
      <c r="AX11" s="68"/>
      <c r="AY11" s="68"/>
      <c r="AZ11" s="51"/>
    </row>
    <row r="12" spans="1:53" s="49" customFormat="1" ht="15" customHeight="1" x14ac:dyDescent="0.25">
      <c r="A12" s="37" t="s">
        <v>40</v>
      </c>
      <c r="B12" s="82">
        <f>IF(B5&lt;&gt;"Dim",IF(B10&gt;35,(MIN(B10,43)-35),0),0)</f>
        <v>0</v>
      </c>
      <c r="C12" s="82">
        <f>IF(C5&lt;&gt;"Dim",IF(SUM($B10:C10)&gt;35,(MIN(SUM($B10:C10),43)-35-SUM($B12:B12)),0),0)</f>
        <v>0</v>
      </c>
      <c r="D12" s="82">
        <f>IF(D5&lt;&gt;"Dim",IF(SUM($B10:D10)&gt;35,(MIN(SUM($B10:D10),43)-35-SUM($B12:C12)),0),0)</f>
        <v>0</v>
      </c>
      <c r="E12" s="82">
        <f>IF(E5&lt;&gt;"Dim",IF(SUM($B10:E10)&gt;35,(MIN(SUM($B10:E10),43)-35-SUM($B12:D12)),0),0)</f>
        <v>0</v>
      </c>
      <c r="F12" s="82">
        <f>IF(F5&lt;&gt;"Dim",IF(SUM($B10:F10)&gt;35,(MIN(SUM($B10:F10),43)-35-SUM($B12:E12)),0),0)</f>
        <v>0</v>
      </c>
      <c r="G12" s="82">
        <f>IF(G5&lt;&gt;"Dim",IF(SUM($B10:G10)&gt;35,(MIN(SUM($B10:G10),43)-35-SUM($B12:F12)),0),0)</f>
        <v>0</v>
      </c>
      <c r="H12" s="82">
        <f>IF(H5&lt;&gt;"Dim",IF(SUM($B10:H10)&gt;35,(MIN(SUM($B10:H10),43)-35-SUM($B12:G12)),0),0)</f>
        <v>0</v>
      </c>
      <c r="I12" s="76">
        <f t="shared" si="38"/>
        <v>0</v>
      </c>
      <c r="J12" s="82">
        <f>IF(J5&lt;&gt;"Dim",IF(J10&gt;35,(MIN(J10,43)-35),0),0)</f>
        <v>0</v>
      </c>
      <c r="K12" s="82">
        <f>IF(K5&lt;&gt;"Dim",IF(SUM($J10:K10)&gt;35,(MIN(SUM($J10:K10),43)-35-SUM($J12:J12)),0),0)</f>
        <v>0</v>
      </c>
      <c r="L12" s="82">
        <f>IF(L5&lt;&gt;"Dim",IF(SUM($J10:L10)&gt;35,(MIN(SUM($J10:L10),43)-35-SUM($J12:K12)),0),0)</f>
        <v>0</v>
      </c>
      <c r="M12" s="82">
        <v>0.5</v>
      </c>
      <c r="N12" s="82">
        <v>1.5</v>
      </c>
      <c r="O12" s="82"/>
      <c r="P12" s="82">
        <f>IF(P5&lt;&gt;"Dim",IF(SUM($J10:P10)&gt;35,(MIN(SUM($J10:P10),43)-35-SUM($J12:O12)),0),0)</f>
        <v>0</v>
      </c>
      <c r="Q12" s="76">
        <f t="shared" si="45"/>
        <v>2</v>
      </c>
      <c r="R12" s="82">
        <f>IF(R5&lt;&gt;"Dim",IF(R10&gt;35,(MIN(R10,43)-35),0),0)</f>
        <v>0</v>
      </c>
      <c r="S12" s="82">
        <f>IF(S5&lt;&gt;"Dim",IF(SUM($R10:S10)&gt;35,(MIN(SUM($R10:S10),43)-35-SUM($R12:R12)),0),0)</f>
        <v>0</v>
      </c>
      <c r="T12" s="82">
        <f>IF(T5&lt;&gt;"Dim",IF(SUM($R10:T10)&gt;35,(MIN(SUM($R10:T10),43)-35-SUM($R12:S12)),0),0)</f>
        <v>0</v>
      </c>
      <c r="U12" s="82">
        <f>IF(U5&lt;&gt;"Dim",IF(SUM($R10:U10)&gt;35,(MIN(SUM($R10:U10),43)-35-SUM($R12:T12)),0),0)</f>
        <v>0</v>
      </c>
      <c r="V12" s="82">
        <f>IF(V5&lt;&gt;"Dim",IF(SUM($R10:V10)&gt;35,(MIN(SUM($R10:V10),43)-35-SUM($R12:U12)),0),0)</f>
        <v>0</v>
      </c>
      <c r="W12" s="82">
        <f>IF(W5&lt;&gt;"Dim",IF(SUM($R10:W10)&gt;35,(MIN(SUM($R10:W10),43)-35-SUM($R12:V12)),0),0)</f>
        <v>0</v>
      </c>
      <c r="X12" s="82">
        <f>IF(X5&lt;&gt;"Dim",IF(SUM($R10:X10)&gt;35,(MIN(SUM($R10:X10),43)-35-SUM($R12:W12)),0),0)</f>
        <v>0</v>
      </c>
      <c r="Y12" s="76">
        <f t="shared" si="52"/>
        <v>0</v>
      </c>
      <c r="Z12" s="82">
        <f>IF(Z5&lt;&gt;"Dim",IF(Z10&gt;35,(MIN(Z10,43)-35),0),0)</f>
        <v>0</v>
      </c>
      <c r="AA12" s="82">
        <f>IF(AA5&lt;&gt;"Dim",IF(SUM($Z10:AA10)&gt;35,(MIN(SUM($Z10:AA10),43)-35-SUM($Z12:Z12)),0),0)</f>
        <v>0</v>
      </c>
      <c r="AB12" s="82">
        <f>IF(AB5&lt;&gt;"Dim",IF(SUM($Z10:AB10)&gt;35,(MIN(SUM($Z10:AB10),43)-35-SUM($Z12:AA12)),0),0)</f>
        <v>0</v>
      </c>
      <c r="AC12" s="82">
        <f>IF(AC5&lt;&gt;"Dim",IF(SUM($Z10:AC10)&gt;35,(MIN(SUM($Z10:AC10),43)-35-SUM($Z12:AB12)),0),0)</f>
        <v>0</v>
      </c>
      <c r="AD12" s="82"/>
      <c r="AE12" s="82"/>
      <c r="AF12" s="82">
        <f>IF(AF5&lt;&gt;"Dim",IF(SUM($Z10:AF10)&gt;35,(MIN(SUM($Z10:AF10),43)-35-SUM($Z12:AE12)),0),0)</f>
        <v>0</v>
      </c>
      <c r="AG12" s="76">
        <f t="shared" si="59"/>
        <v>0</v>
      </c>
      <c r="AH12" s="82">
        <f>IF(AH5&lt;&gt;"Dim",IF(AH10&gt;35,(MIN(AH10,43)-35),0),0)</f>
        <v>0</v>
      </c>
      <c r="AI12" s="82">
        <f>IF(AI5&lt;&gt;"Dim",IF(SUM($AH10:AI10)&gt;35,(MIN(SUM($AH10:AI10),43)-35-SUM($AH12:AH12)),0),0)</f>
        <v>0</v>
      </c>
      <c r="AJ12" s="82">
        <f>IF(AJ5&lt;&gt;"Dim",IF(SUM($AH10:AJ10)&gt;35,(MIN(SUM($AH10:AJ10),43)-35-SUM($AH12:AI12)),0),0)</f>
        <v>0</v>
      </c>
      <c r="AK12" s="82">
        <f>IF(AK5&lt;&gt;"Dim",IF(SUM($AH10:AK10)&gt;35,(MIN(SUM($AH10:AK10),43)-35-SUM($AH12:AJ12)),0),0)</f>
        <v>0</v>
      </c>
      <c r="AL12" s="82">
        <f>IF(AL5&lt;&gt;"Dim",IF(SUM($AH10:AL10)&gt;35,(MIN(SUM($AH10:AL10),43)-35-SUM($AH12:AK12)),0),0)</f>
        <v>0</v>
      </c>
      <c r="AM12" s="82">
        <f>IF(AM5&lt;&gt;"Dim",IF(SUM($AH10:AM10)&gt;35,(MIN(SUM($AH10:AM10),43)-35-SUM($AH12:AL12)),0),0)</f>
        <v>0</v>
      </c>
      <c r="AN12" s="82">
        <f>IF(AN5&lt;&gt;"Dim",IF(SUM($AH10:AN10)&gt;35,(MIN(SUM($AH10:AN10),43)-35-SUM($AH12:AM12)),0),0)</f>
        <v>0</v>
      </c>
      <c r="AO12" s="76">
        <f t="shared" si="66"/>
        <v>0</v>
      </c>
      <c r="AP12" s="82">
        <f>IF(AP5&lt;&gt;"Dim",IF(AP10&gt;35,(MIN(AP10,43)-35),0),0)</f>
        <v>0</v>
      </c>
      <c r="AQ12" s="82">
        <f>IF(AQ5&lt;&gt;"Dim",IF(SUM($AP10:AQ10)&gt;35,(MIN(SUM($AP10:AQ10),43)-35-SUM($AP12:AP12)),0),0)</f>
        <v>0</v>
      </c>
      <c r="AR12" s="76">
        <f t="shared" si="36"/>
        <v>0</v>
      </c>
      <c r="AS12" s="76">
        <f t="shared" si="68"/>
        <v>2</v>
      </c>
      <c r="AT12" s="68"/>
      <c r="AU12" s="68"/>
      <c r="AV12" s="68"/>
      <c r="AW12" s="68"/>
      <c r="AX12" s="68"/>
      <c r="AY12" s="68"/>
      <c r="AZ12" s="51"/>
    </row>
    <row r="13" spans="1:53" s="49" customFormat="1" ht="15" customHeight="1" x14ac:dyDescent="0.25">
      <c r="A13" s="37" t="s">
        <v>39</v>
      </c>
      <c r="B13" s="82">
        <f>IF(B5&lt;&gt;"Dim",IF(B10&gt;43,(MIN(B10,48)-43),0),0)</f>
        <v>0</v>
      </c>
      <c r="C13" s="82">
        <f>IF(C5&lt;&gt;"Dim",IF(SUM($B10:C10)&gt;43,(MIN(SUM($B10:C10),48)-43-SUM($B13:B13)),0),0)</f>
        <v>0</v>
      </c>
      <c r="D13" s="82">
        <f>IF(D5&lt;&gt;"Dim",IF(SUM($B10:D10)&gt;43,(MIN(SUM($B10:D10),48)-43-SUM($B13:C13)),0),0)</f>
        <v>0</v>
      </c>
      <c r="E13" s="82">
        <f>IF(E5&lt;&gt;"Dim",IF(SUM($B10:E10)&gt;43,(MIN(SUM($B10:E10),48)-43-SUM($B13:D13)),0),0)</f>
        <v>0</v>
      </c>
      <c r="F13" s="82">
        <f>IF(F5&lt;&gt;"Dim",IF(SUM($B10:F10)&gt;43,(MIN(SUM($B10:F10),48)-43-SUM($B13:E13)),0),0)</f>
        <v>0</v>
      </c>
      <c r="G13" s="82">
        <f>IF(G5&lt;&gt;"Dim",IF(SUM($B10:G10)&gt;43,(MIN(SUM($B10:G10),48)-43-SUM($B13:F13)),0),0)</f>
        <v>0</v>
      </c>
      <c r="H13" s="82">
        <f>IF(H5&lt;&gt;"Dim",IF(SUM($B10:H10)&gt;43,(MIN(SUM($B10:H10),48)-43-SUM($B13:G13)),0),0)</f>
        <v>0</v>
      </c>
      <c r="I13" s="76">
        <f t="shared" si="38"/>
        <v>0</v>
      </c>
      <c r="J13" s="82">
        <f>IF(J5&lt;&gt;"Dim",IF(J10&gt;43,(MIN(J10,48)-43),0),0)</f>
        <v>0</v>
      </c>
      <c r="K13" s="82">
        <f>IF(K5&lt;&gt;"Dim",IF(SUM($J10:K10)&gt;43,(MIN(SUM($J10:K10),48)-43-SUM($J13:J13)),0),0)</f>
        <v>0</v>
      </c>
      <c r="L13" s="82">
        <f>IF(L5&lt;&gt;"Dim",IF(SUM($J10:L10)&gt;43,(MIN(SUM($J10:L10),48)-43-SUM($J13:K13)),0),0)</f>
        <v>0</v>
      </c>
      <c r="M13" s="82">
        <f>IF(M5&lt;&gt;"Dim",IF(SUM($J10:M10)&gt;43,(MIN(SUM($J10:M10),48)-43-SUM($J13:L13)),0),0)</f>
        <v>0</v>
      </c>
      <c r="N13" s="82">
        <f>IF(N5&lt;&gt;"Dim",IF(SUM($J10:N10)&gt;43,(MIN(SUM($J10:N10),48)-43-SUM($J13:M13)),0),0)</f>
        <v>0</v>
      </c>
      <c r="O13" s="82">
        <f>IF(O5&lt;&gt;"Dim",IF(SUM($J10:O10)&gt;43,(MIN(SUM($J10:O10),48)-43-SUM($J13:N13)),0),0)</f>
        <v>0</v>
      </c>
      <c r="P13" s="82">
        <f>IF(P5&lt;&gt;"Dim",IF(SUM($J10:P10)&gt;43,(MIN(SUM($J10:P10),48)-43-SUM($J13:O13)),0),0)</f>
        <v>0</v>
      </c>
      <c r="Q13" s="76">
        <f t="shared" si="45"/>
        <v>0</v>
      </c>
      <c r="R13" s="82">
        <f>IF(R5&lt;&gt;"Dim",IF(R10&gt;43,(MIN(R10,48)-43),0),0)</f>
        <v>0</v>
      </c>
      <c r="S13" s="82">
        <f>IF(S5&lt;&gt;"Dim",IF(SUM($R10:S10)&gt;43,(MIN(SUM($R10:S10),48)-43-SUM($R13:R13)),0),0)</f>
        <v>0</v>
      </c>
      <c r="T13" s="82">
        <f>IF(T5&lt;&gt;"Dim",IF(SUM($R10:T10)&gt;43,(MIN(SUM($R10:T10),48)-43-SUM($R13:S13)),0),0)</f>
        <v>0</v>
      </c>
      <c r="U13" s="82">
        <f>IF(U5&lt;&gt;"Dim",IF(SUM($R10:U10)&gt;43,(MIN(SUM($R10:U10),48)-43-SUM($R13:T13)),0),0)</f>
        <v>0</v>
      </c>
      <c r="V13" s="82">
        <f>IF(V5&lt;&gt;"Dim",IF(SUM($R10:V10)&gt;43,(MIN(SUM($R10:V10),48)-43-SUM($R13:U13)),0),0)</f>
        <v>0</v>
      </c>
      <c r="W13" s="82">
        <f>IF(W5&lt;&gt;"Dim",IF(SUM($R10:W10)&gt;43,(MIN(SUM($R10:W10),48)-43-SUM($R13:V13)),0),0)</f>
        <v>0</v>
      </c>
      <c r="X13" s="82">
        <f>IF(X5&lt;&gt;"Dim",IF(SUM($R10:X10)&gt;43,(MIN(SUM($R10:X10),48)-43-SUM($R13:W13)),0),0)</f>
        <v>0</v>
      </c>
      <c r="Y13" s="76">
        <f t="shared" si="52"/>
        <v>0</v>
      </c>
      <c r="Z13" s="82">
        <f>IF(Z5&lt;&gt;"Dim",IF(Z10&gt;43,(MIN(Z10,48)-43),0),0)</f>
        <v>0</v>
      </c>
      <c r="AA13" s="82">
        <f>IF(AA5&lt;&gt;"Dim",IF(SUM($Z10:AA10)&gt;43,(MIN(SUM($Z10:AA10),48)-43-SUM($Z13:Z13)),0),0)</f>
        <v>0</v>
      </c>
      <c r="AB13" s="82">
        <f>IF(AB5&lt;&gt;"Dim",IF(SUM($Z10:AB10)&gt;43,(MIN(SUM($Z10:AB10),48)-43-SUM($Z13:AA13)),0),0)</f>
        <v>0</v>
      </c>
      <c r="AC13" s="82">
        <f>IF(AC5&lt;&gt;"Dim",IF(SUM($Z10:AC10)&gt;43,(MIN(SUM($Z10:AC10),48)-43-SUM($Z13:AB13)),0),0)</f>
        <v>0</v>
      </c>
      <c r="AD13" s="82">
        <f>IF(AD5&lt;&gt;"Dim",IF(SUM($Z10:AD10)&gt;43,(MIN(SUM($Z10:AD10),48)-43-SUM($Z13:AC13)),0),0)</f>
        <v>0</v>
      </c>
      <c r="AE13" s="82">
        <f>IF(AE5&lt;&gt;"Dim",IF(SUM($Z10:AE10)&gt;43,(MIN(SUM($Z10:AE10),48)-43-SUM($Z13:AD13)),0),0)</f>
        <v>0</v>
      </c>
      <c r="AF13" s="82">
        <f>IF(AF5&lt;&gt;"Dim",IF(SUM($Z10:AF10)&gt;43,(MIN(SUM($Z10:AF10),48)-43-SUM($Z13:AE13)),0),0)</f>
        <v>0</v>
      </c>
      <c r="AG13" s="76">
        <f t="shared" si="59"/>
        <v>0</v>
      </c>
      <c r="AH13" s="82">
        <f>IF(AH5&lt;&gt;"Dim",IF(AH10&gt;43,(MIN(AH10,48)-43),0),0)</f>
        <v>0</v>
      </c>
      <c r="AI13" s="82">
        <f>IF(AI5&lt;&gt;"Dim",IF(SUM($AH10:AI10)&gt;43,(MIN(SUM($AH10:AI10),48)-43-SUM($AH13:AH13)),0),0)</f>
        <v>0</v>
      </c>
      <c r="AJ13" s="82">
        <f>IF(AJ5&lt;&gt;"Dim",IF(SUM($AH10:AJ10)&gt;43,(MIN(SUM($AH10:AJ10),48)-43-SUM($AH13:AI13)),0),0)</f>
        <v>0</v>
      </c>
      <c r="AK13" s="82">
        <f>IF(AK5&lt;&gt;"Dim",IF(SUM($AH10:AK10)&gt;43,(MIN(SUM($AH10:AK10),48)-43-SUM($AH13:AJ13)),0),0)</f>
        <v>0</v>
      </c>
      <c r="AL13" s="82">
        <f>IF(AL5&lt;&gt;"Dim",IF(SUM($AH10:AL10)&gt;43,(MIN(SUM($AH10:AL10),48)-43-SUM($AH13:AK13)),0),0)</f>
        <v>0</v>
      </c>
      <c r="AM13" s="82">
        <f>IF(AM5&lt;&gt;"Dim",IF(SUM($AH10:AM10)&gt;43,(MIN(SUM($AH10:AM10),48)-43-SUM($AH13:AL13)),0),0)</f>
        <v>0</v>
      </c>
      <c r="AN13" s="82">
        <f>IF(AN5&lt;&gt;"Dim",IF(SUM($AH10:AN10)&gt;43,(MIN(SUM($AH10:AN10),48)-43-SUM($AH13:AM13)),0),0)</f>
        <v>0</v>
      </c>
      <c r="AO13" s="76">
        <f t="shared" si="66"/>
        <v>0</v>
      </c>
      <c r="AP13" s="82">
        <f>IF(AP5&lt;&gt;"Dim",IF(AP10&gt;43,(MIN(AP10,48)-43),0),0)</f>
        <v>0</v>
      </c>
      <c r="AQ13" s="82">
        <f>IF(AQ5&lt;&gt;"Dim",IF(SUM($AP10:AQ10)&gt;43,(MIN(SUM($AP10:AQ10),48)-43-SUM($AP13:AP13)),0),0)</f>
        <v>0</v>
      </c>
      <c r="AR13" s="76">
        <f t="shared" si="36"/>
        <v>0</v>
      </c>
      <c r="AS13" s="76">
        <f t="shared" si="68"/>
        <v>0</v>
      </c>
      <c r="AT13" s="68"/>
      <c r="AU13" s="68"/>
      <c r="AV13" s="68"/>
      <c r="AW13" s="68"/>
      <c r="AX13" s="68"/>
      <c r="AY13" s="68"/>
      <c r="AZ13" s="51"/>
    </row>
    <row r="14" spans="1:53" s="49" customFormat="1" ht="15" customHeight="1" x14ac:dyDescent="0.25">
      <c r="A14" s="37" t="s">
        <v>41</v>
      </c>
      <c r="B14" s="82">
        <f>IF(B5="Dim",B10,IF(B20="ferie",B10,0))</f>
        <v>0</v>
      </c>
      <c r="C14" s="82">
        <f t="shared" ref="C14:H14" si="69">IF(C5="Dim",C10,IF(C20="ferie",C10,0))</f>
        <v>0</v>
      </c>
      <c r="D14" s="82">
        <f t="shared" si="69"/>
        <v>0</v>
      </c>
      <c r="E14" s="82">
        <f t="shared" si="69"/>
        <v>0</v>
      </c>
      <c r="F14" s="82">
        <f t="shared" si="69"/>
        <v>0</v>
      </c>
      <c r="G14" s="82">
        <f t="shared" si="69"/>
        <v>0</v>
      </c>
      <c r="H14" s="82">
        <f t="shared" si="69"/>
        <v>0</v>
      </c>
      <c r="I14" s="76">
        <f t="shared" si="38"/>
        <v>0</v>
      </c>
      <c r="J14" s="82">
        <f>IF(J5="Dim",J10,IF(J20="ferie",J10,0))</f>
        <v>0</v>
      </c>
      <c r="K14" s="82">
        <f t="shared" ref="K14:P14" si="70">IF(K5="Dim",K10,IF(K20="ferie",K10,0))</f>
        <v>0</v>
      </c>
      <c r="L14" s="82">
        <f t="shared" si="70"/>
        <v>0</v>
      </c>
      <c r="M14" s="82">
        <f t="shared" si="70"/>
        <v>0</v>
      </c>
      <c r="N14" s="82">
        <f t="shared" si="70"/>
        <v>0</v>
      </c>
      <c r="O14" s="82">
        <f t="shared" si="70"/>
        <v>0</v>
      </c>
      <c r="P14" s="82">
        <f t="shared" si="70"/>
        <v>0</v>
      </c>
      <c r="Q14" s="76">
        <f t="shared" si="45"/>
        <v>0</v>
      </c>
      <c r="R14" s="82">
        <f>IF(R5="Dim",R10,IF(R20="ferie",R10,0))</f>
        <v>0</v>
      </c>
      <c r="S14" s="82">
        <f t="shared" ref="S14:X14" si="71">IF(S5="Dim",S10,IF(S20="ferie",S10,0))</f>
        <v>0</v>
      </c>
      <c r="T14" s="82">
        <f t="shared" si="71"/>
        <v>0</v>
      </c>
      <c r="U14" s="82">
        <f t="shared" si="71"/>
        <v>0</v>
      </c>
      <c r="V14" s="82">
        <f t="shared" si="71"/>
        <v>0</v>
      </c>
      <c r="W14" s="82">
        <f t="shared" si="71"/>
        <v>0</v>
      </c>
      <c r="X14" s="82">
        <f t="shared" si="71"/>
        <v>0</v>
      </c>
      <c r="Y14" s="76">
        <f t="shared" si="52"/>
        <v>0</v>
      </c>
      <c r="Z14" s="82">
        <f>IF(Z5="Dim",Z10,IF(Z20="ferie",Z10,0))</f>
        <v>0</v>
      </c>
      <c r="AA14" s="82">
        <f t="shared" ref="AA14:AF14" si="72">IF(AA5="Dim",AA10,IF(AA20="ferie",AA10,0))</f>
        <v>0</v>
      </c>
      <c r="AB14" s="82">
        <f t="shared" si="72"/>
        <v>0</v>
      </c>
      <c r="AC14" s="82">
        <f t="shared" si="72"/>
        <v>0</v>
      </c>
      <c r="AD14" s="82">
        <f t="shared" si="72"/>
        <v>0</v>
      </c>
      <c r="AE14" s="82">
        <f t="shared" si="72"/>
        <v>0</v>
      </c>
      <c r="AF14" s="82">
        <f t="shared" si="72"/>
        <v>0</v>
      </c>
      <c r="AG14" s="76">
        <f t="shared" si="59"/>
        <v>0</v>
      </c>
      <c r="AH14" s="82">
        <f>IF(AH5="Dim",AH10,IF(AH20="ferie",AH10,0))</f>
        <v>0</v>
      </c>
      <c r="AI14" s="82">
        <f t="shared" ref="AI14:AQ14" si="73">IF(AI5="Dim",AI10,IF(AI20="ferie",AI10,0))</f>
        <v>0</v>
      </c>
      <c r="AJ14" s="82">
        <f t="shared" si="73"/>
        <v>0</v>
      </c>
      <c r="AK14" s="82">
        <f t="shared" si="73"/>
        <v>0</v>
      </c>
      <c r="AL14" s="82">
        <f t="shared" si="73"/>
        <v>0</v>
      </c>
      <c r="AM14" s="82">
        <f t="shared" si="73"/>
        <v>0</v>
      </c>
      <c r="AN14" s="82">
        <f t="shared" si="73"/>
        <v>0</v>
      </c>
      <c r="AO14" s="76">
        <f t="shared" si="66"/>
        <v>0</v>
      </c>
      <c r="AP14" s="82">
        <f>IF(AP5="Dim",AP10,IF(AP20="ferie",AP10,0))</f>
        <v>0</v>
      </c>
      <c r="AQ14" s="82">
        <f t="shared" si="73"/>
        <v>0</v>
      </c>
      <c r="AR14" s="76">
        <f t="shared" si="36"/>
        <v>0</v>
      </c>
      <c r="AS14" s="76">
        <f t="shared" si="68"/>
        <v>0</v>
      </c>
      <c r="AT14" s="68"/>
      <c r="AU14" s="68"/>
      <c r="AV14" s="68"/>
      <c r="AW14" s="68"/>
      <c r="AX14" s="68"/>
      <c r="AY14" s="68"/>
      <c r="AZ14" s="51"/>
    </row>
    <row r="15" spans="1:53" s="49" customFormat="1" ht="15" customHeight="1" x14ac:dyDescent="0.25">
      <c r="A15" s="37" t="s">
        <v>59</v>
      </c>
      <c r="B15" s="47"/>
      <c r="C15" s="47"/>
      <c r="D15" s="47"/>
      <c r="E15" s="47"/>
      <c r="F15" s="47"/>
      <c r="G15" s="47"/>
      <c r="H15" s="47"/>
      <c r="I15" s="76">
        <f t="shared" si="38"/>
        <v>0</v>
      </c>
      <c r="J15" s="47"/>
      <c r="K15" s="47"/>
      <c r="L15" s="47"/>
      <c r="M15" s="47"/>
      <c r="N15" s="47"/>
      <c r="O15" s="47"/>
      <c r="P15" s="47"/>
      <c r="Q15" s="76">
        <f t="shared" si="45"/>
        <v>0</v>
      </c>
      <c r="R15" s="47"/>
      <c r="S15" s="47"/>
      <c r="T15" s="47"/>
      <c r="U15" s="47"/>
      <c r="V15" s="47"/>
      <c r="W15" s="47"/>
      <c r="X15" s="47"/>
      <c r="Y15" s="76">
        <f t="shared" si="52"/>
        <v>0</v>
      </c>
      <c r="Z15" s="47"/>
      <c r="AA15" s="47"/>
      <c r="AB15" s="47"/>
      <c r="AC15" s="47"/>
      <c r="AD15" s="47"/>
      <c r="AE15" s="47"/>
      <c r="AF15" s="47"/>
      <c r="AG15" s="76">
        <f t="shared" si="59"/>
        <v>0</v>
      </c>
      <c r="AH15" s="47"/>
      <c r="AI15" s="47"/>
      <c r="AJ15" s="47"/>
      <c r="AK15" s="47"/>
      <c r="AL15" s="47"/>
      <c r="AM15" s="47"/>
      <c r="AN15" s="47"/>
      <c r="AO15" s="76">
        <f t="shared" si="66"/>
        <v>0</v>
      </c>
      <c r="AP15" s="47"/>
      <c r="AQ15" s="47"/>
      <c r="AR15" s="76">
        <f t="shared" si="36"/>
        <v>0</v>
      </c>
      <c r="AS15" s="76">
        <f t="shared" si="68"/>
        <v>0</v>
      </c>
      <c r="AT15" s="68"/>
      <c r="AU15" s="68"/>
      <c r="AV15" s="68"/>
      <c r="AW15" s="68"/>
      <c r="AX15" s="68"/>
      <c r="AY15" s="68"/>
      <c r="AZ15" s="51"/>
    </row>
    <row r="16" spans="1:53" s="49" customFormat="1" ht="15" customHeight="1" x14ac:dyDescent="0.25">
      <c r="A16" s="52" t="s">
        <v>60</v>
      </c>
      <c r="B16" s="47"/>
      <c r="C16" s="47"/>
      <c r="D16" s="47"/>
      <c r="E16" s="47"/>
      <c r="F16" s="47"/>
      <c r="G16" s="47"/>
      <c r="H16" s="47"/>
      <c r="I16" s="76">
        <f t="shared" si="38"/>
        <v>0</v>
      </c>
      <c r="J16" s="47"/>
      <c r="K16" s="47"/>
      <c r="L16" s="47"/>
      <c r="M16" s="47"/>
      <c r="N16" s="47"/>
      <c r="O16" s="47"/>
      <c r="P16" s="47"/>
      <c r="Q16" s="76">
        <f t="shared" si="45"/>
        <v>0</v>
      </c>
      <c r="R16" s="47"/>
      <c r="S16" s="47"/>
      <c r="T16" s="47"/>
      <c r="U16" s="47"/>
      <c r="V16" s="47"/>
      <c r="W16" s="47"/>
      <c r="X16" s="47"/>
      <c r="Y16" s="76">
        <f t="shared" si="52"/>
        <v>0</v>
      </c>
      <c r="Z16" s="47"/>
      <c r="AA16" s="47"/>
      <c r="AB16" s="47"/>
      <c r="AC16" s="47"/>
      <c r="AD16" s="47"/>
      <c r="AE16" s="47"/>
      <c r="AF16" s="47"/>
      <c r="AG16" s="76">
        <f t="shared" si="59"/>
        <v>0</v>
      </c>
      <c r="AH16" s="47"/>
      <c r="AI16" s="47"/>
      <c r="AJ16" s="47"/>
      <c r="AK16" s="47"/>
      <c r="AL16" s="47">
        <v>8</v>
      </c>
      <c r="AM16" s="47"/>
      <c r="AN16" s="47"/>
      <c r="AO16" s="76">
        <f t="shared" si="66"/>
        <v>8</v>
      </c>
      <c r="AP16" s="47"/>
      <c r="AQ16" s="47"/>
      <c r="AR16" s="76">
        <f t="shared" ref="AR16:AR18" si="74">SUM(AP16:AQ16)</f>
        <v>0</v>
      </c>
      <c r="AS16" s="76">
        <f t="shared" si="68"/>
        <v>8</v>
      </c>
      <c r="AT16" s="68"/>
      <c r="AU16" s="68"/>
      <c r="AV16" s="68"/>
      <c r="AW16" s="68"/>
      <c r="AX16" s="68"/>
      <c r="AY16" s="68"/>
      <c r="AZ16" s="51"/>
    </row>
    <row r="17" spans="1:53" s="49" customFormat="1" ht="15" customHeight="1" x14ac:dyDescent="0.25">
      <c r="A17" s="37" t="s">
        <v>62</v>
      </c>
      <c r="B17" s="47"/>
      <c r="C17" s="47"/>
      <c r="D17" s="47"/>
      <c r="E17" s="47"/>
      <c r="F17" s="47"/>
      <c r="G17" s="47"/>
      <c r="H17" s="47"/>
      <c r="I17" s="76">
        <f t="shared" si="38"/>
        <v>0</v>
      </c>
      <c r="J17" s="47"/>
      <c r="K17" s="47"/>
      <c r="L17" s="47"/>
      <c r="M17" s="47"/>
      <c r="N17" s="47"/>
      <c r="O17" s="47"/>
      <c r="P17" s="47"/>
      <c r="Q17" s="76">
        <f t="shared" si="45"/>
        <v>0</v>
      </c>
      <c r="R17" s="47"/>
      <c r="S17" s="47"/>
      <c r="T17" s="47"/>
      <c r="U17" s="47"/>
      <c r="V17" s="47"/>
      <c r="W17" s="47"/>
      <c r="X17" s="47"/>
      <c r="Y17" s="76">
        <f t="shared" si="52"/>
        <v>0</v>
      </c>
      <c r="Z17" s="47"/>
      <c r="AA17" s="47"/>
      <c r="AB17" s="47"/>
      <c r="AC17" s="47"/>
      <c r="AD17" s="47"/>
      <c r="AE17" s="47"/>
      <c r="AF17" s="47"/>
      <c r="AG17" s="76">
        <f t="shared" si="59"/>
        <v>0</v>
      </c>
      <c r="AH17" s="47"/>
      <c r="AI17" s="47"/>
      <c r="AJ17" s="47"/>
      <c r="AK17" s="47"/>
      <c r="AL17" s="47"/>
      <c r="AM17" s="47"/>
      <c r="AN17" s="47"/>
      <c r="AO17" s="76">
        <f t="shared" si="66"/>
        <v>0</v>
      </c>
      <c r="AP17" s="47"/>
      <c r="AQ17" s="47"/>
      <c r="AR17" s="76">
        <f t="shared" si="74"/>
        <v>0</v>
      </c>
      <c r="AS17" s="76">
        <f t="shared" si="68"/>
        <v>0</v>
      </c>
      <c r="AT17" s="68"/>
      <c r="AU17" s="68"/>
      <c r="AV17" s="68"/>
      <c r="AW17" s="68"/>
      <c r="AX17" s="68"/>
      <c r="AY17" s="68"/>
      <c r="AZ17" s="51"/>
    </row>
    <row r="18" spans="1:53" s="49" customFormat="1" ht="15" customHeight="1" x14ac:dyDescent="0.25">
      <c r="A18" s="52" t="s">
        <v>61</v>
      </c>
      <c r="B18" s="47"/>
      <c r="C18" s="47"/>
      <c r="D18" s="47"/>
      <c r="E18" s="47"/>
      <c r="F18" s="47"/>
      <c r="G18" s="47"/>
      <c r="H18" s="47"/>
      <c r="I18" s="76">
        <f t="shared" si="38"/>
        <v>0</v>
      </c>
      <c r="J18" s="47"/>
      <c r="K18" s="47"/>
      <c r="L18" s="47"/>
      <c r="M18" s="47"/>
      <c r="N18" s="47"/>
      <c r="O18" s="47"/>
      <c r="P18" s="47"/>
      <c r="Q18" s="76">
        <f t="shared" si="45"/>
        <v>0</v>
      </c>
      <c r="R18" s="47"/>
      <c r="S18" s="47"/>
      <c r="T18" s="47"/>
      <c r="U18" s="47"/>
      <c r="V18" s="47"/>
      <c r="W18" s="47"/>
      <c r="X18" s="47"/>
      <c r="Y18" s="76">
        <f t="shared" si="52"/>
        <v>0</v>
      </c>
      <c r="Z18" s="47"/>
      <c r="AA18" s="47"/>
      <c r="AB18" s="47"/>
      <c r="AC18" s="47"/>
      <c r="AD18" s="47"/>
      <c r="AE18" s="47"/>
      <c r="AF18" s="47"/>
      <c r="AG18" s="76">
        <f t="shared" si="59"/>
        <v>0</v>
      </c>
      <c r="AH18" s="47"/>
      <c r="AI18" s="47"/>
      <c r="AJ18" s="47"/>
      <c r="AK18" s="47"/>
      <c r="AL18" s="47"/>
      <c r="AM18" s="47"/>
      <c r="AN18" s="47"/>
      <c r="AO18" s="76">
        <f t="shared" si="66"/>
        <v>0</v>
      </c>
      <c r="AP18" s="47"/>
      <c r="AQ18" s="47"/>
      <c r="AR18" s="76">
        <f t="shared" si="74"/>
        <v>0</v>
      </c>
      <c r="AS18" s="76">
        <f t="shared" si="68"/>
        <v>0</v>
      </c>
      <c r="AT18" s="68"/>
      <c r="AU18" s="68"/>
      <c r="AV18" s="68"/>
      <c r="AW18" s="68"/>
      <c r="AX18" s="68"/>
      <c r="AY18" s="68"/>
      <c r="AZ18" s="51"/>
    </row>
    <row r="19" spans="1:53" s="49" customFormat="1" ht="15" customHeight="1" x14ac:dyDescent="0.25">
      <c r="A19" s="52" t="s">
        <v>95</v>
      </c>
      <c r="B19" s="76">
        <f>IF(B7="nuit",B10*0.02,0)</f>
        <v>0</v>
      </c>
      <c r="C19" s="76">
        <f>IF(C7="nuit",C10*0.02,0)</f>
        <v>0</v>
      </c>
      <c r="D19" s="76">
        <f t="shared" ref="D19:H19" si="75">IF(D7="nuit",D10*0.02,0)</f>
        <v>0</v>
      </c>
      <c r="E19" s="76">
        <f t="shared" si="75"/>
        <v>0</v>
      </c>
      <c r="F19" s="76">
        <f>IF(F7="nuit",F10*0.02,0)</f>
        <v>0</v>
      </c>
      <c r="G19" s="76">
        <f t="shared" si="75"/>
        <v>0</v>
      </c>
      <c r="H19" s="76">
        <f t="shared" si="75"/>
        <v>0</v>
      </c>
      <c r="I19" s="76">
        <f t="shared" si="38"/>
        <v>0</v>
      </c>
      <c r="J19" s="76">
        <f>IF(J7="nuit",J10*0.02,0)</f>
        <v>0</v>
      </c>
      <c r="K19" s="76">
        <f>IF(K7="nuit",K10*0.02,0)</f>
        <v>0</v>
      </c>
      <c r="L19" s="76">
        <f t="shared" ref="L19:P19" si="76">IF(L7="nuit",L10*0.02,0)</f>
        <v>0</v>
      </c>
      <c r="M19" s="76">
        <f t="shared" si="76"/>
        <v>0</v>
      </c>
      <c r="N19" s="76">
        <f>IF(N7="nuit",N10*0.02,0)</f>
        <v>0</v>
      </c>
      <c r="O19" s="76">
        <f t="shared" si="76"/>
        <v>0</v>
      </c>
      <c r="P19" s="76">
        <f t="shared" si="76"/>
        <v>0</v>
      </c>
      <c r="Q19" s="76">
        <f t="shared" si="45"/>
        <v>0</v>
      </c>
      <c r="R19" s="76">
        <f>IF(R7="nuit",R10*0.02,0)</f>
        <v>0</v>
      </c>
      <c r="S19" s="76">
        <f>IF(S7="nuit",S10*0.02,0)</f>
        <v>0</v>
      </c>
      <c r="T19" s="76">
        <f t="shared" ref="T19:X19" si="77">IF(T7="nuit",T10*0.02,0)</f>
        <v>0</v>
      </c>
      <c r="U19" s="76">
        <f t="shared" si="77"/>
        <v>0</v>
      </c>
      <c r="V19" s="76">
        <f>IF(V7="nuit",V10*0.02,0)</f>
        <v>0</v>
      </c>
      <c r="W19" s="76">
        <f t="shared" si="77"/>
        <v>0</v>
      </c>
      <c r="X19" s="76">
        <f t="shared" si="77"/>
        <v>0</v>
      </c>
      <c r="Y19" s="76">
        <f t="shared" si="52"/>
        <v>0</v>
      </c>
      <c r="Z19" s="76">
        <f>IF(Z7="nuit",Z10*0.02,0)</f>
        <v>0.16</v>
      </c>
      <c r="AA19" s="76">
        <f>IF(AA7="nuit",AA10*0.02,0)</f>
        <v>0.16</v>
      </c>
      <c r="AB19" s="76">
        <f t="shared" ref="AB19:AF19" si="78">IF(AB7="nuit",AB10*0.02,0)</f>
        <v>0.16</v>
      </c>
      <c r="AC19" s="76">
        <f t="shared" si="78"/>
        <v>0.16</v>
      </c>
      <c r="AD19" s="76">
        <f>IF(AD7="nuit",AD10*0.02,0)</f>
        <v>0.16</v>
      </c>
      <c r="AE19" s="76">
        <f t="shared" si="78"/>
        <v>0</v>
      </c>
      <c r="AF19" s="76">
        <f t="shared" si="78"/>
        <v>0</v>
      </c>
      <c r="AG19" s="76">
        <f t="shared" si="59"/>
        <v>0.8</v>
      </c>
      <c r="AH19" s="76">
        <f>IF(AH7="nuit",AH10*0.02,0)</f>
        <v>0</v>
      </c>
      <c r="AI19" s="76">
        <f>IF(AI7="nuit",AI10*0.02,0)</f>
        <v>0</v>
      </c>
      <c r="AJ19" s="76">
        <f t="shared" ref="AJ19:AN19" si="79">IF(AJ7="nuit",AJ10*0.02,0)</f>
        <v>0</v>
      </c>
      <c r="AK19" s="76">
        <f t="shared" si="79"/>
        <v>0</v>
      </c>
      <c r="AL19" s="76">
        <f>IF(AL7="nuit",AL10*0.02,0)</f>
        <v>0</v>
      </c>
      <c r="AM19" s="76">
        <f t="shared" si="79"/>
        <v>0</v>
      </c>
      <c r="AN19" s="76">
        <f t="shared" si="79"/>
        <v>0</v>
      </c>
      <c r="AO19" s="76">
        <f t="shared" si="66"/>
        <v>0</v>
      </c>
      <c r="AP19" s="76">
        <f>IF(AP7="nuit",AP10*0.02,0)</f>
        <v>0</v>
      </c>
      <c r="AQ19" s="76">
        <f>IF(AQ7="nuit",AQ10*0.02,0)</f>
        <v>0</v>
      </c>
      <c r="AR19" s="76">
        <f>SUM(AP19:AQ19)</f>
        <v>0</v>
      </c>
      <c r="AS19" s="76">
        <f>I19+Q19+Y19+AG19+AO19+AR19</f>
        <v>0.8</v>
      </c>
      <c r="AT19" s="68"/>
      <c r="AU19" s="68"/>
      <c r="AV19" s="68"/>
      <c r="AW19" s="68"/>
      <c r="AX19" s="68"/>
      <c r="AY19" s="68"/>
      <c r="AZ19" s="51"/>
    </row>
    <row r="20" spans="1:53" s="4" customFormat="1" ht="15" customHeight="1" x14ac:dyDescent="0.25">
      <c r="A20" s="37" t="s">
        <v>82</v>
      </c>
      <c r="B20" s="47"/>
      <c r="C20" s="47"/>
      <c r="D20" s="47"/>
      <c r="E20" s="47"/>
      <c r="F20" s="47"/>
      <c r="G20" s="53"/>
      <c r="H20" s="53"/>
      <c r="I20" s="80"/>
      <c r="J20" s="53"/>
      <c r="K20" s="53"/>
      <c r="L20" s="53"/>
      <c r="M20" s="53"/>
      <c r="N20" s="53"/>
      <c r="O20" s="53"/>
      <c r="P20" s="53"/>
      <c r="Q20" s="80"/>
      <c r="R20" s="53"/>
      <c r="S20" s="53"/>
      <c r="T20" s="53"/>
      <c r="U20" s="53"/>
      <c r="V20" s="53"/>
      <c r="W20" s="53"/>
      <c r="X20" s="53"/>
      <c r="Y20" s="80"/>
      <c r="Z20" s="53"/>
      <c r="AA20" s="53"/>
      <c r="AB20" s="53"/>
      <c r="AC20" s="53"/>
      <c r="AD20" s="53"/>
      <c r="AE20" s="53"/>
      <c r="AF20" s="53"/>
      <c r="AG20" s="80"/>
      <c r="AH20" s="53"/>
      <c r="AI20" s="53"/>
      <c r="AJ20" s="53"/>
      <c r="AK20" s="53"/>
      <c r="AL20" s="53"/>
      <c r="AM20" s="53"/>
      <c r="AN20" s="53"/>
      <c r="AO20" s="80"/>
      <c r="AP20" s="53"/>
      <c r="AQ20" s="53"/>
      <c r="AR20" s="80"/>
      <c r="AS20" s="81"/>
      <c r="AT20" s="69"/>
      <c r="AU20" s="69"/>
      <c r="AV20" s="69"/>
      <c r="AW20" s="69"/>
      <c r="AX20" s="58"/>
      <c r="AY20" s="58"/>
      <c r="AZ20" s="48"/>
    </row>
    <row r="21" spans="1:53" s="38" customFormat="1" ht="15" customHeight="1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84"/>
      <c r="AT21" s="56"/>
      <c r="AU21" s="56"/>
      <c r="AV21" s="56"/>
      <c r="AW21" s="56"/>
      <c r="AX21" s="56"/>
      <c r="AY21" s="56"/>
      <c r="AZ21" s="45"/>
    </row>
    <row r="22" spans="1:53" s="8" customFormat="1" ht="27.6" x14ac:dyDescent="0.25">
      <c r="A22" s="37"/>
      <c r="B22" s="40" t="s">
        <v>1</v>
      </c>
      <c r="C22" s="40"/>
      <c r="D22" s="40"/>
      <c r="E22" s="40"/>
      <c r="F22" s="40"/>
      <c r="G22" s="96">
        <f>Année_Calendaire</f>
        <v>2016</v>
      </c>
      <c r="H22" s="96"/>
      <c r="I22" s="65"/>
      <c r="J22" s="47"/>
      <c r="K22" s="47"/>
      <c r="L22" s="47"/>
      <c r="M22" s="47"/>
      <c r="N22" s="47"/>
      <c r="O22" s="47"/>
      <c r="P22" s="47"/>
      <c r="Q22" s="65"/>
      <c r="R22" s="40" t="s">
        <v>1</v>
      </c>
      <c r="S22" s="40"/>
      <c r="T22" s="40"/>
      <c r="U22" s="40"/>
      <c r="V22" s="40"/>
      <c r="W22" s="96">
        <f>Année_Calendaire</f>
        <v>2016</v>
      </c>
      <c r="X22" s="96"/>
      <c r="Y22" s="65"/>
      <c r="Z22" s="47"/>
      <c r="AA22" s="47"/>
      <c r="AB22" s="47"/>
      <c r="AC22" s="47"/>
      <c r="AD22" s="47"/>
      <c r="AE22" s="47"/>
      <c r="AF22" s="47"/>
      <c r="AG22" s="65"/>
      <c r="AH22" s="40" t="s">
        <v>1</v>
      </c>
      <c r="AI22" s="40"/>
      <c r="AJ22" s="40"/>
      <c r="AK22" s="40"/>
      <c r="AL22" s="40"/>
      <c r="AM22" s="96">
        <f>Année_Calendaire</f>
        <v>2016</v>
      </c>
      <c r="AN22" s="96"/>
      <c r="AO22" s="65"/>
      <c r="AP22" s="47"/>
      <c r="AQ22" s="47"/>
      <c r="AR22" s="65"/>
      <c r="AS22" s="68"/>
      <c r="AT22" s="68"/>
      <c r="AU22" s="68"/>
      <c r="AV22" s="68"/>
      <c r="AW22" s="68"/>
      <c r="AX22" s="68"/>
      <c r="AY22" s="68"/>
      <c r="AZ22" s="48"/>
    </row>
    <row r="23" spans="1:53" s="8" customFormat="1" ht="29.25" customHeight="1" x14ac:dyDescent="0.25">
      <c r="A23" s="47"/>
      <c r="B23" s="78" t="s">
        <v>64</v>
      </c>
      <c r="C23" s="78" t="s">
        <v>65</v>
      </c>
      <c r="D23" s="78" t="s">
        <v>66</v>
      </c>
      <c r="E23" s="78" t="s">
        <v>67</v>
      </c>
      <c r="F23" s="78" t="s">
        <v>68</v>
      </c>
      <c r="G23" s="78" t="s">
        <v>69</v>
      </c>
      <c r="H23" s="78" t="s">
        <v>70</v>
      </c>
      <c r="I23" s="97" t="s">
        <v>83</v>
      </c>
      <c r="J23" s="78" t="s">
        <v>64</v>
      </c>
      <c r="K23" s="78" t="s">
        <v>65</v>
      </c>
      <c r="L23" s="78" t="s">
        <v>66</v>
      </c>
      <c r="M23" s="78" t="s">
        <v>67</v>
      </c>
      <c r="N23" s="78" t="s">
        <v>68</v>
      </c>
      <c r="O23" s="78" t="s">
        <v>69</v>
      </c>
      <c r="P23" s="78" t="s">
        <v>70</v>
      </c>
      <c r="Q23" s="97" t="s">
        <v>83</v>
      </c>
      <c r="R23" s="78" t="s">
        <v>64</v>
      </c>
      <c r="S23" s="78" t="s">
        <v>65</v>
      </c>
      <c r="T23" s="78" t="s">
        <v>66</v>
      </c>
      <c r="U23" s="78" t="s">
        <v>67</v>
      </c>
      <c r="V23" s="78" t="s">
        <v>68</v>
      </c>
      <c r="W23" s="78" t="s">
        <v>69</v>
      </c>
      <c r="X23" s="78" t="s">
        <v>70</v>
      </c>
      <c r="Y23" s="97" t="s">
        <v>83</v>
      </c>
      <c r="Z23" s="78" t="s">
        <v>64</v>
      </c>
      <c r="AA23" s="78" t="s">
        <v>65</v>
      </c>
      <c r="AB23" s="78" t="s">
        <v>66</v>
      </c>
      <c r="AC23" s="78" t="s">
        <v>67</v>
      </c>
      <c r="AD23" s="78" t="s">
        <v>68</v>
      </c>
      <c r="AE23" s="78" t="s">
        <v>69</v>
      </c>
      <c r="AF23" s="78" t="s">
        <v>70</v>
      </c>
      <c r="AG23" s="97" t="s">
        <v>83</v>
      </c>
      <c r="AH23" s="78" t="s">
        <v>64</v>
      </c>
      <c r="AI23" s="78" t="s">
        <v>65</v>
      </c>
      <c r="AJ23" s="78" t="s">
        <v>66</v>
      </c>
      <c r="AK23" s="78" t="s">
        <v>67</v>
      </c>
      <c r="AL23" s="78" t="s">
        <v>68</v>
      </c>
      <c r="AM23" s="78" t="s">
        <v>69</v>
      </c>
      <c r="AN23" s="78" t="s">
        <v>70</v>
      </c>
      <c r="AO23" s="97" t="s">
        <v>83</v>
      </c>
      <c r="AP23" s="78" t="s">
        <v>64</v>
      </c>
      <c r="AQ23" s="78" t="s">
        <v>65</v>
      </c>
      <c r="AR23" s="97" t="s">
        <v>83</v>
      </c>
      <c r="AS23" s="97" t="s">
        <v>86</v>
      </c>
      <c r="AT23" s="98">
        <f>AS30+AS31+AS32</f>
        <v>5</v>
      </c>
      <c r="AU23" s="98">
        <f>AT23+AU5</f>
        <v>7</v>
      </c>
      <c r="AV23" s="47"/>
      <c r="AW23" s="47"/>
      <c r="AX23" s="47"/>
      <c r="AY23" s="47"/>
      <c r="AZ23" s="48"/>
    </row>
    <row r="24" spans="1:53" s="8" customFormat="1" ht="15" customHeight="1" x14ac:dyDescent="0.25">
      <c r="A24" s="64"/>
      <c r="B24" s="83">
        <f>IF(DAY(Fév_Dim1)=1,"",IF(AND(YEAR(Fév_Dim1+1)=Année_Calendaire,MONTH(Fév_Dim1+1)=2),Fév_Dim1+1,""))</f>
        <v>42401</v>
      </c>
      <c r="C24" s="83">
        <f>IF(DAY(Fév_Dim1)=1,"",IF(AND(YEAR(Fév_Dim1+2)=Année_Calendaire,MONTH(Fév_Dim1+2)=2),Fév_Dim1+2,""))</f>
        <v>42402</v>
      </c>
      <c r="D24" s="83">
        <f>IF(DAY(Fév_Dim1)=1,"",IF(AND(YEAR(Fév_Dim1+3)=Année_Calendaire,MONTH(Fév_Dim1+3)=2),Fév_Dim1+3,""))</f>
        <v>42403</v>
      </c>
      <c r="E24" s="83">
        <f>IF(DAY(Fév_Dim1)=1,"",IF(AND(YEAR(Fév_Dim1+4)=Année_Calendaire,MONTH(Fév_Dim1+4)=2),Fév_Dim1+4,""))</f>
        <v>42404</v>
      </c>
      <c r="F24" s="83">
        <f>IF(DAY(Fév_Dim1)=1,"",IF(AND(YEAR(Fév_Dim1+5)=Année_Calendaire,MONTH(Fév_Dim1+5)=2),Fév_Dim1+5,""))</f>
        <v>42405</v>
      </c>
      <c r="G24" s="83">
        <f>IF(DAY(Fév_Dim1)=1,"",IF(AND(YEAR(Fév_Dim1+6)=Année_Calendaire,MONTH(Fév_Dim1+6)=2),Fév_Dim1+6,""))</f>
        <v>42406</v>
      </c>
      <c r="H24" s="83">
        <f>IF(DAY(Fév_Dim1)=1,IF(AND(YEAR(Fév_Dim1)=Année_Calendaire,MONTH(Fév_Dim1)=2),Fév_Dim1,""),IF(AND(YEAR(Fév_Dim1+7)=Année_Calendaire,MONTH(Fév_Dim1+7)=2),Fév_Dim1+7,""))</f>
        <v>42407</v>
      </c>
      <c r="I24" s="97"/>
      <c r="J24" s="83">
        <f>IF(DAY(Fév_Dim1)=1,IF(AND(YEAR(Fév_Dim1+1)=Année_Calendaire,MONTH(Fév_Dim1+1)=2),Fév_Dim1+1,""),IF(AND(YEAR(Fév_Dim1+8)=Année_Calendaire,MONTH(Fév_Dim1+8)=2),Fév_Dim1+8,""))</f>
        <v>42408</v>
      </c>
      <c r="K24" s="83">
        <f>IF(DAY(Fév_Dim1)=1,IF(AND(YEAR(Fév_Dim1+2)=Année_Calendaire,MONTH(Fév_Dim1+2)=2),Fév_Dim1+2,""),IF(AND(YEAR(Fév_Dim1+9)=Année_Calendaire,MONTH(Fév_Dim1+9)=2),Fév_Dim1+9,""))</f>
        <v>42409</v>
      </c>
      <c r="L24" s="83">
        <f>IF(DAY(Fév_Dim1)=1,IF(AND(YEAR(Fév_Dim1+3)=Année_Calendaire,MONTH(Fév_Dim1+3)=2),Fév_Dim1+3,""),IF(AND(YEAR(Fév_Dim1+10)=Année_Calendaire,MONTH(Fév_Dim1+10)=2),Fév_Dim1+10,""))</f>
        <v>42410</v>
      </c>
      <c r="M24" s="83">
        <f>IF(DAY(Fév_Dim1)=1,IF(AND(YEAR(Fév_Dim1+4)=Année_Calendaire,MONTH(Fév_Dim1+4)=2),Fév_Dim1+4,""),IF(AND(YEAR(Fév_Dim1+11)=Année_Calendaire,MONTH(Fév_Dim1+11)=2),Fév_Dim1+11,""))</f>
        <v>42411</v>
      </c>
      <c r="N24" s="83">
        <f>IF(DAY(Fév_Dim1)=1,IF(AND(YEAR(Fév_Dim1+5)=Année_Calendaire,MONTH(Fév_Dim1+5)=2),Fév_Dim1+5,""),IF(AND(YEAR(Fév_Dim1+12)=Année_Calendaire,MONTH(Fév_Dim1+12)=2),Fév_Dim1+12,""))</f>
        <v>42412</v>
      </c>
      <c r="O24" s="83">
        <f>IF(DAY(Fév_Dim1)=1,IF(AND(YEAR(Fév_Dim1+6)=Année_Calendaire,MONTH(Fév_Dim1+6)=2),Fév_Dim1+6,""),IF(AND(YEAR(Fév_Dim1+13)=Année_Calendaire,MONTH(Fév_Dim1+13)=2),Fév_Dim1+13,""))</f>
        <v>42413</v>
      </c>
      <c r="P24" s="83">
        <f>IF(DAY(Fév_Dim1)=1,IF(AND(YEAR(Fév_Dim1+7)=Année_Calendaire,MONTH(Fév_Dim1+7)=2),Fév_Dim1+7,""),IF(AND(YEAR(Fév_Dim1+14)=Année_Calendaire,MONTH(Fév_Dim1+14)=2),Fév_Dim1+14,""))</f>
        <v>42414</v>
      </c>
      <c r="Q24" s="97"/>
      <c r="R24" s="83">
        <f>IF(DAY(Fév_Dim1)=1,IF(AND(YEAR(Fév_Dim1+8)=Année_Calendaire,MONTH(Fév_Dim1+8)=2),Fév_Dim1+8,""),IF(AND(YEAR(Fév_Dim1+15)=Année_Calendaire,MONTH(Fév_Dim1+15)=2),Fév_Dim1+15,""))</f>
        <v>42415</v>
      </c>
      <c r="S24" s="83">
        <f>IF(DAY(Fév_Dim1)=1,IF(AND(YEAR(Fév_Dim1+9)=Année_Calendaire,MONTH(Fév_Dim1+9)=2),Fév_Dim1+9,""),IF(AND(YEAR(Fév_Dim1+16)=Année_Calendaire,MONTH(Fév_Dim1+16)=2),Fév_Dim1+16,""))</f>
        <v>42416</v>
      </c>
      <c r="T24" s="83">
        <f>IF(DAY(Fév_Dim1)=1,IF(AND(YEAR(Fév_Dim1+10)=Année_Calendaire,MONTH(Fév_Dim1+10)=2),Fév_Dim1+10,""),IF(AND(YEAR(Fév_Dim1+17)=Année_Calendaire,MONTH(Fév_Dim1+17)=2),Fév_Dim1+17,""))</f>
        <v>42417</v>
      </c>
      <c r="U24" s="83">
        <f>IF(DAY(Fév_Dim1)=1,IF(AND(YEAR(Fév_Dim1+11)=Année_Calendaire,MONTH(Fév_Dim1+11)=2),Fév_Dim1+11,""),IF(AND(YEAR(Fév_Dim1+18)=Année_Calendaire,MONTH(Fév_Dim1+18)=2),Fév_Dim1+18,""))</f>
        <v>42418</v>
      </c>
      <c r="V24" s="83">
        <f>IF(DAY(Fév_Dim1)=1,IF(AND(YEAR(Fév_Dim1+12)=Année_Calendaire,MONTH(Fév_Dim1+12)=2),Fév_Dim1+12,""),IF(AND(YEAR(Fév_Dim1+19)=Année_Calendaire,MONTH(Fév_Dim1+19)=2),Fév_Dim1+19,""))</f>
        <v>42419</v>
      </c>
      <c r="W24" s="83">
        <f>IF(DAY(Fév_Dim1)=1,IF(AND(YEAR(Fév_Dim1+13)=Année_Calendaire,MONTH(Fév_Dim1+13)=2),Fév_Dim1+13,""),IF(AND(YEAR(Fév_Dim1+20)=Année_Calendaire,MONTH(Fév_Dim1+20)=2),Fév_Dim1+20,""))</f>
        <v>42420</v>
      </c>
      <c r="X24" s="83">
        <f>IF(DAY(Fév_Dim1)=1,IF(AND(YEAR(Fév_Dim1+14)=Année_Calendaire,MONTH(Fév_Dim1+14)=2),Fév_Dim1+14,""),IF(AND(YEAR(Fév_Dim1+21)=Année_Calendaire,MONTH(Fév_Dim1+21)=2),Fév_Dim1+21,""))</f>
        <v>42421</v>
      </c>
      <c r="Y24" s="97"/>
      <c r="Z24" s="83">
        <f>IF(DAY(Fév_Dim1)=1,IF(AND(YEAR(Fév_Dim1+15)=Année_Calendaire,MONTH(Fév_Dim1+15)=2),Fév_Dim1+15,""),IF(AND(YEAR(Fév_Dim1+22)=Année_Calendaire,MONTH(Fév_Dim1+22)=2),Fév_Dim1+22,""))</f>
        <v>42422</v>
      </c>
      <c r="AA24" s="83">
        <f>IF(DAY(Fév_Dim1)=1,IF(AND(YEAR(Fév_Dim1+16)=Année_Calendaire,MONTH(Fév_Dim1+16)=2),Fév_Dim1+16,""),IF(AND(YEAR(Fév_Dim1+23)=Année_Calendaire,MONTH(Fév_Dim1+23)=2),Fév_Dim1+23,""))</f>
        <v>42423</v>
      </c>
      <c r="AB24" s="83">
        <f>IF(DAY(Fév_Dim1)=1,IF(AND(YEAR(Fév_Dim1+17)=Année_Calendaire,MONTH(Fév_Dim1+17)=2),Fév_Dim1+17,""),IF(AND(YEAR(Fév_Dim1+24)=Année_Calendaire,MONTH(Fév_Dim1+24)=2),Fév_Dim1+24,""))</f>
        <v>42424</v>
      </c>
      <c r="AC24" s="83">
        <f>IF(DAY(Fév_Dim1)=1,IF(AND(YEAR(Fév_Dim1+18)=Année_Calendaire,MONTH(Fév_Dim1+18)=2),Fév_Dim1+18,""),IF(AND(YEAR(Fév_Dim1+25)=Année_Calendaire,MONTH(Fév_Dim1+25)=2),Fév_Dim1+25,""))</f>
        <v>42425</v>
      </c>
      <c r="AD24" s="83">
        <f>IF(DAY(Fév_Dim1)=1,IF(AND(YEAR(Fév_Dim1+19)=Année_Calendaire,MONTH(Fév_Dim1+19)=2),Fév_Dim1+19,""),IF(AND(YEAR(Fév_Dim1+26)=Année_Calendaire,MONTH(Fév_Dim1+26)=2),Fév_Dim1+26,""))</f>
        <v>42426</v>
      </c>
      <c r="AE24" s="83">
        <f>IF(DAY(Fév_Dim1)=1,IF(AND(YEAR(Fév_Dim1+20)=Année_Calendaire,MONTH(Fév_Dim1+20)=2),Fév_Dim1+20,""),IF(AND(YEAR(Fév_Dim1+27)=Année_Calendaire,MONTH(Fév_Dim1+27)=2),Fév_Dim1+27,""))</f>
        <v>42427</v>
      </c>
      <c r="AF24" s="83">
        <f>IF(DAY(Fév_Dim1)=1,IF(AND(YEAR(Fév_Dim1+21)=Année_Calendaire,MONTH(Fév_Dim1+21)=2),Fév_Dim1+21,""),IF(AND(YEAR(Fév_Dim1+28)=Année_Calendaire,MONTH(Fév_Dim1+28)=2),Fév_Dim1+28,""))</f>
        <v>42428</v>
      </c>
      <c r="AG24" s="97"/>
      <c r="AH24" s="83">
        <f>IF(DAY(Fév_Dim1)=1,IF(AND(YEAR(Fév_Dim1+22)=Année_Calendaire,MONTH(Fév_Dim1+22)=2),Fév_Dim1+22,""),IF(AND(YEAR(Fév_Dim1+29)=Année_Calendaire,MONTH(Fév_Dim1+29)=2),Fév_Dim1+29,""))</f>
        <v>42429</v>
      </c>
      <c r="AI24" s="83" t="str">
        <f>IF(DAY(Fév_Dim1)=1,IF(AND(YEAR(Fév_Dim1+23)=Année_Calendaire,MONTH(Fév_Dim1+23)=2),Fév_Dim1+23,""),IF(AND(YEAR(Fév_Dim1+30)=Année_Calendaire,MONTH(Fév_Dim1+30)=2),Fév_Dim1+30,""))</f>
        <v/>
      </c>
      <c r="AJ24" s="83" t="str">
        <f>IF(DAY(Fév_Dim1)=1,IF(AND(YEAR(Fév_Dim1+24)=Année_Calendaire,MONTH(Fév_Dim1+24)=2),Fév_Dim1+24,""),IF(AND(YEAR(Fév_Dim1+31)=Année_Calendaire,MONTH(Fév_Dim1+31)=2),Fév_Dim1+31,""))</f>
        <v/>
      </c>
      <c r="AK24" s="83" t="str">
        <f>IF(DAY(Fév_Dim1)=1,IF(AND(YEAR(Fév_Dim1+25)=Année_Calendaire,MONTH(Fév_Dim1+25)=2),Fév_Dim1+25,""),IF(AND(YEAR(Fév_Dim1+32)=Année_Calendaire,MONTH(Fév_Dim1+32)=2),Fév_Dim1+32,""))</f>
        <v/>
      </c>
      <c r="AL24" s="83" t="str">
        <f>IF(DAY(Fév_Dim1)=1,IF(AND(YEAR(Fév_Dim1+26)=Année_Calendaire,MONTH(Fév_Dim1+26)=2),Fév_Dim1+26,""),IF(AND(YEAR(Fév_Dim1+33)=Année_Calendaire,MONTH(Fév_Dim1+33)=2),Fév_Dim1+33,""))</f>
        <v/>
      </c>
      <c r="AM24" s="83" t="str">
        <f>IF(DAY(Fév_Dim1)=1,IF(AND(YEAR(Fév_Dim1+27)=Année_Calendaire,MONTH(Fév_Dim1+27)=2),Fév_Dim1+27,""),IF(AND(YEAR(Fév_Dim1+34)=Année_Calendaire,MONTH(Fév_Dim1+34)=2),Fév_Dim1+34,""))</f>
        <v/>
      </c>
      <c r="AN24" s="83" t="str">
        <f>IF(DAY(Fév_Dim1)=1,IF(AND(YEAR(Fév_Dim1+28)=Année_Calendaire,MONTH(Fév_Dim1+28)=2),Fév_Dim1+28,""),IF(AND(YEAR(Fév_Dim1+35)=Année_Calendaire,MONTH(Fév_Dim1+35)=2),Fév_Dim1+35,""))</f>
        <v/>
      </c>
      <c r="AO24" s="97"/>
      <c r="AP24" s="77" t="str">
        <f>IF(DAY(Fév_Dim1)=1,IF(AND(YEAR(Fév_Dim1+29)=Année_Calendaire,MONTH(Fév_Dim1+29)=2),Fév_Dim1+29,""),IF(AND(YEAR(Fév_Dim1+36)=Année_Calendaire,MONTH(Fév_Dim1+36)=2),Fév_Dim1+36,""))</f>
        <v/>
      </c>
      <c r="AQ24" s="77" t="str">
        <f>IF(DAY(Fév_Dim1)=1,IF(AND(YEAR(Fév_Dim1+30)=Année_Calendaire,MONTH(Fév_Dim1+30)=2),Fév_Dim1+30,""),IF(AND(YEAR(Fév_Dim1+37)=Année_Calendaire,MONTH(Fév_Dim1+37)=2),Fév_Dim1+37,""))</f>
        <v/>
      </c>
      <c r="AR24" s="97"/>
      <c r="AS24" s="97"/>
      <c r="AT24" s="98"/>
      <c r="AU24" s="98"/>
      <c r="AV24" s="68"/>
      <c r="AW24" s="68"/>
      <c r="AX24" s="68"/>
      <c r="AY24" s="68"/>
      <c r="AZ24" s="51"/>
    </row>
    <row r="25" spans="1:53" s="8" customFormat="1" ht="15" customHeight="1" x14ac:dyDescent="0.25">
      <c r="A25" s="37" t="s">
        <v>2</v>
      </c>
      <c r="B25" s="47" t="s">
        <v>106</v>
      </c>
      <c r="C25" s="47" t="s">
        <v>106</v>
      </c>
      <c r="D25" s="47" t="s">
        <v>106</v>
      </c>
      <c r="E25" s="47" t="s">
        <v>106</v>
      </c>
      <c r="F25" s="47" t="s">
        <v>106</v>
      </c>
      <c r="G25" s="47"/>
      <c r="H25" s="47"/>
      <c r="I25" s="76"/>
      <c r="J25" s="47" t="s">
        <v>107</v>
      </c>
      <c r="K25" s="47" t="s">
        <v>107</v>
      </c>
      <c r="L25" s="47" t="s">
        <v>107</v>
      </c>
      <c r="M25" s="94" t="s">
        <v>107</v>
      </c>
      <c r="N25" s="94" t="s">
        <v>107</v>
      </c>
      <c r="O25" s="47"/>
      <c r="P25" s="47"/>
      <c r="Q25" s="76"/>
      <c r="R25" s="47"/>
      <c r="S25" s="47"/>
      <c r="T25" s="47"/>
      <c r="U25" s="47"/>
      <c r="V25" s="47"/>
      <c r="W25" s="47"/>
      <c r="X25" s="47"/>
      <c r="Y25" s="76"/>
      <c r="Z25" s="47" t="s">
        <v>110</v>
      </c>
      <c r="AA25" s="47"/>
      <c r="AB25" s="47"/>
      <c r="AC25" s="47" t="s">
        <v>107</v>
      </c>
      <c r="AD25" s="47" t="s">
        <v>107</v>
      </c>
      <c r="AE25" s="47"/>
      <c r="AF25" s="47"/>
      <c r="AG25" s="76"/>
      <c r="AH25" s="47" t="s">
        <v>106</v>
      </c>
      <c r="AI25" s="47"/>
      <c r="AJ25" s="47"/>
      <c r="AK25" s="47"/>
      <c r="AL25" s="47"/>
      <c r="AM25" s="47"/>
      <c r="AN25" s="47"/>
      <c r="AO25" s="76"/>
      <c r="AP25" s="47"/>
      <c r="AQ25" s="47"/>
      <c r="AR25" s="76"/>
      <c r="AS25" s="79"/>
      <c r="AT25" s="68"/>
      <c r="AU25" s="68"/>
      <c r="AV25" s="68"/>
      <c r="AW25" s="68"/>
      <c r="AX25" s="68"/>
      <c r="AY25" s="68"/>
      <c r="AZ25" s="51"/>
    </row>
    <row r="26" spans="1:53" s="49" customFormat="1" ht="15" customHeight="1" x14ac:dyDescent="0.25">
      <c r="A26" s="37" t="s">
        <v>63</v>
      </c>
      <c r="B26" s="76">
        <f t="shared" ref="B26:H26" si="80">IF(B25="Matin",1,IF(B25="AM",1,0))</f>
        <v>1</v>
      </c>
      <c r="C26" s="76">
        <f t="shared" si="80"/>
        <v>1</v>
      </c>
      <c r="D26" s="76">
        <f t="shared" si="80"/>
        <v>1</v>
      </c>
      <c r="E26" s="76">
        <f t="shared" si="80"/>
        <v>1</v>
      </c>
      <c r="F26" s="76">
        <f t="shared" si="80"/>
        <v>1</v>
      </c>
      <c r="G26" s="76">
        <f t="shared" si="80"/>
        <v>0</v>
      </c>
      <c r="H26" s="76">
        <f t="shared" si="80"/>
        <v>0</v>
      </c>
      <c r="I26" s="76">
        <f>SUM(B26:H26)</f>
        <v>5</v>
      </c>
      <c r="J26" s="76">
        <f t="shared" ref="J26:P26" si="81">IF(J25="Matin",1,IF(J25="AM",1,0))</f>
        <v>1</v>
      </c>
      <c r="K26" s="76">
        <f t="shared" si="81"/>
        <v>1</v>
      </c>
      <c r="L26" s="76">
        <f t="shared" si="81"/>
        <v>1</v>
      </c>
      <c r="M26" s="76">
        <f t="shared" si="81"/>
        <v>1</v>
      </c>
      <c r="N26" s="76">
        <f t="shared" si="81"/>
        <v>1</v>
      </c>
      <c r="O26" s="76">
        <f t="shared" si="81"/>
        <v>0</v>
      </c>
      <c r="P26" s="76">
        <f t="shared" si="81"/>
        <v>0</v>
      </c>
      <c r="Q26" s="76">
        <f>SUM(J26:P26)</f>
        <v>5</v>
      </c>
      <c r="R26" s="76">
        <f t="shared" ref="R26:X26" si="82">IF(R25="Matin",1,IF(R25="AM",1,0))</f>
        <v>0</v>
      </c>
      <c r="S26" s="76">
        <f t="shared" si="82"/>
        <v>0</v>
      </c>
      <c r="T26" s="76">
        <f t="shared" si="82"/>
        <v>0</v>
      </c>
      <c r="U26" s="76">
        <f t="shared" si="82"/>
        <v>0</v>
      </c>
      <c r="V26" s="76">
        <f t="shared" si="82"/>
        <v>0</v>
      </c>
      <c r="W26" s="76">
        <f t="shared" si="82"/>
        <v>0</v>
      </c>
      <c r="X26" s="76">
        <f t="shared" si="82"/>
        <v>0</v>
      </c>
      <c r="Y26" s="76">
        <f>SUM(R26:X26)</f>
        <v>0</v>
      </c>
      <c r="Z26" s="76">
        <f t="shared" ref="Z26:AF26" si="83">IF(Z25="Matin",1,IF(Z25="AM",1,0))</f>
        <v>0</v>
      </c>
      <c r="AA26" s="76">
        <f t="shared" si="83"/>
        <v>0</v>
      </c>
      <c r="AB26" s="76">
        <f t="shared" si="83"/>
        <v>0</v>
      </c>
      <c r="AC26" s="76">
        <f t="shared" si="83"/>
        <v>1</v>
      </c>
      <c r="AD26" s="76">
        <f t="shared" si="83"/>
        <v>1</v>
      </c>
      <c r="AE26" s="76">
        <f t="shared" si="83"/>
        <v>0</v>
      </c>
      <c r="AF26" s="76">
        <f t="shared" si="83"/>
        <v>0</v>
      </c>
      <c r="AG26" s="76">
        <f>SUM(Z26:AF26)</f>
        <v>2</v>
      </c>
      <c r="AH26" s="76">
        <f t="shared" ref="AH26:AN26" si="84">IF(AH25="Matin",1,IF(AH25="AM",1,0))</f>
        <v>1</v>
      </c>
      <c r="AI26" s="76">
        <f t="shared" si="84"/>
        <v>0</v>
      </c>
      <c r="AJ26" s="76">
        <f t="shared" si="84"/>
        <v>0</v>
      </c>
      <c r="AK26" s="76">
        <f t="shared" si="84"/>
        <v>0</v>
      </c>
      <c r="AL26" s="76">
        <f t="shared" si="84"/>
        <v>0</v>
      </c>
      <c r="AM26" s="76">
        <f t="shared" si="84"/>
        <v>0</v>
      </c>
      <c r="AN26" s="76">
        <f t="shared" si="84"/>
        <v>0</v>
      </c>
      <c r="AO26" s="76">
        <f>SUM(AH26:AN26)</f>
        <v>1</v>
      </c>
      <c r="AP26" s="76">
        <f t="shared" ref="AP26:AQ26" si="85">IF(AP25="Matin",1,IF(AP25="AM",1,0))</f>
        <v>0</v>
      </c>
      <c r="AQ26" s="76">
        <f t="shared" si="85"/>
        <v>0</v>
      </c>
      <c r="AR26" s="76">
        <f t="shared" ref="AR26:AR33" si="86">SUM(AP26:AQ26)</f>
        <v>0</v>
      </c>
      <c r="AS26" s="76">
        <f>I26+Q26+Y26+AG26+AO26+AR26</f>
        <v>13</v>
      </c>
      <c r="AT26" s="47"/>
      <c r="AU26" s="47"/>
      <c r="AV26" s="47"/>
      <c r="AW26" s="47"/>
      <c r="AX26" s="47"/>
      <c r="AY26" s="47"/>
      <c r="AZ26" s="47"/>
      <c r="BA26" s="50"/>
    </row>
    <row r="27" spans="1:53" s="49" customFormat="1" ht="15" customHeight="1" x14ac:dyDescent="0.25">
      <c r="A27" s="37" t="s">
        <v>4</v>
      </c>
      <c r="B27" s="76">
        <f>IF(B28&gt;=1,1,0)</f>
        <v>1</v>
      </c>
      <c r="C27" s="76">
        <f>IF(C28&gt;=1,1,0)</f>
        <v>1</v>
      </c>
      <c r="D27" s="76">
        <f t="shared" ref="D27:H27" si="87">IF(D28&gt;=1,1,0)</f>
        <v>1</v>
      </c>
      <c r="E27" s="76">
        <f t="shared" si="87"/>
        <v>1</v>
      </c>
      <c r="F27" s="76">
        <f t="shared" si="87"/>
        <v>1</v>
      </c>
      <c r="G27" s="76">
        <f t="shared" si="87"/>
        <v>0</v>
      </c>
      <c r="H27" s="76">
        <f t="shared" si="87"/>
        <v>0</v>
      </c>
      <c r="I27" s="76">
        <f t="shared" ref="I27:I37" si="88">SUM(B27:H27)</f>
        <v>5</v>
      </c>
      <c r="J27" s="76">
        <f>IF(J28&gt;=1,1,0)</f>
        <v>1</v>
      </c>
      <c r="K27" s="76">
        <f t="shared" ref="K27:P27" si="89">IF(K28&gt;=1,1,0)</f>
        <v>1</v>
      </c>
      <c r="L27" s="76">
        <f t="shared" si="89"/>
        <v>1</v>
      </c>
      <c r="M27" s="76">
        <f t="shared" si="89"/>
        <v>1</v>
      </c>
      <c r="N27" s="76">
        <f t="shared" si="89"/>
        <v>1</v>
      </c>
      <c r="O27" s="76">
        <f t="shared" si="89"/>
        <v>0</v>
      </c>
      <c r="P27" s="76">
        <f t="shared" si="89"/>
        <v>0</v>
      </c>
      <c r="Q27" s="76">
        <f t="shared" ref="Q27:Q37" si="90">SUM(J27:P27)</f>
        <v>5</v>
      </c>
      <c r="R27" s="76">
        <f>IF(R28&gt;=1,1,0)</f>
        <v>0</v>
      </c>
      <c r="S27" s="76">
        <f t="shared" ref="S27:X27" si="91">IF(S28&gt;=1,1,0)</f>
        <v>0</v>
      </c>
      <c r="T27" s="76">
        <f t="shared" si="91"/>
        <v>0</v>
      </c>
      <c r="U27" s="76">
        <f t="shared" si="91"/>
        <v>0</v>
      </c>
      <c r="V27" s="76">
        <f t="shared" si="91"/>
        <v>0</v>
      </c>
      <c r="W27" s="76">
        <f t="shared" si="91"/>
        <v>0</v>
      </c>
      <c r="X27" s="76">
        <f t="shared" si="91"/>
        <v>0</v>
      </c>
      <c r="Y27" s="76">
        <f t="shared" ref="Y27:Y37" si="92">SUM(R27:X27)</f>
        <v>0</v>
      </c>
      <c r="Z27" s="76">
        <f>IF(Z28&gt;=1,1,0)</f>
        <v>1</v>
      </c>
      <c r="AA27" s="76">
        <f t="shared" ref="AA27:AF27" si="93">IF(AA28&gt;=1,1,0)</f>
        <v>0</v>
      </c>
      <c r="AB27" s="76">
        <f t="shared" si="93"/>
        <v>0</v>
      </c>
      <c r="AC27" s="76">
        <f t="shared" si="93"/>
        <v>1</v>
      </c>
      <c r="AD27" s="76">
        <f t="shared" si="93"/>
        <v>1</v>
      </c>
      <c r="AE27" s="76">
        <f t="shared" si="93"/>
        <v>0</v>
      </c>
      <c r="AF27" s="76">
        <f t="shared" si="93"/>
        <v>0</v>
      </c>
      <c r="AG27" s="76">
        <f t="shared" ref="AG27:AG37" si="94">SUM(Z27:AF27)</f>
        <v>3</v>
      </c>
      <c r="AH27" s="76">
        <f>IF(AH28&gt;=1,1,0)</f>
        <v>1</v>
      </c>
      <c r="AI27" s="76">
        <f t="shared" ref="AI27:AN27" si="95">IF(AI28&gt;=1,1,0)</f>
        <v>0</v>
      </c>
      <c r="AJ27" s="76">
        <f t="shared" si="95"/>
        <v>0</v>
      </c>
      <c r="AK27" s="76">
        <f t="shared" si="95"/>
        <v>0</v>
      </c>
      <c r="AL27" s="76">
        <f t="shared" si="95"/>
        <v>0</v>
      </c>
      <c r="AM27" s="76">
        <f t="shared" si="95"/>
        <v>0</v>
      </c>
      <c r="AN27" s="76">
        <f t="shared" si="95"/>
        <v>0</v>
      </c>
      <c r="AO27" s="76">
        <f t="shared" ref="AO27:AO37" si="96">SUM(AH27:AN27)</f>
        <v>1</v>
      </c>
      <c r="AP27" s="76">
        <f>IF(AP28&gt;=1,1,0)</f>
        <v>0</v>
      </c>
      <c r="AQ27" s="76">
        <f t="shared" ref="AQ27" si="97">IF(AQ28&gt;=1,1,0)</f>
        <v>0</v>
      </c>
      <c r="AR27" s="76">
        <f t="shared" si="86"/>
        <v>0</v>
      </c>
      <c r="AS27" s="76">
        <f t="shared" ref="AS27:AS36" si="98">I27+Q27+Y27+AG27+AO27+AR27</f>
        <v>14</v>
      </c>
      <c r="AT27" s="68"/>
      <c r="AU27" s="68"/>
      <c r="AV27" s="68"/>
      <c r="AW27" s="68"/>
      <c r="AX27" s="68"/>
      <c r="AY27" s="68"/>
      <c r="AZ27" s="51"/>
    </row>
    <row r="28" spans="1:53" s="8" customFormat="1" ht="15" customHeight="1" x14ac:dyDescent="0.25">
      <c r="A28" s="37" t="s">
        <v>3</v>
      </c>
      <c r="B28" s="47">
        <v>8</v>
      </c>
      <c r="C28" s="47">
        <v>8</v>
      </c>
      <c r="D28" s="47">
        <v>8</v>
      </c>
      <c r="E28" s="47">
        <v>8</v>
      </c>
      <c r="F28" s="47">
        <v>8</v>
      </c>
      <c r="G28" s="47"/>
      <c r="H28" s="47"/>
      <c r="I28" s="76">
        <f t="shared" si="88"/>
        <v>40</v>
      </c>
      <c r="J28" s="47">
        <v>8</v>
      </c>
      <c r="K28" s="47">
        <v>8</v>
      </c>
      <c r="L28" s="47">
        <v>8</v>
      </c>
      <c r="M28" s="47">
        <v>8</v>
      </c>
      <c r="N28" s="47">
        <v>8</v>
      </c>
      <c r="O28" s="47"/>
      <c r="P28" s="47"/>
      <c r="Q28" s="76">
        <f t="shared" si="90"/>
        <v>40</v>
      </c>
      <c r="R28" s="47"/>
      <c r="S28" s="47"/>
      <c r="T28" s="47"/>
      <c r="U28" s="47"/>
      <c r="V28" s="47"/>
      <c r="W28" s="47"/>
      <c r="X28" s="47"/>
      <c r="Y28" s="76">
        <f t="shared" si="92"/>
        <v>0</v>
      </c>
      <c r="Z28" s="47">
        <v>8</v>
      </c>
      <c r="AA28" s="47"/>
      <c r="AB28" s="47"/>
      <c r="AC28" s="47">
        <v>8</v>
      </c>
      <c r="AD28" s="47">
        <v>8</v>
      </c>
      <c r="AE28" s="47"/>
      <c r="AF28" s="47"/>
      <c r="AG28" s="76">
        <f t="shared" si="94"/>
        <v>24</v>
      </c>
      <c r="AH28" s="47">
        <v>8</v>
      </c>
      <c r="AI28" s="47"/>
      <c r="AJ28" s="47"/>
      <c r="AK28" s="47"/>
      <c r="AL28" s="47"/>
      <c r="AM28" s="47"/>
      <c r="AN28" s="47"/>
      <c r="AO28" s="76">
        <f t="shared" si="96"/>
        <v>8</v>
      </c>
      <c r="AP28" s="47"/>
      <c r="AQ28" s="47"/>
      <c r="AR28" s="76">
        <f t="shared" si="86"/>
        <v>0</v>
      </c>
      <c r="AS28" s="76">
        <f t="shared" si="98"/>
        <v>112</v>
      </c>
      <c r="AT28" s="68"/>
      <c r="AU28" s="68"/>
      <c r="AV28" s="68"/>
      <c r="AW28" s="68"/>
      <c r="AX28" s="68"/>
      <c r="AY28" s="68"/>
      <c r="AZ28" s="51"/>
    </row>
    <row r="29" spans="1:53" s="8" customFormat="1" ht="15" customHeight="1" x14ac:dyDescent="0.25">
      <c r="A29" s="52" t="s">
        <v>71</v>
      </c>
      <c r="B29" s="82">
        <f>IF(B23&lt;&gt;"Dim",IF(B28&gt;32,MIN(B28,35)-32,0),0)</f>
        <v>0</v>
      </c>
      <c r="C29" s="82">
        <f>IF(C23&lt;&gt;"Dim",IF(SUM($B28:C28)&gt;32,MIN(SUM($B28:C28),35)-32-SUM($B29:B29),0),0)</f>
        <v>0</v>
      </c>
      <c r="D29" s="82">
        <f>IF(D23&lt;&gt;"Dim",IF(SUM($B28:D28)&gt;32,MIN(SUM($B28:D28),35)-32-SUM($B29:C29),0),0)</f>
        <v>0</v>
      </c>
      <c r="E29" s="82">
        <f>IF(E23&lt;&gt;"Dim",IF(SUM($B28:E28)&gt;32,MIN(SUM($B28:E28),35)-32-SUM($B29:D29),0),0)</f>
        <v>0</v>
      </c>
      <c r="F29" s="82"/>
      <c r="G29" s="82"/>
      <c r="H29" s="82">
        <f>IF(H23&lt;&gt;"Dim",IF(SUM($B28:H28)&gt;32,MIN(SUM($B28:H28),35)-32-SUM($B29:G29),0),0)</f>
        <v>0</v>
      </c>
      <c r="I29" s="76">
        <f t="shared" si="88"/>
        <v>0</v>
      </c>
      <c r="J29" s="82">
        <f>IF(J23&lt;&gt;"Dim",IF(J28&gt;32,MIN(J28,35)-32,0),0)</f>
        <v>0</v>
      </c>
      <c r="K29" s="82">
        <f>IF(K23&lt;&gt;"Dim",IF(SUM($J28:K28)&gt;32,MIN(SUM($J28:K28),35)-32-SUM($J29:J29),0),0)</f>
        <v>0</v>
      </c>
      <c r="L29" s="82">
        <f>IF(L23&lt;&gt;"Dim",IF(SUM($J28:L28)&gt;32,MIN(SUM($J28:L28),35)-32-SUM($J29:K29),0),0)</f>
        <v>0</v>
      </c>
      <c r="M29" s="82">
        <f>IF(M23&lt;&gt;"Dim",IF(SUM($J28:M28)&gt;32,MIN(SUM($J28:M28),35)-32-SUM($J29:L29),0),0)</f>
        <v>0</v>
      </c>
      <c r="N29" s="82">
        <f>IF(N23&lt;&gt;"Dim",IF(SUM($J28:N28)&gt;32,MIN(SUM($J28:N28),35)-32-SUM($J29:M29),0),0)</f>
        <v>3</v>
      </c>
      <c r="O29" s="82">
        <f>IF(O23&lt;&gt;"Dim",IF(SUM($J28:O28)&gt;32,MIN(SUM($J28:O28),35)-32-SUM($J29:N29),0),0)</f>
        <v>0</v>
      </c>
      <c r="P29" s="82">
        <f>IF(P23&lt;&gt;"Dim",IF(SUM($J28:P28)&gt;32,MIN(SUM($J28:P28),35)-32-SUM($J29:O29),0),0)</f>
        <v>0</v>
      </c>
      <c r="Q29" s="76">
        <f t="shared" si="90"/>
        <v>3</v>
      </c>
      <c r="R29" s="82">
        <f>IF(R23&lt;&gt;"Dim",IF(R28&gt;32,MIN(R28,35)-32,0),0)</f>
        <v>0</v>
      </c>
      <c r="S29" s="82">
        <f>IF(S23&lt;&gt;"Dim",IF(SUM($R28:S28)&gt;32,MIN(SUM($R28:S28),35)-32-SUM($R29:R29),0),0)</f>
        <v>0</v>
      </c>
      <c r="T29" s="82">
        <f>IF(T23&lt;&gt;"Dim",IF(SUM($R28:T28)&gt;32,MIN(SUM($R28:T28),35)-32-SUM($R29:S29),0),0)</f>
        <v>0</v>
      </c>
      <c r="U29" s="82">
        <f>IF(U23&lt;&gt;"Dim",IF(SUM($R28:U28)&gt;32,MIN(SUM($R28:U28),35)-32-SUM($R29:T29),0),0)</f>
        <v>0</v>
      </c>
      <c r="V29" s="82">
        <f>IF(V23&lt;&gt;"Dim",IF(SUM($R28:V28)&gt;32,MIN(SUM($R28:V28),35)-32-SUM($R29:U29),0),0)</f>
        <v>0</v>
      </c>
      <c r="W29" s="82">
        <f>IF(W23&lt;&gt;"Dim",IF(SUM($R28:W28)&gt;32,MIN(SUM($R28:W28),35)-32-SUM($R29:V29),0),0)</f>
        <v>0</v>
      </c>
      <c r="X29" s="82">
        <f>IF(X23&lt;&gt;"Dim",IF(SUM($R28:X28)&gt;32,MIN(SUM($R28:X28),35)-32-SUM($R29:W29),0),0)</f>
        <v>0</v>
      </c>
      <c r="Y29" s="76">
        <f t="shared" si="92"/>
        <v>0</v>
      </c>
      <c r="Z29" s="82">
        <f>IF(Z23&lt;&gt;"Dim",IF(Z28&gt;32,MIN(Z28,35)-32,0),0)</f>
        <v>0</v>
      </c>
      <c r="AA29" s="82">
        <f>IF(AA23&lt;&gt;"Dim",IF(SUM($Z28:AA28)&gt;32,MIN(SUM($Z28:AA28),35)-32-SUM($Z29:Z29),0),0)</f>
        <v>0</v>
      </c>
      <c r="AB29" s="82">
        <f>IF(AB23&lt;&gt;"Dim",IF(SUM($Z28:AB28)&gt;32,MIN(SUM($Z28:AB28),35)-32-SUM($Z29:AA29),0),0)</f>
        <v>0</v>
      </c>
      <c r="AC29" s="82">
        <f>IF(AC23&lt;&gt;"Dim",IF(SUM($Z28:AC28)&gt;32,MIN(SUM($Z28:AC28),35)-32-SUM($Z29:AB29),0),0)</f>
        <v>0</v>
      </c>
      <c r="AD29" s="82">
        <f>IF(AD23&lt;&gt;"Dim",IF(SUM($Z28:AD28)&gt;32,MIN(SUM($Z28:AD28),35)-32-SUM($Z29:AC29),0),0)</f>
        <v>0</v>
      </c>
      <c r="AE29" s="82">
        <f>IF(AE23&lt;&gt;"Dim",IF(SUM($Z28:AE28)&gt;32,MIN(SUM($Z28:AE28),35)-32-SUM($Z29:AD29),0),0)</f>
        <v>0</v>
      </c>
      <c r="AF29" s="82">
        <f>IF(AF23&lt;&gt;"Dim",IF(SUM($Z28:AF28)&gt;32,MIN(SUM($Z28:AF28),35)-32-SUM($Z29:AE29),0),0)</f>
        <v>0</v>
      </c>
      <c r="AG29" s="76">
        <f t="shared" si="94"/>
        <v>0</v>
      </c>
      <c r="AH29" s="82">
        <f>IF(AH23&lt;&gt;"Dim",IF(AH28&gt;32,MIN(AH28,35)-32,0),0)</f>
        <v>0</v>
      </c>
      <c r="AI29" s="82">
        <f>IF(AI23&lt;&gt;"Dim",IF(SUM($AH28:AI28)&gt;32,MIN(SUM($AH28:AI28),35)-32-SUM($AH29:AH29),0),0)</f>
        <v>0</v>
      </c>
      <c r="AJ29" s="82">
        <f>IF(AJ23&lt;&gt;"Dim",IF(SUM($AH28:AJ28)&gt;32,MIN(SUM($AH28:AJ28),35)-32-SUM($AH29:AI29),0),0)</f>
        <v>0</v>
      </c>
      <c r="AK29" s="82">
        <f>IF(AK23&lt;&gt;"Dim",IF(SUM($AH28:AK28)&gt;32,MIN(SUM($AH28:AK28),35)-32-SUM($AH29:AJ29),0),0)</f>
        <v>0</v>
      </c>
      <c r="AL29" s="82">
        <f>IF(AL23&lt;&gt;"Dim",IF(SUM($AH28:AL28)&gt;32,MIN(SUM($AH28:AL28),35)-32-SUM($AH29:AK29),0),0)</f>
        <v>0</v>
      </c>
      <c r="AM29" s="82">
        <f>IF(AM23&lt;&gt;"Dim",IF(SUM($AH28:AM28)&gt;32,MIN(SUM($AH28:AM28),35)-32-SUM($AH29:AL29),0),0)</f>
        <v>0</v>
      </c>
      <c r="AN29" s="82">
        <f>IF(AN23&lt;&gt;"Dim",IF(SUM($AH28:AN28)&gt;32,MIN(SUM($AH28:AN28),35)-32-SUM($AH29:AM29),0),0)</f>
        <v>0</v>
      </c>
      <c r="AO29" s="76">
        <f t="shared" si="96"/>
        <v>0</v>
      </c>
      <c r="AP29" s="82">
        <f>IF(AP23&lt;&gt;"Dim",IF(AP28&gt;32,MIN(AP28,35)-32,0),0)</f>
        <v>0</v>
      </c>
      <c r="AQ29" s="82">
        <f>IF(AQ23&lt;&gt;"Dim",IF(SUM($AP28:AQ28)&gt;32,MIN(SUM($AP28:AQ28),35)-32-SUM($AP29:AP29),0),0)</f>
        <v>0</v>
      </c>
      <c r="AR29" s="76">
        <f t="shared" si="86"/>
        <v>0</v>
      </c>
      <c r="AS29" s="76">
        <f t="shared" si="98"/>
        <v>3</v>
      </c>
      <c r="AT29" s="68"/>
      <c r="AU29" s="68"/>
      <c r="AV29" s="68"/>
      <c r="AW29" s="68"/>
      <c r="AX29" s="68"/>
      <c r="AY29" s="68"/>
      <c r="AZ29" s="51"/>
    </row>
    <row r="30" spans="1:53" s="8" customFormat="1" ht="15" customHeight="1" x14ac:dyDescent="0.25">
      <c r="A30" s="37" t="s">
        <v>40</v>
      </c>
      <c r="B30" s="82">
        <f>IF(B23&lt;&gt;"Dim",IF(B28&gt;35,(MIN(B28,43)-35),0),0)</f>
        <v>0</v>
      </c>
      <c r="C30" s="82">
        <f>IF(C23&lt;&gt;"Dim",IF(SUM($B28:C28)&gt;35,(MIN(SUM($B28:C28),43)-35-SUM($B30:B30)),0),0)</f>
        <v>0</v>
      </c>
      <c r="D30" s="82">
        <f>IF(D23&lt;&gt;"Dim",IF(SUM($B28:D28)&gt;35,(MIN(SUM($B28:D28),43)-35-SUM($B30:C30)),0),0)</f>
        <v>0</v>
      </c>
      <c r="E30" s="82">
        <f>IF(E23&lt;&gt;"Dim",IF(SUM($B28:E28)&gt;35,(MIN(SUM($B28:E28),43)-35-SUM($B30:D30)),0),0)</f>
        <v>0</v>
      </c>
      <c r="F30" s="82"/>
      <c r="G30" s="82"/>
      <c r="H30" s="82">
        <f>IF(H23&lt;&gt;"Dim",IF(SUM($B28:H28)&gt;35,(MIN(SUM($B28:H28),43)-35-SUM($B30:G30)),0),0)</f>
        <v>0</v>
      </c>
      <c r="I30" s="76">
        <f t="shared" si="88"/>
        <v>0</v>
      </c>
      <c r="J30" s="82">
        <f>IF(J23&lt;&gt;"Dim",IF(J28&gt;35,(MIN(J28,43)-35),0),0)</f>
        <v>0</v>
      </c>
      <c r="K30" s="82">
        <f>IF(K23&lt;&gt;"Dim",IF(SUM($J28:K28)&gt;35,(MIN(SUM($J28:K28),43)-35-SUM($J30:J30)),0),0)</f>
        <v>0</v>
      </c>
      <c r="L30" s="82">
        <f>IF(L23&lt;&gt;"Dim",IF(SUM($J28:L28)&gt;35,(MIN(SUM($J28:L28),43)-35-SUM($J30:K30)),0),0)</f>
        <v>0</v>
      </c>
      <c r="M30" s="82">
        <f>IF(M23&lt;&gt;"Dim",IF(SUM($J28:M28)&gt;35,(MIN(SUM($J28:M28),43)-35-SUM($J30:L30)),0),0)</f>
        <v>0</v>
      </c>
      <c r="N30" s="82">
        <f>IF(N23&lt;&gt;"Dim",IF(SUM($J28:N28)&gt;35,(MIN(SUM($J28:N28),43)-35-SUM($J30:M30)),0),0)</f>
        <v>5</v>
      </c>
      <c r="O30" s="82">
        <f>IF(O23&lt;&gt;"Dim",IF(SUM($J28:O28)&gt;35,(MIN(SUM($J28:O28),43)-35-SUM($J30:N30)),0),0)</f>
        <v>0</v>
      </c>
      <c r="P30" s="82">
        <f>IF(P23&lt;&gt;"Dim",IF(SUM($J28:P28)&gt;35,(MIN(SUM($J28:P28),43)-35-SUM($J30:O30)),0),0)</f>
        <v>0</v>
      </c>
      <c r="Q30" s="76">
        <f t="shared" si="90"/>
        <v>5</v>
      </c>
      <c r="R30" s="82">
        <f>IF(R23&lt;&gt;"Dim",IF(R28&gt;35,(MIN(R28,43)-35),0),0)</f>
        <v>0</v>
      </c>
      <c r="S30" s="82">
        <f>IF(S23&lt;&gt;"Dim",IF(SUM($R28:S28)&gt;35,(MIN(SUM($R28:S28),43)-35-SUM($R30:R30)),0),0)</f>
        <v>0</v>
      </c>
      <c r="T30" s="82">
        <f>IF(T23&lt;&gt;"Dim",IF(SUM($R28:T28)&gt;35,(MIN(SUM($R28:T28),43)-35-SUM($R30:S30)),0),0)</f>
        <v>0</v>
      </c>
      <c r="U30" s="82">
        <f>IF(U23&lt;&gt;"Dim",IF(SUM($R28:U28)&gt;35,(MIN(SUM($R28:U28),43)-35-SUM($R30:T30)),0),0)</f>
        <v>0</v>
      </c>
      <c r="V30" s="82">
        <f>IF(V23&lt;&gt;"Dim",IF(SUM($R28:V28)&gt;35,(MIN(SUM($R28:V28),43)-35-SUM($R30:U30)),0),0)</f>
        <v>0</v>
      </c>
      <c r="W30" s="82">
        <f>IF(W23&lt;&gt;"Dim",IF(SUM($R28:W28)&gt;35,(MIN(SUM($R28:W28),43)-35-SUM($R30:V30)),0),0)</f>
        <v>0</v>
      </c>
      <c r="X30" s="82">
        <f>IF(X23&lt;&gt;"Dim",IF(SUM($R28:X28)&gt;35,(MIN(SUM($R28:X28),43)-35-SUM($R30:W30)),0),0)</f>
        <v>0</v>
      </c>
      <c r="Y30" s="76">
        <f t="shared" si="92"/>
        <v>0</v>
      </c>
      <c r="Z30" s="82">
        <f>IF(Z23&lt;&gt;"Dim",IF(Z28&gt;35,(MIN(Z28,43)-35),0),0)</f>
        <v>0</v>
      </c>
      <c r="AA30" s="82">
        <f>IF(AA23&lt;&gt;"Dim",IF(SUM($Z28:AA28)&gt;35,(MIN(SUM($Z28:AA28),43)-35-SUM($Z30:Z30)),0),0)</f>
        <v>0</v>
      </c>
      <c r="AB30" s="82">
        <f>IF(AB23&lt;&gt;"Dim",IF(SUM($Z28:AB28)&gt;35,(MIN(SUM($Z28:AB28),43)-35-SUM($Z30:AA30)),0),0)</f>
        <v>0</v>
      </c>
      <c r="AC30" s="82">
        <f>IF(AC23&lt;&gt;"Dim",IF(SUM($Z28:AC28)&gt;35,(MIN(SUM($Z28:AC28),43)-35-SUM($Z30:AB30)),0),0)</f>
        <v>0</v>
      </c>
      <c r="AD30" s="82">
        <f>IF(AD23&lt;&gt;"Dim",IF(SUM($Z28:AD28)&gt;35,(MIN(SUM($Z28:AD28),43)-35-SUM($Z30:AC30)),0),0)</f>
        <v>0</v>
      </c>
      <c r="AE30" s="82">
        <f>IF(AE23&lt;&gt;"Dim",IF(SUM($Z28:AE28)&gt;35,(MIN(SUM($Z28:AE28),43)-35-SUM($Z30:AD30)),0),0)</f>
        <v>0</v>
      </c>
      <c r="AF30" s="82">
        <f>IF(AF23&lt;&gt;"Dim",IF(SUM($Z28:AF28)&gt;35,(MIN(SUM($Z28:AF28),43)-35-SUM($Z30:AE30)),0),0)</f>
        <v>0</v>
      </c>
      <c r="AG30" s="76">
        <f t="shared" si="94"/>
        <v>0</v>
      </c>
      <c r="AH30" s="82">
        <f>IF(AH23&lt;&gt;"Dim",IF(AH28&gt;35,(MIN(AH28,43)-35),0),0)</f>
        <v>0</v>
      </c>
      <c r="AI30" s="82">
        <f>IF(AI23&lt;&gt;"Dim",IF(SUM($AH28:AI28)&gt;35,(MIN(SUM($AH28:AI28),43)-35-SUM($AH30:AH30)),0),0)</f>
        <v>0</v>
      </c>
      <c r="AJ30" s="82">
        <f>IF(AJ23&lt;&gt;"Dim",IF(SUM($AH28:AJ28)&gt;35,(MIN(SUM($AH28:AJ28),43)-35-SUM($AH30:AI30)),0),0)</f>
        <v>0</v>
      </c>
      <c r="AK30" s="82">
        <f>IF(AK23&lt;&gt;"Dim",IF(SUM($AH28:AK28)&gt;35,(MIN(SUM($AH28:AK28),43)-35-SUM($AH30:AJ30)),0),0)</f>
        <v>0</v>
      </c>
      <c r="AL30" s="82">
        <f>IF(AL23&lt;&gt;"Dim",IF(SUM($AH28:AL28)&gt;35,(MIN(SUM($AH28:AL28),43)-35-SUM($AH30:AK30)),0),0)</f>
        <v>0</v>
      </c>
      <c r="AM30" s="82">
        <f>IF(AM23&lt;&gt;"Dim",IF(SUM($AH28:AM28)&gt;35,(MIN(SUM($AH28:AM28),43)-35-SUM($AH30:AL30)),0),0)</f>
        <v>0</v>
      </c>
      <c r="AN30" s="82">
        <f>IF(AN23&lt;&gt;"Dim",IF(SUM($AH28:AN28)&gt;35,(MIN(SUM($AH28:AN28),43)-35-SUM($AH30:AM30)),0),0)</f>
        <v>0</v>
      </c>
      <c r="AO30" s="76">
        <f t="shared" si="96"/>
        <v>0</v>
      </c>
      <c r="AP30" s="82">
        <f>IF(AP23&lt;&gt;"Dim",IF(AP28&gt;35,(MIN(AP28,43)-35),0),0)</f>
        <v>0</v>
      </c>
      <c r="AQ30" s="82">
        <f>IF(AQ23&lt;&gt;"Dim",IF(SUM($AP28:AQ28)&gt;35,(MIN(SUM($AP28:AQ28),43)-35-SUM($AP30:AP30)),0),0)</f>
        <v>0</v>
      </c>
      <c r="AR30" s="76">
        <f t="shared" si="86"/>
        <v>0</v>
      </c>
      <c r="AS30" s="76">
        <f t="shared" si="98"/>
        <v>5</v>
      </c>
      <c r="AT30" s="68"/>
      <c r="AU30" s="68"/>
      <c r="AV30" s="68"/>
      <c r="AW30" s="68"/>
      <c r="AX30" s="68"/>
      <c r="AY30" s="68"/>
      <c r="AZ30" s="51"/>
    </row>
    <row r="31" spans="1:53" s="8" customFormat="1" ht="15" customHeight="1" x14ac:dyDescent="0.25">
      <c r="A31" s="37" t="s">
        <v>39</v>
      </c>
      <c r="B31" s="82">
        <f>IF(B23&lt;&gt;"Dim",IF(B28&gt;43,(MIN(B28,48)-43),0),0)</f>
        <v>0</v>
      </c>
      <c r="C31" s="82">
        <f>IF(C23&lt;&gt;"Dim",IF(SUM($B28:C28)&gt;43,(MIN(SUM($B28:C28),48)-43-SUM($B31:B31)),0),0)</f>
        <v>0</v>
      </c>
      <c r="D31" s="82">
        <f>IF(D23&lt;&gt;"Dim",IF(SUM($B28:D28)&gt;43,(MIN(SUM($B28:D28),48)-43-SUM($B31:C31)),0),0)</f>
        <v>0</v>
      </c>
      <c r="E31" s="82">
        <f>IF(E23&lt;&gt;"Dim",IF(SUM($B28:E28)&gt;43,(MIN(SUM($B28:E28),48)-43-SUM($B31:D31)),0),0)</f>
        <v>0</v>
      </c>
      <c r="F31" s="82">
        <f>IF(F23&lt;&gt;"Dim",IF(SUM($B28:F28)&gt;43,(MIN(SUM($B28:F28),48)-43-SUM($B31:E31)),0),0)</f>
        <v>0</v>
      </c>
      <c r="G31" s="82">
        <f>IF(G23&lt;&gt;"Dim",IF(SUM($B28:G28)&gt;43,(MIN(SUM($B28:G28),48)-43-SUM($B31:F31)),0),0)</f>
        <v>0</v>
      </c>
      <c r="H31" s="82">
        <f>IF(H23&lt;&gt;"Dim",IF(SUM($B28:H28)&gt;43,(MIN(SUM($B28:H28),48)-43-SUM($B31:G31)),0),0)</f>
        <v>0</v>
      </c>
      <c r="I31" s="76">
        <f t="shared" si="88"/>
        <v>0</v>
      </c>
      <c r="J31" s="82">
        <f>IF(J23&lt;&gt;"Dim",IF(J28&gt;43,(MIN(J28,48)-43),0),0)</f>
        <v>0</v>
      </c>
      <c r="K31" s="82">
        <f>IF(K23&lt;&gt;"Dim",IF(SUM($J28:K28)&gt;43,(MIN(SUM($J28:K28),48)-43-SUM($J31:J31)),0),0)</f>
        <v>0</v>
      </c>
      <c r="L31" s="82">
        <f>IF(L23&lt;&gt;"Dim",IF(SUM($J28:L28)&gt;43,(MIN(SUM($J28:L28),48)-43-SUM($J31:K31)),0),0)</f>
        <v>0</v>
      </c>
      <c r="M31" s="82">
        <f>IF(M23&lt;&gt;"Dim",IF(SUM($J28:M28)&gt;43,(MIN(SUM($J28:M28),48)-43-SUM($J31:L31)),0),0)</f>
        <v>0</v>
      </c>
      <c r="N31" s="82">
        <f>IF(N23&lt;&gt;"Dim",IF(SUM($J28:N28)&gt;43,(MIN(SUM($J28:N28),48)-43-SUM($J31:M31)),0),0)</f>
        <v>0</v>
      </c>
      <c r="O31" s="82">
        <f>IF(O23&lt;&gt;"Dim",IF(SUM($J28:O28)&gt;43,(MIN(SUM($J28:O28),48)-43-SUM($J31:N31)),0),0)</f>
        <v>0</v>
      </c>
      <c r="P31" s="82">
        <f>IF(P23&lt;&gt;"Dim",IF(SUM($J28:P28)&gt;43,(MIN(SUM($J28:P28),48)-43-SUM($J31:O31)),0),0)</f>
        <v>0</v>
      </c>
      <c r="Q31" s="76">
        <f t="shared" si="90"/>
        <v>0</v>
      </c>
      <c r="R31" s="82">
        <f>IF(R23&lt;&gt;"Dim",IF(R28&gt;43,(MIN(R28,48)-43),0),0)</f>
        <v>0</v>
      </c>
      <c r="S31" s="82">
        <f>IF(S23&lt;&gt;"Dim",IF(SUM($R28:S28)&gt;43,(MIN(SUM($R28:S28),48)-43-SUM($R31:R31)),0),0)</f>
        <v>0</v>
      </c>
      <c r="T31" s="82">
        <f>IF(T23&lt;&gt;"Dim",IF(SUM($R28:T28)&gt;43,(MIN(SUM($R28:T28),48)-43-SUM($R31:S31)),0),0)</f>
        <v>0</v>
      </c>
      <c r="U31" s="82">
        <f>IF(U23&lt;&gt;"Dim",IF(SUM($R28:U28)&gt;43,(MIN(SUM($R28:U28),48)-43-SUM($R31:T31)),0),0)</f>
        <v>0</v>
      </c>
      <c r="V31" s="82">
        <f>IF(V23&lt;&gt;"Dim",IF(SUM($R28:V28)&gt;43,(MIN(SUM($R28:V28),48)-43-SUM($R31:U31)),0),0)</f>
        <v>0</v>
      </c>
      <c r="W31" s="82">
        <f>IF(W23&lt;&gt;"Dim",IF(SUM($R28:W28)&gt;43,(MIN(SUM($R28:W28),48)-43-SUM($R31:V31)),0),0)</f>
        <v>0</v>
      </c>
      <c r="X31" s="82">
        <f>IF(X23&lt;&gt;"Dim",IF(SUM($R28:X28)&gt;43,(MIN(SUM($R28:X28),48)-43-SUM($R31:W31)),0),0)</f>
        <v>0</v>
      </c>
      <c r="Y31" s="76">
        <f t="shared" si="92"/>
        <v>0</v>
      </c>
      <c r="Z31" s="82">
        <f>IF(Z23&lt;&gt;"Dim",IF(Z28&gt;43,(MIN(Z28,48)-43),0),0)</f>
        <v>0</v>
      </c>
      <c r="AA31" s="82">
        <f>IF(AA23&lt;&gt;"Dim",IF(SUM($Z28:AA28)&gt;43,(MIN(SUM($Z28:AA28),48)-43-SUM($Z31:Z31)),0),0)</f>
        <v>0</v>
      </c>
      <c r="AB31" s="82">
        <f>IF(AB23&lt;&gt;"Dim",IF(SUM($Z28:AB28)&gt;43,(MIN(SUM($Z28:AB28),48)-43-SUM($Z31:AA31)),0),0)</f>
        <v>0</v>
      </c>
      <c r="AC31" s="82">
        <f>IF(AC23&lt;&gt;"Dim",IF(SUM($Z28:AC28)&gt;43,(MIN(SUM($Z28:AC28),48)-43-SUM($Z31:AB31)),0),0)</f>
        <v>0</v>
      </c>
      <c r="AD31" s="82">
        <f>IF(AD23&lt;&gt;"Dim",IF(SUM($Z28:AD28)&gt;43,(MIN(SUM($Z28:AD28),48)-43-SUM($Z31:AC31)),0),0)</f>
        <v>0</v>
      </c>
      <c r="AE31" s="82">
        <f>IF(AE23&lt;&gt;"Dim",IF(SUM($Z28:AE28)&gt;43,(MIN(SUM($Z28:AE28),48)-43-SUM($Z31:AD31)),0),0)</f>
        <v>0</v>
      </c>
      <c r="AF31" s="82">
        <f>IF(AF23&lt;&gt;"Dim",IF(SUM($Z28:AF28)&gt;43,(MIN(SUM($Z28:AF28),48)-43-SUM($Z31:AE31)),0),0)</f>
        <v>0</v>
      </c>
      <c r="AG31" s="76">
        <f t="shared" si="94"/>
        <v>0</v>
      </c>
      <c r="AH31" s="82">
        <f>IF(AH23&lt;&gt;"Dim",IF(AH28&gt;43,(MIN(AH28,48)-43),0),0)</f>
        <v>0</v>
      </c>
      <c r="AI31" s="82">
        <f>IF(AI23&lt;&gt;"Dim",IF(SUM($AH28:AI28)&gt;43,(MIN(SUM($AH28:AI28),48)-43-SUM($AH31:AH31)),0),0)</f>
        <v>0</v>
      </c>
      <c r="AJ31" s="82">
        <f>IF(AJ23&lt;&gt;"Dim",IF(SUM($AH28:AJ28)&gt;43,(MIN(SUM($AH28:AJ28),48)-43-SUM($AH31:AI31)),0),0)</f>
        <v>0</v>
      </c>
      <c r="AK31" s="82">
        <f>IF(AK23&lt;&gt;"Dim",IF(SUM($AH28:AK28)&gt;43,(MIN(SUM($AH28:AK28),48)-43-SUM($AH31:AJ31)),0),0)</f>
        <v>0</v>
      </c>
      <c r="AL31" s="82">
        <f>IF(AL23&lt;&gt;"Dim",IF(SUM($AH28:AL28)&gt;43,(MIN(SUM($AH28:AL28),48)-43-SUM($AH31:AK31)),0),0)</f>
        <v>0</v>
      </c>
      <c r="AM31" s="82">
        <f>IF(AM23&lt;&gt;"Dim",IF(SUM($AH28:AM28)&gt;43,(MIN(SUM($AH28:AM28),48)-43-SUM($AH31:AL31)),0),0)</f>
        <v>0</v>
      </c>
      <c r="AN31" s="82">
        <f>IF(AN23&lt;&gt;"Dim",IF(SUM($AH28:AN28)&gt;43,(MIN(SUM($AH28:AN28),48)-43-SUM($AH31:AM31)),0),0)</f>
        <v>0</v>
      </c>
      <c r="AO31" s="76">
        <f t="shared" si="96"/>
        <v>0</v>
      </c>
      <c r="AP31" s="82">
        <f>IF(AP23&lt;&gt;"Dim",IF(AP28&gt;43,(MIN(AP28,48)-43),0),0)</f>
        <v>0</v>
      </c>
      <c r="AQ31" s="82">
        <f>IF(AQ23&lt;&gt;"Dim",IF(SUM($AP28:AQ28)&gt;43,(MIN(SUM($AP28:AQ28),48)-43-SUM($AP31:AP31)),0),0)</f>
        <v>0</v>
      </c>
      <c r="AR31" s="76">
        <f t="shared" si="86"/>
        <v>0</v>
      </c>
      <c r="AS31" s="76">
        <f t="shared" si="98"/>
        <v>0</v>
      </c>
      <c r="AT31" s="68"/>
      <c r="AU31" s="68"/>
      <c r="AV31" s="68"/>
      <c r="AW31" s="68"/>
      <c r="AX31" s="68"/>
      <c r="AY31" s="68"/>
      <c r="AZ31" s="51"/>
    </row>
    <row r="32" spans="1:53" s="8" customFormat="1" ht="15" customHeight="1" x14ac:dyDescent="0.25">
      <c r="A32" s="37" t="s">
        <v>41</v>
      </c>
      <c r="B32" s="82">
        <f>IF(B23="Dim",B28,IF(B38="ferie",B28,0))</f>
        <v>0</v>
      </c>
      <c r="C32" s="82">
        <f t="shared" ref="C32:H32" si="99">IF(C23="Dim",C28,IF(C38="ferie",C28,0))</f>
        <v>0</v>
      </c>
      <c r="D32" s="82">
        <f t="shared" si="99"/>
        <v>0</v>
      </c>
      <c r="E32" s="82">
        <f t="shared" si="99"/>
        <v>0</v>
      </c>
      <c r="F32" s="82">
        <f t="shared" si="99"/>
        <v>0</v>
      </c>
      <c r="G32" s="82">
        <f t="shared" si="99"/>
        <v>0</v>
      </c>
      <c r="H32" s="82">
        <f t="shared" si="99"/>
        <v>0</v>
      </c>
      <c r="I32" s="76">
        <f t="shared" si="88"/>
        <v>0</v>
      </c>
      <c r="J32" s="82">
        <f>IF(J23="Dim",J28,IF(J38="ferie",J28,0))</f>
        <v>0</v>
      </c>
      <c r="K32" s="82">
        <f t="shared" ref="K32:P32" si="100">IF(K23="Dim",K28,IF(K38="ferie",K28,0))</f>
        <v>0</v>
      </c>
      <c r="L32" s="82">
        <f t="shared" si="100"/>
        <v>0</v>
      </c>
      <c r="M32" s="82">
        <f t="shared" si="100"/>
        <v>0</v>
      </c>
      <c r="N32" s="82">
        <f t="shared" si="100"/>
        <v>0</v>
      </c>
      <c r="O32" s="82">
        <f>IF(O23="Dim",O28,IF(O38="ferie",O28,0))</f>
        <v>0</v>
      </c>
      <c r="P32" s="82">
        <f t="shared" si="100"/>
        <v>0</v>
      </c>
      <c r="Q32" s="76">
        <f t="shared" si="90"/>
        <v>0</v>
      </c>
      <c r="R32" s="82">
        <f>IF(R23="Dim",R28,IF(R38="ferie",R28,0))</f>
        <v>0</v>
      </c>
      <c r="S32" s="82">
        <f t="shared" ref="S32:X32" si="101">IF(S23="Dim",S28,IF(S38="ferie",S28,0))</f>
        <v>0</v>
      </c>
      <c r="T32" s="82">
        <f t="shared" si="101"/>
        <v>0</v>
      </c>
      <c r="U32" s="82">
        <f t="shared" si="101"/>
        <v>0</v>
      </c>
      <c r="V32" s="82">
        <f t="shared" si="101"/>
        <v>0</v>
      </c>
      <c r="W32" s="82">
        <f t="shared" si="101"/>
        <v>0</v>
      </c>
      <c r="X32" s="82">
        <f t="shared" si="101"/>
        <v>0</v>
      </c>
      <c r="Y32" s="76">
        <f t="shared" si="92"/>
        <v>0</v>
      </c>
      <c r="Z32" s="82">
        <f>IF(Z23="Dim",Z28,IF(Z38="ferie",Z28,0))</f>
        <v>0</v>
      </c>
      <c r="AA32" s="82">
        <f t="shared" ref="AA32:AF32" si="102">IF(AA23="Dim",AA28,IF(AA38="ferie",AA28,0))</f>
        <v>0</v>
      </c>
      <c r="AB32" s="82">
        <f t="shared" si="102"/>
        <v>0</v>
      </c>
      <c r="AC32" s="82">
        <f t="shared" si="102"/>
        <v>0</v>
      </c>
      <c r="AD32" s="82">
        <f t="shared" si="102"/>
        <v>0</v>
      </c>
      <c r="AE32" s="82">
        <f t="shared" si="102"/>
        <v>0</v>
      </c>
      <c r="AF32" s="82">
        <f t="shared" si="102"/>
        <v>0</v>
      </c>
      <c r="AG32" s="76">
        <f t="shared" si="94"/>
        <v>0</v>
      </c>
      <c r="AH32" s="82">
        <f>IF(AH23="Dim",AH28,IF(AH38="ferie",AH28,0))</f>
        <v>0</v>
      </c>
      <c r="AI32" s="82">
        <f t="shared" ref="AI32:AQ32" si="103">IF(AI23="Dim",AI28,IF(AI38="ferie",AI28,0))</f>
        <v>0</v>
      </c>
      <c r="AJ32" s="82">
        <f t="shared" si="103"/>
        <v>0</v>
      </c>
      <c r="AK32" s="82">
        <f t="shared" si="103"/>
        <v>0</v>
      </c>
      <c r="AL32" s="82">
        <f t="shared" si="103"/>
        <v>0</v>
      </c>
      <c r="AM32" s="82">
        <f t="shared" si="103"/>
        <v>0</v>
      </c>
      <c r="AN32" s="82">
        <f t="shared" si="103"/>
        <v>0</v>
      </c>
      <c r="AO32" s="76">
        <f>SUM(AH32:AN32)</f>
        <v>0</v>
      </c>
      <c r="AP32" s="82">
        <f>IF(AP23="Dim",AP28,IF(AP38="ferie",AP28,0))</f>
        <v>0</v>
      </c>
      <c r="AQ32" s="82">
        <f t="shared" si="103"/>
        <v>0</v>
      </c>
      <c r="AR32" s="76">
        <f>SUM(AP32:AQ32)</f>
        <v>0</v>
      </c>
      <c r="AS32" s="76">
        <f t="shared" si="98"/>
        <v>0</v>
      </c>
      <c r="AT32" s="68"/>
      <c r="AU32" s="68"/>
      <c r="AV32" s="68"/>
      <c r="AW32" s="68"/>
      <c r="AX32" s="68"/>
      <c r="AY32" s="68"/>
      <c r="AZ32" s="51"/>
    </row>
    <row r="33" spans="1:53" s="8" customFormat="1" ht="15" customHeight="1" x14ac:dyDescent="0.25">
      <c r="A33" s="37" t="s">
        <v>59</v>
      </c>
      <c r="B33" s="47"/>
      <c r="C33" s="47"/>
      <c r="D33" s="47"/>
      <c r="E33" s="47"/>
      <c r="F33" s="47"/>
      <c r="G33" s="47"/>
      <c r="H33" s="47"/>
      <c r="I33" s="76">
        <f t="shared" si="88"/>
        <v>0</v>
      </c>
      <c r="J33" s="47"/>
      <c r="K33" s="47"/>
      <c r="L33" s="47"/>
      <c r="M33" s="47">
        <v>8</v>
      </c>
      <c r="N33" s="47">
        <v>8</v>
      </c>
      <c r="O33" s="47"/>
      <c r="P33" s="47"/>
      <c r="Q33" s="76">
        <f t="shared" si="90"/>
        <v>16</v>
      </c>
      <c r="R33" s="47"/>
      <c r="S33" s="47"/>
      <c r="T33" s="47"/>
      <c r="U33" s="47"/>
      <c r="V33" s="47"/>
      <c r="W33" s="47"/>
      <c r="X33" s="47"/>
      <c r="Y33" s="76">
        <f t="shared" si="92"/>
        <v>0</v>
      </c>
      <c r="Z33" s="47"/>
      <c r="AA33" s="47"/>
      <c r="AB33" s="47"/>
      <c r="AC33" s="47"/>
      <c r="AD33" s="47"/>
      <c r="AE33" s="47"/>
      <c r="AF33" s="47"/>
      <c r="AG33" s="76">
        <f t="shared" si="94"/>
        <v>0</v>
      </c>
      <c r="AH33" s="47"/>
      <c r="AI33" s="47"/>
      <c r="AJ33" s="47"/>
      <c r="AK33" s="47"/>
      <c r="AL33" s="47"/>
      <c r="AM33" s="47"/>
      <c r="AN33" s="47"/>
      <c r="AO33" s="76">
        <f t="shared" si="96"/>
        <v>0</v>
      </c>
      <c r="AP33" s="47"/>
      <c r="AQ33" s="47"/>
      <c r="AR33" s="76">
        <f t="shared" si="86"/>
        <v>0</v>
      </c>
      <c r="AS33" s="76">
        <f t="shared" si="98"/>
        <v>16</v>
      </c>
      <c r="AT33" s="68"/>
      <c r="AU33" s="68"/>
      <c r="AV33" s="68"/>
      <c r="AW33" s="68"/>
      <c r="AX33" s="68"/>
      <c r="AY33" s="68"/>
      <c r="AZ33" s="51"/>
    </row>
    <row r="34" spans="1:53" s="8" customFormat="1" ht="15" customHeight="1" x14ac:dyDescent="0.25">
      <c r="A34" s="52" t="s">
        <v>60</v>
      </c>
      <c r="B34" s="47"/>
      <c r="C34" s="47"/>
      <c r="D34" s="47"/>
      <c r="E34" s="47"/>
      <c r="F34" s="47"/>
      <c r="G34" s="47"/>
      <c r="H34" s="47"/>
      <c r="I34" s="76">
        <f t="shared" si="88"/>
        <v>0</v>
      </c>
      <c r="J34" s="47"/>
      <c r="K34" s="47"/>
      <c r="L34" s="47"/>
      <c r="M34" s="47"/>
      <c r="N34" s="47"/>
      <c r="O34" s="47"/>
      <c r="P34" s="47"/>
      <c r="Q34" s="76">
        <f t="shared" si="90"/>
        <v>0</v>
      </c>
      <c r="R34" s="47"/>
      <c r="S34" s="47"/>
      <c r="T34" s="47"/>
      <c r="U34" s="47"/>
      <c r="V34" s="47"/>
      <c r="W34" s="47"/>
      <c r="X34" s="47"/>
      <c r="Y34" s="76">
        <f t="shared" si="92"/>
        <v>0</v>
      </c>
      <c r="Z34" s="47"/>
      <c r="AA34" s="47"/>
      <c r="AB34" s="47"/>
      <c r="AC34" s="47"/>
      <c r="AD34" s="47"/>
      <c r="AE34" s="47"/>
      <c r="AF34" s="47"/>
      <c r="AG34" s="76">
        <f t="shared" si="94"/>
        <v>0</v>
      </c>
      <c r="AH34" s="47"/>
      <c r="AI34" s="47"/>
      <c r="AJ34" s="47"/>
      <c r="AK34" s="47"/>
      <c r="AL34" s="47"/>
      <c r="AM34" s="47"/>
      <c r="AN34" s="47"/>
      <c r="AO34" s="76">
        <f t="shared" si="96"/>
        <v>0</v>
      </c>
      <c r="AP34" s="47"/>
      <c r="AQ34" s="47"/>
      <c r="AR34" s="76">
        <f t="shared" ref="AR34:AR36" si="104">SUM(AP34:AQ34)</f>
        <v>0</v>
      </c>
      <c r="AS34" s="76">
        <f t="shared" si="98"/>
        <v>0</v>
      </c>
      <c r="AT34" s="69"/>
      <c r="AU34" s="69"/>
      <c r="AV34" s="69"/>
      <c r="AW34" s="69"/>
      <c r="AX34" s="58"/>
      <c r="AY34" s="58"/>
      <c r="AZ34" s="48"/>
    </row>
    <row r="35" spans="1:53" s="7" customFormat="1" ht="15" customHeight="1" x14ac:dyDescent="0.25">
      <c r="A35" s="37" t="s">
        <v>62</v>
      </c>
      <c r="B35" s="47"/>
      <c r="C35" s="47"/>
      <c r="D35" s="47"/>
      <c r="E35" s="47"/>
      <c r="F35" s="47"/>
      <c r="G35" s="47"/>
      <c r="H35" s="47"/>
      <c r="I35" s="76">
        <f t="shared" si="88"/>
        <v>0</v>
      </c>
      <c r="J35" s="47"/>
      <c r="K35" s="47"/>
      <c r="L35" s="47"/>
      <c r="M35" s="47"/>
      <c r="N35" s="47"/>
      <c r="O35" s="47"/>
      <c r="P35" s="47"/>
      <c r="Q35" s="76">
        <f t="shared" si="90"/>
        <v>0</v>
      </c>
      <c r="R35" s="47">
        <v>1</v>
      </c>
      <c r="S35" s="47">
        <v>1</v>
      </c>
      <c r="T35" s="47">
        <v>1</v>
      </c>
      <c r="U35" s="47">
        <v>1</v>
      </c>
      <c r="V35" s="47">
        <v>1</v>
      </c>
      <c r="W35" s="47"/>
      <c r="X35" s="47"/>
      <c r="Y35" s="76">
        <f t="shared" si="92"/>
        <v>5</v>
      </c>
      <c r="Z35" s="47"/>
      <c r="AA35" s="47"/>
      <c r="AB35" s="47"/>
      <c r="AC35" s="47"/>
      <c r="AD35" s="47"/>
      <c r="AE35" s="47"/>
      <c r="AF35" s="47"/>
      <c r="AG35" s="76">
        <f t="shared" si="94"/>
        <v>0</v>
      </c>
      <c r="AH35" s="47"/>
      <c r="AI35" s="47"/>
      <c r="AJ35" s="47"/>
      <c r="AK35" s="47"/>
      <c r="AL35" s="47"/>
      <c r="AM35" s="47"/>
      <c r="AN35" s="47"/>
      <c r="AO35" s="76">
        <f t="shared" si="96"/>
        <v>0</v>
      </c>
      <c r="AP35" s="47"/>
      <c r="AQ35" s="47"/>
      <c r="AR35" s="76">
        <f t="shared" si="104"/>
        <v>0</v>
      </c>
      <c r="AS35" s="76">
        <f t="shared" si="98"/>
        <v>5</v>
      </c>
      <c r="AT35" s="56"/>
      <c r="AU35" s="56"/>
      <c r="AV35" s="56"/>
      <c r="AW35" s="56"/>
      <c r="AX35" s="56"/>
      <c r="AY35" s="56"/>
      <c r="AZ35" s="45"/>
    </row>
    <row r="36" spans="1:53" s="7" customFormat="1" ht="15" customHeight="1" x14ac:dyDescent="0.25">
      <c r="A36" s="52" t="s">
        <v>61</v>
      </c>
      <c r="B36" s="47"/>
      <c r="C36" s="47"/>
      <c r="D36" s="47"/>
      <c r="E36" s="47"/>
      <c r="F36" s="47"/>
      <c r="G36" s="47"/>
      <c r="H36" s="47"/>
      <c r="I36" s="76">
        <f t="shared" si="88"/>
        <v>0</v>
      </c>
      <c r="J36" s="47"/>
      <c r="K36" s="47"/>
      <c r="L36" s="47"/>
      <c r="M36" s="47"/>
      <c r="N36" s="47"/>
      <c r="O36" s="47"/>
      <c r="P36" s="47"/>
      <c r="Q36" s="76">
        <f t="shared" si="90"/>
        <v>0</v>
      </c>
      <c r="R36" s="47"/>
      <c r="S36" s="47"/>
      <c r="T36" s="47"/>
      <c r="U36" s="47"/>
      <c r="V36" s="47"/>
      <c r="W36" s="47"/>
      <c r="X36" s="47"/>
      <c r="Y36" s="76">
        <f t="shared" si="92"/>
        <v>0</v>
      </c>
      <c r="Z36" s="47"/>
      <c r="AA36" s="47"/>
      <c r="AB36" s="47"/>
      <c r="AC36" s="47"/>
      <c r="AD36" s="47"/>
      <c r="AE36" s="47"/>
      <c r="AF36" s="47"/>
      <c r="AG36" s="76">
        <f t="shared" si="94"/>
        <v>0</v>
      </c>
      <c r="AH36" s="47"/>
      <c r="AI36" s="47"/>
      <c r="AJ36" s="47"/>
      <c r="AK36" s="47"/>
      <c r="AL36" s="47"/>
      <c r="AM36" s="47"/>
      <c r="AN36" s="47"/>
      <c r="AO36" s="76">
        <f t="shared" si="96"/>
        <v>0</v>
      </c>
      <c r="AP36" s="47"/>
      <c r="AQ36" s="47"/>
      <c r="AR36" s="76">
        <f t="shared" si="104"/>
        <v>0</v>
      </c>
      <c r="AS36" s="76">
        <f t="shared" si="98"/>
        <v>0</v>
      </c>
      <c r="AT36" s="56"/>
      <c r="AU36" s="56"/>
      <c r="AV36" s="56"/>
      <c r="AW36" s="56"/>
      <c r="AX36" s="56"/>
      <c r="AY36" s="56"/>
      <c r="AZ36" s="45"/>
    </row>
    <row r="37" spans="1:53" s="49" customFormat="1" ht="15" customHeight="1" x14ac:dyDescent="0.25">
      <c r="A37" s="52" t="s">
        <v>95</v>
      </c>
      <c r="B37" s="76">
        <f>IF(B25="nuit",B28*0.02,0)</f>
        <v>0</v>
      </c>
      <c r="C37" s="76">
        <f>IF(C25="nuit",C28*0.02,0)</f>
        <v>0</v>
      </c>
      <c r="D37" s="76">
        <f t="shared" ref="D37:H37" si="105">IF(D25="nuit",D28*0.02,0)</f>
        <v>0</v>
      </c>
      <c r="E37" s="76">
        <f t="shared" si="105"/>
        <v>0</v>
      </c>
      <c r="F37" s="76">
        <f>IF(F25="nuit",F28*0.02,0)</f>
        <v>0</v>
      </c>
      <c r="G37" s="76">
        <f t="shared" si="105"/>
        <v>0</v>
      </c>
      <c r="H37" s="76">
        <f t="shared" si="105"/>
        <v>0</v>
      </c>
      <c r="I37" s="76">
        <f t="shared" si="88"/>
        <v>0</v>
      </c>
      <c r="J37" s="76">
        <f>IF(J25="nuit",J28*0.02,0)</f>
        <v>0</v>
      </c>
      <c r="K37" s="76">
        <f>IF(K25="nuit",K28*0.02,0)</f>
        <v>0</v>
      </c>
      <c r="L37" s="76">
        <f t="shared" ref="L37:P37" si="106">IF(L25="nuit",L28*0.02,0)</f>
        <v>0</v>
      </c>
      <c r="M37" s="76">
        <f t="shared" si="106"/>
        <v>0</v>
      </c>
      <c r="N37" s="76">
        <f>IF(N25="nuit",N28*0.02,0)</f>
        <v>0</v>
      </c>
      <c r="O37" s="76">
        <f t="shared" si="106"/>
        <v>0</v>
      </c>
      <c r="P37" s="76">
        <f t="shared" si="106"/>
        <v>0</v>
      </c>
      <c r="Q37" s="76">
        <f t="shared" si="90"/>
        <v>0</v>
      </c>
      <c r="R37" s="76">
        <f>IF(R25="nuit",R28*0.02,0)</f>
        <v>0</v>
      </c>
      <c r="S37" s="76">
        <f>IF(S25="nuit",S28*0.02,0)</f>
        <v>0</v>
      </c>
      <c r="T37" s="76">
        <f t="shared" ref="T37:X37" si="107">IF(T25="nuit",T28*0.02,0)</f>
        <v>0</v>
      </c>
      <c r="U37" s="76">
        <f t="shared" si="107"/>
        <v>0</v>
      </c>
      <c r="V37" s="76">
        <f>IF(V25="nuit",V28*0.02,0)</f>
        <v>0</v>
      </c>
      <c r="W37" s="76">
        <f t="shared" si="107"/>
        <v>0</v>
      </c>
      <c r="X37" s="76">
        <f t="shared" si="107"/>
        <v>0</v>
      </c>
      <c r="Y37" s="76">
        <f t="shared" si="92"/>
        <v>0</v>
      </c>
      <c r="Z37" s="76">
        <f>IF(Z25="nuit",Z28*0.02,0)</f>
        <v>0</v>
      </c>
      <c r="AA37" s="76">
        <f>IF(AA25="nuit",AA28*0.02,0)</f>
        <v>0</v>
      </c>
      <c r="AB37" s="76">
        <f t="shared" ref="AB37:AF37" si="108">IF(AB25="nuit",AB28*0.02,0)</f>
        <v>0</v>
      </c>
      <c r="AC37" s="76">
        <f t="shared" si="108"/>
        <v>0</v>
      </c>
      <c r="AD37" s="76">
        <f>IF(AD25="nuit",AD28*0.02,0)</f>
        <v>0</v>
      </c>
      <c r="AE37" s="76">
        <f t="shared" si="108"/>
        <v>0</v>
      </c>
      <c r="AF37" s="76">
        <f t="shared" si="108"/>
        <v>0</v>
      </c>
      <c r="AG37" s="76">
        <f t="shared" si="94"/>
        <v>0</v>
      </c>
      <c r="AH37" s="76">
        <f>IF(AH25="nuit",AH28*0.02,0)</f>
        <v>0</v>
      </c>
      <c r="AI37" s="76">
        <f>IF(AI25="nuit",AI28*0.02,0)</f>
        <v>0</v>
      </c>
      <c r="AJ37" s="76">
        <f t="shared" ref="AJ37:AN37" si="109">IF(AJ25="nuit",AJ28*0.02,0)</f>
        <v>0</v>
      </c>
      <c r="AK37" s="76">
        <f t="shared" si="109"/>
        <v>0</v>
      </c>
      <c r="AL37" s="76">
        <f>IF(AL25="nuit",AL28*0.02,0)</f>
        <v>0</v>
      </c>
      <c r="AM37" s="76">
        <f t="shared" si="109"/>
        <v>0</v>
      </c>
      <c r="AN37" s="76">
        <f t="shared" si="109"/>
        <v>0</v>
      </c>
      <c r="AO37" s="76">
        <f t="shared" si="96"/>
        <v>0</v>
      </c>
      <c r="AP37" s="76">
        <f>IF(AP25="nuit",AP28*0.02,0)</f>
        <v>0</v>
      </c>
      <c r="AQ37" s="76">
        <f>IF(AQ25="nuit",AQ28*0.02,0)</f>
        <v>0</v>
      </c>
      <c r="AR37" s="76">
        <f>SUM(AP37:AQ37)</f>
        <v>0</v>
      </c>
      <c r="AS37" s="76">
        <f>I37+Q37+Y37+AG37+AO37+AR37</f>
        <v>0</v>
      </c>
      <c r="AT37" s="68"/>
      <c r="AU37" s="68"/>
      <c r="AV37" s="68"/>
      <c r="AW37" s="68"/>
      <c r="AX37" s="68"/>
      <c r="AY37" s="68"/>
      <c r="AZ37" s="51"/>
    </row>
    <row r="38" spans="1:53" s="7" customFormat="1" ht="15" customHeight="1" x14ac:dyDescent="0.25">
      <c r="A38" s="37" t="s">
        <v>82</v>
      </c>
      <c r="B38" s="47"/>
      <c r="C38" s="47"/>
      <c r="D38" s="47"/>
      <c r="E38" s="47"/>
      <c r="F38" s="47"/>
      <c r="G38" s="53"/>
      <c r="H38" s="53"/>
      <c r="I38" s="80"/>
      <c r="J38" s="53"/>
      <c r="K38" s="53"/>
      <c r="L38" s="53"/>
      <c r="M38" s="53"/>
      <c r="N38" s="53"/>
      <c r="O38" s="53"/>
      <c r="P38" s="53"/>
      <c r="Q38" s="80"/>
      <c r="R38" s="53"/>
      <c r="S38" s="53"/>
      <c r="T38" s="53"/>
      <c r="U38" s="53"/>
      <c r="V38" s="53"/>
      <c r="W38" s="53"/>
      <c r="X38" s="53"/>
      <c r="Y38" s="80"/>
      <c r="Z38" s="53" t="s">
        <v>109</v>
      </c>
      <c r="AA38" s="53"/>
      <c r="AB38" s="53"/>
      <c r="AC38" s="53"/>
      <c r="AD38" s="53"/>
      <c r="AE38" s="53"/>
      <c r="AF38" s="53"/>
      <c r="AG38" s="80"/>
      <c r="AH38" s="53"/>
      <c r="AI38" s="53"/>
      <c r="AJ38" s="53"/>
      <c r="AK38" s="53"/>
      <c r="AL38" s="53"/>
      <c r="AM38" s="53"/>
      <c r="AN38" s="53"/>
      <c r="AO38" s="80"/>
      <c r="AP38" s="53"/>
      <c r="AQ38" s="53"/>
      <c r="AR38" s="80"/>
      <c r="AS38" s="81"/>
      <c r="AT38" s="47"/>
      <c r="AU38" s="47"/>
      <c r="AV38" s="47"/>
      <c r="AW38" s="47"/>
      <c r="AX38" s="47"/>
      <c r="AY38" s="47"/>
      <c r="AZ38" s="57"/>
    </row>
    <row r="39" spans="1:53" s="7" customFormat="1" ht="15" customHeight="1" x14ac:dyDescent="0.25">
      <c r="A39" s="54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85"/>
      <c r="AT39" s="62"/>
      <c r="AU39" s="62"/>
      <c r="AV39" s="62"/>
      <c r="AW39" s="62"/>
      <c r="AX39" s="62"/>
      <c r="AY39" s="62"/>
      <c r="AZ39" s="51"/>
    </row>
    <row r="40" spans="1:53" s="7" customFormat="1" ht="27.6" x14ac:dyDescent="0.25">
      <c r="A40" s="37"/>
      <c r="B40" s="40" t="s">
        <v>72</v>
      </c>
      <c r="C40" s="40"/>
      <c r="D40" s="40"/>
      <c r="E40" s="40"/>
      <c r="F40" s="40"/>
      <c r="G40" s="96">
        <f>Année_Calendaire</f>
        <v>2016</v>
      </c>
      <c r="H40" s="96"/>
      <c r="I40" s="65"/>
      <c r="J40" s="47"/>
      <c r="K40" s="47"/>
      <c r="L40" s="47"/>
      <c r="M40" s="47"/>
      <c r="N40" s="47"/>
      <c r="O40" s="47"/>
      <c r="P40" s="47"/>
      <c r="Q40" s="65"/>
      <c r="R40" s="40" t="s">
        <v>72</v>
      </c>
      <c r="S40" s="40"/>
      <c r="T40" s="40"/>
      <c r="U40" s="40"/>
      <c r="V40" s="40"/>
      <c r="W40" s="96">
        <f>Année_Calendaire</f>
        <v>2016</v>
      </c>
      <c r="X40" s="96"/>
      <c r="Y40" s="65"/>
      <c r="Z40" s="47"/>
      <c r="AA40" s="47"/>
      <c r="AB40" s="47"/>
      <c r="AC40" s="47"/>
      <c r="AD40" s="47"/>
      <c r="AE40" s="47"/>
      <c r="AF40" s="47"/>
      <c r="AG40" s="65"/>
      <c r="AH40" s="40" t="s">
        <v>72</v>
      </c>
      <c r="AI40" s="40"/>
      <c r="AJ40" s="40"/>
      <c r="AK40" s="40"/>
      <c r="AL40" s="40"/>
      <c r="AM40" s="96">
        <f>Année_Calendaire</f>
        <v>2016</v>
      </c>
      <c r="AN40" s="96"/>
      <c r="AO40" s="65"/>
      <c r="AP40" s="47"/>
      <c r="AQ40" s="47"/>
      <c r="AR40" s="65"/>
      <c r="AS40" s="62"/>
      <c r="AT40" s="62"/>
      <c r="AU40" s="62"/>
      <c r="AV40" s="62"/>
      <c r="AW40" s="62"/>
      <c r="AX40" s="62"/>
      <c r="AY40" s="62"/>
      <c r="AZ40" s="51"/>
    </row>
    <row r="41" spans="1:53" s="7" customFormat="1" ht="29.25" customHeight="1" x14ac:dyDescent="0.25">
      <c r="A41" s="47"/>
      <c r="B41" s="78" t="s">
        <v>64</v>
      </c>
      <c r="C41" s="78" t="s">
        <v>65</v>
      </c>
      <c r="D41" s="78" t="s">
        <v>66</v>
      </c>
      <c r="E41" s="78" t="s">
        <v>67</v>
      </c>
      <c r="F41" s="78" t="s">
        <v>68</v>
      </c>
      <c r="G41" s="78" t="s">
        <v>69</v>
      </c>
      <c r="H41" s="78" t="s">
        <v>70</v>
      </c>
      <c r="I41" s="97" t="s">
        <v>83</v>
      </c>
      <c r="J41" s="78" t="s">
        <v>64</v>
      </c>
      <c r="K41" s="78" t="s">
        <v>65</v>
      </c>
      <c r="L41" s="78" t="s">
        <v>66</v>
      </c>
      <c r="M41" s="78" t="s">
        <v>67</v>
      </c>
      <c r="N41" s="78" t="s">
        <v>68</v>
      </c>
      <c r="O41" s="78" t="s">
        <v>69</v>
      </c>
      <c r="P41" s="78" t="s">
        <v>70</v>
      </c>
      <c r="Q41" s="97" t="s">
        <v>83</v>
      </c>
      <c r="R41" s="78" t="s">
        <v>64</v>
      </c>
      <c r="S41" s="78" t="s">
        <v>65</v>
      </c>
      <c r="T41" s="78" t="s">
        <v>66</v>
      </c>
      <c r="U41" s="78" t="s">
        <v>67</v>
      </c>
      <c r="V41" s="78" t="s">
        <v>68</v>
      </c>
      <c r="W41" s="78" t="s">
        <v>69</v>
      </c>
      <c r="X41" s="78" t="s">
        <v>70</v>
      </c>
      <c r="Y41" s="97" t="s">
        <v>83</v>
      </c>
      <c r="Z41" s="78" t="s">
        <v>64</v>
      </c>
      <c r="AA41" s="78" t="s">
        <v>65</v>
      </c>
      <c r="AB41" s="78" t="s">
        <v>66</v>
      </c>
      <c r="AC41" s="78" t="s">
        <v>67</v>
      </c>
      <c r="AD41" s="78" t="s">
        <v>68</v>
      </c>
      <c r="AE41" s="78" t="s">
        <v>69</v>
      </c>
      <c r="AF41" s="78" t="s">
        <v>70</v>
      </c>
      <c r="AG41" s="97" t="s">
        <v>83</v>
      </c>
      <c r="AH41" s="78" t="s">
        <v>64</v>
      </c>
      <c r="AI41" s="78" t="s">
        <v>65</v>
      </c>
      <c r="AJ41" s="78" t="s">
        <v>66</v>
      </c>
      <c r="AK41" s="78" t="s">
        <v>67</v>
      </c>
      <c r="AL41" s="78" t="s">
        <v>68</v>
      </c>
      <c r="AM41" s="78" t="s">
        <v>69</v>
      </c>
      <c r="AN41" s="78" t="s">
        <v>70</v>
      </c>
      <c r="AO41" s="97" t="s">
        <v>83</v>
      </c>
      <c r="AP41" s="78" t="s">
        <v>64</v>
      </c>
      <c r="AQ41" s="78" t="s">
        <v>65</v>
      </c>
      <c r="AR41" s="97" t="s">
        <v>83</v>
      </c>
      <c r="AS41" s="97" t="s">
        <v>86</v>
      </c>
      <c r="AT41" s="98">
        <f>AS48+AS49+AS50</f>
        <v>13</v>
      </c>
      <c r="AU41" s="98">
        <f>AT41+AU23</f>
        <v>20</v>
      </c>
      <c r="AV41" s="62"/>
      <c r="AW41" s="62"/>
      <c r="AX41" s="62"/>
      <c r="AY41" s="62"/>
      <c r="AZ41" s="51"/>
    </row>
    <row r="42" spans="1:53" s="7" customFormat="1" ht="15" customHeight="1" x14ac:dyDescent="0.25">
      <c r="A42" s="64"/>
      <c r="B42" s="83" t="str">
        <f>IF(DAY(Mar_Dim1)=1,"",IF(AND(YEAR(Mar_Dim1+1)=Année_Calendaire,MONTH(Mar_Dim1+1)=3),Mar_Dim1+1,""))</f>
        <v/>
      </c>
      <c r="C42" s="83">
        <f>IF(DAY(Mar_Dim1)=1,"",IF(AND(YEAR(Mar_Dim1+2)=Année_Calendaire,MONTH(Mar_Dim1+2)=3),Mar_Dim1+2,""))</f>
        <v>42430</v>
      </c>
      <c r="D42" s="83">
        <f>IF(DAY(Mar_Dim1)=1,"",IF(AND(YEAR(Mar_Dim1+3)=Année_Calendaire,MONTH(Mar_Dim1+3)=3),Mar_Dim1+3,""))</f>
        <v>42431</v>
      </c>
      <c r="E42" s="83">
        <f>IF(DAY(Mar_Dim1)=1,"",IF(AND(YEAR(Mar_Dim1+4)=Année_Calendaire,MONTH(Mar_Dim1+4)=3),Mar_Dim1+4,""))</f>
        <v>42432</v>
      </c>
      <c r="F42" s="83">
        <f>IF(DAY(Mar_Dim1)=1,"",IF(AND(YEAR(Mar_Dim1+5)=Année_Calendaire,MONTH(Mar_Dim1+5)=3),Mar_Dim1+5,""))</f>
        <v>42433</v>
      </c>
      <c r="G42" s="83">
        <f>IF(DAY(Mar_Dim1)=1,"",IF(AND(YEAR(Mar_Dim1+6)=Année_Calendaire,MONTH(Mar_Dim1+6)=3),Mar_Dim1+6,""))</f>
        <v>42434</v>
      </c>
      <c r="H42" s="83">
        <f>IF(DAY(Mar_Dim1)=1,IF(AND(YEAR(Mar_Dim1)=Année_Calendaire,MONTH(Mar_Dim1)=3),Mar_Dim1,""),IF(AND(YEAR(Mar_Dim1+7)=Année_Calendaire,MONTH(Mar_Dim1+7)=3),Mar_Dim1+7,""))</f>
        <v>42435</v>
      </c>
      <c r="I42" s="97"/>
      <c r="J42" s="83">
        <f>IF(DAY(Mar_Dim1)=1,IF(AND(YEAR(Mar_Dim1+1)=Année_Calendaire,MONTH(Mar_Dim1+1)=3),Mar_Dim1+1,""),IF(AND(YEAR(Mar_Dim1+8)=Année_Calendaire,MONTH(Mar_Dim1+8)=3),Mar_Dim1+8,""))</f>
        <v>42436</v>
      </c>
      <c r="K42" s="83">
        <f>IF(DAY(Mar_Dim1)=1,IF(AND(YEAR(Mar_Dim1+2)=Année_Calendaire,MONTH(Mar_Dim1+2)=3),Mar_Dim1+2,""),IF(AND(YEAR(Mar_Dim1+9)=Année_Calendaire,MONTH(Mar_Dim1+9)=3),Mar_Dim1+9,""))</f>
        <v>42437</v>
      </c>
      <c r="L42" s="83">
        <f>IF(DAY(Mar_Dim1)=1,IF(AND(YEAR(Mar_Dim1+3)=Année_Calendaire,MONTH(Mar_Dim1+3)=3),Mar_Dim1+3,""),IF(AND(YEAR(Mar_Dim1+10)=Année_Calendaire,MONTH(Mar_Dim1+10)=3),Mar_Dim1+10,""))</f>
        <v>42438</v>
      </c>
      <c r="M42" s="83">
        <f>IF(DAY(Mar_Dim1)=1,IF(AND(YEAR(Mar_Dim1+4)=Année_Calendaire,MONTH(Mar_Dim1+4)=3),Mar_Dim1+4,""),IF(AND(YEAR(Mar_Dim1+11)=Année_Calendaire,MONTH(Mar_Dim1+11)=3),Mar_Dim1+11,""))</f>
        <v>42439</v>
      </c>
      <c r="N42" s="83">
        <f>IF(DAY(Mar_Dim1)=1,IF(AND(YEAR(Mar_Dim1+5)=Année_Calendaire,MONTH(Mar_Dim1+5)=3),Mar_Dim1+5,""),IF(AND(YEAR(Mar_Dim1+12)=Année_Calendaire,MONTH(Mar_Dim1+12)=3),Mar_Dim1+12,""))</f>
        <v>42440</v>
      </c>
      <c r="O42" s="83">
        <f>IF(DAY(Mar_Dim1)=1,IF(AND(YEAR(Mar_Dim1+6)=Année_Calendaire,MONTH(Mar_Dim1+6)=3),Mar_Dim1+6,""),IF(AND(YEAR(Mar_Dim1+13)=Année_Calendaire,MONTH(Mar_Dim1+13)=3),Mar_Dim1+13,""))</f>
        <v>42441</v>
      </c>
      <c r="P42" s="83">
        <f>IF(DAY(Mar_Dim1)=1,IF(AND(YEAR(Mar_Dim1+7)=Année_Calendaire,MONTH(Mar_Dim1+7)=3),Mar_Dim1+7,""),IF(AND(YEAR(Mar_Dim1+14)=Année_Calendaire,MONTH(Mar_Dim1+14)=3),Mar_Dim1+14,""))</f>
        <v>42442</v>
      </c>
      <c r="Q42" s="97"/>
      <c r="R42" s="83">
        <f>IF(DAY(Mar_Dim1)=1,IF(AND(YEAR(Mar_Dim1+8)=Année_Calendaire,MONTH(Mar_Dim1+8)=3),Mar_Dim1+8,""),IF(AND(YEAR(Mar_Dim1+15)=Année_Calendaire,MONTH(Mar_Dim1+15)=3),Mar_Dim1+15,""))</f>
        <v>42443</v>
      </c>
      <c r="S42" s="83">
        <f>IF(DAY(Mar_Dim1)=1,IF(AND(YEAR(Mar_Dim1+9)=Année_Calendaire,MONTH(Mar_Dim1+9)=3),Mar_Dim1+9,""),IF(AND(YEAR(Mar_Dim1+16)=Année_Calendaire,MONTH(Mar_Dim1+16)=3),Mar_Dim1+16,""))</f>
        <v>42444</v>
      </c>
      <c r="T42" s="83">
        <f>IF(DAY(Mar_Dim1)=1,IF(AND(YEAR(Mar_Dim1+10)=Année_Calendaire,MONTH(Mar_Dim1+10)=3),Mar_Dim1+10,""),IF(AND(YEAR(Mar_Dim1+17)=Année_Calendaire,MONTH(Mar_Dim1+17)=3),Mar_Dim1+17,""))</f>
        <v>42445</v>
      </c>
      <c r="U42" s="83">
        <f>IF(DAY(Mar_Dim1)=1,IF(AND(YEAR(Mar_Dim1+11)=Année_Calendaire,MONTH(Mar_Dim1+11)=3),Mar_Dim1+11,""),IF(AND(YEAR(Mar_Dim1+18)=Année_Calendaire,MONTH(Mar_Dim1+18)=3),Mar_Dim1+18,""))</f>
        <v>42446</v>
      </c>
      <c r="V42" s="83">
        <f>IF(DAY(Mar_Dim1)=1,IF(AND(YEAR(Mar_Dim1+12)=Année_Calendaire,MONTH(Mar_Dim1+12)=3),Mar_Dim1+12,""),IF(AND(YEAR(Mar_Dim1+19)=Année_Calendaire,MONTH(Mar_Dim1+19)=3),Mar_Dim1+19,""))</f>
        <v>42447</v>
      </c>
      <c r="W42" s="83">
        <f>IF(DAY(Mar_Dim1)=1,IF(AND(YEAR(Mar_Dim1+13)=Année_Calendaire,MONTH(Mar_Dim1+13)=3),Mar_Dim1+13,""),IF(AND(YEAR(Mar_Dim1+20)=Année_Calendaire,MONTH(Mar_Dim1+20)=3),Mar_Dim1+20,""))</f>
        <v>42448</v>
      </c>
      <c r="X42" s="83">
        <f>IF(DAY(Mar_Dim1)=1,IF(AND(YEAR(Mar_Dim1+14)=Année_Calendaire,MONTH(Mar_Dim1+14)=3),Mar_Dim1+14,""),IF(AND(YEAR(Mar_Dim1+21)=Année_Calendaire,MONTH(Mar_Dim1+21)=3),Mar_Dim1+21,""))</f>
        <v>42449</v>
      </c>
      <c r="Y42" s="97"/>
      <c r="Z42" s="83">
        <f>IF(DAY(Mar_Dim1)=1,IF(AND(YEAR(Mar_Dim1+15)=Année_Calendaire,MONTH(Mar_Dim1+15)=3),Mar_Dim1+15,""),IF(AND(YEAR(Mar_Dim1+22)=Année_Calendaire,MONTH(Mar_Dim1+22)=3),Mar_Dim1+22,""))</f>
        <v>42450</v>
      </c>
      <c r="AA42" s="83">
        <f>IF(DAY(Mar_Dim1)=1,IF(AND(YEAR(Mar_Dim1+16)=Année_Calendaire,MONTH(Mar_Dim1+16)=3),Mar_Dim1+16,""),IF(AND(YEAR(Mar_Dim1+23)=Année_Calendaire,MONTH(Mar_Dim1+23)=3),Mar_Dim1+23,""))</f>
        <v>42451</v>
      </c>
      <c r="AB42" s="83">
        <f>IF(DAY(Mar_Dim1)=1,IF(AND(YEAR(Mar_Dim1+17)=Année_Calendaire,MONTH(Mar_Dim1+17)=3),Mar_Dim1+17,""),IF(AND(YEAR(Mar_Dim1+24)=Année_Calendaire,MONTH(Mar_Dim1+24)=3),Mar_Dim1+24,""))</f>
        <v>42452</v>
      </c>
      <c r="AC42" s="83">
        <f>IF(DAY(Mar_Dim1)=1,IF(AND(YEAR(Mar_Dim1+18)=Année_Calendaire,MONTH(Mar_Dim1+18)=3),Mar_Dim1+18,""),IF(AND(YEAR(Mar_Dim1+25)=Année_Calendaire,MONTH(Mar_Dim1+25)=3),Mar_Dim1+25,""))</f>
        <v>42453</v>
      </c>
      <c r="AD42" s="83">
        <f>IF(DAY(Mar_Dim1)=1,IF(AND(YEAR(Mar_Dim1+19)=Année_Calendaire,MONTH(Mar_Dim1+19)=3),Mar_Dim1+19,""),IF(AND(YEAR(Mar_Dim1+26)=Année_Calendaire,MONTH(Mar_Dim1+26)=3),Mar_Dim1+26,""))</f>
        <v>42454</v>
      </c>
      <c r="AE42" s="83">
        <f>IF(DAY(Mar_Dim1)=1,IF(AND(YEAR(Mar_Dim1+20)=Année_Calendaire,MONTH(Mar_Dim1+20)=3),Mar_Dim1+20,""),IF(AND(YEAR(Mar_Dim1+27)=Année_Calendaire,MONTH(Mar_Dim1+27)=3),Mar_Dim1+27,""))</f>
        <v>42455</v>
      </c>
      <c r="AF42" s="83">
        <f>IF(DAY(Mar_Dim1)=1,IF(AND(YEAR(Mar_Dim1+21)=Année_Calendaire,MONTH(Mar_Dim1+21)=3),Mar_Dim1+21,""),IF(AND(YEAR(Mar_Dim1+28)=Année_Calendaire,MONTH(Mar_Dim1+28)=3),Mar_Dim1+28,""))</f>
        <v>42456</v>
      </c>
      <c r="AG42" s="97"/>
      <c r="AH42" s="83">
        <f>IF(DAY(Mar_Dim1)=1,IF(AND(YEAR(Mar_Dim1+22)=Année_Calendaire,MONTH(Mar_Dim1+22)=3),Mar_Dim1+22,""),IF(AND(YEAR(Mar_Dim1+29)=Année_Calendaire,MONTH(Mar_Dim1+29)=3),Mar_Dim1+29,""))</f>
        <v>42457</v>
      </c>
      <c r="AI42" s="83">
        <f>IF(DAY(Mar_Dim1)=1,IF(AND(YEAR(Mar_Dim1+23)=Année_Calendaire,MONTH(Mar_Dim1+23)=3),Mar_Dim1+23,""),IF(AND(YEAR(Mar_Dim1+30)=Année_Calendaire,MONTH(Mar_Dim1+30)=3),Mar_Dim1+30,""))</f>
        <v>42458</v>
      </c>
      <c r="AJ42" s="83">
        <f>IF(DAY(Mar_Dim1)=1,IF(AND(YEAR(Mar_Dim1+24)=Année_Calendaire,MONTH(Mar_Dim1+24)=3),Mar_Dim1+24,""),IF(AND(YEAR(Mar_Dim1+31)=Année_Calendaire,MONTH(Mar_Dim1+31)=3),Mar_Dim1+31,""))</f>
        <v>42459</v>
      </c>
      <c r="AK42" s="83">
        <f>IF(DAY(Mar_Dim1)=1,IF(AND(YEAR(Mar_Dim1+25)=Année_Calendaire,MONTH(Mar_Dim1+25)=3),Mar_Dim1+25,""),IF(AND(YEAR(Mar_Dim1+32)=Année_Calendaire,MONTH(Mar_Dim1+32)=3),Mar_Dim1+32,""))</f>
        <v>42460</v>
      </c>
      <c r="AL42" s="83" t="str">
        <f>IF(DAY(Mar_Dim1)=1,IF(AND(YEAR(Mar_Dim1+26)=Année_Calendaire,MONTH(Mar_Dim1+26)=3),Mar_Dim1+26,""),IF(AND(YEAR(Mar_Dim1+33)=Année_Calendaire,MONTH(Mar_Dim1+33)=3),Mar_Dim1+33,""))</f>
        <v/>
      </c>
      <c r="AM42" s="83" t="str">
        <f>IF(DAY(Mar_Dim1)=1,IF(AND(YEAR(Mar_Dim1+27)=Année_Calendaire,MONTH(Mar_Dim1+27)=3),Mar_Dim1+27,""),IF(AND(YEAR(Mar_Dim1+34)=Année_Calendaire,MONTH(Mar_Dim1+34)=3),Mar_Dim1+34,""))</f>
        <v/>
      </c>
      <c r="AN42" s="83" t="str">
        <f>IF(DAY(Mar_Dim1)=1,IF(AND(YEAR(Mar_Dim1+28)=Année_Calendaire,MONTH(Mar_Dim1+28)=3),Mar_Dim1+28,""),IF(AND(YEAR(Mar_Dim1+35)=Année_Calendaire,MONTH(Mar_Dim1+35)=3),Mar_Dim1+35,""))</f>
        <v/>
      </c>
      <c r="AO42" s="97"/>
      <c r="AP42" s="77" t="str">
        <f>IF(DAY(Mar_Dim1)=1,IF(AND(YEAR(Mar_Dim1+29)=Année_Calendaire,MONTH(Mar_Dim1+29)=3),Mar_Dim1+29,""),IF(AND(YEAR(Mar_Dim1+36)=Année_Calendaire,MONTH(Mar_Dim1+36)=3),Mar_Dim1+36,""))</f>
        <v/>
      </c>
      <c r="AQ42" s="77" t="str">
        <f>IF(DAY(Mar_Dim1)=1,IF(AND(YEAR(Mar_Dim1+30)=Année_Calendaire,MONTH(Mar_Dim1+30)=3),Mar_Dim1+30,""),IF(AND(YEAR(Mar_Dim1+37)=Année_Calendaire,MONTH(Mar_Dim1+37)=3),Mar_Dim1+37,""))</f>
        <v/>
      </c>
      <c r="AR42" s="97"/>
      <c r="AS42" s="97"/>
      <c r="AT42" s="98"/>
      <c r="AU42" s="98"/>
      <c r="AV42" s="62"/>
      <c r="AW42" s="62"/>
      <c r="AX42" s="62"/>
      <c r="AY42" s="62"/>
      <c r="AZ42" s="51"/>
    </row>
    <row r="43" spans="1:53" s="8" customFormat="1" ht="15" customHeight="1" x14ac:dyDescent="0.25">
      <c r="A43" s="37" t="s">
        <v>2</v>
      </c>
      <c r="B43" s="47"/>
      <c r="C43" s="47" t="s">
        <v>106</v>
      </c>
      <c r="D43" s="47" t="s">
        <v>106</v>
      </c>
      <c r="E43" s="47" t="s">
        <v>106</v>
      </c>
      <c r="F43" s="47" t="s">
        <v>106</v>
      </c>
      <c r="G43" s="47"/>
      <c r="H43" s="47"/>
      <c r="I43" s="76"/>
      <c r="J43" s="47" t="s">
        <v>107</v>
      </c>
      <c r="K43" s="47" t="s">
        <v>107</v>
      </c>
      <c r="L43" s="47" t="s">
        <v>107</v>
      </c>
      <c r="M43" s="47"/>
      <c r="N43" s="47"/>
      <c r="O43" s="47"/>
      <c r="P43" s="47"/>
      <c r="Q43" s="76"/>
      <c r="R43" s="47" t="s">
        <v>108</v>
      </c>
      <c r="S43" s="47" t="s">
        <v>108</v>
      </c>
      <c r="T43" s="47" t="s">
        <v>108</v>
      </c>
      <c r="U43" s="47" t="s">
        <v>108</v>
      </c>
      <c r="V43" s="47" t="s">
        <v>108</v>
      </c>
      <c r="W43" s="47"/>
      <c r="X43" s="47"/>
      <c r="Y43" s="76"/>
      <c r="Z43" s="47" t="s">
        <v>107</v>
      </c>
      <c r="AA43" s="47" t="s">
        <v>107</v>
      </c>
      <c r="AB43" s="47" t="s">
        <v>107</v>
      </c>
      <c r="AC43" s="47" t="s">
        <v>107</v>
      </c>
      <c r="AD43" s="47" t="s">
        <v>107</v>
      </c>
      <c r="AE43" s="47"/>
      <c r="AF43" s="47"/>
      <c r="AG43" s="76"/>
      <c r="AH43" s="47" t="s">
        <v>106</v>
      </c>
      <c r="AI43" s="47" t="s">
        <v>106</v>
      </c>
      <c r="AJ43" s="47" t="s">
        <v>106</v>
      </c>
      <c r="AK43" s="47"/>
      <c r="AL43" s="47"/>
      <c r="AM43" s="47"/>
      <c r="AN43" s="47"/>
      <c r="AO43" s="76"/>
      <c r="AP43" s="47"/>
      <c r="AQ43" s="47"/>
      <c r="AR43" s="76"/>
      <c r="AS43" s="79"/>
      <c r="AT43" s="68"/>
      <c r="AU43" s="68"/>
      <c r="AV43" s="68"/>
      <c r="AW43" s="68"/>
      <c r="AX43" s="68"/>
      <c r="AY43" s="68"/>
      <c r="AZ43" s="51"/>
    </row>
    <row r="44" spans="1:53" s="49" customFormat="1" ht="15" customHeight="1" x14ac:dyDescent="0.25">
      <c r="A44" s="37" t="s">
        <v>63</v>
      </c>
      <c r="B44" s="76">
        <f t="shared" ref="B44:H44" si="110">IF(B43="Matin",1,IF(B43="AM",1,0))</f>
        <v>0</v>
      </c>
      <c r="C44" s="76">
        <f t="shared" si="110"/>
        <v>1</v>
      </c>
      <c r="D44" s="76">
        <f t="shared" si="110"/>
        <v>1</v>
      </c>
      <c r="E44" s="76">
        <f t="shared" si="110"/>
        <v>1</v>
      </c>
      <c r="F44" s="76">
        <f t="shared" si="110"/>
        <v>1</v>
      </c>
      <c r="G44" s="76">
        <f t="shared" si="110"/>
        <v>0</v>
      </c>
      <c r="H44" s="76">
        <f t="shared" si="110"/>
        <v>0</v>
      </c>
      <c r="I44" s="76">
        <f>SUM(B44:H44)</f>
        <v>4</v>
      </c>
      <c r="J44" s="76">
        <f t="shared" ref="J44:P44" si="111">IF(J43="Matin",1,IF(J43="AM",1,0))</f>
        <v>1</v>
      </c>
      <c r="K44" s="76">
        <f t="shared" si="111"/>
        <v>1</v>
      </c>
      <c r="L44" s="76">
        <f t="shared" si="111"/>
        <v>1</v>
      </c>
      <c r="M44" s="76">
        <f t="shared" si="111"/>
        <v>0</v>
      </c>
      <c r="N44" s="76">
        <f t="shared" si="111"/>
        <v>0</v>
      </c>
      <c r="O44" s="76">
        <f t="shared" si="111"/>
        <v>0</v>
      </c>
      <c r="P44" s="76">
        <f t="shared" si="111"/>
        <v>0</v>
      </c>
      <c r="Q44" s="76">
        <f>SUM(J44:P44)</f>
        <v>3</v>
      </c>
      <c r="R44" s="76">
        <f t="shared" ref="R44:X44" si="112">IF(R43="Matin",1,IF(R43="AM",1,0))</f>
        <v>0</v>
      </c>
      <c r="S44" s="76">
        <f t="shared" si="112"/>
        <v>0</v>
      </c>
      <c r="T44" s="76">
        <f t="shared" si="112"/>
        <v>0</v>
      </c>
      <c r="U44" s="76">
        <f t="shared" si="112"/>
        <v>0</v>
      </c>
      <c r="V44" s="76">
        <f t="shared" si="112"/>
        <v>0</v>
      </c>
      <c r="W44" s="76">
        <f t="shared" si="112"/>
        <v>0</v>
      </c>
      <c r="X44" s="76">
        <f t="shared" si="112"/>
        <v>0</v>
      </c>
      <c r="Y44" s="76">
        <f>SUM(R44:X44)</f>
        <v>0</v>
      </c>
      <c r="Z44" s="76">
        <f t="shared" ref="Z44:AF44" si="113">IF(Z43="Matin",1,IF(Z43="AM",1,0))</f>
        <v>1</v>
      </c>
      <c r="AA44" s="76">
        <f t="shared" si="113"/>
        <v>1</v>
      </c>
      <c r="AB44" s="76">
        <f t="shared" si="113"/>
        <v>1</v>
      </c>
      <c r="AC44" s="76">
        <f t="shared" si="113"/>
        <v>1</v>
      </c>
      <c r="AD44" s="76">
        <f t="shared" si="113"/>
        <v>1</v>
      </c>
      <c r="AE44" s="76">
        <f t="shared" si="113"/>
        <v>0</v>
      </c>
      <c r="AF44" s="76">
        <f t="shared" si="113"/>
        <v>0</v>
      </c>
      <c r="AG44" s="76">
        <f>SUM(Z44:AF44)</f>
        <v>5</v>
      </c>
      <c r="AH44" s="76">
        <f t="shared" ref="AH44:AN44" si="114">IF(AH43="Matin",1,IF(AH43="AM",1,0))</f>
        <v>1</v>
      </c>
      <c r="AI44" s="76">
        <f t="shared" si="114"/>
        <v>1</v>
      </c>
      <c r="AJ44" s="76">
        <f t="shared" si="114"/>
        <v>1</v>
      </c>
      <c r="AK44" s="76">
        <f t="shared" si="114"/>
        <v>0</v>
      </c>
      <c r="AL44" s="76">
        <f t="shared" si="114"/>
        <v>0</v>
      </c>
      <c r="AM44" s="76">
        <f t="shared" si="114"/>
        <v>0</v>
      </c>
      <c r="AN44" s="76">
        <f t="shared" si="114"/>
        <v>0</v>
      </c>
      <c r="AO44" s="76">
        <f>SUM(AH44:AN44)</f>
        <v>3</v>
      </c>
      <c r="AP44" s="76">
        <f t="shared" ref="AP44:AQ44" si="115">IF(AP43="Matin",1,IF(AP43="AM",1,0))</f>
        <v>0</v>
      </c>
      <c r="AQ44" s="76">
        <f t="shared" si="115"/>
        <v>0</v>
      </c>
      <c r="AR44" s="76">
        <f t="shared" ref="AR44:AR51" si="116">SUM(AP44:AQ44)</f>
        <v>0</v>
      </c>
      <c r="AS44" s="76">
        <f>I44+Q44+Y44+AG44+AO44+AR44</f>
        <v>15</v>
      </c>
      <c r="AT44" s="47"/>
      <c r="AU44" s="47"/>
      <c r="AV44" s="47"/>
      <c r="AW44" s="47"/>
      <c r="AX44" s="47"/>
      <c r="AY44" s="47"/>
      <c r="AZ44" s="47"/>
      <c r="BA44" s="50"/>
    </row>
    <row r="45" spans="1:53" s="49" customFormat="1" ht="15" customHeight="1" x14ac:dyDescent="0.25">
      <c r="A45" s="37" t="s">
        <v>4</v>
      </c>
      <c r="B45" s="76">
        <f>IF(B46&gt;=1,1,0)</f>
        <v>0</v>
      </c>
      <c r="C45" s="76">
        <f>IF(C46&gt;=1,1,0)</f>
        <v>1</v>
      </c>
      <c r="D45" s="76">
        <f t="shared" ref="D45:H45" si="117">IF(D46&gt;=1,1,0)</f>
        <v>1</v>
      </c>
      <c r="E45" s="76">
        <f t="shared" si="117"/>
        <v>1</v>
      </c>
      <c r="F45" s="76">
        <f t="shared" si="117"/>
        <v>1</v>
      </c>
      <c r="G45" s="76">
        <f t="shared" si="117"/>
        <v>0</v>
      </c>
      <c r="H45" s="76">
        <f t="shared" si="117"/>
        <v>0</v>
      </c>
      <c r="I45" s="76">
        <f t="shared" ref="I45:I55" si="118">SUM(B45:H45)</f>
        <v>4</v>
      </c>
      <c r="J45" s="76">
        <f>IF(J46&gt;=1,1,0)</f>
        <v>1</v>
      </c>
      <c r="K45" s="76">
        <f t="shared" ref="K45:P45" si="119">IF(K46&gt;=1,1,0)</f>
        <v>1</v>
      </c>
      <c r="L45" s="76">
        <f t="shared" si="119"/>
        <v>1</v>
      </c>
      <c r="M45" s="76">
        <f t="shared" si="119"/>
        <v>0</v>
      </c>
      <c r="N45" s="76">
        <f t="shared" si="119"/>
        <v>0</v>
      </c>
      <c r="O45" s="76">
        <f t="shared" si="119"/>
        <v>0</v>
      </c>
      <c r="P45" s="76">
        <f t="shared" si="119"/>
        <v>0</v>
      </c>
      <c r="Q45" s="76">
        <f t="shared" ref="Q45:Q55" si="120">SUM(J45:P45)</f>
        <v>3</v>
      </c>
      <c r="R45" s="76">
        <f>IF(R46&gt;=1,1,0)</f>
        <v>1</v>
      </c>
      <c r="S45" s="76">
        <f t="shared" ref="S45:X45" si="121">IF(S46&gt;=1,1,0)</f>
        <v>1</v>
      </c>
      <c r="T45" s="76">
        <f t="shared" si="121"/>
        <v>1</v>
      </c>
      <c r="U45" s="76">
        <f t="shared" si="121"/>
        <v>1</v>
      </c>
      <c r="V45" s="76">
        <f t="shared" si="121"/>
        <v>1</v>
      </c>
      <c r="W45" s="76">
        <f t="shared" si="121"/>
        <v>0</v>
      </c>
      <c r="X45" s="76">
        <f t="shared" si="121"/>
        <v>0</v>
      </c>
      <c r="Y45" s="76">
        <f t="shared" ref="Y45:Y55" si="122">SUM(R45:X45)</f>
        <v>5</v>
      </c>
      <c r="Z45" s="76">
        <f>IF(Z46&gt;=1,1,0)</f>
        <v>1</v>
      </c>
      <c r="AA45" s="76">
        <f t="shared" ref="AA45:AF45" si="123">IF(AA46&gt;=1,1,0)</f>
        <v>1</v>
      </c>
      <c r="AB45" s="76">
        <f t="shared" si="123"/>
        <v>1</v>
      </c>
      <c r="AC45" s="76">
        <f t="shared" si="123"/>
        <v>1</v>
      </c>
      <c r="AD45" s="76">
        <f t="shared" si="123"/>
        <v>1</v>
      </c>
      <c r="AE45" s="76">
        <f t="shared" si="123"/>
        <v>0</v>
      </c>
      <c r="AF45" s="76">
        <f t="shared" si="123"/>
        <v>0</v>
      </c>
      <c r="AG45" s="76">
        <f t="shared" ref="AG45:AG55" si="124">SUM(Z45:AF45)</f>
        <v>5</v>
      </c>
      <c r="AH45" s="76">
        <f>IF(AH46&gt;=1,1,0)</f>
        <v>1</v>
      </c>
      <c r="AI45" s="76">
        <f t="shared" ref="AI45:AN45" si="125">IF(AI46&gt;=1,1,0)</f>
        <v>1</v>
      </c>
      <c r="AJ45" s="76">
        <f t="shared" si="125"/>
        <v>1</v>
      </c>
      <c r="AK45" s="76">
        <f t="shared" si="125"/>
        <v>0</v>
      </c>
      <c r="AL45" s="76">
        <f t="shared" si="125"/>
        <v>0</v>
      </c>
      <c r="AM45" s="76">
        <f t="shared" si="125"/>
        <v>0</v>
      </c>
      <c r="AN45" s="76">
        <f t="shared" si="125"/>
        <v>0</v>
      </c>
      <c r="AO45" s="76">
        <f t="shared" ref="AO45:AO55" si="126">SUM(AH45:AN45)</f>
        <v>3</v>
      </c>
      <c r="AP45" s="76">
        <f>IF(AP46&gt;=1,1,0)</f>
        <v>0</v>
      </c>
      <c r="AQ45" s="76">
        <f t="shared" ref="AQ45" si="127">IF(AQ46&gt;=1,1,0)</f>
        <v>0</v>
      </c>
      <c r="AR45" s="76">
        <f t="shared" si="116"/>
        <v>0</v>
      </c>
      <c r="AS45" s="76">
        <f t="shared" ref="AS45:AS54" si="128">I45+Q45+Y45+AG45+AO45+AR45</f>
        <v>20</v>
      </c>
      <c r="AT45" s="68"/>
      <c r="AU45" s="68"/>
      <c r="AV45" s="68"/>
      <c r="AW45" s="68"/>
      <c r="AX45" s="68"/>
      <c r="AY45" s="68"/>
      <c r="AZ45" s="51"/>
    </row>
    <row r="46" spans="1:53" s="8" customFormat="1" ht="15" customHeight="1" x14ac:dyDescent="0.25">
      <c r="A46" s="37" t="s">
        <v>3</v>
      </c>
      <c r="B46" s="47"/>
      <c r="C46" s="47">
        <v>8</v>
      </c>
      <c r="D46" s="47">
        <v>8</v>
      </c>
      <c r="E46" s="47">
        <v>8</v>
      </c>
      <c r="F46" s="47">
        <v>8</v>
      </c>
      <c r="G46" s="47"/>
      <c r="H46" s="47"/>
      <c r="I46" s="76">
        <f t="shared" si="118"/>
        <v>32</v>
      </c>
      <c r="J46" s="47">
        <v>8</v>
      </c>
      <c r="K46" s="47">
        <v>8</v>
      </c>
      <c r="L46" s="47">
        <v>8</v>
      </c>
      <c r="M46" s="47"/>
      <c r="N46" s="47"/>
      <c r="O46" s="47"/>
      <c r="P46" s="47"/>
      <c r="Q46" s="76">
        <f t="shared" si="120"/>
        <v>24</v>
      </c>
      <c r="R46" s="47">
        <v>8</v>
      </c>
      <c r="S46" s="47">
        <v>8</v>
      </c>
      <c r="T46" s="47">
        <v>8</v>
      </c>
      <c r="U46" s="47">
        <v>8</v>
      </c>
      <c r="V46" s="47">
        <v>8</v>
      </c>
      <c r="W46" s="47"/>
      <c r="X46" s="47"/>
      <c r="Y46" s="76">
        <f t="shared" si="122"/>
        <v>40</v>
      </c>
      <c r="Z46" s="47">
        <v>8</v>
      </c>
      <c r="AA46" s="47">
        <v>8</v>
      </c>
      <c r="AB46" s="47">
        <v>8</v>
      </c>
      <c r="AC46" s="47">
        <v>8</v>
      </c>
      <c r="AD46" s="47">
        <v>8</v>
      </c>
      <c r="AE46" s="47"/>
      <c r="AF46" s="47"/>
      <c r="AG46" s="76">
        <f t="shared" si="124"/>
        <v>40</v>
      </c>
      <c r="AH46" s="47">
        <v>8</v>
      </c>
      <c r="AI46" s="47">
        <v>8</v>
      </c>
      <c r="AJ46" s="47">
        <v>8</v>
      </c>
      <c r="AK46" s="47"/>
      <c r="AL46" s="47"/>
      <c r="AM46" s="47"/>
      <c r="AN46" s="47"/>
      <c r="AO46" s="76">
        <f t="shared" si="126"/>
        <v>24</v>
      </c>
      <c r="AP46" s="47"/>
      <c r="AQ46" s="47"/>
      <c r="AR46" s="76">
        <f t="shared" si="116"/>
        <v>0</v>
      </c>
      <c r="AS46" s="76">
        <f t="shared" si="128"/>
        <v>160</v>
      </c>
      <c r="AT46" s="68"/>
      <c r="AU46" s="68"/>
      <c r="AV46" s="68"/>
      <c r="AW46" s="68"/>
      <c r="AX46" s="68"/>
      <c r="AY46" s="68"/>
      <c r="AZ46" s="51"/>
    </row>
    <row r="47" spans="1:53" s="8" customFormat="1" ht="15" customHeight="1" x14ac:dyDescent="0.25">
      <c r="A47" s="52" t="s">
        <v>71</v>
      </c>
      <c r="B47" s="82">
        <f>IF(B41&lt;&gt;"Dim",IF(B46&gt;32,MIN(B46,35)-32,0),0)</f>
        <v>0</v>
      </c>
      <c r="C47" s="82">
        <f>IF(C41&lt;&gt;"Dim",IF(SUM($B46:C46)&gt;32,MIN(SUM($B46:C46),35)-32-SUM($B47:B47),0),0)</f>
        <v>0</v>
      </c>
      <c r="D47" s="82">
        <f>IF(D41&lt;&gt;"Dim",IF(SUM($B46:D46)&gt;32,MIN(SUM($B46:D46),35)-32-SUM($B47:C47),0),0)</f>
        <v>0</v>
      </c>
      <c r="E47" s="82">
        <f>IF(E41&lt;&gt;"Dim",IF(SUM($B46:E46)&gt;32,MIN(SUM($B46:E46),35)-32-SUM($B47:D47),0),0)</f>
        <v>0</v>
      </c>
      <c r="F47" s="82">
        <f>IF(F41&lt;&gt;"Dim",IF(SUM($B46:F46)&gt;32,MIN(SUM($B46:F46),35)-32-SUM($B47:E47),0),0)</f>
        <v>0</v>
      </c>
      <c r="G47" s="82">
        <f>IF(G41&lt;&gt;"Dim",IF(SUM($B46:G46)&gt;32,MIN(SUM($B46:G46),35)-32-SUM($B47:F47),0),0)</f>
        <v>0</v>
      </c>
      <c r="H47" s="82">
        <f>IF(H41&lt;&gt;"Dim",IF(SUM($B46:H46)&gt;32,MIN(SUM($B46:H46),35)-32-SUM($B47:G47),0),0)</f>
        <v>0</v>
      </c>
      <c r="I47" s="76">
        <f t="shared" si="118"/>
        <v>0</v>
      </c>
      <c r="J47" s="82">
        <f>IF(J41&lt;&gt;"Dim",IF(J46&gt;32,MIN(J46,35)-32,0),0)</f>
        <v>0</v>
      </c>
      <c r="K47" s="82">
        <f>IF(K41&lt;&gt;"Dim",IF(SUM($J46:K46)&gt;32,MIN(SUM($J46:K46),35)-32-SUM($J47:J47),0),0)</f>
        <v>0</v>
      </c>
      <c r="L47" s="82">
        <f>IF(L41&lt;&gt;"Dim",IF(SUM($J46:L46)&gt;32,MIN(SUM($J46:L46),35)-32-SUM($J47:K47),0),0)</f>
        <v>0</v>
      </c>
      <c r="M47" s="82">
        <f>IF(M41&lt;&gt;"Dim",IF(SUM($J46:M46)&gt;32,MIN(SUM($J46:M46),35)-32-SUM($J47:L47),0),0)</f>
        <v>0</v>
      </c>
      <c r="N47" s="82">
        <f>IF(N41&lt;&gt;"Dim",IF(SUM($J46:N46)&gt;32,MIN(SUM($J46:N46),35)-32-SUM($J47:M47),0),0)</f>
        <v>0</v>
      </c>
      <c r="O47" s="82">
        <f>IF(O41&lt;&gt;"Dim",IF(SUM($J46:O46)&gt;32,MIN(SUM($J46:O46),35)-32-SUM($J47:N47),0),0)</f>
        <v>0</v>
      </c>
      <c r="P47" s="82">
        <f>IF(P41&lt;&gt;"Dim",IF(SUM($J46:P46)&gt;32,MIN(SUM($J46:P46),35)-32-SUM($J47:O47),0),0)</f>
        <v>0</v>
      </c>
      <c r="Q47" s="76">
        <f t="shared" si="120"/>
        <v>0</v>
      </c>
      <c r="R47" s="82">
        <f>IF(R41&lt;&gt;"Dim",IF(R46&gt;32,MIN(R46,35)-32,0),0)</f>
        <v>0</v>
      </c>
      <c r="S47" s="82">
        <f>IF(S41&lt;&gt;"Dim",IF(SUM($R46:S46)&gt;32,MIN(SUM($R46:S46),35)-32-SUM($R47:R47),0),0)</f>
        <v>0</v>
      </c>
      <c r="T47" s="82">
        <f>IF(T41&lt;&gt;"Dim",IF(SUM($R46:T46)&gt;32,MIN(SUM($R46:T46),35)-32-SUM($R47:S47),0),0)</f>
        <v>0</v>
      </c>
      <c r="U47" s="82">
        <f>IF(U41&lt;&gt;"Dim",IF(SUM($R46:U46)&gt;32,MIN(SUM($R46:U46),35)-32-SUM($R47:T47),0),0)</f>
        <v>0</v>
      </c>
      <c r="V47" s="82"/>
      <c r="W47" s="82"/>
      <c r="X47" s="82">
        <f>IF(X41&lt;&gt;"Dim",IF(SUM($R46:X46)&gt;32,MIN(SUM($R46:X46),35)-32-SUM($R47:W47),0),0)</f>
        <v>0</v>
      </c>
      <c r="Y47" s="76">
        <f t="shared" si="122"/>
        <v>0</v>
      </c>
      <c r="Z47" s="82">
        <f>IF(Z41&lt;&gt;"Dim",IF(Z46&gt;32,MIN(Z46,35)-32,0),0)</f>
        <v>0</v>
      </c>
      <c r="AA47" s="82">
        <f>IF(AA41&lt;&gt;"Dim",IF(SUM($Z46:AA46)&gt;32,MIN(SUM($Z46:AA46),35)-32-SUM($Z47:Z47),0),0)</f>
        <v>0</v>
      </c>
      <c r="AB47" s="82">
        <f>IF(AB41&lt;&gt;"Dim",IF(SUM($Z46:AB46)&gt;32,MIN(SUM($Z46:AB46),35)-32-SUM($Z47:AA47),0),0)</f>
        <v>0</v>
      </c>
      <c r="AC47" s="82">
        <f>IF(AC41&lt;&gt;"Dim",IF(SUM($Z46:AC46)&gt;32,MIN(SUM($Z46:AC46),35)-32-SUM($Z47:AB47),0),0)</f>
        <v>0</v>
      </c>
      <c r="AD47" s="82">
        <f>IF(AD41&lt;&gt;"Dim",IF(SUM($Z46:AD46)&gt;32,MIN(SUM($Z46:AD46),35)-32-SUM($Z47:AC47),0),0)</f>
        <v>3</v>
      </c>
      <c r="AE47" s="82">
        <f>IF(AE41&lt;&gt;"Dim",IF(SUM($Z46:AE46)&gt;32,MIN(SUM($Z46:AE46),35)-32-SUM($Z47:AD47),0),0)</f>
        <v>0</v>
      </c>
      <c r="AF47" s="82">
        <f>IF(AF41&lt;&gt;"Dim",IF(SUM($Z46:AF46)&gt;32,MIN(SUM($Z46:AF46),35)-32-SUM($Z47:AE47),0),0)</f>
        <v>0</v>
      </c>
      <c r="AG47" s="76">
        <f t="shared" si="124"/>
        <v>3</v>
      </c>
      <c r="AH47" s="82">
        <f>IF(AH41&lt;&gt;"Dim",IF(AH46&gt;32,MIN(AH46,35)-32,0),0)</f>
        <v>0</v>
      </c>
      <c r="AI47" s="82">
        <f>IF(AI41&lt;&gt;"Dim",IF(SUM($AH46:AI46)&gt;32,MIN(SUM($AH46:AI46),35)-32-SUM($AH47:AH47),0),0)</f>
        <v>0</v>
      </c>
      <c r="AJ47" s="82">
        <f>IF(AJ41&lt;&gt;"Dim",IF(SUM($AH46:AJ46)&gt;32,MIN(SUM($AH46:AJ46),35)-32-SUM($AH47:AI47),0),0)</f>
        <v>0</v>
      </c>
      <c r="AK47" s="82">
        <f>IF(AK41&lt;&gt;"Dim",IF(SUM($AH46:AK46)&gt;32,MIN(SUM($AH46:AK46),35)-32-SUM($AH47:AJ47),0),0)</f>
        <v>0</v>
      </c>
      <c r="AL47" s="82">
        <f>IF(AL41&lt;&gt;"Dim",IF(SUM($AH46:AL46)&gt;32,MIN(SUM($AH46:AL46),35)-32-SUM($AH47:AK47),0),0)</f>
        <v>0</v>
      </c>
      <c r="AM47" s="82">
        <f>IF(AM41&lt;&gt;"Dim",IF(SUM($AH46:AM46)&gt;32,MIN(SUM($AH46:AM46),35)-32-SUM($AH47:AL47),0),0)</f>
        <v>0</v>
      </c>
      <c r="AN47" s="82">
        <f>IF(AN41&lt;&gt;"Dim",IF(SUM($AH46:AN46)&gt;32,MIN(SUM($AH46:AN46),35)-32-SUM($AH47:AM47),0),0)</f>
        <v>0</v>
      </c>
      <c r="AO47" s="76">
        <f t="shared" si="126"/>
        <v>0</v>
      </c>
      <c r="AP47" s="82">
        <f>IF(AP41&lt;&gt;"Dim",IF(AP46&gt;32,MIN(AP46,35)-32,0),0)</f>
        <v>0</v>
      </c>
      <c r="AQ47" s="82">
        <f>IF(AQ41&lt;&gt;"Dim",IF(SUM($AP46:AQ46)&gt;32,MIN(SUM($AP46:AQ46),35)-32-SUM($AP47:AP47),0),0)</f>
        <v>0</v>
      </c>
      <c r="AR47" s="76">
        <f t="shared" si="116"/>
        <v>0</v>
      </c>
      <c r="AS47" s="76">
        <f t="shared" si="128"/>
        <v>3</v>
      </c>
      <c r="AT47" s="68"/>
      <c r="AU47" s="68"/>
      <c r="AV47" s="68"/>
      <c r="AW47" s="68"/>
      <c r="AX47" s="68"/>
      <c r="AY47" s="68"/>
      <c r="AZ47" s="51"/>
    </row>
    <row r="48" spans="1:53" s="8" customFormat="1" ht="15" customHeight="1" x14ac:dyDescent="0.25">
      <c r="A48" s="37" t="s">
        <v>40</v>
      </c>
      <c r="B48" s="82">
        <f>IF(B41&lt;&gt;"Dim",IF(B46&gt;35,(MIN(B46,43)-35),0),0)</f>
        <v>0</v>
      </c>
      <c r="C48" s="82">
        <f>IF(C41&lt;&gt;"Dim",IF(SUM($B46:C46)&gt;35,(MIN(SUM($B46:C46),43)-35-SUM($B48:B48)),0),0)</f>
        <v>0</v>
      </c>
      <c r="D48" s="82">
        <f>IF(D41&lt;&gt;"Dim",IF(SUM($B46:D46)&gt;35,(MIN(SUM($B46:D46),43)-35-SUM($B48:C48)),0),0)</f>
        <v>0</v>
      </c>
      <c r="E48" s="82">
        <f>IF(E41&lt;&gt;"Dim",IF(SUM($B46:E46)&gt;35,(MIN(SUM($B46:E46),43)-35-SUM($B48:D48)),0),0)</f>
        <v>0</v>
      </c>
      <c r="F48" s="82">
        <f>IF(F41&lt;&gt;"Dim",IF(SUM($B46:F46)&gt;35,(MIN(SUM($B46:F46),43)-35-SUM($B48:E48)),0),0)</f>
        <v>0</v>
      </c>
      <c r="G48" s="82">
        <f>IF(G41&lt;&gt;"Dim",IF(SUM($B46:G46)&gt;35,(MIN(SUM($B46:G46),43)-35-SUM($B48:F48)),0),0)</f>
        <v>0</v>
      </c>
      <c r="H48" s="82">
        <f>IF(H41&lt;&gt;"Dim",IF(SUM($B46:H46)&gt;35,(MIN(SUM($B46:H46),43)-35-SUM($B48:G48)),0),0)</f>
        <v>0</v>
      </c>
      <c r="I48" s="76">
        <f t="shared" si="118"/>
        <v>0</v>
      </c>
      <c r="J48" s="82">
        <f>IF(J41&lt;&gt;"Dim",IF(J46&gt;35,(MIN(J46,43)-35),0),0)</f>
        <v>0</v>
      </c>
      <c r="K48" s="82">
        <f>IF(K41&lt;&gt;"Dim",IF(SUM($J46:K46)&gt;35,(MIN(SUM($J46:K46),43)-35-SUM($J48:J48)),0),0)</f>
        <v>0</v>
      </c>
      <c r="L48" s="82">
        <f>IF(L41&lt;&gt;"Dim",IF(SUM($J46:L46)&gt;35,(MIN(SUM($J46:L46),43)-35-SUM($J48:K48)),0),0)</f>
        <v>0</v>
      </c>
      <c r="M48" s="82">
        <f>IF(M41&lt;&gt;"Dim",IF(SUM($J46:M46)&gt;35,(MIN(SUM($J46:M46),43)-35-SUM($J48:L48)),0),0)</f>
        <v>0</v>
      </c>
      <c r="N48" s="82">
        <f>IF(N41&lt;&gt;"Dim",IF(SUM($J46:N46)&gt;35,(MIN(SUM($J46:N46),43)-35-SUM($J48:M48)),0),0)</f>
        <v>0</v>
      </c>
      <c r="O48" s="82">
        <f>IF(O41&lt;&gt;"Dim",IF(SUM($J46:O46)&gt;35,(MIN(SUM($J46:O46),43)-35-SUM($J48:N48)),0),0)</f>
        <v>0</v>
      </c>
      <c r="P48" s="82">
        <f>IF(P41&lt;&gt;"Dim",IF(SUM($J46:P46)&gt;35,(MIN(SUM($J46:P46),43)-35-SUM($J48:O48)),0),0)</f>
        <v>0</v>
      </c>
      <c r="Q48" s="76">
        <f t="shared" si="120"/>
        <v>0</v>
      </c>
      <c r="R48" s="82">
        <f>IF(R41&lt;&gt;"Dim",IF(R46&gt;35,(MIN(R46,43)-35),0),0)</f>
        <v>0</v>
      </c>
      <c r="S48" s="82">
        <f>IF(S41&lt;&gt;"Dim",IF(SUM($R46:S46)&gt;35,(MIN(SUM($R46:S46),43)-35-SUM($R48:R48)),0),0)</f>
        <v>0</v>
      </c>
      <c r="T48" s="82">
        <f>IF(T41&lt;&gt;"Dim",IF(SUM($R46:T46)&gt;35,(MIN(SUM($R46:T46),43)-35-SUM($R48:S48)),0),0)</f>
        <v>0</v>
      </c>
      <c r="U48" s="82">
        <f>IF(U41&lt;&gt;"Dim",IF(SUM($R46:U46)&gt;35,(MIN(SUM($R46:U46),43)-35-SUM($R48:T48)),0),0)</f>
        <v>0</v>
      </c>
      <c r="V48" s="82"/>
      <c r="W48" s="82"/>
      <c r="X48" s="82">
        <f>IF(X41&lt;&gt;"Dim",IF(SUM($R46:X46)&gt;35,(MIN(SUM($R46:X46),43)-35-SUM($R48:W48)),0),0)</f>
        <v>0</v>
      </c>
      <c r="Y48" s="76">
        <f t="shared" si="122"/>
        <v>0</v>
      </c>
      <c r="Z48" s="82">
        <f>IF(Z41&lt;&gt;"Dim",IF(Z46&gt;35,(MIN(Z46,43)-35),0),0)</f>
        <v>0</v>
      </c>
      <c r="AA48" s="82">
        <f>IF(AA41&lt;&gt;"Dim",IF(SUM($Z46:AA46)&gt;35,(MIN(SUM($Z46:AA46),43)-35-SUM($Z48:Z48)),0),0)</f>
        <v>0</v>
      </c>
      <c r="AB48" s="82">
        <f>IF(AB41&lt;&gt;"Dim",IF(SUM($Z46:AB46)&gt;35,(MIN(SUM($Z46:AB46),43)-35-SUM($Z48:AA48)),0),0)</f>
        <v>0</v>
      </c>
      <c r="AC48" s="82">
        <f>IF(AC41&lt;&gt;"Dim",IF(SUM($Z46:AC46)&gt;35,(MIN(SUM($Z46:AC46),43)-35-SUM($Z48:AB48)),0),0)</f>
        <v>0</v>
      </c>
      <c r="AD48" s="82">
        <f>IF(AD41&lt;&gt;"Dim",IF(SUM($Z46:AD46)&gt;35,(MIN(SUM($Z46:AD46),43)-35-SUM($Z48:AC48)),0),0)</f>
        <v>5</v>
      </c>
      <c r="AE48" s="82">
        <f>IF(AE41&lt;&gt;"Dim",IF(SUM($Z46:AE46)&gt;35,(MIN(SUM($Z46:AE46),43)-35-SUM($Z48:AD48)),0),0)</f>
        <v>0</v>
      </c>
      <c r="AF48" s="82">
        <f>IF(AF41&lt;&gt;"Dim",IF(SUM($Z46:AF46)&gt;35,(MIN(SUM($Z46:AF46),43)-35-SUM($Z48:AE48)),0),0)</f>
        <v>0</v>
      </c>
      <c r="AG48" s="76">
        <f t="shared" si="124"/>
        <v>5</v>
      </c>
      <c r="AH48" s="82">
        <f>IF(AH41&lt;&gt;"Dim",IF(AH46&gt;35,(MIN(AH46,43)-35),0),0)</f>
        <v>0</v>
      </c>
      <c r="AI48" s="82">
        <f>IF(AI41&lt;&gt;"Dim",IF(SUM($AH46:AI46)&gt;35,(MIN(SUM($AH46:AI46),43)-35-SUM($AH48:AH48)),0),0)</f>
        <v>0</v>
      </c>
      <c r="AJ48" s="82">
        <f>IF(AJ41&lt;&gt;"Dim",IF(SUM($AH46:AJ46)&gt;35,(MIN(SUM($AH46:AJ46),43)-35-SUM($AH48:AI48)),0),0)</f>
        <v>0</v>
      </c>
      <c r="AK48" s="82">
        <f>IF(AK41&lt;&gt;"Dim",IF(SUM($AH46:AK46)&gt;35,(MIN(SUM($AH46:AK46),43)-35-SUM($AH48:AJ48)),0),0)</f>
        <v>0</v>
      </c>
      <c r="AL48" s="82">
        <f>IF(AL41&lt;&gt;"Dim",IF(SUM($AH46:AL46)&gt;35,(MIN(SUM($AH46:AL46),43)-35-SUM($AH48:AK48)),0),0)</f>
        <v>0</v>
      </c>
      <c r="AM48" s="82">
        <f>IF(AM41&lt;&gt;"Dim",IF(SUM($AH46:AM46)&gt;35,(MIN(SUM($AH46:AM46),43)-35-SUM($AH48:AL48)),0),0)</f>
        <v>0</v>
      </c>
      <c r="AN48" s="82">
        <f>IF(AN41&lt;&gt;"Dim",IF(SUM($AH46:AN46)&gt;35,(MIN(SUM($AH46:AN46),43)-35-SUM($AH48:AM48)),0),0)</f>
        <v>0</v>
      </c>
      <c r="AO48" s="76">
        <f t="shared" si="126"/>
        <v>0</v>
      </c>
      <c r="AP48" s="82">
        <f>IF(AP41&lt;&gt;"Dim",IF(AP46&gt;35,(MIN(AP46,43)-35),0),0)</f>
        <v>0</v>
      </c>
      <c r="AQ48" s="82">
        <f>IF(AQ41&lt;&gt;"Dim",IF(SUM($AP46:AQ46)&gt;35,(MIN(SUM($AP46:AQ46),43)-35-SUM($AP48:AP48)),0),0)</f>
        <v>0</v>
      </c>
      <c r="AR48" s="76">
        <f t="shared" si="116"/>
        <v>0</v>
      </c>
      <c r="AS48" s="76">
        <f t="shared" si="128"/>
        <v>5</v>
      </c>
      <c r="AT48" s="68"/>
      <c r="AU48" s="68"/>
      <c r="AV48" s="68"/>
      <c r="AW48" s="68"/>
      <c r="AX48" s="68"/>
      <c r="AY48" s="68"/>
      <c r="AZ48" s="51"/>
    </row>
    <row r="49" spans="1:52" s="8" customFormat="1" ht="15" customHeight="1" x14ac:dyDescent="0.25">
      <c r="A49" s="37" t="s">
        <v>39</v>
      </c>
      <c r="B49" s="82">
        <f>IF(B41&lt;&gt;"Dim",IF(B46&gt;43,(MIN(B46,48)-43),0),0)</f>
        <v>0</v>
      </c>
      <c r="C49" s="82">
        <f>IF(C41&lt;&gt;"Dim",IF(SUM($B46:C46)&gt;43,(MIN(SUM($B46:C46),48)-43-SUM($B49:B49)),0),0)</f>
        <v>0</v>
      </c>
      <c r="D49" s="82">
        <f>IF(D41&lt;&gt;"Dim",IF(SUM($B46:D46)&gt;43,(MIN(SUM($B46:D46),48)-43-SUM($B49:C49)),0),0)</f>
        <v>0</v>
      </c>
      <c r="E49" s="82">
        <f>IF(E41&lt;&gt;"Dim",IF(SUM($B46:E46)&gt;43,(MIN(SUM($B46:E46),48)-43-SUM($B49:D49)),0),0)</f>
        <v>0</v>
      </c>
      <c r="F49" s="82">
        <f>IF(F41&lt;&gt;"Dim",IF(SUM($B46:F46)&gt;43,(MIN(SUM($B46:F46),48)-43-SUM($B49:E49)),0),0)</f>
        <v>0</v>
      </c>
      <c r="G49" s="82">
        <f>IF(G41&lt;&gt;"Dim",IF(SUM($B46:G46)&gt;43,(MIN(SUM($B46:G46),48)-43-SUM($B49:F49)),0),0)</f>
        <v>0</v>
      </c>
      <c r="H49" s="82">
        <f>IF(H41&lt;&gt;"Dim",IF(SUM($B46:H46)&gt;43,(MIN(SUM($B46:H46),48)-43-SUM($B49:G49)),0),0)</f>
        <v>0</v>
      </c>
      <c r="I49" s="76">
        <f t="shared" si="118"/>
        <v>0</v>
      </c>
      <c r="J49" s="82">
        <f>IF(J41&lt;&gt;"Dim",IF(J46&gt;43,(MIN(J46,48)-43),0),0)</f>
        <v>0</v>
      </c>
      <c r="K49" s="82">
        <f>IF(K41&lt;&gt;"Dim",IF(SUM($J46:K46)&gt;43,(MIN(SUM($J46:K46),48)-43-SUM($J49:J49)),0),0)</f>
        <v>0</v>
      </c>
      <c r="L49" s="82">
        <f>IF(L41&lt;&gt;"Dim",IF(SUM($J46:L46)&gt;43,(MIN(SUM($J46:L46),48)-43-SUM($J49:K49)),0),0)</f>
        <v>0</v>
      </c>
      <c r="M49" s="82">
        <f>IF(M41&lt;&gt;"Dim",IF(SUM($J46:M46)&gt;43,(MIN(SUM($J46:M46),48)-43-SUM($J49:L49)),0),0)</f>
        <v>0</v>
      </c>
      <c r="N49" s="82">
        <f>IF(N41&lt;&gt;"Dim",IF(SUM($J46:N46)&gt;43,(MIN(SUM($J46:N46),48)-43-SUM($J49:M49)),0),0)</f>
        <v>0</v>
      </c>
      <c r="O49" s="82">
        <f>IF(O41&lt;&gt;"Dim",IF(SUM($J46:O46)&gt;43,(MIN(SUM($J46:O46),48)-43-SUM($J49:N49)),0),0)</f>
        <v>0</v>
      </c>
      <c r="P49" s="82">
        <f>IF(P41&lt;&gt;"Dim",IF(SUM($J46:P46)&gt;43,(MIN(SUM($J46:P46),48)-43-SUM($J49:O49)),0),0)</f>
        <v>0</v>
      </c>
      <c r="Q49" s="76">
        <f t="shared" si="120"/>
        <v>0</v>
      </c>
      <c r="R49" s="82">
        <f>IF(R41&lt;&gt;"Dim",IF(R46&gt;43,(MIN(R46,48)-43),0),0)</f>
        <v>0</v>
      </c>
      <c r="S49" s="82">
        <f>IF(S41&lt;&gt;"Dim",IF(SUM($R46:S46)&gt;43,(MIN(SUM($R46:S46),48)-43-SUM($R49:R49)),0),0)</f>
        <v>0</v>
      </c>
      <c r="T49" s="82">
        <f>IF(T41&lt;&gt;"Dim",IF(SUM($R46:T46)&gt;43,(MIN(SUM($R46:T46),48)-43-SUM($R49:S49)),0),0)</f>
        <v>0</v>
      </c>
      <c r="U49" s="82">
        <f>IF(U41&lt;&gt;"Dim",IF(SUM($R46:U46)&gt;43,(MIN(SUM($R46:U46),48)-43-SUM($R49:T49)),0),0)</f>
        <v>0</v>
      </c>
      <c r="V49" s="82">
        <f>IF(V41&lt;&gt;"Dim",IF(SUM($R46:V46)&gt;43,(MIN(SUM($R46:V46),48)-43-SUM($R49:U49)),0),0)</f>
        <v>0</v>
      </c>
      <c r="W49" s="82">
        <f>IF(W41&lt;&gt;"Dim",IF(SUM($R46:W46)&gt;43,(MIN(SUM($R46:W46),48)-43-SUM($R49:V49)),0),0)</f>
        <v>0</v>
      </c>
      <c r="X49" s="82">
        <f>IF(X41&lt;&gt;"Dim",IF(SUM($R46:X46)&gt;43,(MIN(SUM($R46:X46),48)-43-SUM($R49:W49)),0),0)</f>
        <v>0</v>
      </c>
      <c r="Y49" s="76">
        <f t="shared" si="122"/>
        <v>0</v>
      </c>
      <c r="Z49" s="82">
        <f>IF(Z41&lt;&gt;"Dim",IF(Z46&gt;43,(MIN(Z46,48)-43),0),0)</f>
        <v>0</v>
      </c>
      <c r="AA49" s="82">
        <f>IF(AA41&lt;&gt;"Dim",IF(SUM($Z46:AA46)&gt;43,(MIN(SUM($Z46:AA46),48)-43-SUM($Z49:Z49)),0),0)</f>
        <v>0</v>
      </c>
      <c r="AB49" s="82">
        <f>IF(AB41&lt;&gt;"Dim",IF(SUM($Z46:AB46)&gt;43,(MIN(SUM($Z46:AB46),48)-43-SUM($Z49:AA49)),0),0)</f>
        <v>0</v>
      </c>
      <c r="AC49" s="82">
        <f>IF(AC41&lt;&gt;"Dim",IF(SUM($Z46:AC46)&gt;43,(MIN(SUM($Z46:AC46),48)-43-SUM($Z49:AB49)),0),0)</f>
        <v>0</v>
      </c>
      <c r="AD49" s="82">
        <f>IF(AD41&lt;&gt;"Dim",IF(SUM($Z46:AD46)&gt;43,(MIN(SUM($Z46:AD46),48)-43-SUM($Z49:AC49)),0),0)</f>
        <v>0</v>
      </c>
      <c r="AE49" s="82">
        <f>IF(AE41&lt;&gt;"Dim",IF(SUM($Z46:AE46)&gt;43,(MIN(SUM($Z46:AE46),48)-43-SUM($Z49:AD49)),0),0)</f>
        <v>0</v>
      </c>
      <c r="AF49" s="82">
        <f>IF(AF41&lt;&gt;"Dim",IF(SUM($Z46:AF46)&gt;43,(MIN(SUM($Z46:AF46),48)-43-SUM($Z49:AE49)),0),0)</f>
        <v>0</v>
      </c>
      <c r="AG49" s="76">
        <f t="shared" si="124"/>
        <v>0</v>
      </c>
      <c r="AH49" s="82">
        <f>IF(AH41&lt;&gt;"Dim",IF(AH46&gt;43,(MIN(AH46,48)-43),0),0)</f>
        <v>0</v>
      </c>
      <c r="AI49" s="82">
        <f>IF(AI41&lt;&gt;"Dim",IF(SUM($AH46:AI46)&gt;43,(MIN(SUM($AH46:AI46),48)-43-SUM($AH49:AH49)),0),0)</f>
        <v>0</v>
      </c>
      <c r="AJ49" s="82">
        <f>IF(AJ41&lt;&gt;"Dim",IF(SUM($AH46:AJ46)&gt;43,(MIN(SUM($AH46:AJ46),48)-43-SUM($AH49:AI49)),0),0)</f>
        <v>0</v>
      </c>
      <c r="AK49" s="82">
        <f>IF(AK41&lt;&gt;"Dim",IF(SUM($AH46:AK46)&gt;43,(MIN(SUM($AH46:AK46),48)-43-SUM($AH49:AJ49)),0),0)</f>
        <v>0</v>
      </c>
      <c r="AL49" s="82">
        <f>IF(AL41&lt;&gt;"Dim",IF(SUM($AH46:AL46)&gt;43,(MIN(SUM($AH46:AL46),48)-43-SUM($AH49:AK49)),0),0)</f>
        <v>0</v>
      </c>
      <c r="AM49" s="82">
        <f>IF(AM41&lt;&gt;"Dim",IF(SUM($AH46:AM46)&gt;43,(MIN(SUM($AH46:AM46),48)-43-SUM($AH49:AL49)),0),0)</f>
        <v>0</v>
      </c>
      <c r="AN49" s="82">
        <f>IF(AN41&lt;&gt;"Dim",IF(SUM($AH46:AN46)&gt;43,(MIN(SUM($AH46:AN46),48)-43-SUM($AH49:AM49)),0),0)</f>
        <v>0</v>
      </c>
      <c r="AO49" s="76">
        <f t="shared" si="126"/>
        <v>0</v>
      </c>
      <c r="AP49" s="82">
        <f>IF(AP41&lt;&gt;"Dim",IF(AP46&gt;43,(MIN(AP46,48)-43),0),0)</f>
        <v>0</v>
      </c>
      <c r="AQ49" s="82">
        <f>IF(AQ41&lt;&gt;"Dim",IF(SUM($AP46:AQ46)&gt;43,(MIN(SUM($AP46:AQ46),48)-43-SUM($AP49:AP49)),0),0)</f>
        <v>0</v>
      </c>
      <c r="AR49" s="76">
        <f t="shared" si="116"/>
        <v>0</v>
      </c>
      <c r="AS49" s="76">
        <f t="shared" si="128"/>
        <v>0</v>
      </c>
      <c r="AT49" s="69"/>
      <c r="AU49" s="69"/>
      <c r="AV49" s="69"/>
      <c r="AW49" s="69"/>
      <c r="AX49" s="58"/>
      <c r="AY49" s="58"/>
      <c r="AZ49" s="48"/>
    </row>
    <row r="50" spans="1:52" s="7" customFormat="1" ht="15" customHeight="1" x14ac:dyDescent="0.25">
      <c r="A50" s="37" t="s">
        <v>41</v>
      </c>
      <c r="B50" s="82">
        <f>IF(B41="Dim",B46,IF(B56="ferie",B46,0))</f>
        <v>0</v>
      </c>
      <c r="C50" s="82">
        <f t="shared" ref="C50:H50" si="129">IF(C41="Dim",C46,IF(C56="ferie",C46,0))</f>
        <v>0</v>
      </c>
      <c r="D50" s="82">
        <f t="shared" si="129"/>
        <v>0</v>
      </c>
      <c r="E50" s="82">
        <f t="shared" si="129"/>
        <v>0</v>
      </c>
      <c r="F50" s="82">
        <f t="shared" si="129"/>
        <v>0</v>
      </c>
      <c r="G50" s="82">
        <f t="shared" si="129"/>
        <v>0</v>
      </c>
      <c r="H50" s="82">
        <f t="shared" si="129"/>
        <v>0</v>
      </c>
      <c r="I50" s="76">
        <f t="shared" si="118"/>
        <v>0</v>
      </c>
      <c r="J50" s="82">
        <f>IF(J41="Dim",J46,IF(J56="ferie",J46,0))</f>
        <v>0</v>
      </c>
      <c r="K50" s="82">
        <f t="shared" ref="K50:P50" si="130">IF(K41="Dim",K46,IF(K56="ferie",K46,0))</f>
        <v>0</v>
      </c>
      <c r="L50" s="82">
        <f t="shared" si="130"/>
        <v>0</v>
      </c>
      <c r="M50" s="82">
        <f t="shared" si="130"/>
        <v>0</v>
      </c>
      <c r="N50" s="82">
        <f t="shared" si="130"/>
        <v>0</v>
      </c>
      <c r="O50" s="82">
        <f>IF(O41="Dim",O46,IF(O56="ferie",O46,0))</f>
        <v>0</v>
      </c>
      <c r="P50" s="82">
        <f t="shared" si="130"/>
        <v>0</v>
      </c>
      <c r="Q50" s="76">
        <f t="shared" si="120"/>
        <v>0</v>
      </c>
      <c r="R50" s="82">
        <f>IF(R41="Dim",R46,IF(R56="ferie",R46,0))</f>
        <v>0</v>
      </c>
      <c r="S50" s="82">
        <f t="shared" ref="S50:X50" si="131">IF(S41="Dim",S46,IF(S56="ferie",S46,0))</f>
        <v>0</v>
      </c>
      <c r="T50" s="82">
        <f t="shared" si="131"/>
        <v>0</v>
      </c>
      <c r="U50" s="82">
        <f t="shared" si="131"/>
        <v>0</v>
      </c>
      <c r="V50" s="82">
        <f t="shared" si="131"/>
        <v>0</v>
      </c>
      <c r="W50" s="82">
        <f t="shared" si="131"/>
        <v>0</v>
      </c>
      <c r="X50" s="82">
        <f t="shared" si="131"/>
        <v>0</v>
      </c>
      <c r="Y50" s="76">
        <f t="shared" si="122"/>
        <v>0</v>
      </c>
      <c r="Z50" s="82">
        <f>IF(Z41="Dim",Z46,IF(Z56="ferie",Z46,0))</f>
        <v>0</v>
      </c>
      <c r="AA50" s="82">
        <f t="shared" ref="AA50:AF50" si="132">IF(AA41="Dim",AA46,IF(AA56="ferie",AA46,0))</f>
        <v>0</v>
      </c>
      <c r="AB50" s="82">
        <f t="shared" si="132"/>
        <v>0</v>
      </c>
      <c r="AC50" s="82">
        <f t="shared" si="132"/>
        <v>0</v>
      </c>
      <c r="AD50" s="82">
        <f t="shared" si="132"/>
        <v>0</v>
      </c>
      <c r="AE50" s="82">
        <f t="shared" si="132"/>
        <v>0</v>
      </c>
      <c r="AF50" s="82">
        <f t="shared" si="132"/>
        <v>0</v>
      </c>
      <c r="AG50" s="76">
        <f t="shared" si="124"/>
        <v>0</v>
      </c>
      <c r="AH50" s="82">
        <f>IF(AH41="Dim",AH46,IF(AH56="ferie",AH46,0))</f>
        <v>8</v>
      </c>
      <c r="AI50" s="82">
        <f t="shared" ref="AI50:AQ50" si="133">IF(AI41="Dim",AI46,IF(AI56="ferie",AI46,0))</f>
        <v>0</v>
      </c>
      <c r="AJ50" s="82">
        <f t="shared" si="133"/>
        <v>0</v>
      </c>
      <c r="AK50" s="82">
        <f t="shared" si="133"/>
        <v>0</v>
      </c>
      <c r="AL50" s="82">
        <f t="shared" si="133"/>
        <v>0</v>
      </c>
      <c r="AM50" s="82">
        <f t="shared" si="133"/>
        <v>0</v>
      </c>
      <c r="AN50" s="82">
        <f t="shared" si="133"/>
        <v>0</v>
      </c>
      <c r="AO50" s="76">
        <f>SUM(AH50:AN50)</f>
        <v>8</v>
      </c>
      <c r="AP50" s="82">
        <f>IF(AP41="Dim",AP46,IF(AP56="ferie",AP46,0))</f>
        <v>0</v>
      </c>
      <c r="AQ50" s="82">
        <f t="shared" si="133"/>
        <v>0</v>
      </c>
      <c r="AR50" s="76">
        <f t="shared" si="116"/>
        <v>0</v>
      </c>
      <c r="AS50" s="76">
        <f t="shared" si="128"/>
        <v>8</v>
      </c>
      <c r="AT50" s="56"/>
      <c r="AU50" s="56"/>
      <c r="AV50" s="56"/>
      <c r="AW50" s="56"/>
      <c r="AX50" s="56"/>
      <c r="AY50" s="56"/>
      <c r="AZ50" s="45"/>
    </row>
    <row r="51" spans="1:52" s="7" customFormat="1" ht="15" customHeight="1" x14ac:dyDescent="0.25">
      <c r="A51" s="37" t="s">
        <v>59</v>
      </c>
      <c r="B51" s="47"/>
      <c r="C51" s="47"/>
      <c r="D51" s="47"/>
      <c r="E51" s="47"/>
      <c r="F51" s="47"/>
      <c r="G51" s="47"/>
      <c r="H51" s="47"/>
      <c r="I51" s="76">
        <f t="shared" si="118"/>
        <v>0</v>
      </c>
      <c r="J51" s="47"/>
      <c r="K51" s="47"/>
      <c r="L51" s="47"/>
      <c r="M51" s="47"/>
      <c r="N51" s="47"/>
      <c r="O51" s="47"/>
      <c r="P51" s="47"/>
      <c r="Q51" s="76">
        <f t="shared" si="120"/>
        <v>0</v>
      </c>
      <c r="R51" s="47"/>
      <c r="S51" s="47"/>
      <c r="T51" s="47"/>
      <c r="U51" s="47"/>
      <c r="V51" s="47"/>
      <c r="W51" s="47"/>
      <c r="X51" s="47"/>
      <c r="Y51" s="76">
        <f t="shared" si="122"/>
        <v>0</v>
      </c>
      <c r="Z51" s="47"/>
      <c r="AA51" s="47"/>
      <c r="AB51" s="47"/>
      <c r="AC51" s="47"/>
      <c r="AD51" s="47"/>
      <c r="AE51" s="47"/>
      <c r="AF51" s="47"/>
      <c r="AG51" s="76">
        <f t="shared" si="124"/>
        <v>0</v>
      </c>
      <c r="AH51" s="47"/>
      <c r="AI51" s="47"/>
      <c r="AJ51" s="47"/>
      <c r="AK51" s="47"/>
      <c r="AL51" s="47"/>
      <c r="AM51" s="47"/>
      <c r="AN51" s="47"/>
      <c r="AO51" s="76">
        <f t="shared" si="126"/>
        <v>0</v>
      </c>
      <c r="AP51" s="47"/>
      <c r="AQ51" s="47"/>
      <c r="AR51" s="76">
        <f t="shared" si="116"/>
        <v>0</v>
      </c>
      <c r="AS51" s="76">
        <f t="shared" si="128"/>
        <v>0</v>
      </c>
      <c r="AT51" s="62"/>
      <c r="AU51" s="62"/>
      <c r="AV51" s="62"/>
      <c r="AW51" s="62"/>
      <c r="AX51" s="62"/>
      <c r="AY51" s="62"/>
      <c r="AZ51" s="57"/>
    </row>
    <row r="52" spans="1:52" s="7" customFormat="1" ht="15" customHeight="1" x14ac:dyDescent="0.25">
      <c r="A52" s="52" t="s">
        <v>60</v>
      </c>
      <c r="B52" s="47"/>
      <c r="C52" s="47"/>
      <c r="D52" s="47"/>
      <c r="E52" s="47"/>
      <c r="F52" s="47"/>
      <c r="G52" s="47"/>
      <c r="H52" s="47"/>
      <c r="I52" s="76">
        <f t="shared" si="118"/>
        <v>0</v>
      </c>
      <c r="J52" s="47"/>
      <c r="K52" s="47"/>
      <c r="L52" s="47"/>
      <c r="M52" s="47"/>
      <c r="N52" s="47"/>
      <c r="O52" s="47"/>
      <c r="P52" s="47"/>
      <c r="Q52" s="76">
        <f t="shared" si="120"/>
        <v>0</v>
      </c>
      <c r="R52" s="47"/>
      <c r="S52" s="47"/>
      <c r="T52" s="47"/>
      <c r="U52" s="47"/>
      <c r="V52" s="47"/>
      <c r="W52" s="47"/>
      <c r="X52" s="47"/>
      <c r="Y52" s="76">
        <f t="shared" si="122"/>
        <v>0</v>
      </c>
      <c r="Z52" s="47"/>
      <c r="AA52" s="47"/>
      <c r="AB52" s="47"/>
      <c r="AC52" s="47"/>
      <c r="AD52" s="47"/>
      <c r="AE52" s="47"/>
      <c r="AF52" s="47"/>
      <c r="AG52" s="76">
        <f t="shared" si="124"/>
        <v>0</v>
      </c>
      <c r="AH52" s="47"/>
      <c r="AI52" s="47"/>
      <c r="AJ52" s="47"/>
      <c r="AK52" s="47">
        <v>8</v>
      </c>
      <c r="AL52" s="47"/>
      <c r="AM52" s="47"/>
      <c r="AN52" s="47"/>
      <c r="AO52" s="76">
        <f t="shared" si="126"/>
        <v>8</v>
      </c>
      <c r="AP52" s="47"/>
      <c r="AQ52" s="47"/>
      <c r="AR52" s="76">
        <f t="shared" ref="AR52:AR54" si="134">SUM(AP52:AQ52)</f>
        <v>0</v>
      </c>
      <c r="AS52" s="76">
        <f t="shared" si="128"/>
        <v>8</v>
      </c>
      <c r="AT52" s="47"/>
      <c r="AU52" s="47"/>
      <c r="AV52" s="47"/>
      <c r="AW52" s="47"/>
      <c r="AX52" s="47"/>
      <c r="AY52" s="47"/>
      <c r="AZ52" s="57"/>
    </row>
    <row r="53" spans="1:52" s="7" customFormat="1" ht="15" customHeight="1" x14ac:dyDescent="0.25">
      <c r="A53" s="37" t="s">
        <v>62</v>
      </c>
      <c r="B53" s="47"/>
      <c r="C53" s="47"/>
      <c r="D53" s="47"/>
      <c r="E53" s="47"/>
      <c r="F53" s="47"/>
      <c r="G53" s="47"/>
      <c r="H53" s="47"/>
      <c r="I53" s="76">
        <f t="shared" si="118"/>
        <v>0</v>
      </c>
      <c r="J53" s="47"/>
      <c r="K53" s="47"/>
      <c r="L53" s="47"/>
      <c r="M53" s="47"/>
      <c r="N53" s="47"/>
      <c r="O53" s="47"/>
      <c r="P53" s="47"/>
      <c r="Q53" s="76">
        <f t="shared" si="120"/>
        <v>0</v>
      </c>
      <c r="R53" s="47"/>
      <c r="S53" s="47"/>
      <c r="T53" s="47"/>
      <c r="U53" s="47"/>
      <c r="V53" s="47"/>
      <c r="W53" s="47"/>
      <c r="X53" s="47"/>
      <c r="Y53" s="76">
        <f t="shared" si="122"/>
        <v>0</v>
      </c>
      <c r="Z53" s="47"/>
      <c r="AA53" s="47"/>
      <c r="AB53" s="47"/>
      <c r="AC53" s="47"/>
      <c r="AD53" s="47"/>
      <c r="AE53" s="47"/>
      <c r="AF53" s="47"/>
      <c r="AG53" s="76">
        <f t="shared" si="124"/>
        <v>0</v>
      </c>
      <c r="AH53" s="47"/>
      <c r="AI53" s="47"/>
      <c r="AJ53" s="47"/>
      <c r="AK53" s="47"/>
      <c r="AL53" s="47"/>
      <c r="AM53" s="47"/>
      <c r="AN53" s="47"/>
      <c r="AO53" s="76">
        <f t="shared" si="126"/>
        <v>0</v>
      </c>
      <c r="AP53" s="47"/>
      <c r="AQ53" s="47"/>
      <c r="AR53" s="76">
        <f t="shared" si="134"/>
        <v>0</v>
      </c>
      <c r="AS53" s="76">
        <f t="shared" si="128"/>
        <v>0</v>
      </c>
      <c r="AT53" s="62"/>
      <c r="AU53" s="62"/>
      <c r="AV53" s="62"/>
      <c r="AW53" s="62"/>
      <c r="AX53" s="62"/>
      <c r="AY53" s="62"/>
      <c r="AZ53" s="51"/>
    </row>
    <row r="54" spans="1:52" s="7" customFormat="1" ht="15" customHeight="1" x14ac:dyDescent="0.25">
      <c r="A54" s="52" t="s">
        <v>61</v>
      </c>
      <c r="B54" s="47"/>
      <c r="C54" s="47"/>
      <c r="D54" s="47"/>
      <c r="E54" s="47"/>
      <c r="F54" s="47"/>
      <c r="G54" s="47"/>
      <c r="H54" s="47"/>
      <c r="I54" s="76">
        <f t="shared" si="118"/>
        <v>0</v>
      </c>
      <c r="J54" s="47"/>
      <c r="K54" s="47"/>
      <c r="L54" s="47"/>
      <c r="M54" s="47"/>
      <c r="N54" s="47"/>
      <c r="O54" s="47"/>
      <c r="P54" s="47"/>
      <c r="Q54" s="76">
        <f t="shared" si="120"/>
        <v>0</v>
      </c>
      <c r="R54" s="47"/>
      <c r="S54" s="47"/>
      <c r="T54" s="47"/>
      <c r="U54" s="47"/>
      <c r="V54" s="47"/>
      <c r="W54" s="47"/>
      <c r="X54" s="47"/>
      <c r="Y54" s="76">
        <f t="shared" si="122"/>
        <v>0</v>
      </c>
      <c r="Z54" s="47"/>
      <c r="AA54" s="47"/>
      <c r="AB54" s="47"/>
      <c r="AC54" s="47"/>
      <c r="AD54" s="47"/>
      <c r="AE54" s="47"/>
      <c r="AF54" s="47"/>
      <c r="AG54" s="76">
        <f t="shared" si="124"/>
        <v>0</v>
      </c>
      <c r="AH54" s="47"/>
      <c r="AI54" s="47"/>
      <c r="AJ54" s="47"/>
      <c r="AK54" s="47"/>
      <c r="AL54" s="47"/>
      <c r="AM54" s="47"/>
      <c r="AN54" s="47"/>
      <c r="AO54" s="76">
        <f t="shared" si="126"/>
        <v>0</v>
      </c>
      <c r="AP54" s="47"/>
      <c r="AQ54" s="47"/>
      <c r="AR54" s="76">
        <f t="shared" si="134"/>
        <v>0</v>
      </c>
      <c r="AS54" s="76">
        <f t="shared" si="128"/>
        <v>0</v>
      </c>
      <c r="AT54" s="62"/>
      <c r="AU54" s="62"/>
      <c r="AV54" s="62"/>
      <c r="AW54" s="62"/>
      <c r="AX54" s="62"/>
      <c r="AY54" s="62"/>
      <c r="AZ54" s="51"/>
    </row>
    <row r="55" spans="1:52" s="49" customFormat="1" ht="15" customHeight="1" x14ac:dyDescent="0.25">
      <c r="A55" s="52" t="s">
        <v>95</v>
      </c>
      <c r="B55" s="76">
        <f>IF(B43="nuit",B46*0.02,0)</f>
        <v>0</v>
      </c>
      <c r="C55" s="76">
        <f>IF(C43="nuit",C46*0.02,0)</f>
        <v>0</v>
      </c>
      <c r="D55" s="76">
        <f t="shared" ref="D55:H55" si="135">IF(D43="nuit",D46*0.02,0)</f>
        <v>0</v>
      </c>
      <c r="E55" s="76">
        <f t="shared" si="135"/>
        <v>0</v>
      </c>
      <c r="F55" s="76">
        <f>IF(F43="nuit",F46*0.02,0)</f>
        <v>0</v>
      </c>
      <c r="G55" s="76">
        <f t="shared" si="135"/>
        <v>0</v>
      </c>
      <c r="H55" s="76">
        <f t="shared" si="135"/>
        <v>0</v>
      </c>
      <c r="I55" s="76">
        <f t="shared" si="118"/>
        <v>0</v>
      </c>
      <c r="J55" s="76">
        <f>IF(J43="nuit",J46*0.02,0)</f>
        <v>0</v>
      </c>
      <c r="K55" s="76">
        <f>IF(K43="nuit",K46*0.02,0)</f>
        <v>0</v>
      </c>
      <c r="L55" s="76">
        <f t="shared" ref="L55:P55" si="136">IF(L43="nuit",L46*0.02,0)</f>
        <v>0</v>
      </c>
      <c r="M55" s="76">
        <f t="shared" si="136"/>
        <v>0</v>
      </c>
      <c r="N55" s="76">
        <f>IF(N43="nuit",N46*0.02,0)</f>
        <v>0</v>
      </c>
      <c r="O55" s="76">
        <f t="shared" si="136"/>
        <v>0</v>
      </c>
      <c r="P55" s="76">
        <f t="shared" si="136"/>
        <v>0</v>
      </c>
      <c r="Q55" s="76">
        <f t="shared" si="120"/>
        <v>0</v>
      </c>
      <c r="R55" s="76">
        <f>IF(R43="nuit",R46*0.02,0)</f>
        <v>0.16</v>
      </c>
      <c r="S55" s="76">
        <f>IF(S43="nuit",S46*0.02,0)</f>
        <v>0.16</v>
      </c>
      <c r="T55" s="76">
        <f t="shared" ref="T55:X55" si="137">IF(T43="nuit",T46*0.02,0)</f>
        <v>0.16</v>
      </c>
      <c r="U55" s="76">
        <f t="shared" si="137"/>
        <v>0.16</v>
      </c>
      <c r="V55" s="76">
        <f>IF(V43="nuit",V46*0.02,0)</f>
        <v>0.16</v>
      </c>
      <c r="W55" s="76">
        <f t="shared" si="137"/>
        <v>0</v>
      </c>
      <c r="X55" s="76">
        <f t="shared" si="137"/>
        <v>0</v>
      </c>
      <c r="Y55" s="76">
        <f t="shared" si="122"/>
        <v>0.8</v>
      </c>
      <c r="Z55" s="76">
        <f>IF(Z43="nuit",Z46*0.02,0)</f>
        <v>0</v>
      </c>
      <c r="AA55" s="76">
        <f>IF(AA43="nuit",AA46*0.02,0)</f>
        <v>0</v>
      </c>
      <c r="AB55" s="76">
        <f t="shared" ref="AB55:AF55" si="138">IF(AB43="nuit",AB46*0.02,0)</f>
        <v>0</v>
      </c>
      <c r="AC55" s="76">
        <f t="shared" si="138"/>
        <v>0</v>
      </c>
      <c r="AD55" s="76">
        <f>IF(AD43="nuit",AD46*0.02,0)</f>
        <v>0</v>
      </c>
      <c r="AE55" s="76">
        <f t="shared" si="138"/>
        <v>0</v>
      </c>
      <c r="AF55" s="76">
        <f t="shared" si="138"/>
        <v>0</v>
      </c>
      <c r="AG55" s="76">
        <f t="shared" si="124"/>
        <v>0</v>
      </c>
      <c r="AH55" s="76">
        <f>IF(AH43="nuit",AH46*0.02,0)</f>
        <v>0</v>
      </c>
      <c r="AI55" s="76">
        <f>IF(AI43="nuit",AI46*0.02,0)</f>
        <v>0</v>
      </c>
      <c r="AJ55" s="76">
        <f t="shared" ref="AJ55:AN55" si="139">IF(AJ43="nuit",AJ46*0.02,0)</f>
        <v>0</v>
      </c>
      <c r="AK55" s="76">
        <f t="shared" si="139"/>
        <v>0</v>
      </c>
      <c r="AL55" s="76">
        <f>IF(AL43="nuit",AL46*0.02,0)</f>
        <v>0</v>
      </c>
      <c r="AM55" s="76">
        <f t="shared" si="139"/>
        <v>0</v>
      </c>
      <c r="AN55" s="76">
        <f t="shared" si="139"/>
        <v>0</v>
      </c>
      <c r="AO55" s="76">
        <f t="shared" si="126"/>
        <v>0</v>
      </c>
      <c r="AP55" s="76">
        <f>IF(AP43="nuit",AP46*0.02,0)</f>
        <v>0</v>
      </c>
      <c r="AQ55" s="76">
        <f>IF(AQ43="nuit",AQ46*0.02,0)</f>
        <v>0</v>
      </c>
      <c r="AR55" s="76">
        <f>SUM(AP55:AQ55)</f>
        <v>0</v>
      </c>
      <c r="AS55" s="76">
        <f>I55+Q55+Y55+AG55+AO55+AR55</f>
        <v>0.8</v>
      </c>
      <c r="AT55" s="68"/>
      <c r="AU55" s="68"/>
      <c r="AV55" s="68"/>
      <c r="AW55" s="68"/>
      <c r="AX55" s="68"/>
      <c r="AY55" s="68"/>
      <c r="AZ55" s="51"/>
    </row>
    <row r="56" spans="1:52" s="7" customFormat="1" ht="15" customHeight="1" x14ac:dyDescent="0.25">
      <c r="A56" s="37" t="s">
        <v>82</v>
      </c>
      <c r="B56" s="47"/>
      <c r="C56" s="47"/>
      <c r="D56" s="47"/>
      <c r="E56" s="47"/>
      <c r="F56" s="47"/>
      <c r="G56" s="53"/>
      <c r="H56" s="53"/>
      <c r="I56" s="80"/>
      <c r="J56" s="53"/>
      <c r="K56" s="53"/>
      <c r="L56" s="53"/>
      <c r="M56" s="53"/>
      <c r="N56" s="53"/>
      <c r="O56" s="53"/>
      <c r="P56" s="53"/>
      <c r="Q56" s="80"/>
      <c r="R56" s="53"/>
      <c r="S56" s="53"/>
      <c r="T56" s="53"/>
      <c r="U56" s="53"/>
      <c r="V56" s="53"/>
      <c r="W56" s="53"/>
      <c r="X56" s="53"/>
      <c r="Y56" s="80"/>
      <c r="Z56" s="53"/>
      <c r="AA56" s="53" t="s">
        <v>111</v>
      </c>
      <c r="AB56" s="53" t="s">
        <v>111</v>
      </c>
      <c r="AC56" s="53"/>
      <c r="AD56" s="53"/>
      <c r="AE56" s="53"/>
      <c r="AF56" s="53"/>
      <c r="AG56" s="80"/>
      <c r="AH56" s="53" t="s">
        <v>112</v>
      </c>
      <c r="AI56" s="53"/>
      <c r="AJ56" s="53"/>
      <c r="AK56" s="53"/>
      <c r="AL56" s="53"/>
      <c r="AM56" s="53"/>
      <c r="AN56" s="53"/>
      <c r="AO56" s="80"/>
      <c r="AP56" s="53"/>
      <c r="AQ56" s="53"/>
      <c r="AR56" s="80"/>
      <c r="AS56" s="81"/>
      <c r="AT56" s="62"/>
      <c r="AU56" s="62"/>
      <c r="AV56" s="62"/>
      <c r="AW56" s="62"/>
      <c r="AX56" s="62"/>
      <c r="AY56" s="62"/>
      <c r="AZ56" s="51"/>
    </row>
    <row r="57" spans="1:52" s="7" customFormat="1" ht="15" customHeight="1" x14ac:dyDescent="0.25">
      <c r="A57" s="54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85"/>
      <c r="AT57" s="62"/>
      <c r="AU57" s="62"/>
      <c r="AV57" s="62"/>
      <c r="AW57" s="62"/>
      <c r="AX57" s="62"/>
      <c r="AY57" s="62"/>
      <c r="AZ57" s="51"/>
    </row>
    <row r="58" spans="1:52" s="8" customFormat="1" ht="27.6" x14ac:dyDescent="0.25">
      <c r="A58" s="37"/>
      <c r="B58" s="40" t="s">
        <v>73</v>
      </c>
      <c r="C58" s="40"/>
      <c r="D58" s="40"/>
      <c r="E58" s="40"/>
      <c r="F58" s="40"/>
      <c r="G58" s="96">
        <f>Année_Calendaire</f>
        <v>2016</v>
      </c>
      <c r="H58" s="96"/>
      <c r="I58" s="65"/>
      <c r="J58" s="47"/>
      <c r="K58" s="47"/>
      <c r="L58" s="47"/>
      <c r="M58" s="47"/>
      <c r="N58" s="47"/>
      <c r="O58" s="47"/>
      <c r="P58" s="47"/>
      <c r="Q58" s="65"/>
      <c r="R58" s="40" t="s">
        <v>73</v>
      </c>
      <c r="S58" s="40"/>
      <c r="T58" s="40"/>
      <c r="U58" s="40"/>
      <c r="V58" s="40"/>
      <c r="W58" s="96">
        <f>Année_Calendaire</f>
        <v>2016</v>
      </c>
      <c r="X58" s="96"/>
      <c r="Y58" s="65"/>
      <c r="Z58" s="47"/>
      <c r="AA58" s="47"/>
      <c r="AB58" s="47"/>
      <c r="AC58" s="47"/>
      <c r="AD58" s="47"/>
      <c r="AE58" s="47"/>
      <c r="AF58" s="47"/>
      <c r="AG58" s="65"/>
      <c r="AH58" s="40" t="s">
        <v>73</v>
      </c>
      <c r="AI58" s="40"/>
      <c r="AJ58" s="40"/>
      <c r="AK58" s="40"/>
      <c r="AL58" s="40"/>
      <c r="AM58" s="96">
        <f>Année_Calendaire</f>
        <v>2016</v>
      </c>
      <c r="AN58" s="96"/>
      <c r="AO58" s="65"/>
      <c r="AP58" s="47"/>
      <c r="AQ58" s="47"/>
      <c r="AR58" s="65"/>
      <c r="AS58" s="68"/>
      <c r="AT58" s="68"/>
      <c r="AU58" s="68"/>
      <c r="AV58" s="68"/>
      <c r="AW58" s="68"/>
      <c r="AX58" s="68"/>
      <c r="AY58" s="68"/>
      <c r="AZ58" s="51"/>
    </row>
    <row r="59" spans="1:52" s="8" customFormat="1" ht="29.25" customHeight="1" x14ac:dyDescent="0.25">
      <c r="A59" s="47"/>
      <c r="B59" s="78" t="s">
        <v>64</v>
      </c>
      <c r="C59" s="78" t="s">
        <v>65</v>
      </c>
      <c r="D59" s="78" t="s">
        <v>66</v>
      </c>
      <c r="E59" s="78" t="s">
        <v>67</v>
      </c>
      <c r="F59" s="78" t="s">
        <v>68</v>
      </c>
      <c r="G59" s="78" t="s">
        <v>69</v>
      </c>
      <c r="H59" s="78" t="s">
        <v>70</v>
      </c>
      <c r="I59" s="97" t="s">
        <v>83</v>
      </c>
      <c r="J59" s="78" t="s">
        <v>64</v>
      </c>
      <c r="K59" s="78" t="s">
        <v>65</v>
      </c>
      <c r="L59" s="78" t="s">
        <v>66</v>
      </c>
      <c r="M59" s="78" t="s">
        <v>67</v>
      </c>
      <c r="N59" s="78" t="s">
        <v>68</v>
      </c>
      <c r="O59" s="78" t="s">
        <v>69</v>
      </c>
      <c r="P59" s="78" t="s">
        <v>70</v>
      </c>
      <c r="Q59" s="97" t="s">
        <v>83</v>
      </c>
      <c r="R59" s="78" t="s">
        <v>64</v>
      </c>
      <c r="S59" s="78" t="s">
        <v>65</v>
      </c>
      <c r="T59" s="78" t="s">
        <v>66</v>
      </c>
      <c r="U59" s="78" t="s">
        <v>67</v>
      </c>
      <c r="V59" s="78" t="s">
        <v>68</v>
      </c>
      <c r="W59" s="78" t="s">
        <v>69</v>
      </c>
      <c r="X59" s="78" t="s">
        <v>70</v>
      </c>
      <c r="Y59" s="97" t="s">
        <v>83</v>
      </c>
      <c r="Z59" s="78" t="s">
        <v>64</v>
      </c>
      <c r="AA59" s="78" t="s">
        <v>65</v>
      </c>
      <c r="AB59" s="78" t="s">
        <v>66</v>
      </c>
      <c r="AC59" s="78" t="s">
        <v>67</v>
      </c>
      <c r="AD59" s="78" t="s">
        <v>68</v>
      </c>
      <c r="AE59" s="78" t="s">
        <v>69</v>
      </c>
      <c r="AF59" s="78" t="s">
        <v>70</v>
      </c>
      <c r="AG59" s="97" t="s">
        <v>83</v>
      </c>
      <c r="AH59" s="78" t="s">
        <v>64</v>
      </c>
      <c r="AI59" s="78" t="s">
        <v>65</v>
      </c>
      <c r="AJ59" s="78" t="s">
        <v>66</v>
      </c>
      <c r="AK59" s="78" t="s">
        <v>67</v>
      </c>
      <c r="AL59" s="78" t="s">
        <v>68</v>
      </c>
      <c r="AM59" s="78" t="s">
        <v>69</v>
      </c>
      <c r="AN59" s="78" t="s">
        <v>70</v>
      </c>
      <c r="AO59" s="97" t="s">
        <v>83</v>
      </c>
      <c r="AP59" s="78" t="s">
        <v>64</v>
      </c>
      <c r="AQ59" s="78" t="s">
        <v>65</v>
      </c>
      <c r="AR59" s="97" t="s">
        <v>83</v>
      </c>
      <c r="AS59" s="97" t="s">
        <v>86</v>
      </c>
      <c r="AT59" s="98">
        <f>AS66+AS67+AS68</f>
        <v>18</v>
      </c>
      <c r="AU59" s="98">
        <f>AT59+AU41</f>
        <v>38</v>
      </c>
      <c r="AV59" s="68"/>
      <c r="AW59" s="68"/>
      <c r="AX59" s="68"/>
      <c r="AY59" s="68"/>
      <c r="AZ59" s="51"/>
    </row>
    <row r="60" spans="1:52" s="8" customFormat="1" ht="15" customHeight="1" x14ac:dyDescent="0.25">
      <c r="A60" s="64"/>
      <c r="B60" s="83" t="str">
        <f>IF(DAY(Avr_Dim1)=1,"",IF(AND(YEAR(Avr_Dim1+1)=Année_Calendaire,MONTH(Avr_Dim1+1)=4),Avr_Dim1+1,""))</f>
        <v/>
      </c>
      <c r="C60" s="83" t="str">
        <f>IF(DAY(Avr_Dim1)=1,"",IF(AND(YEAR(Avr_Dim1+2)=Année_Calendaire,MONTH(Avr_Dim1+2)=4),Avr_Dim1+2,""))</f>
        <v/>
      </c>
      <c r="D60" s="83" t="str">
        <f>IF(DAY(Avr_Dim1)=1,"",IF(AND(YEAR(Avr_Dim1+3)=Année_Calendaire,MONTH(Avr_Dim1+3)=4),Avr_Dim1+3,""))</f>
        <v/>
      </c>
      <c r="E60" s="83" t="str">
        <f>IF(DAY(Avr_Dim1)=1,"",IF(AND(YEAR(Avr_Dim1+4)=Année_Calendaire,MONTH(Avr_Dim1+4)=4),Avr_Dim1+4,""))</f>
        <v/>
      </c>
      <c r="F60" s="83">
        <f>IF(DAY(Avr_Dim1)=1,"",IF(AND(YEAR(Avr_Dim1+5)=Année_Calendaire,MONTH(Avr_Dim1+5)=4),Avr_Dim1+5,""))</f>
        <v>42461</v>
      </c>
      <c r="G60" s="83">
        <f>IF(DAY(Avr_Dim1)=1,"",IF(AND(YEAR(Avr_Dim1+6)=Année_Calendaire,MONTH(Avr_Dim1+6)=4),Avr_Dim1+6,""))</f>
        <v>42462</v>
      </c>
      <c r="H60" s="83">
        <f>IF(DAY(Avr_Dim1)=1,IF(AND(YEAR(Avr_Dim1)=Année_Calendaire,MONTH(Avr_Dim1)=4),Avr_Dim1,""),IF(AND(YEAR(Avr_Dim1+7)=Année_Calendaire,MONTH(Avr_Dim1+7)=4),Avr_Dim1+7,""))</f>
        <v>42463</v>
      </c>
      <c r="I60" s="97"/>
      <c r="J60" s="83">
        <f>IF(DAY(Avr_Dim1)=1,IF(AND(YEAR(Avr_Dim1+1)=Année_Calendaire,MONTH(Avr_Dim1+1)=4),Avr_Dim1+1,""),IF(AND(YEAR(Avr_Dim1+8)=Année_Calendaire,MONTH(Avr_Dim1+8)=4),Avr_Dim1+8,""))</f>
        <v>42464</v>
      </c>
      <c r="K60" s="83">
        <f>IF(DAY(Avr_Dim1)=1,IF(AND(YEAR(Avr_Dim1+2)=Année_Calendaire,MONTH(Avr_Dim1+2)=4),Avr_Dim1+2,""),IF(AND(YEAR(Avr_Dim1+9)=Année_Calendaire,MONTH(Avr_Dim1+9)=4),Avr_Dim1+9,""))</f>
        <v>42465</v>
      </c>
      <c r="L60" s="83">
        <f>IF(DAY(Avr_Dim1)=1,IF(AND(YEAR(Avr_Dim1+3)=Année_Calendaire,MONTH(Avr_Dim1+3)=4),Avr_Dim1+3,""),IF(AND(YEAR(Avr_Dim1+10)=Année_Calendaire,MONTH(Avr_Dim1+10)=4),Avr_Dim1+10,""))</f>
        <v>42466</v>
      </c>
      <c r="M60" s="83">
        <f>IF(DAY(Avr_Dim1)=1,IF(AND(YEAR(Avr_Dim1+4)=Année_Calendaire,MONTH(Avr_Dim1+4)=4),Avr_Dim1+4,""),IF(AND(YEAR(Avr_Dim1+11)=Année_Calendaire,MONTH(Avr_Dim1+11)=4),Avr_Dim1+11,""))</f>
        <v>42467</v>
      </c>
      <c r="N60" s="83">
        <f>IF(DAY(Avr_Dim1)=1,IF(AND(YEAR(Avr_Dim1+5)=Année_Calendaire,MONTH(Avr_Dim1+5)=4),Avr_Dim1+5,""),IF(AND(YEAR(Avr_Dim1+12)=Année_Calendaire,MONTH(Avr_Dim1+12)=4),Avr_Dim1+12,""))</f>
        <v>42468</v>
      </c>
      <c r="O60" s="83">
        <f>IF(DAY(Avr_Dim1)=1,IF(AND(YEAR(Avr_Dim1+6)=Année_Calendaire,MONTH(Avr_Dim1+6)=4),Avr_Dim1+6,""),IF(AND(YEAR(Avr_Dim1+13)=Année_Calendaire,MONTH(Avr_Dim1+13)=4),Avr_Dim1+13,""))</f>
        <v>42469</v>
      </c>
      <c r="P60" s="83">
        <f>IF(DAY(Avr_Dim1)=1,IF(AND(YEAR(Avr_Dim1+7)=Année_Calendaire,MONTH(Avr_Dim1+7)=4),Avr_Dim1+7,""),IF(AND(YEAR(Avr_Dim1+14)=Année_Calendaire,MONTH(Avr_Dim1+14)=4),Avr_Dim1+14,""))</f>
        <v>42470</v>
      </c>
      <c r="Q60" s="97"/>
      <c r="R60" s="83">
        <f>IF(DAY(Avr_Dim1)=1,IF(AND(YEAR(Avr_Dim1+8)=Année_Calendaire,MONTH(Avr_Dim1+8)=4),Avr_Dim1+8,""),IF(AND(YEAR(Avr_Dim1+15)=Année_Calendaire,MONTH(Avr_Dim1+15)=4),Avr_Dim1+15,""))</f>
        <v>42471</v>
      </c>
      <c r="S60" s="83">
        <f>IF(DAY(Avr_Dim1)=1,IF(AND(YEAR(Avr_Dim1+9)=Année_Calendaire,MONTH(Avr_Dim1+9)=4),Avr_Dim1+9,""),IF(AND(YEAR(Avr_Dim1+16)=Année_Calendaire,MONTH(Avr_Dim1+16)=4),Avr_Dim1+16,""))</f>
        <v>42472</v>
      </c>
      <c r="T60" s="83">
        <f>IF(DAY(Avr_Dim1)=1,IF(AND(YEAR(Avr_Dim1+10)=Année_Calendaire,MONTH(Avr_Dim1+10)=4),Avr_Dim1+10,""),IF(AND(YEAR(Avr_Dim1+17)=Année_Calendaire,MONTH(Avr_Dim1+17)=4),Avr_Dim1+17,""))</f>
        <v>42473</v>
      </c>
      <c r="U60" s="83">
        <f>IF(DAY(Avr_Dim1)=1,IF(AND(YEAR(Avr_Dim1+11)=Année_Calendaire,MONTH(Avr_Dim1+11)=4),Avr_Dim1+11,""),IF(AND(YEAR(Avr_Dim1+18)=Année_Calendaire,MONTH(Avr_Dim1+18)=4),Avr_Dim1+18,""))</f>
        <v>42474</v>
      </c>
      <c r="V60" s="83">
        <f>IF(DAY(Avr_Dim1)=1,IF(AND(YEAR(Avr_Dim1+12)=Année_Calendaire,MONTH(Avr_Dim1+12)=4),Avr_Dim1+12,""),IF(AND(YEAR(Avr_Dim1+19)=Année_Calendaire,MONTH(Avr_Dim1+19)=4),Avr_Dim1+19,""))</f>
        <v>42475</v>
      </c>
      <c r="W60" s="83">
        <f>IF(DAY(Avr_Dim1)=1,IF(AND(YEAR(Avr_Dim1+13)=Année_Calendaire,MONTH(Avr_Dim1+13)=4),Avr_Dim1+13,""),IF(AND(YEAR(Avr_Dim1+20)=Année_Calendaire,MONTH(Avr_Dim1+20)=4),Avr_Dim1+20,""))</f>
        <v>42476</v>
      </c>
      <c r="X60" s="83">
        <f>IF(DAY(Avr_Dim1)=1,IF(AND(YEAR(Avr_Dim1+14)=Année_Calendaire,MONTH(Avr_Dim1+14)=4),Avr_Dim1+14,""),IF(AND(YEAR(Avr_Dim1+21)=Année_Calendaire,MONTH(Avr_Dim1+21)=4),Avr_Dim1+21,""))</f>
        <v>42477</v>
      </c>
      <c r="Y60" s="97"/>
      <c r="Z60" s="83">
        <f>IF(DAY(Avr_Dim1)=1,IF(AND(YEAR(Avr_Dim1+15)=Année_Calendaire,MONTH(Avr_Dim1+15)=4),Avr_Dim1+15,""),IF(AND(YEAR(Avr_Dim1+22)=Année_Calendaire,MONTH(Avr_Dim1+22)=4),Avr_Dim1+22,""))</f>
        <v>42478</v>
      </c>
      <c r="AA60" s="83">
        <f>IF(DAY(Avr_Dim1)=1,IF(AND(YEAR(Avr_Dim1+16)=Année_Calendaire,MONTH(Avr_Dim1+16)=4),Avr_Dim1+16,""),IF(AND(YEAR(Avr_Dim1+23)=Année_Calendaire,MONTH(Avr_Dim1+23)=4),Avr_Dim1+23,""))</f>
        <v>42479</v>
      </c>
      <c r="AB60" s="83">
        <f>IF(DAY(Avr_Dim1)=1,IF(AND(YEAR(Avr_Dim1+17)=Année_Calendaire,MONTH(Avr_Dim1+17)=4),Avr_Dim1+17,""),IF(AND(YEAR(Avr_Dim1+24)=Année_Calendaire,MONTH(Avr_Dim1+24)=4),Avr_Dim1+24,""))</f>
        <v>42480</v>
      </c>
      <c r="AC60" s="83">
        <f>IF(DAY(Avr_Dim1)=1,IF(AND(YEAR(Avr_Dim1+18)=Année_Calendaire,MONTH(Avr_Dim1+18)=4),Avr_Dim1+18,""),IF(AND(YEAR(Avr_Dim1+25)=Année_Calendaire,MONTH(Avr_Dim1+25)=4),Avr_Dim1+25,""))</f>
        <v>42481</v>
      </c>
      <c r="AD60" s="83">
        <f>IF(DAY(Avr_Dim1)=1,IF(AND(YEAR(Avr_Dim1+19)=Année_Calendaire,MONTH(Avr_Dim1+19)=4),Avr_Dim1+19,""),IF(AND(YEAR(Avr_Dim1+26)=Année_Calendaire,MONTH(Avr_Dim1+26)=4),Avr_Dim1+26,""))</f>
        <v>42482</v>
      </c>
      <c r="AE60" s="83">
        <f>IF(DAY(Avr_Dim1)=1,IF(AND(YEAR(Avr_Dim1+20)=Année_Calendaire,MONTH(Avr_Dim1+20)=4),Avr_Dim1+20,""),IF(AND(YEAR(Avr_Dim1+27)=Année_Calendaire,MONTH(Avr_Dim1+27)=4),Avr_Dim1+27,""))</f>
        <v>42483</v>
      </c>
      <c r="AF60" s="83">
        <f>IF(DAY(Avr_Dim1)=1,IF(AND(YEAR(Avr_Dim1+21)=Année_Calendaire,MONTH(Avr_Dim1+21)=4),Avr_Dim1+21,""),IF(AND(YEAR(Avr_Dim1+28)=Année_Calendaire,MONTH(Avr_Dim1+28)=4),Avr_Dim1+28,""))</f>
        <v>42484</v>
      </c>
      <c r="AG60" s="97"/>
      <c r="AH60" s="83">
        <f>IF(DAY(Avr_Dim1)=1,IF(AND(YEAR(Avr_Dim1+22)=Année_Calendaire,MONTH(Avr_Dim1+22)=4),Avr_Dim1+22,""),IF(AND(YEAR(Avr_Dim1+29)=Année_Calendaire,MONTH(Avr_Dim1+29)=4),Avr_Dim1+29,""))</f>
        <v>42485</v>
      </c>
      <c r="AI60" s="83">
        <f>IF(DAY(Avr_Dim1)=1,IF(AND(YEAR(Avr_Dim1+23)=Année_Calendaire,MONTH(Avr_Dim1+23)=4),Avr_Dim1+23,""),IF(AND(YEAR(Avr_Dim1+30)=Année_Calendaire,MONTH(Avr_Dim1+30)=4),Avr_Dim1+30,""))</f>
        <v>42486</v>
      </c>
      <c r="AJ60" s="83">
        <f>IF(DAY(Avr_Dim1)=1,IF(AND(YEAR(Avr_Dim1+24)=Année_Calendaire,MONTH(Avr_Dim1+24)=4),Avr_Dim1+24,""),IF(AND(YEAR(Avr_Dim1+31)=Année_Calendaire,MONTH(Avr_Dim1+31)=4),Avr_Dim1+31,""))</f>
        <v>42487</v>
      </c>
      <c r="AK60" s="83">
        <f>IF(DAY(Avr_Dim1)=1,IF(AND(YEAR(Avr_Dim1+25)=Année_Calendaire,MONTH(Avr_Dim1+25)=4),Avr_Dim1+25,""),IF(AND(YEAR(Avr_Dim1+32)=Année_Calendaire,MONTH(Avr_Dim1+32)=4),Avr_Dim1+32,""))</f>
        <v>42488</v>
      </c>
      <c r="AL60" s="83">
        <f>IF(DAY(Avr_Dim1)=1,IF(AND(YEAR(Avr_Dim1+26)=Année_Calendaire,MONTH(Avr_Dim1+26)=4),Avr_Dim1+26,""),IF(AND(YEAR(Avr_Dim1+33)=Année_Calendaire,MONTH(Avr_Dim1+33)=4),Avr_Dim1+33,""))</f>
        <v>42489</v>
      </c>
      <c r="AM60" s="83">
        <f>IF(DAY(Avr_Dim1)=1,IF(AND(YEAR(Avr_Dim1+27)=Année_Calendaire,MONTH(Avr_Dim1+27)=4),Avr_Dim1+27,""),IF(AND(YEAR(Avr_Dim1+34)=Année_Calendaire,MONTH(Avr_Dim1+34)=4),Avr_Dim1+34,""))</f>
        <v>42490</v>
      </c>
      <c r="AN60" s="83" t="str">
        <f>IF(DAY(Avr_Dim1)=1,IF(AND(YEAR(Avr_Dim1+28)=Année_Calendaire,MONTH(Avr_Dim1+28)=4),Avr_Dim1+28,""),IF(AND(YEAR(Avr_Dim1+35)=Année_Calendaire,MONTH(Avr_Dim1+35)=4),Avr_Dim1+35,""))</f>
        <v/>
      </c>
      <c r="AO60" s="97"/>
      <c r="AP60" s="77" t="str">
        <f>IF(DAY(Avr_Dim1)=1,IF(AND(YEAR(Avr_Dim1+29)=Année_Calendaire,MONTH(Avr_Dim1+29)=4),Avr_Dim1+29,""),IF(AND(YEAR(Avr_Dim1+36)=Année_Calendaire,MONTH(Avr_Dim1+36)=4),Avr_Dim1+36,""))</f>
        <v/>
      </c>
      <c r="AQ60" s="77" t="str">
        <f>IF(DAY(Avr_Dim1)=1,IF(AND(YEAR(Avr_Dim1+30)=Année_Calendaire,MONTH(Avr_Dim1+30)=4),Avr_Dim1+30,""),IF(AND(YEAR(Avr_Dim1+37)=Année_Calendaire,MONTH(Avr_Dim1+37)=4),Avr_Dim1+37,""))</f>
        <v/>
      </c>
      <c r="AR60" s="97"/>
      <c r="AS60" s="97"/>
      <c r="AT60" s="98"/>
      <c r="AU60" s="98"/>
      <c r="AV60" s="68"/>
      <c r="AW60" s="68"/>
      <c r="AX60" s="68"/>
      <c r="AY60" s="68"/>
      <c r="AZ60" s="51"/>
    </row>
    <row r="61" spans="1:52" s="8" customFormat="1" ht="15" customHeight="1" x14ac:dyDescent="0.25">
      <c r="A61" s="37" t="s">
        <v>2</v>
      </c>
      <c r="B61" s="47"/>
      <c r="C61" s="47"/>
      <c r="D61" s="47"/>
      <c r="E61" s="47"/>
      <c r="F61" s="47"/>
      <c r="G61" s="47"/>
      <c r="H61" s="47"/>
      <c r="I61" s="76"/>
      <c r="J61" s="47" t="s">
        <v>107</v>
      </c>
      <c r="K61" s="47" t="s">
        <v>107</v>
      </c>
      <c r="L61" s="47" t="s">
        <v>107</v>
      </c>
      <c r="M61" s="47" t="s">
        <v>107</v>
      </c>
      <c r="N61" s="47" t="s">
        <v>107</v>
      </c>
      <c r="O61" s="47"/>
      <c r="P61" s="47" t="s">
        <v>108</v>
      </c>
      <c r="Q61" s="76"/>
      <c r="R61" s="47"/>
      <c r="S61" s="47"/>
      <c r="T61" s="47"/>
      <c r="U61" s="47"/>
      <c r="V61" s="47"/>
      <c r="W61" s="47"/>
      <c r="X61" s="47"/>
      <c r="Y61" s="76"/>
      <c r="Z61" s="47" t="s">
        <v>107</v>
      </c>
      <c r="AA61" s="47"/>
      <c r="AB61" s="47"/>
      <c r="AC61" s="47" t="s">
        <v>107</v>
      </c>
      <c r="AD61" s="47" t="s">
        <v>107</v>
      </c>
      <c r="AE61" s="47"/>
      <c r="AF61" s="47"/>
      <c r="AG61" s="76"/>
      <c r="AH61" s="47" t="s">
        <v>106</v>
      </c>
      <c r="AI61" s="47" t="s">
        <v>106</v>
      </c>
      <c r="AJ61" s="47" t="s">
        <v>106</v>
      </c>
      <c r="AK61" s="47" t="s">
        <v>106</v>
      </c>
      <c r="AL61" s="47" t="s">
        <v>106</v>
      </c>
      <c r="AM61" s="47"/>
      <c r="AN61" s="47"/>
      <c r="AO61" s="76"/>
      <c r="AP61" s="47"/>
      <c r="AQ61" s="47"/>
      <c r="AR61" s="76"/>
      <c r="AS61" s="79"/>
      <c r="AT61" s="68"/>
      <c r="AU61" s="68"/>
      <c r="AV61" s="68"/>
      <c r="AW61" s="68"/>
      <c r="AX61" s="68"/>
      <c r="AY61" s="68"/>
      <c r="AZ61" s="51"/>
    </row>
    <row r="62" spans="1:52" s="8" customFormat="1" ht="15" customHeight="1" x14ac:dyDescent="0.25">
      <c r="A62" s="37" t="s">
        <v>63</v>
      </c>
      <c r="B62" s="76">
        <f t="shared" ref="B62:H62" si="140">IF(B61="Matin",1,IF(B61="AM",1,0))</f>
        <v>0</v>
      </c>
      <c r="C62" s="76">
        <f t="shared" si="140"/>
        <v>0</v>
      </c>
      <c r="D62" s="76">
        <f t="shared" si="140"/>
        <v>0</v>
      </c>
      <c r="E62" s="76">
        <f t="shared" si="140"/>
        <v>0</v>
      </c>
      <c r="F62" s="76">
        <f t="shared" si="140"/>
        <v>0</v>
      </c>
      <c r="G62" s="76">
        <f t="shared" si="140"/>
        <v>0</v>
      </c>
      <c r="H62" s="76">
        <f t="shared" si="140"/>
        <v>0</v>
      </c>
      <c r="I62" s="76">
        <f>SUM(B62:H62)</f>
        <v>0</v>
      </c>
      <c r="J62" s="76">
        <f t="shared" ref="J62:P62" si="141">IF(J61="Matin",1,IF(J61="AM",1,0))</f>
        <v>1</v>
      </c>
      <c r="K62" s="76">
        <f t="shared" si="141"/>
        <v>1</v>
      </c>
      <c r="L62" s="76">
        <f t="shared" si="141"/>
        <v>1</v>
      </c>
      <c r="M62" s="76">
        <f t="shared" si="141"/>
        <v>1</v>
      </c>
      <c r="N62" s="76">
        <f t="shared" si="141"/>
        <v>1</v>
      </c>
      <c r="O62" s="76">
        <f t="shared" si="141"/>
        <v>0</v>
      </c>
      <c r="P62" s="76">
        <f t="shared" si="141"/>
        <v>0</v>
      </c>
      <c r="Q62" s="76">
        <f>SUM(J62:P62)</f>
        <v>5</v>
      </c>
      <c r="R62" s="76">
        <f t="shared" ref="R62:X62" si="142">IF(R61="Matin",1,IF(R61="AM",1,0))</f>
        <v>0</v>
      </c>
      <c r="S62" s="76">
        <f t="shared" si="142"/>
        <v>0</v>
      </c>
      <c r="T62" s="76">
        <f t="shared" si="142"/>
        <v>0</v>
      </c>
      <c r="U62" s="76">
        <f t="shared" si="142"/>
        <v>0</v>
      </c>
      <c r="V62" s="76">
        <f t="shared" si="142"/>
        <v>0</v>
      </c>
      <c r="W62" s="76">
        <f t="shared" si="142"/>
        <v>0</v>
      </c>
      <c r="X62" s="76">
        <f t="shared" si="142"/>
        <v>0</v>
      </c>
      <c r="Y62" s="76">
        <f>SUM(R62:X62)</f>
        <v>0</v>
      </c>
      <c r="Z62" s="76">
        <f t="shared" ref="Z62:AF62" si="143">IF(Z61="Matin",1,IF(Z61="AM",1,0))</f>
        <v>1</v>
      </c>
      <c r="AA62" s="76">
        <f t="shared" si="143"/>
        <v>0</v>
      </c>
      <c r="AB62" s="76">
        <f t="shared" si="143"/>
        <v>0</v>
      </c>
      <c r="AC62" s="76">
        <f t="shared" si="143"/>
        <v>1</v>
      </c>
      <c r="AD62" s="76">
        <f t="shared" si="143"/>
        <v>1</v>
      </c>
      <c r="AE62" s="76">
        <f t="shared" si="143"/>
        <v>0</v>
      </c>
      <c r="AF62" s="76">
        <f t="shared" si="143"/>
        <v>0</v>
      </c>
      <c r="AG62" s="76">
        <f>SUM(Z62:AF62)</f>
        <v>3</v>
      </c>
      <c r="AH62" s="76">
        <f t="shared" ref="AH62:AN62" si="144">IF(AH61="Matin",1,IF(AH61="AM",1,0))</f>
        <v>1</v>
      </c>
      <c r="AI62" s="76">
        <f t="shared" si="144"/>
        <v>1</v>
      </c>
      <c r="AJ62" s="76">
        <f t="shared" si="144"/>
        <v>1</v>
      </c>
      <c r="AK62" s="76">
        <f t="shared" si="144"/>
        <v>1</v>
      </c>
      <c r="AL62" s="76">
        <f t="shared" si="144"/>
        <v>1</v>
      </c>
      <c r="AM62" s="76">
        <f t="shared" si="144"/>
        <v>0</v>
      </c>
      <c r="AN62" s="76">
        <f t="shared" si="144"/>
        <v>0</v>
      </c>
      <c r="AO62" s="76">
        <f>SUM(AH62:AN62)</f>
        <v>5</v>
      </c>
      <c r="AP62" s="76">
        <f t="shared" ref="AP62:AQ62" si="145">IF(AP61="Matin",1,IF(AP61="AM",1,0))</f>
        <v>0</v>
      </c>
      <c r="AQ62" s="76">
        <f t="shared" si="145"/>
        <v>0</v>
      </c>
      <c r="AR62" s="76">
        <f t="shared" ref="AR62:AR69" si="146">SUM(AP62:AQ62)</f>
        <v>0</v>
      </c>
      <c r="AS62" s="76">
        <f>I62+Q62+Y62+AG62+AO62+AR62</f>
        <v>13</v>
      </c>
      <c r="AT62" s="68"/>
      <c r="AU62" s="68"/>
      <c r="AV62" s="68"/>
      <c r="AW62" s="68"/>
      <c r="AX62" s="68"/>
      <c r="AY62" s="68"/>
      <c r="AZ62" s="51"/>
    </row>
    <row r="63" spans="1:52" s="8" customFormat="1" ht="15" customHeight="1" x14ac:dyDescent="0.25">
      <c r="A63" s="37" t="s">
        <v>4</v>
      </c>
      <c r="B63" s="76">
        <f>IF(B64&gt;=1,1,0)</f>
        <v>0</v>
      </c>
      <c r="C63" s="76">
        <f>IF(C64&gt;=1,1,0)</f>
        <v>0</v>
      </c>
      <c r="D63" s="76">
        <f t="shared" ref="D63:H63" si="147">IF(D64&gt;=1,1,0)</f>
        <v>0</v>
      </c>
      <c r="E63" s="76">
        <f t="shared" si="147"/>
        <v>0</v>
      </c>
      <c r="F63" s="76">
        <f t="shared" si="147"/>
        <v>0</v>
      </c>
      <c r="G63" s="76">
        <f t="shared" si="147"/>
        <v>0</v>
      </c>
      <c r="H63" s="76">
        <f t="shared" si="147"/>
        <v>0</v>
      </c>
      <c r="I63" s="76">
        <f t="shared" ref="I63:I73" si="148">SUM(B63:H63)</f>
        <v>0</v>
      </c>
      <c r="J63" s="76">
        <f>IF(J64&gt;=1,1,0)</f>
        <v>1</v>
      </c>
      <c r="K63" s="76">
        <f t="shared" ref="K63:P63" si="149">IF(K64&gt;=1,1,0)</f>
        <v>1</v>
      </c>
      <c r="L63" s="76">
        <f t="shared" si="149"/>
        <v>1</v>
      </c>
      <c r="M63" s="76">
        <f t="shared" si="149"/>
        <v>1</v>
      </c>
      <c r="N63" s="76">
        <f t="shared" si="149"/>
        <v>1</v>
      </c>
      <c r="O63" s="76">
        <f t="shared" si="149"/>
        <v>0</v>
      </c>
      <c r="P63" s="76">
        <f t="shared" si="149"/>
        <v>1</v>
      </c>
      <c r="Q63" s="76">
        <f t="shared" ref="Q63:Q73" si="150">SUM(J63:P63)</f>
        <v>6</v>
      </c>
      <c r="R63" s="76">
        <f>IF(R64&gt;=1,1,0)</f>
        <v>0</v>
      </c>
      <c r="S63" s="76">
        <f t="shared" ref="S63:X63" si="151">IF(S64&gt;=1,1,0)</f>
        <v>0</v>
      </c>
      <c r="T63" s="76">
        <f t="shared" si="151"/>
        <v>0</v>
      </c>
      <c r="U63" s="76">
        <f t="shared" si="151"/>
        <v>0</v>
      </c>
      <c r="V63" s="76">
        <f t="shared" si="151"/>
        <v>0</v>
      </c>
      <c r="W63" s="76">
        <f t="shared" si="151"/>
        <v>0</v>
      </c>
      <c r="X63" s="76">
        <f t="shared" si="151"/>
        <v>0</v>
      </c>
      <c r="Y63" s="76">
        <f t="shared" ref="Y63:Y73" si="152">SUM(R63:X63)</f>
        <v>0</v>
      </c>
      <c r="Z63" s="76">
        <f>IF(Z64&gt;=1,1,0)</f>
        <v>1</v>
      </c>
      <c r="AA63" s="76">
        <f t="shared" ref="AA63:AF63" si="153">IF(AA64&gt;=1,1,0)</f>
        <v>0</v>
      </c>
      <c r="AB63" s="76">
        <f t="shared" si="153"/>
        <v>0</v>
      </c>
      <c r="AC63" s="76">
        <f t="shared" si="153"/>
        <v>1</v>
      </c>
      <c r="AD63" s="76">
        <f t="shared" si="153"/>
        <v>1</v>
      </c>
      <c r="AE63" s="76">
        <f t="shared" si="153"/>
        <v>0</v>
      </c>
      <c r="AF63" s="76">
        <f t="shared" si="153"/>
        <v>0</v>
      </c>
      <c r="AG63" s="76">
        <f t="shared" ref="AG63:AG73" si="154">SUM(Z63:AF63)</f>
        <v>3</v>
      </c>
      <c r="AH63" s="76">
        <f>IF(AH64&gt;=1,1,0)</f>
        <v>1</v>
      </c>
      <c r="AI63" s="76">
        <f t="shared" ref="AI63:AN63" si="155">IF(AI64&gt;=1,1,0)</f>
        <v>1</v>
      </c>
      <c r="AJ63" s="76">
        <f t="shared" si="155"/>
        <v>1</v>
      </c>
      <c r="AK63" s="76">
        <f t="shared" si="155"/>
        <v>1</v>
      </c>
      <c r="AL63" s="76">
        <f t="shared" si="155"/>
        <v>1</v>
      </c>
      <c r="AM63" s="76">
        <f t="shared" si="155"/>
        <v>0</v>
      </c>
      <c r="AN63" s="76">
        <f t="shared" si="155"/>
        <v>0</v>
      </c>
      <c r="AO63" s="76">
        <f t="shared" ref="AO63:AO73" si="156">SUM(AH63:AN63)</f>
        <v>5</v>
      </c>
      <c r="AP63" s="76">
        <f>IF(AP64&gt;=1,1,0)</f>
        <v>0</v>
      </c>
      <c r="AQ63" s="76">
        <f t="shared" ref="AQ63" si="157">IF(AQ64&gt;=1,1,0)</f>
        <v>0</v>
      </c>
      <c r="AR63" s="76">
        <f t="shared" si="146"/>
        <v>0</v>
      </c>
      <c r="AS63" s="76">
        <f t="shared" ref="AS63:AS72" si="158">I63+Q63+Y63+AG63+AO63+AR63</f>
        <v>14</v>
      </c>
      <c r="AT63" s="68"/>
      <c r="AU63" s="68"/>
      <c r="AV63" s="68"/>
      <c r="AW63" s="68"/>
      <c r="AX63" s="68"/>
      <c r="AY63" s="68"/>
      <c r="AZ63" s="51"/>
    </row>
    <row r="64" spans="1:52" s="8" customFormat="1" ht="15" customHeight="1" x14ac:dyDescent="0.25">
      <c r="A64" s="37" t="s">
        <v>3</v>
      </c>
      <c r="B64" s="47"/>
      <c r="C64" s="47"/>
      <c r="D64" s="47"/>
      <c r="E64" s="47"/>
      <c r="F64" s="47"/>
      <c r="G64" s="47"/>
      <c r="H64" s="47"/>
      <c r="I64" s="76">
        <f t="shared" si="148"/>
        <v>0</v>
      </c>
      <c r="J64" s="47">
        <v>8</v>
      </c>
      <c r="K64" s="47">
        <v>8</v>
      </c>
      <c r="L64" s="47">
        <v>8</v>
      </c>
      <c r="M64" s="47">
        <v>8</v>
      </c>
      <c r="N64" s="47">
        <v>8</v>
      </c>
      <c r="O64" s="47"/>
      <c r="P64" s="47">
        <v>8</v>
      </c>
      <c r="Q64" s="76">
        <f t="shared" si="150"/>
        <v>48</v>
      </c>
      <c r="R64" s="47"/>
      <c r="S64" s="47"/>
      <c r="T64" s="47"/>
      <c r="U64" s="47"/>
      <c r="V64" s="47"/>
      <c r="W64" s="47"/>
      <c r="X64" s="47"/>
      <c r="Y64" s="76">
        <f t="shared" si="152"/>
        <v>0</v>
      </c>
      <c r="Z64" s="47">
        <v>8</v>
      </c>
      <c r="AA64" s="47"/>
      <c r="AB64" s="47"/>
      <c r="AC64" s="47">
        <v>8</v>
      </c>
      <c r="AD64" s="47">
        <v>8</v>
      </c>
      <c r="AE64" s="47"/>
      <c r="AF64" s="47"/>
      <c r="AG64" s="76">
        <f t="shared" si="154"/>
        <v>24</v>
      </c>
      <c r="AH64" s="47">
        <v>8</v>
      </c>
      <c r="AI64" s="47">
        <v>8</v>
      </c>
      <c r="AJ64" s="47">
        <v>8</v>
      </c>
      <c r="AK64" s="47">
        <v>8</v>
      </c>
      <c r="AL64" s="47">
        <v>8</v>
      </c>
      <c r="AM64" s="47"/>
      <c r="AN64" s="47"/>
      <c r="AO64" s="76">
        <f t="shared" si="156"/>
        <v>40</v>
      </c>
      <c r="AP64" s="47"/>
      <c r="AQ64" s="47"/>
      <c r="AR64" s="76">
        <f t="shared" si="146"/>
        <v>0</v>
      </c>
      <c r="AS64" s="76">
        <f t="shared" si="158"/>
        <v>112</v>
      </c>
      <c r="AT64" s="69"/>
      <c r="AU64" s="69"/>
      <c r="AV64" s="69"/>
      <c r="AW64" s="69"/>
      <c r="AX64" s="58"/>
      <c r="AY64" s="58"/>
      <c r="AZ64" s="48"/>
    </row>
    <row r="65" spans="1:52" s="7" customFormat="1" ht="15" customHeight="1" x14ac:dyDescent="0.25">
      <c r="A65" s="52" t="s">
        <v>71</v>
      </c>
      <c r="B65" s="82">
        <f>IF(B59&lt;&gt;"Dim",IF(B64&gt;32,MIN(B64,35)-32,0),0)</f>
        <v>0</v>
      </c>
      <c r="C65" s="82">
        <f>IF(C59&lt;&gt;"Dim",IF(SUM($B64:C64)&gt;32,MIN(SUM($B64:C64),35)-32-SUM($B65:B65),0),0)</f>
        <v>0</v>
      </c>
      <c r="D65" s="82">
        <f>IF(D59&lt;&gt;"Dim",IF(SUM($B64:D64)&gt;32,MIN(SUM($B64:D64),35)-32-SUM($B65:C65),0),0)</f>
        <v>0</v>
      </c>
      <c r="E65" s="82">
        <f>IF(E59&lt;&gt;"Dim",IF(SUM($B64:E64)&gt;32,MIN(SUM($B64:E64),35)-32-SUM($B65:D65),0),0)</f>
        <v>0</v>
      </c>
      <c r="F65" s="82">
        <f>IF(F59&lt;&gt;"Dim",IF(SUM($B64:F64)&gt;32,MIN(SUM($B64:F64),35)-32-SUM($B65:E65),0),0)</f>
        <v>0</v>
      </c>
      <c r="G65" s="82">
        <f>IF(G59&lt;&gt;"Dim",IF(SUM($B64:G64)&gt;32,MIN(SUM($B64:G64),35)-32-SUM($B65:F65),0),0)</f>
        <v>0</v>
      </c>
      <c r="H65" s="82">
        <f>IF(H59&lt;&gt;"Dim",IF(SUM($B64:H64)&gt;32,MIN(SUM($B64:H64),35)-32-SUM($B65:G65),0),0)</f>
        <v>0</v>
      </c>
      <c r="I65" s="76">
        <f t="shared" si="148"/>
        <v>0</v>
      </c>
      <c r="J65" s="82">
        <f>IF(J59&lt;&gt;"Dim",IF(J64&gt;32,MIN(J64,35)-32,0),0)</f>
        <v>0</v>
      </c>
      <c r="K65" s="82">
        <f>IF(K59&lt;&gt;"Dim",IF(SUM($J64:K64)&gt;32,MIN(SUM($J64:K64),35)-32-SUM($J65:J65),0),0)</f>
        <v>0</v>
      </c>
      <c r="L65" s="82">
        <f>IF(L59&lt;&gt;"Dim",IF(SUM($J64:L64)&gt;32,MIN(SUM($J64:L64),35)-32-SUM($J65:K65),0),0)</f>
        <v>0</v>
      </c>
      <c r="M65" s="82">
        <f>IF(M59&lt;&gt;"Dim",IF(SUM($J64:M64)&gt;32,MIN(SUM($J64:M64),35)-32-SUM($J65:L65),0),0)</f>
        <v>0</v>
      </c>
      <c r="N65" s="82">
        <f>IF(N59&lt;&gt;"Dim",IF(SUM($J64:N64)&gt;32,MIN(SUM($J64:N64),35)-32-SUM($J65:M65),0),0)</f>
        <v>3</v>
      </c>
      <c r="O65" s="82">
        <f>IF(O59&lt;&gt;"Dim",IF(SUM($J64:O64)&gt;32,MIN(SUM($J64:O64),35)-32-SUM($J65:N65),0),0)</f>
        <v>0</v>
      </c>
      <c r="P65" s="82">
        <f>IF(P59&lt;&gt;"Dim",IF(SUM($J64:P64)&gt;32,MIN(SUM($J64:P64),35)-32-SUM($J65:O65),0),0)</f>
        <v>0</v>
      </c>
      <c r="Q65" s="76">
        <f t="shared" si="150"/>
        <v>3</v>
      </c>
      <c r="R65" s="82">
        <f>IF(R59&lt;&gt;"Dim",IF(R64&gt;32,MIN(R64,35)-32,0),0)</f>
        <v>0</v>
      </c>
      <c r="S65" s="82">
        <f>IF(S59&lt;&gt;"Dim",IF(SUM($R64:S64)&gt;32,MIN(SUM($R64:S64),35)-32-SUM($R65:R65),0),0)</f>
        <v>0</v>
      </c>
      <c r="T65" s="82">
        <f>IF(T59&lt;&gt;"Dim",IF(SUM($R64:T64)&gt;32,MIN(SUM($R64:T64),35)-32-SUM($R65:S65),0),0)</f>
        <v>0</v>
      </c>
      <c r="U65" s="82">
        <f>IF(U59&lt;&gt;"Dim",IF(SUM($R64:U64)&gt;32,MIN(SUM($R64:U64),35)-32-SUM($R65:T65),0),0)</f>
        <v>0</v>
      </c>
      <c r="V65" s="82">
        <f>IF(V59&lt;&gt;"Dim",IF(SUM($R64:V64)&gt;32,MIN(SUM($R64:V64),35)-32-SUM($R65:U65),0),0)</f>
        <v>0</v>
      </c>
      <c r="W65" s="82">
        <f>IF(W59&lt;&gt;"Dim",IF(SUM($R64:W64)&gt;32,MIN(SUM($R64:W64),35)-32-SUM($R65:V65),0),0)</f>
        <v>0</v>
      </c>
      <c r="X65" s="82">
        <f>IF(X59&lt;&gt;"Dim",IF(SUM($R64:X64)&gt;32,MIN(SUM($R64:X64),35)-32-SUM($R65:W65),0),0)</f>
        <v>0</v>
      </c>
      <c r="Y65" s="76">
        <f t="shared" si="152"/>
        <v>0</v>
      </c>
      <c r="Z65" s="82">
        <f>IF(Z59&lt;&gt;"Dim",IF(Z64&gt;32,MIN(Z64,35)-32,0),0)</f>
        <v>0</v>
      </c>
      <c r="AA65" s="82">
        <f>IF(AA59&lt;&gt;"Dim",IF(SUM($Z64:AA64)&gt;32,MIN(SUM($Z64:AA64),35)-32-SUM($Z65:Z65),0),0)</f>
        <v>0</v>
      </c>
      <c r="AB65" s="82">
        <f>IF(AB59&lt;&gt;"Dim",IF(SUM($Z64:AB64)&gt;32,MIN(SUM($Z64:AB64),35)-32-SUM($Z65:AA65),0),0)</f>
        <v>0</v>
      </c>
      <c r="AC65" s="82">
        <f>IF(AC59&lt;&gt;"Dim",IF(SUM($Z64:AC64)&gt;32,MIN(SUM($Z64:AC64),35)-32-SUM($Z65:AB65),0),0)</f>
        <v>0</v>
      </c>
      <c r="AD65" s="82">
        <f>IF(AD59&lt;&gt;"Dim",IF(SUM($Z64:AD64)&gt;32,MIN(SUM($Z64:AD64),35)-32-SUM($Z65:AC65),0),0)</f>
        <v>0</v>
      </c>
      <c r="AE65" s="82">
        <f>IF(AE59&lt;&gt;"Dim",IF(SUM($Z64:AE64)&gt;32,MIN(SUM($Z64:AE64),35)-32-SUM($Z65:AD65),0),0)</f>
        <v>0</v>
      </c>
      <c r="AF65" s="82">
        <f>IF(AF59&lt;&gt;"Dim",IF(SUM($Z64:AF64)&gt;32,MIN(SUM($Z64:AF64),35)-32-SUM($Z65:AE65),0),0)</f>
        <v>0</v>
      </c>
      <c r="AG65" s="76">
        <f t="shared" si="154"/>
        <v>0</v>
      </c>
      <c r="AH65" s="82">
        <f>IF(AH59&lt;&gt;"Dim",IF(AH64&gt;32,MIN(AH64,35)-32,0),0)</f>
        <v>0</v>
      </c>
      <c r="AI65" s="82">
        <f>IF(AI59&lt;&gt;"Dim",IF(SUM($AH64:AI64)&gt;32,MIN(SUM($AH64:AI64),35)-32-SUM($AH65:AH65),0),0)</f>
        <v>0</v>
      </c>
      <c r="AJ65" s="82">
        <f>IF(AJ59&lt;&gt;"Dim",IF(SUM($AH64:AJ64)&gt;32,MIN(SUM($AH64:AJ64),35)-32-SUM($AH65:AI65),0),0)</f>
        <v>0</v>
      </c>
      <c r="AK65" s="82">
        <f>IF(AK59&lt;&gt;"Dim",IF(SUM($AH64:AK64)&gt;32,MIN(SUM($AH64:AK64),35)-32-SUM($AH65:AJ65),0),0)</f>
        <v>0</v>
      </c>
      <c r="AL65" s="82">
        <f>IF(AL59&lt;&gt;"Dim",IF(SUM($AH64:AL64)&gt;32,MIN(SUM($AH64:AL64),35)-32-SUM($AH65:AK65),0),0)</f>
        <v>3</v>
      </c>
      <c r="AM65" s="82">
        <f>IF(AM59&lt;&gt;"Dim",IF(SUM($AH64:AM64)&gt;32,MIN(SUM($AH64:AM64),35)-32-SUM($AH65:AL65),0),0)</f>
        <v>0</v>
      </c>
      <c r="AN65" s="82">
        <f>IF(AN59&lt;&gt;"Dim",IF(SUM($AH64:AN64)&gt;32,MIN(SUM($AH64:AN64),35)-32-SUM($AH65:AM65),0),0)</f>
        <v>0</v>
      </c>
      <c r="AO65" s="76">
        <f t="shared" si="156"/>
        <v>3</v>
      </c>
      <c r="AP65" s="82">
        <f>IF(AP59&lt;&gt;"Dim",IF(AP64&gt;32,MIN(AP64,35)-32,0),0)</f>
        <v>0</v>
      </c>
      <c r="AQ65" s="82">
        <f>IF(AQ59&lt;&gt;"Dim",IF(SUM($AP64:AQ64)&gt;32,MIN(SUM($AP64:AQ64),35)-32-SUM($AP65:AP65),0),0)</f>
        <v>0</v>
      </c>
      <c r="AR65" s="76">
        <f t="shared" si="146"/>
        <v>0</v>
      </c>
      <c r="AS65" s="76">
        <f t="shared" si="158"/>
        <v>6</v>
      </c>
      <c r="AT65" s="56"/>
      <c r="AU65" s="56"/>
      <c r="AV65" s="56"/>
      <c r="AW65" s="56"/>
      <c r="AX65" s="56"/>
      <c r="AY65" s="56"/>
      <c r="AZ65" s="45"/>
    </row>
    <row r="66" spans="1:52" s="7" customFormat="1" ht="15" customHeight="1" x14ac:dyDescent="0.25">
      <c r="A66" s="37" t="s">
        <v>40</v>
      </c>
      <c r="B66" s="82">
        <f>IF(B59&lt;&gt;"Dim",IF(B64&gt;35,(MIN(B64,43)-35),0),0)</f>
        <v>0</v>
      </c>
      <c r="C66" s="82">
        <f>IF(C59&lt;&gt;"Dim",IF(SUM($B64:C64)&gt;35,(MIN(SUM($B64:C64),43)-35-SUM($B66:B66)),0),0)</f>
        <v>0</v>
      </c>
      <c r="D66" s="82">
        <f>IF(D59&lt;&gt;"Dim",IF(SUM($B64:D64)&gt;35,(MIN(SUM($B64:D64),43)-35-SUM($B66:C66)),0),0)</f>
        <v>0</v>
      </c>
      <c r="E66" s="82">
        <f>IF(E59&lt;&gt;"Dim",IF(SUM($B64:E64)&gt;35,(MIN(SUM($B64:E64),43)-35-SUM($B66:D66)),0),0)</f>
        <v>0</v>
      </c>
      <c r="F66" s="82">
        <f>IF(F59&lt;&gt;"Dim",IF(SUM($B64:F64)&gt;35,(MIN(SUM($B64:F64),43)-35-SUM($B66:E66)),0),0)</f>
        <v>0</v>
      </c>
      <c r="G66" s="82">
        <f>IF(G59&lt;&gt;"Dim",IF(SUM($B64:G64)&gt;35,(MIN(SUM($B64:G64),43)-35-SUM($B66:F66)),0),0)</f>
        <v>0</v>
      </c>
      <c r="H66" s="82">
        <f>IF(H59&lt;&gt;"Dim",IF(SUM($B64:H64)&gt;35,(MIN(SUM($B64:H64),43)-35-SUM($B66:G66)),0),0)</f>
        <v>0</v>
      </c>
      <c r="I66" s="76">
        <f t="shared" si="148"/>
        <v>0</v>
      </c>
      <c r="J66" s="82">
        <f>IF(J59&lt;&gt;"Dim",IF(J64&gt;35,(MIN(J64,43)-35),0),0)</f>
        <v>0</v>
      </c>
      <c r="K66" s="82">
        <f>IF(K59&lt;&gt;"Dim",IF(SUM($J64:K64)&gt;35,(MIN(SUM($J64:K64),43)-35-SUM($J66:J66)),0),0)</f>
        <v>0</v>
      </c>
      <c r="L66" s="82">
        <f>IF(L59&lt;&gt;"Dim",IF(SUM($J64:L64)&gt;35,(MIN(SUM($J64:L64),43)-35-SUM($J66:K66)),0),0)</f>
        <v>0</v>
      </c>
      <c r="M66" s="82">
        <f>IF(M59&lt;&gt;"Dim",IF(SUM($J64:M64)&gt;35,(MIN(SUM($J64:M64),43)-35-SUM($J66:L66)),0),0)</f>
        <v>0</v>
      </c>
      <c r="N66" s="82">
        <f>IF(N59&lt;&gt;"Dim",IF(SUM($J64:N64)&gt;35,(MIN(SUM($J64:N64),43)-35-SUM($J66:M66)),0),0)</f>
        <v>5</v>
      </c>
      <c r="O66" s="82">
        <f>IF(O59&lt;&gt;"Dim",IF(SUM($J64:O64)&gt;35,(MIN(SUM($J64:O64),43)-35-SUM($J66:N66)),0),0)</f>
        <v>0</v>
      </c>
      <c r="P66" s="82">
        <f>IF(P59&lt;&gt;"Dim",IF(SUM($J64:P64)&gt;35,(MIN(SUM($J64:P64),43)-35-SUM($J66:O66)),0),0)</f>
        <v>0</v>
      </c>
      <c r="Q66" s="76">
        <f t="shared" si="150"/>
        <v>5</v>
      </c>
      <c r="R66" s="82">
        <f>IF(R59&lt;&gt;"Dim",IF(R64&gt;35,(MIN(R64,43)-35),0),0)</f>
        <v>0</v>
      </c>
      <c r="S66" s="82">
        <f>IF(S59&lt;&gt;"Dim",IF(SUM($R64:S64)&gt;35,(MIN(SUM($R64:S64),43)-35-SUM($R66:R66)),0),0)</f>
        <v>0</v>
      </c>
      <c r="T66" s="82">
        <f>IF(T59&lt;&gt;"Dim",IF(SUM($R64:T64)&gt;35,(MIN(SUM($R64:T64),43)-35-SUM($R66:S66)),0),0)</f>
        <v>0</v>
      </c>
      <c r="U66" s="82">
        <f>IF(U59&lt;&gt;"Dim",IF(SUM($R64:U64)&gt;35,(MIN(SUM($R64:U64),43)-35-SUM($R66:T66)),0),0)</f>
        <v>0</v>
      </c>
      <c r="V66" s="82">
        <f>IF(V59&lt;&gt;"Dim",IF(SUM($R64:V64)&gt;35,(MIN(SUM($R64:V64),43)-35-SUM($R66:U66)),0),0)</f>
        <v>0</v>
      </c>
      <c r="W66" s="82">
        <f>IF(W59&lt;&gt;"Dim",IF(SUM($R64:W64)&gt;35,(MIN(SUM($R64:W64),43)-35-SUM($R66:V66)),0),0)</f>
        <v>0</v>
      </c>
      <c r="X66" s="82">
        <f>IF(X59&lt;&gt;"Dim",IF(SUM($R64:X64)&gt;35,(MIN(SUM($R64:X64),43)-35-SUM($R66:W66)),0),0)</f>
        <v>0</v>
      </c>
      <c r="Y66" s="76">
        <f t="shared" si="152"/>
        <v>0</v>
      </c>
      <c r="Z66" s="82">
        <f>IF(Z59&lt;&gt;"Dim",IF(Z64&gt;35,(MIN(Z64,43)-35),0),0)</f>
        <v>0</v>
      </c>
      <c r="AA66" s="82">
        <f>IF(AA59&lt;&gt;"Dim",IF(SUM($Z64:AA64)&gt;35,(MIN(SUM($Z64:AA64),43)-35-SUM($Z66:Z66)),0),0)</f>
        <v>0</v>
      </c>
      <c r="AB66" s="82">
        <f>IF(AB59&lt;&gt;"Dim",IF(SUM($Z64:AB64)&gt;35,(MIN(SUM($Z64:AB64),43)-35-SUM($Z66:AA66)),0),0)</f>
        <v>0</v>
      </c>
      <c r="AC66" s="82">
        <f>IF(AC59&lt;&gt;"Dim",IF(SUM($Z64:AC64)&gt;35,(MIN(SUM($Z64:AC64),43)-35-SUM($Z66:AB66)),0),0)</f>
        <v>0</v>
      </c>
      <c r="AD66" s="82">
        <f>IF(AD59&lt;&gt;"Dim",IF(SUM($Z64:AD64)&gt;35,(MIN(SUM($Z64:AD64),43)-35-SUM($Z66:AC66)),0),0)</f>
        <v>0</v>
      </c>
      <c r="AE66" s="82">
        <f>IF(AE59&lt;&gt;"Dim",IF(SUM($Z64:AE64)&gt;35,(MIN(SUM($Z64:AE64),43)-35-SUM($Z66:AD66)),0),0)</f>
        <v>0</v>
      </c>
      <c r="AF66" s="82">
        <f>IF(AF59&lt;&gt;"Dim",IF(SUM($Z64:AF64)&gt;35,(MIN(SUM($Z64:AF64),43)-35-SUM($Z66:AE66)),0),0)</f>
        <v>0</v>
      </c>
      <c r="AG66" s="76">
        <f t="shared" si="154"/>
        <v>0</v>
      </c>
      <c r="AH66" s="82">
        <f>IF(AH59&lt;&gt;"Dim",IF(AH64&gt;35,(MIN(AH64,43)-35),0),0)</f>
        <v>0</v>
      </c>
      <c r="AI66" s="82">
        <f>IF(AI59&lt;&gt;"Dim",IF(SUM($AH64:AI64)&gt;35,(MIN(SUM($AH64:AI64),43)-35-SUM($AH66:AH66)),0),0)</f>
        <v>0</v>
      </c>
      <c r="AJ66" s="82">
        <f>IF(AJ59&lt;&gt;"Dim",IF(SUM($AH64:AJ64)&gt;35,(MIN(SUM($AH64:AJ64),43)-35-SUM($AH66:AI66)),0),0)</f>
        <v>0</v>
      </c>
      <c r="AK66" s="82">
        <f>IF(AK59&lt;&gt;"Dim",IF(SUM($AH64:AK64)&gt;35,(MIN(SUM($AH64:AK64),43)-35-SUM($AH66:AJ66)),0),0)</f>
        <v>0</v>
      </c>
      <c r="AL66" s="82">
        <f>IF(AL59&lt;&gt;"Dim",IF(SUM($AH64:AL64)&gt;35,(MIN(SUM($AH64:AL64),43)-35-SUM($AH66:AK66)),0),0)</f>
        <v>5</v>
      </c>
      <c r="AM66" s="82">
        <f>IF(AM59&lt;&gt;"Dim",IF(SUM($AH64:AM64)&gt;35,(MIN(SUM($AH64:AM64),43)-35-SUM($AH66:AL66)),0),0)</f>
        <v>0</v>
      </c>
      <c r="AN66" s="82">
        <f>IF(AN59&lt;&gt;"Dim",IF(SUM($AH64:AN64)&gt;35,(MIN(SUM($AH64:AN64),43)-35-SUM($AH66:AM66)),0),0)</f>
        <v>0</v>
      </c>
      <c r="AO66" s="76">
        <f t="shared" si="156"/>
        <v>5</v>
      </c>
      <c r="AP66" s="82">
        <f>IF(AP59&lt;&gt;"Dim",IF(AP64&gt;35,(MIN(AP64,43)-35),0),0)</f>
        <v>0</v>
      </c>
      <c r="AQ66" s="82">
        <f>IF(AQ59&lt;&gt;"Dim",IF(SUM($AP64:AQ64)&gt;35,(MIN(SUM($AP64:AQ64),43)-35-SUM($AP66:AP66)),0),0)</f>
        <v>0</v>
      </c>
      <c r="AR66" s="76">
        <f t="shared" si="146"/>
        <v>0</v>
      </c>
      <c r="AS66" s="76">
        <f>I66+Q66+Y66+AG66+AO66+AR66</f>
        <v>10</v>
      </c>
      <c r="AT66" s="62"/>
      <c r="AU66" s="62"/>
      <c r="AV66" s="62"/>
      <c r="AW66" s="62"/>
      <c r="AX66" s="62"/>
      <c r="AY66" s="62"/>
      <c r="AZ66" s="57"/>
    </row>
    <row r="67" spans="1:52" s="7" customFormat="1" ht="15" customHeight="1" x14ac:dyDescent="0.25">
      <c r="A67" s="37" t="s">
        <v>39</v>
      </c>
      <c r="B67" s="82">
        <f>IF(B59&lt;&gt;"Dim",IF(B64&gt;43,(MIN(B64,48)-43),0),0)</f>
        <v>0</v>
      </c>
      <c r="C67" s="82">
        <f>IF(C59&lt;&gt;"Dim",IF(SUM($B64:C64)&gt;43,(MIN(SUM($B64:C64),48)-43-SUM($B67:B67)),0),0)</f>
        <v>0</v>
      </c>
      <c r="D67" s="82">
        <f>IF(D59&lt;&gt;"Dim",IF(SUM($B64:D64)&gt;43,(MIN(SUM($B64:D64),48)-43-SUM($B67:C67)),0),0)</f>
        <v>0</v>
      </c>
      <c r="E67" s="82">
        <f>IF(E59&lt;&gt;"Dim",IF(SUM($B64:E64)&gt;43,(MIN(SUM($B64:E64),48)-43-SUM($B67:D67)),0),0)</f>
        <v>0</v>
      </c>
      <c r="F67" s="82">
        <f>IF(F59&lt;&gt;"Dim",IF(SUM($B64:F64)&gt;43,(MIN(SUM($B64:F64),48)-43-SUM($B67:E67)),0),0)</f>
        <v>0</v>
      </c>
      <c r="G67" s="82">
        <f>IF(G59&lt;&gt;"Dim",IF(SUM($B64:G64)&gt;43,(MIN(SUM($B64:G64),48)-43-SUM($B67:F67)),0),0)</f>
        <v>0</v>
      </c>
      <c r="H67" s="82">
        <f>IF(H59&lt;&gt;"Dim",IF(SUM($B64:H64)&gt;43,(MIN(SUM($B64:H64),48)-43-SUM($B67:G67)),0),0)</f>
        <v>0</v>
      </c>
      <c r="I67" s="76">
        <f t="shared" si="148"/>
        <v>0</v>
      </c>
      <c r="J67" s="82">
        <f>IF(J59&lt;&gt;"Dim",IF(J64&gt;43,(MIN(J64,48)-43),0),0)</f>
        <v>0</v>
      </c>
      <c r="K67" s="82">
        <f>IF(K59&lt;&gt;"Dim",IF(SUM($J64:K64)&gt;43,(MIN(SUM($J64:K64),48)-43-SUM($J67:J67)),0),0)</f>
        <v>0</v>
      </c>
      <c r="L67" s="82">
        <f>IF(L59&lt;&gt;"Dim",IF(SUM($J64:L64)&gt;43,(MIN(SUM($J64:L64),48)-43-SUM($J67:K67)),0),0)</f>
        <v>0</v>
      </c>
      <c r="M67" s="82">
        <f>IF(M59&lt;&gt;"Dim",IF(SUM($J64:M64)&gt;43,(MIN(SUM($J64:M64),48)-43-SUM($J67:L67)),0),0)</f>
        <v>0</v>
      </c>
      <c r="N67" s="82">
        <f>IF(N59&lt;&gt;"Dim",IF(SUM($J64:N64)&gt;43,(MIN(SUM($J64:N64),48)-43-SUM($J67:M67)),0),0)</f>
        <v>0</v>
      </c>
      <c r="O67" s="82">
        <f>IF(O59&lt;&gt;"Dim",IF(SUM($J64:O64)&gt;43,(MIN(SUM($J64:O64),48)-43-SUM($J67:N67)),0),0)</f>
        <v>0</v>
      </c>
      <c r="P67" s="82">
        <f>IF(P59&lt;&gt;"Dim",IF(SUM($J64:P64)&gt;43,(MIN(SUM($J64:P64),48)-43-SUM($J67:O67)),0),0)</f>
        <v>0</v>
      </c>
      <c r="Q67" s="76">
        <f t="shared" si="150"/>
        <v>0</v>
      </c>
      <c r="R67" s="82">
        <f>IF(R59&lt;&gt;"Dim",IF(R64&gt;43,(MIN(R64,48)-43),0),0)</f>
        <v>0</v>
      </c>
      <c r="S67" s="82">
        <f>IF(S59&lt;&gt;"Dim",IF(SUM($R64:S64)&gt;43,(MIN(SUM($R64:S64),48)-43-SUM($R67:R67)),0),0)</f>
        <v>0</v>
      </c>
      <c r="T67" s="82">
        <f>IF(T59&lt;&gt;"Dim",IF(SUM($R64:T64)&gt;43,(MIN(SUM($R64:T64),48)-43-SUM($R67:S67)),0),0)</f>
        <v>0</v>
      </c>
      <c r="U67" s="82">
        <f>IF(U59&lt;&gt;"Dim",IF(SUM($R64:U64)&gt;43,(MIN(SUM($R64:U64),48)-43-SUM($R67:T67)),0),0)</f>
        <v>0</v>
      </c>
      <c r="V67" s="82">
        <f>IF(V59&lt;&gt;"Dim",IF(SUM($R64:V64)&gt;43,(MIN(SUM($R64:V64),48)-43-SUM($R67:U67)),0),0)</f>
        <v>0</v>
      </c>
      <c r="W67" s="82">
        <f>IF(W59&lt;&gt;"Dim",IF(SUM($R64:W64)&gt;43,(MIN(SUM($R64:W64),48)-43-SUM($R67:V67)),0),0)</f>
        <v>0</v>
      </c>
      <c r="X67" s="82">
        <f>IF(X59&lt;&gt;"Dim",IF(SUM($R64:X64)&gt;43,(MIN(SUM($R64:X64),48)-43-SUM($R67:W67)),0),0)</f>
        <v>0</v>
      </c>
      <c r="Y67" s="76">
        <f t="shared" si="152"/>
        <v>0</v>
      </c>
      <c r="Z67" s="82">
        <f>IF(Z59&lt;&gt;"Dim",IF(Z64&gt;43,(MIN(Z64,48)-43),0),0)</f>
        <v>0</v>
      </c>
      <c r="AA67" s="82">
        <f>IF(AA59&lt;&gt;"Dim",IF(SUM($Z64:AA64)&gt;43,(MIN(SUM($Z64:AA64),48)-43-SUM($Z67:Z67)),0),0)</f>
        <v>0</v>
      </c>
      <c r="AB67" s="82">
        <f>IF(AB59&lt;&gt;"Dim",IF(SUM($Z64:AB64)&gt;43,(MIN(SUM($Z64:AB64),48)-43-SUM($Z67:AA67)),0),0)</f>
        <v>0</v>
      </c>
      <c r="AC67" s="82">
        <f>IF(AC59&lt;&gt;"Dim",IF(SUM($Z64:AC64)&gt;43,(MIN(SUM($Z64:AC64),48)-43-SUM($Z67:AB67)),0),0)</f>
        <v>0</v>
      </c>
      <c r="AD67" s="82">
        <f>IF(AD59&lt;&gt;"Dim",IF(SUM($Z64:AD64)&gt;43,(MIN(SUM($Z64:AD64),48)-43-SUM($Z67:AC67)),0),0)</f>
        <v>0</v>
      </c>
      <c r="AE67" s="82">
        <f>IF(AE59&lt;&gt;"Dim",IF(SUM($Z64:AE64)&gt;43,(MIN(SUM($Z64:AE64),48)-43-SUM($Z67:AD67)),0),0)</f>
        <v>0</v>
      </c>
      <c r="AF67" s="82">
        <f>IF(AF59&lt;&gt;"Dim",IF(SUM($Z64:AF64)&gt;43,(MIN(SUM($Z64:AF64),48)-43-SUM($Z67:AE67)),0),0)</f>
        <v>0</v>
      </c>
      <c r="AG67" s="76">
        <f t="shared" si="154"/>
        <v>0</v>
      </c>
      <c r="AH67" s="82">
        <f>IF(AH59&lt;&gt;"Dim",IF(AH64&gt;43,(MIN(AH64,48)-43),0),0)</f>
        <v>0</v>
      </c>
      <c r="AI67" s="82">
        <f>IF(AI59&lt;&gt;"Dim",IF(SUM($AH64:AI64)&gt;43,(MIN(SUM($AH64:AI64),48)-43-SUM($AH67:AH67)),0),0)</f>
        <v>0</v>
      </c>
      <c r="AJ67" s="82">
        <f>IF(AJ59&lt;&gt;"Dim",IF(SUM($AH64:AJ64)&gt;43,(MIN(SUM($AH64:AJ64),48)-43-SUM($AH67:AI67)),0),0)</f>
        <v>0</v>
      </c>
      <c r="AK67" s="82">
        <f>IF(AK59&lt;&gt;"Dim",IF(SUM($AH64:AK64)&gt;43,(MIN(SUM($AH64:AK64),48)-43-SUM($AH67:AJ67)),0),0)</f>
        <v>0</v>
      </c>
      <c r="AL67" s="82">
        <f>IF(AL59&lt;&gt;"Dim",IF(SUM($AH64:AL64)&gt;43,(MIN(SUM($AH64:AL64),48)-43-SUM($AH67:AK67)),0),0)</f>
        <v>0</v>
      </c>
      <c r="AM67" s="82">
        <f>IF(AM59&lt;&gt;"Dim",IF(SUM($AH64:AM64)&gt;43,(MIN(SUM($AH64:AM64),48)-43-SUM($AH67:AL67)),0),0)</f>
        <v>0</v>
      </c>
      <c r="AN67" s="82">
        <f>IF(AN59&lt;&gt;"Dim",IF(SUM($AH64:AN64)&gt;43,(MIN(SUM($AH64:AN64),48)-43-SUM($AH67:AM67)),0),0)</f>
        <v>0</v>
      </c>
      <c r="AO67" s="76">
        <f t="shared" si="156"/>
        <v>0</v>
      </c>
      <c r="AP67" s="82">
        <f>IF(AP59&lt;&gt;"Dim",IF(AP64&gt;43,(MIN(AP64,48)-43),0),0)</f>
        <v>0</v>
      </c>
      <c r="AQ67" s="82">
        <f>IF(AQ59&lt;&gt;"Dim",IF(SUM($AP64:AQ64)&gt;43,(MIN(SUM($AP64:AQ64),48)-43-SUM($AP67:AP67)),0),0)</f>
        <v>0</v>
      </c>
      <c r="AR67" s="76">
        <f t="shared" si="146"/>
        <v>0</v>
      </c>
      <c r="AS67" s="76">
        <f t="shared" si="158"/>
        <v>0</v>
      </c>
      <c r="AT67" s="47"/>
      <c r="AU67" s="47"/>
      <c r="AV67" s="47"/>
      <c r="AW67" s="47"/>
      <c r="AX67" s="47"/>
      <c r="AY67" s="47"/>
      <c r="AZ67" s="57"/>
    </row>
    <row r="68" spans="1:52" s="7" customFormat="1" ht="15" customHeight="1" x14ac:dyDescent="0.25">
      <c r="A68" s="37" t="s">
        <v>41</v>
      </c>
      <c r="B68" s="82">
        <f>IF(B59="Dim",B64,IF(B74="ferie",B64,0))</f>
        <v>0</v>
      </c>
      <c r="C68" s="82">
        <f t="shared" ref="C68:H68" si="159">IF(C59="Dim",C64,IF(C74="ferie",C64,0))</f>
        <v>0</v>
      </c>
      <c r="D68" s="82">
        <f t="shared" si="159"/>
        <v>0</v>
      </c>
      <c r="E68" s="82">
        <f t="shared" si="159"/>
        <v>0</v>
      </c>
      <c r="F68" s="82">
        <f t="shared" si="159"/>
        <v>0</v>
      </c>
      <c r="G68" s="82">
        <f t="shared" si="159"/>
        <v>0</v>
      </c>
      <c r="H68" s="82">
        <f t="shared" si="159"/>
        <v>0</v>
      </c>
      <c r="I68" s="76">
        <f t="shared" si="148"/>
        <v>0</v>
      </c>
      <c r="J68" s="82">
        <f>IF(J59="Dim",J64,IF(J74="ferie",J64,0))</f>
        <v>0</v>
      </c>
      <c r="K68" s="82">
        <f t="shared" ref="K68:P68" si="160">IF(K59="Dim",K64,IF(K74="ferie",K64,0))</f>
        <v>0</v>
      </c>
      <c r="L68" s="82">
        <f t="shared" si="160"/>
        <v>0</v>
      </c>
      <c r="M68" s="82">
        <f t="shared" si="160"/>
        <v>0</v>
      </c>
      <c r="N68" s="82">
        <f t="shared" si="160"/>
        <v>0</v>
      </c>
      <c r="O68" s="82">
        <f>IF(O59="Dim",O64,IF(O74="ferie",O64,0))</f>
        <v>0</v>
      </c>
      <c r="P68" s="82">
        <f t="shared" si="160"/>
        <v>8</v>
      </c>
      <c r="Q68" s="76">
        <f t="shared" si="150"/>
        <v>8</v>
      </c>
      <c r="R68" s="82">
        <f>IF(R59="Dim",R64,IF(R74="ferie",R64,0))</f>
        <v>0</v>
      </c>
      <c r="S68" s="82">
        <f t="shared" ref="S68:X68" si="161">IF(S59="Dim",S64,IF(S74="ferie",S64,0))</f>
        <v>0</v>
      </c>
      <c r="T68" s="82">
        <f t="shared" si="161"/>
        <v>0</v>
      </c>
      <c r="U68" s="82">
        <f t="shared" si="161"/>
        <v>0</v>
      </c>
      <c r="V68" s="82">
        <f t="shared" si="161"/>
        <v>0</v>
      </c>
      <c r="W68" s="82">
        <f t="shared" si="161"/>
        <v>0</v>
      </c>
      <c r="X68" s="82">
        <f t="shared" si="161"/>
        <v>0</v>
      </c>
      <c r="Y68" s="76">
        <f t="shared" si="152"/>
        <v>0</v>
      </c>
      <c r="Z68" s="82">
        <f>IF(Z59="Dim",Z64,IF(Z74="ferie",Z64,0))</f>
        <v>0</v>
      </c>
      <c r="AA68" s="82">
        <f t="shared" ref="AA68:AF68" si="162">IF(AA59="Dim",AA64,IF(AA74="ferie",AA64,0))</f>
        <v>0</v>
      </c>
      <c r="AB68" s="82">
        <f t="shared" si="162"/>
        <v>0</v>
      </c>
      <c r="AC68" s="82">
        <f t="shared" si="162"/>
        <v>0</v>
      </c>
      <c r="AD68" s="82">
        <f t="shared" si="162"/>
        <v>0</v>
      </c>
      <c r="AE68" s="82">
        <f t="shared" si="162"/>
        <v>0</v>
      </c>
      <c r="AF68" s="82">
        <f t="shared" si="162"/>
        <v>0</v>
      </c>
      <c r="AG68" s="76">
        <f t="shared" ref="AG68" si="163">SUM(Z68:AF68)</f>
        <v>0</v>
      </c>
      <c r="AH68" s="82">
        <f>IF(AH59="Dim",AH64,IF(AH74="ferie",AH64,0))</f>
        <v>0</v>
      </c>
      <c r="AI68" s="82">
        <f t="shared" ref="AI68:AQ68" si="164">IF(AI59="Dim",AI64,IF(AI74="ferie",AI64,0))</f>
        <v>0</v>
      </c>
      <c r="AJ68" s="82">
        <f t="shared" si="164"/>
        <v>0</v>
      </c>
      <c r="AK68" s="82">
        <f t="shared" si="164"/>
        <v>0</v>
      </c>
      <c r="AL68" s="82">
        <f t="shared" si="164"/>
        <v>0</v>
      </c>
      <c r="AM68" s="82">
        <f t="shared" si="164"/>
        <v>0</v>
      </c>
      <c r="AN68" s="82">
        <f t="shared" si="164"/>
        <v>0</v>
      </c>
      <c r="AO68" s="76">
        <f>SUM(AH68:AN68)</f>
        <v>0</v>
      </c>
      <c r="AP68" s="82">
        <f>IF(AP59="Dim",AP64,IF(AP74="ferie",AP64,0))</f>
        <v>0</v>
      </c>
      <c r="AQ68" s="82">
        <f t="shared" si="164"/>
        <v>0</v>
      </c>
      <c r="AR68" s="76">
        <f t="shared" si="146"/>
        <v>0</v>
      </c>
      <c r="AS68" s="76">
        <f t="shared" si="158"/>
        <v>8</v>
      </c>
      <c r="AT68" s="62"/>
      <c r="AU68" s="62"/>
      <c r="AV68" s="62"/>
      <c r="AW68" s="62"/>
      <c r="AX68" s="62"/>
      <c r="AY68" s="62"/>
      <c r="AZ68" s="51"/>
    </row>
    <row r="69" spans="1:52" s="7" customFormat="1" ht="15" customHeight="1" x14ac:dyDescent="0.25">
      <c r="A69" s="37" t="s">
        <v>59</v>
      </c>
      <c r="B69" s="47"/>
      <c r="C69" s="47"/>
      <c r="D69" s="47"/>
      <c r="E69" s="47"/>
      <c r="F69" s="47"/>
      <c r="G69" s="47"/>
      <c r="H69" s="47"/>
      <c r="I69" s="76">
        <f t="shared" si="148"/>
        <v>0</v>
      </c>
      <c r="J69" s="47"/>
      <c r="K69" s="47"/>
      <c r="L69" s="47"/>
      <c r="M69" s="47">
        <v>8</v>
      </c>
      <c r="N69" s="47">
        <v>8</v>
      </c>
      <c r="O69" s="47"/>
      <c r="P69" s="47"/>
      <c r="Q69" s="76">
        <f t="shared" si="150"/>
        <v>16</v>
      </c>
      <c r="R69" s="47"/>
      <c r="S69" s="47"/>
      <c r="T69" s="47"/>
      <c r="U69" s="47"/>
      <c r="V69" s="47"/>
      <c r="W69" s="47"/>
      <c r="X69" s="47"/>
      <c r="Y69" s="76">
        <f t="shared" si="152"/>
        <v>0</v>
      </c>
      <c r="Z69" s="47"/>
      <c r="AA69" s="47"/>
      <c r="AB69" s="47"/>
      <c r="AC69" s="47"/>
      <c r="AD69" s="47"/>
      <c r="AE69" s="47"/>
      <c r="AF69" s="47"/>
      <c r="AG69" s="76">
        <f t="shared" si="154"/>
        <v>0</v>
      </c>
      <c r="AH69" s="47"/>
      <c r="AI69" s="47"/>
      <c r="AJ69" s="47"/>
      <c r="AK69" s="47"/>
      <c r="AL69" s="47"/>
      <c r="AM69" s="47"/>
      <c r="AN69" s="47"/>
      <c r="AO69" s="76">
        <f t="shared" si="156"/>
        <v>0</v>
      </c>
      <c r="AP69" s="47"/>
      <c r="AQ69" s="47"/>
      <c r="AR69" s="76">
        <f t="shared" si="146"/>
        <v>0</v>
      </c>
      <c r="AS69" s="76">
        <f t="shared" si="158"/>
        <v>16</v>
      </c>
      <c r="AT69" s="62"/>
      <c r="AU69" s="62"/>
      <c r="AV69" s="62"/>
      <c r="AW69" s="62"/>
      <c r="AX69" s="62"/>
      <c r="AY69" s="62"/>
      <c r="AZ69" s="51"/>
    </row>
    <row r="70" spans="1:52" s="7" customFormat="1" ht="15" customHeight="1" x14ac:dyDescent="0.25">
      <c r="A70" s="52" t="s">
        <v>60</v>
      </c>
      <c r="B70" s="47"/>
      <c r="C70" s="47"/>
      <c r="D70" s="47"/>
      <c r="E70" s="47"/>
      <c r="F70" s="47">
        <v>8</v>
      </c>
      <c r="G70" s="47"/>
      <c r="H70" s="47"/>
      <c r="I70" s="76">
        <f t="shared" si="148"/>
        <v>8</v>
      </c>
      <c r="J70" s="47"/>
      <c r="K70" s="47"/>
      <c r="L70" s="47"/>
      <c r="M70" s="47"/>
      <c r="N70" s="47"/>
      <c r="O70" s="47"/>
      <c r="P70" s="47"/>
      <c r="Q70" s="76">
        <f t="shared" si="150"/>
        <v>0</v>
      </c>
      <c r="R70" s="47"/>
      <c r="S70" s="47"/>
      <c r="T70" s="47"/>
      <c r="U70" s="47"/>
      <c r="V70" s="47">
        <v>8</v>
      </c>
      <c r="W70" s="47"/>
      <c r="X70" s="47"/>
      <c r="Y70" s="76">
        <f t="shared" si="152"/>
        <v>8</v>
      </c>
      <c r="Z70" s="47"/>
      <c r="AA70" s="47"/>
      <c r="AB70" s="47"/>
      <c r="AC70" s="47"/>
      <c r="AD70" s="47"/>
      <c r="AE70" s="47"/>
      <c r="AF70" s="47"/>
      <c r="AG70" s="76">
        <f t="shared" si="154"/>
        <v>0</v>
      </c>
      <c r="AH70" s="47"/>
      <c r="AI70" s="47"/>
      <c r="AJ70" s="47"/>
      <c r="AK70" s="47"/>
      <c r="AL70" s="47"/>
      <c r="AM70" s="47"/>
      <c r="AN70" s="47"/>
      <c r="AO70" s="76">
        <f t="shared" si="156"/>
        <v>0</v>
      </c>
      <c r="AP70" s="47"/>
      <c r="AQ70" s="47"/>
      <c r="AR70" s="76">
        <f t="shared" ref="AR70:AR72" si="165">SUM(AP70:AQ70)</f>
        <v>0</v>
      </c>
      <c r="AS70" s="76">
        <f t="shared" si="158"/>
        <v>16</v>
      </c>
      <c r="AT70" s="62"/>
      <c r="AU70" s="62"/>
      <c r="AV70" s="62"/>
      <c r="AW70" s="62"/>
      <c r="AX70" s="62"/>
      <c r="AY70" s="62"/>
      <c r="AZ70" s="51"/>
    </row>
    <row r="71" spans="1:52" s="7" customFormat="1" ht="15" customHeight="1" x14ac:dyDescent="0.25">
      <c r="A71" s="37" t="s">
        <v>62</v>
      </c>
      <c r="B71" s="47"/>
      <c r="C71" s="47"/>
      <c r="D71" s="47"/>
      <c r="E71" s="47"/>
      <c r="F71" s="47"/>
      <c r="G71" s="47"/>
      <c r="H71" s="47"/>
      <c r="I71" s="76">
        <f t="shared" si="148"/>
        <v>0</v>
      </c>
      <c r="J71" s="47"/>
      <c r="K71" s="47"/>
      <c r="L71" s="47"/>
      <c r="M71" s="47"/>
      <c r="N71" s="47"/>
      <c r="O71" s="47"/>
      <c r="P71" s="47"/>
      <c r="Q71" s="76">
        <f t="shared" si="150"/>
        <v>0</v>
      </c>
      <c r="R71" s="47">
        <v>1</v>
      </c>
      <c r="S71" s="47">
        <v>1</v>
      </c>
      <c r="T71" s="47">
        <v>1</v>
      </c>
      <c r="U71" s="47">
        <v>1</v>
      </c>
      <c r="V71" s="47"/>
      <c r="W71" s="47"/>
      <c r="X71" s="47"/>
      <c r="Y71" s="76">
        <f t="shared" si="152"/>
        <v>4</v>
      </c>
      <c r="Z71" s="47"/>
      <c r="AA71" s="47"/>
      <c r="AB71" s="47"/>
      <c r="AC71" s="47"/>
      <c r="AD71" s="47"/>
      <c r="AE71" s="47"/>
      <c r="AF71" s="47"/>
      <c r="AG71" s="76">
        <f t="shared" si="154"/>
        <v>0</v>
      </c>
      <c r="AH71" s="47"/>
      <c r="AI71" s="47"/>
      <c r="AJ71" s="47"/>
      <c r="AK71" s="47"/>
      <c r="AL71" s="47"/>
      <c r="AM71" s="47"/>
      <c r="AN71" s="47"/>
      <c r="AO71" s="76">
        <f t="shared" si="156"/>
        <v>0</v>
      </c>
      <c r="AP71" s="47"/>
      <c r="AQ71" s="47"/>
      <c r="AR71" s="76">
        <f t="shared" si="165"/>
        <v>0</v>
      </c>
      <c r="AS71" s="76">
        <f t="shared" si="158"/>
        <v>4</v>
      </c>
      <c r="AT71" s="62"/>
      <c r="AU71" s="62"/>
      <c r="AV71" s="62"/>
      <c r="AW71" s="62"/>
      <c r="AX71" s="62"/>
      <c r="AY71" s="62"/>
      <c r="AZ71" s="51"/>
    </row>
    <row r="72" spans="1:52" s="7" customFormat="1" ht="15" customHeight="1" x14ac:dyDescent="0.25">
      <c r="A72" s="52" t="s">
        <v>61</v>
      </c>
      <c r="B72" s="47"/>
      <c r="C72" s="47"/>
      <c r="D72" s="47"/>
      <c r="E72" s="47"/>
      <c r="F72" s="47"/>
      <c r="G72" s="47"/>
      <c r="H72" s="47"/>
      <c r="I72" s="76">
        <f t="shared" si="148"/>
        <v>0</v>
      </c>
      <c r="J72" s="47"/>
      <c r="K72" s="47"/>
      <c r="L72" s="47"/>
      <c r="M72" s="47"/>
      <c r="N72" s="47"/>
      <c r="O72" s="47"/>
      <c r="P72" s="47"/>
      <c r="Q72" s="76">
        <f t="shared" si="150"/>
        <v>0</v>
      </c>
      <c r="R72" s="47"/>
      <c r="S72" s="47"/>
      <c r="T72" s="47"/>
      <c r="U72" s="47"/>
      <c r="V72" s="47"/>
      <c r="W72" s="47"/>
      <c r="X72" s="47"/>
      <c r="Y72" s="76">
        <f t="shared" si="152"/>
        <v>0</v>
      </c>
      <c r="Z72" s="47"/>
      <c r="AA72" s="47"/>
      <c r="AB72" s="47"/>
      <c r="AC72" s="47"/>
      <c r="AD72" s="47"/>
      <c r="AE72" s="47"/>
      <c r="AF72" s="47"/>
      <c r="AG72" s="76">
        <f t="shared" si="154"/>
        <v>0</v>
      </c>
      <c r="AH72" s="47"/>
      <c r="AI72" s="47"/>
      <c r="AJ72" s="47"/>
      <c r="AK72" s="47"/>
      <c r="AL72" s="47"/>
      <c r="AM72" s="47"/>
      <c r="AN72" s="47"/>
      <c r="AO72" s="76">
        <f t="shared" si="156"/>
        <v>0</v>
      </c>
      <c r="AP72" s="47"/>
      <c r="AQ72" s="47"/>
      <c r="AR72" s="76">
        <f t="shared" si="165"/>
        <v>0</v>
      </c>
      <c r="AS72" s="76">
        <f t="shared" si="158"/>
        <v>0</v>
      </c>
      <c r="AT72" s="62"/>
      <c r="AU72" s="62"/>
      <c r="AV72" s="62"/>
      <c r="AW72" s="62"/>
      <c r="AX72" s="62"/>
      <c r="AY72" s="62"/>
      <c r="AZ72" s="51"/>
    </row>
    <row r="73" spans="1:52" s="49" customFormat="1" ht="15" customHeight="1" x14ac:dyDescent="0.25">
      <c r="A73" s="52" t="s">
        <v>95</v>
      </c>
      <c r="B73" s="76">
        <f>IF(B61="nuit",B64*0.02,0)</f>
        <v>0</v>
      </c>
      <c r="C73" s="76">
        <f>IF(C61="nuit",C64*0.02,0)</f>
        <v>0</v>
      </c>
      <c r="D73" s="76">
        <f t="shared" ref="D73:H73" si="166">IF(D61="nuit",D64*0.02,0)</f>
        <v>0</v>
      </c>
      <c r="E73" s="76">
        <f t="shared" si="166"/>
        <v>0</v>
      </c>
      <c r="F73" s="76">
        <f>IF(F61="nuit",F64*0.02,0)</f>
        <v>0</v>
      </c>
      <c r="G73" s="76">
        <f t="shared" si="166"/>
        <v>0</v>
      </c>
      <c r="H73" s="76">
        <f t="shared" si="166"/>
        <v>0</v>
      </c>
      <c r="I73" s="76">
        <f t="shared" si="148"/>
        <v>0</v>
      </c>
      <c r="J73" s="76">
        <f>IF(J61="nuit",J64*0.02,0)</f>
        <v>0</v>
      </c>
      <c r="K73" s="76">
        <f>IF(K61="nuit",K64*0.02,0)</f>
        <v>0</v>
      </c>
      <c r="L73" s="76">
        <f t="shared" ref="L73:P73" si="167">IF(L61="nuit",L64*0.02,0)</f>
        <v>0</v>
      </c>
      <c r="M73" s="76">
        <f t="shared" si="167"/>
        <v>0</v>
      </c>
      <c r="N73" s="76">
        <f>IF(N61="nuit",N64*0.02,0)</f>
        <v>0</v>
      </c>
      <c r="O73" s="76">
        <f t="shared" si="167"/>
        <v>0</v>
      </c>
      <c r="P73" s="76">
        <f t="shared" si="167"/>
        <v>0.16</v>
      </c>
      <c r="Q73" s="76">
        <f t="shared" si="150"/>
        <v>0.16</v>
      </c>
      <c r="R73" s="76">
        <f>IF(R61="nuit",R64*0.02,0)</f>
        <v>0</v>
      </c>
      <c r="S73" s="76">
        <f>IF(S61="nuit",S64*0.02,0)</f>
        <v>0</v>
      </c>
      <c r="T73" s="76">
        <f t="shared" ref="T73:X73" si="168">IF(T61="nuit",T64*0.02,0)</f>
        <v>0</v>
      </c>
      <c r="U73" s="76">
        <f t="shared" si="168"/>
        <v>0</v>
      </c>
      <c r="V73" s="76">
        <f>IF(V61="nuit",V64*0.02,0)</f>
        <v>0</v>
      </c>
      <c r="W73" s="76">
        <f t="shared" si="168"/>
        <v>0</v>
      </c>
      <c r="X73" s="76">
        <f t="shared" si="168"/>
        <v>0</v>
      </c>
      <c r="Y73" s="76">
        <f t="shared" si="152"/>
        <v>0</v>
      </c>
      <c r="Z73" s="76">
        <f>IF(Z61="nuit",Z64*0.02,0)</f>
        <v>0</v>
      </c>
      <c r="AA73" s="76">
        <f>IF(AA61="nuit",AA64*0.02,0)</f>
        <v>0</v>
      </c>
      <c r="AB73" s="76">
        <f t="shared" ref="AB73:AF73" si="169">IF(AB61="nuit",AB64*0.02,0)</f>
        <v>0</v>
      </c>
      <c r="AC73" s="76">
        <f t="shared" si="169"/>
        <v>0</v>
      </c>
      <c r="AD73" s="76">
        <f>IF(AD61="nuit",AD64*0.02,0)</f>
        <v>0</v>
      </c>
      <c r="AE73" s="76">
        <f t="shared" si="169"/>
        <v>0</v>
      </c>
      <c r="AF73" s="76">
        <f t="shared" si="169"/>
        <v>0</v>
      </c>
      <c r="AG73" s="76">
        <f t="shared" si="154"/>
        <v>0</v>
      </c>
      <c r="AH73" s="76">
        <f>IF(AH61="nuit",AH64*0.02,0)</f>
        <v>0</v>
      </c>
      <c r="AI73" s="76">
        <f>IF(AI61="nuit",AI64*0.02,0)</f>
        <v>0</v>
      </c>
      <c r="AJ73" s="76">
        <f t="shared" ref="AJ73:AN73" si="170">IF(AJ61="nuit",AJ64*0.02,0)</f>
        <v>0</v>
      </c>
      <c r="AK73" s="76">
        <f t="shared" si="170"/>
        <v>0</v>
      </c>
      <c r="AL73" s="76">
        <f>IF(AL61="nuit",AL64*0.02,0)</f>
        <v>0</v>
      </c>
      <c r="AM73" s="76">
        <f t="shared" si="170"/>
        <v>0</v>
      </c>
      <c r="AN73" s="76">
        <f t="shared" si="170"/>
        <v>0</v>
      </c>
      <c r="AO73" s="76">
        <f t="shared" si="156"/>
        <v>0</v>
      </c>
      <c r="AP73" s="76">
        <f>IF(AP61="nuit",AP64*0.02,0)</f>
        <v>0</v>
      </c>
      <c r="AQ73" s="76">
        <f>IF(AQ61="nuit",AQ64*0.02,0)</f>
        <v>0</v>
      </c>
      <c r="AR73" s="76">
        <f>SUM(AP73:AQ73)</f>
        <v>0</v>
      </c>
      <c r="AS73" s="76">
        <f>I73+Q73+Y73+AG73+AO73+AR73</f>
        <v>0.16</v>
      </c>
      <c r="AT73" s="68"/>
      <c r="AU73" s="68"/>
      <c r="AV73" s="68"/>
      <c r="AW73" s="68"/>
      <c r="AX73" s="68"/>
      <c r="AY73" s="68"/>
      <c r="AZ73" s="51"/>
    </row>
    <row r="74" spans="1:52" s="8" customFormat="1" ht="15" customHeight="1" x14ac:dyDescent="0.25">
      <c r="A74" s="37" t="s">
        <v>82</v>
      </c>
      <c r="B74" s="47"/>
      <c r="C74" s="47"/>
      <c r="D74" s="47"/>
      <c r="E74" s="47"/>
      <c r="F74" s="47"/>
      <c r="G74" s="53"/>
      <c r="H74" s="53"/>
      <c r="I74" s="80"/>
      <c r="J74" s="53"/>
      <c r="K74" s="53"/>
      <c r="L74" s="53"/>
      <c r="M74" s="53" t="s">
        <v>111</v>
      </c>
      <c r="N74" s="53" t="s">
        <v>111</v>
      </c>
      <c r="O74" s="53"/>
      <c r="P74" s="53"/>
      <c r="Q74" s="80"/>
      <c r="R74" s="53"/>
      <c r="S74" s="53"/>
      <c r="T74" s="53"/>
      <c r="U74" s="53"/>
      <c r="V74" s="53"/>
      <c r="W74" s="53"/>
      <c r="X74" s="53"/>
      <c r="Y74" s="80"/>
      <c r="Z74" s="53"/>
      <c r="AA74" s="53"/>
      <c r="AB74" s="53"/>
      <c r="AC74" s="53"/>
      <c r="AD74" s="53"/>
      <c r="AE74" s="53"/>
      <c r="AF74" s="53"/>
      <c r="AG74" s="80"/>
      <c r="AH74" s="53"/>
      <c r="AI74" s="53"/>
      <c r="AJ74" s="53"/>
      <c r="AK74" s="53"/>
      <c r="AL74" s="53"/>
      <c r="AM74" s="53"/>
      <c r="AN74" s="53"/>
      <c r="AO74" s="80"/>
      <c r="AP74" s="53"/>
      <c r="AQ74" s="53"/>
      <c r="AR74" s="80"/>
      <c r="AS74" s="81"/>
      <c r="AT74" s="68"/>
      <c r="AU74" s="68"/>
      <c r="AV74" s="68"/>
      <c r="AW74" s="68"/>
      <c r="AX74" s="68"/>
      <c r="AY74" s="68"/>
      <c r="AZ74" s="51"/>
    </row>
    <row r="75" spans="1:52" s="8" customFormat="1" ht="15" customHeight="1" x14ac:dyDescent="0.25">
      <c r="A75" s="54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85"/>
      <c r="AT75" s="68"/>
      <c r="AU75" s="68"/>
      <c r="AV75" s="68"/>
      <c r="AW75" s="68"/>
      <c r="AX75" s="68"/>
      <c r="AY75" s="68"/>
      <c r="AZ75" s="51"/>
    </row>
    <row r="76" spans="1:52" s="8" customFormat="1" ht="27.6" x14ac:dyDescent="0.25">
      <c r="A76" s="37"/>
      <c r="B76" s="40" t="s">
        <v>74</v>
      </c>
      <c r="C76" s="40"/>
      <c r="D76" s="40"/>
      <c r="E76" s="40"/>
      <c r="F76" s="40"/>
      <c r="G76" s="96">
        <f>Année_Calendaire</f>
        <v>2016</v>
      </c>
      <c r="H76" s="96"/>
      <c r="I76" s="65"/>
      <c r="J76" s="47"/>
      <c r="K76" s="47"/>
      <c r="L76" s="47"/>
      <c r="M76" s="47"/>
      <c r="N76" s="47"/>
      <c r="O76" s="47"/>
      <c r="P76" s="47"/>
      <c r="Q76" s="65"/>
      <c r="R76" s="40" t="s">
        <v>74</v>
      </c>
      <c r="S76" s="40"/>
      <c r="T76" s="40"/>
      <c r="U76" s="40"/>
      <c r="V76" s="40"/>
      <c r="W76" s="96">
        <f>Année_Calendaire</f>
        <v>2016</v>
      </c>
      <c r="X76" s="96"/>
      <c r="Y76" s="65"/>
      <c r="Z76" s="47"/>
      <c r="AA76" s="47"/>
      <c r="AB76" s="47"/>
      <c r="AC76" s="47"/>
      <c r="AD76" s="47"/>
      <c r="AE76" s="47"/>
      <c r="AF76" s="47"/>
      <c r="AG76" s="65"/>
      <c r="AH76" s="40" t="s">
        <v>74</v>
      </c>
      <c r="AI76" s="40"/>
      <c r="AJ76" s="40"/>
      <c r="AK76" s="40"/>
      <c r="AL76" s="40"/>
      <c r="AM76" s="96">
        <f>Année_Calendaire</f>
        <v>2016</v>
      </c>
      <c r="AN76" s="96"/>
      <c r="AO76" s="65"/>
      <c r="AP76" s="47"/>
      <c r="AQ76" s="47"/>
      <c r="AR76" s="65"/>
      <c r="AS76" s="68"/>
      <c r="AT76" s="68"/>
      <c r="AU76" s="68"/>
      <c r="AV76" s="68"/>
      <c r="AW76" s="68"/>
      <c r="AX76" s="68"/>
      <c r="AY76" s="68"/>
      <c r="AZ76" s="51"/>
    </row>
    <row r="77" spans="1:52" s="8" customFormat="1" ht="29.25" customHeight="1" x14ac:dyDescent="0.25">
      <c r="A77" s="47"/>
      <c r="B77" s="78" t="s">
        <v>64</v>
      </c>
      <c r="C77" s="78" t="s">
        <v>65</v>
      </c>
      <c r="D77" s="78" t="s">
        <v>66</v>
      </c>
      <c r="E77" s="78" t="s">
        <v>67</v>
      </c>
      <c r="F77" s="78" t="s">
        <v>68</v>
      </c>
      <c r="G77" s="78" t="s">
        <v>69</v>
      </c>
      <c r="H77" s="78" t="s">
        <v>70</v>
      </c>
      <c r="I77" s="97" t="s">
        <v>83</v>
      </c>
      <c r="J77" s="78" t="s">
        <v>64</v>
      </c>
      <c r="K77" s="78" t="s">
        <v>65</v>
      </c>
      <c r="L77" s="78" t="s">
        <v>66</v>
      </c>
      <c r="M77" s="78" t="s">
        <v>67</v>
      </c>
      <c r="N77" s="78" t="s">
        <v>68</v>
      </c>
      <c r="O77" s="78" t="s">
        <v>69</v>
      </c>
      <c r="P77" s="78" t="s">
        <v>70</v>
      </c>
      <c r="Q77" s="97" t="s">
        <v>83</v>
      </c>
      <c r="R77" s="78" t="s">
        <v>64</v>
      </c>
      <c r="S77" s="78" t="s">
        <v>65</v>
      </c>
      <c r="T77" s="78" t="s">
        <v>66</v>
      </c>
      <c r="U77" s="78" t="s">
        <v>67</v>
      </c>
      <c r="V77" s="78" t="s">
        <v>68</v>
      </c>
      <c r="W77" s="78" t="s">
        <v>69</v>
      </c>
      <c r="X77" s="78" t="s">
        <v>70</v>
      </c>
      <c r="Y77" s="97" t="s">
        <v>83</v>
      </c>
      <c r="Z77" s="78" t="s">
        <v>64</v>
      </c>
      <c r="AA77" s="78" t="s">
        <v>65</v>
      </c>
      <c r="AB77" s="78" t="s">
        <v>66</v>
      </c>
      <c r="AC77" s="78" t="s">
        <v>67</v>
      </c>
      <c r="AD77" s="78" t="s">
        <v>68</v>
      </c>
      <c r="AE77" s="78" t="s">
        <v>69</v>
      </c>
      <c r="AF77" s="78" t="s">
        <v>70</v>
      </c>
      <c r="AG77" s="97" t="s">
        <v>83</v>
      </c>
      <c r="AH77" s="78" t="s">
        <v>64</v>
      </c>
      <c r="AI77" s="78" t="s">
        <v>65</v>
      </c>
      <c r="AJ77" s="78" t="s">
        <v>66</v>
      </c>
      <c r="AK77" s="78" t="s">
        <v>67</v>
      </c>
      <c r="AL77" s="78" t="s">
        <v>68</v>
      </c>
      <c r="AM77" s="78" t="s">
        <v>69</v>
      </c>
      <c r="AN77" s="78" t="s">
        <v>70</v>
      </c>
      <c r="AO77" s="97" t="s">
        <v>83</v>
      </c>
      <c r="AP77" s="78" t="s">
        <v>64</v>
      </c>
      <c r="AQ77" s="78" t="s">
        <v>65</v>
      </c>
      <c r="AR77" s="97" t="s">
        <v>83</v>
      </c>
      <c r="AS77" s="97" t="s">
        <v>86</v>
      </c>
      <c r="AT77" s="98">
        <f>AS84+AS85+AS86</f>
        <v>8</v>
      </c>
      <c r="AU77" s="98">
        <f>AT77+AU59</f>
        <v>46</v>
      </c>
      <c r="AV77" s="68"/>
      <c r="AW77" s="68"/>
      <c r="AX77" s="68"/>
      <c r="AY77" s="68"/>
      <c r="AZ77" s="51"/>
    </row>
    <row r="78" spans="1:52" s="8" customFormat="1" ht="15" customHeight="1" x14ac:dyDescent="0.25">
      <c r="A78" s="64"/>
      <c r="B78" s="83" t="str">
        <f>IF(DAY(Mai_Dim1)=1,"",IF(AND(YEAR(Mai_Dim1+1)=Année_Calendaire,MONTH(Mai_Dim1+1)=5),Mai_Dim1+1,""))</f>
        <v/>
      </c>
      <c r="C78" s="83" t="str">
        <f>IF(DAY(Mai_Dim1)=1,"",IF(AND(YEAR(Mai_Dim1+2)=Année_Calendaire,MONTH(Mai_Dim1+2)=5),Mai_Dim1+2,""))</f>
        <v/>
      </c>
      <c r="D78" s="83" t="str">
        <f>IF(DAY(Mai_Dim1)=1,"",IF(AND(YEAR(Mai_Dim1+3)=Année_Calendaire,MONTH(Mai_Dim1+3)=5),Mai_Dim1+3,""))</f>
        <v/>
      </c>
      <c r="E78" s="83" t="str">
        <f>IF(DAY(Mai_Dim1)=1,"",IF(AND(YEAR(Mai_Dim1+4)=Année_Calendaire,MONTH(Mai_Dim1+4)=5),Mai_Dim1+4,""))</f>
        <v/>
      </c>
      <c r="F78" s="83" t="str">
        <f>IF(DAY(Mai_Dim1)=1,"",IF(AND(YEAR(Mai_Dim1+5)=Année_Calendaire,MONTH(Mai_Dim1+5)=5),Mai_Dim1+5,""))</f>
        <v/>
      </c>
      <c r="G78" s="83" t="str">
        <f>IF(DAY(Mai_Dim1)=1,"",IF(AND(YEAR(Mai_Dim1+6)=Année_Calendaire,MONTH(Mai_Dim1+6)=5),Mai_Dim1+6,""))</f>
        <v/>
      </c>
      <c r="H78" s="83">
        <f>IF(DAY(Mai_Dim1)=1,IF(AND(YEAR(Mai_Dim1)=Année_Calendaire,MONTH(Mai_Dim1)=5),Mai_Dim1,""),IF(AND(YEAR(Mai_Dim1+7)=Année_Calendaire,MONTH(Mai_Dim1+7)=5),Mai_Dim1+7,""))</f>
        <v>42491</v>
      </c>
      <c r="I78" s="97"/>
      <c r="J78" s="83">
        <f>IF(DAY(Mai_Dim1)=1,IF(AND(YEAR(Mai_Dim1+1)=Année_Calendaire,MONTH(Mai_Dim1+1)=5),Mai_Dim1+1,""),IF(AND(YEAR(Mai_Dim1+8)=Année_Calendaire,MONTH(Mai_Dim1+8)=5),Mai_Dim1+8,""))</f>
        <v>42492</v>
      </c>
      <c r="K78" s="83">
        <f>IF(DAY(Mai_Dim1)=1,IF(AND(YEAR(Mai_Dim1+2)=Année_Calendaire,MONTH(Mai_Dim1+2)=5),Mai_Dim1+2,""),IF(AND(YEAR(Mai_Dim1+9)=Année_Calendaire,MONTH(Mai_Dim1+9)=5),Mai_Dim1+9,""))</f>
        <v>42493</v>
      </c>
      <c r="L78" s="83">
        <f>IF(DAY(Mai_Dim1)=1,IF(AND(YEAR(Mai_Dim1+3)=Année_Calendaire,MONTH(Mai_Dim1+3)=5),Mai_Dim1+3,""),IF(AND(YEAR(Mai_Dim1+10)=Année_Calendaire,MONTH(Mai_Dim1+10)=5),Mai_Dim1+10,""))</f>
        <v>42494</v>
      </c>
      <c r="M78" s="83">
        <f>IF(DAY(Mai_Dim1)=1,IF(AND(YEAR(Mai_Dim1+4)=Année_Calendaire,MONTH(Mai_Dim1+4)=5),Mai_Dim1+4,""),IF(AND(YEAR(Mai_Dim1+11)=Année_Calendaire,MONTH(Mai_Dim1+11)=5),Mai_Dim1+11,""))</f>
        <v>42495</v>
      </c>
      <c r="N78" s="83">
        <f>IF(DAY(Mai_Dim1)=1,IF(AND(YEAR(Mai_Dim1+5)=Année_Calendaire,MONTH(Mai_Dim1+5)=5),Mai_Dim1+5,""),IF(AND(YEAR(Mai_Dim1+12)=Année_Calendaire,MONTH(Mai_Dim1+12)=5),Mai_Dim1+12,""))</f>
        <v>42496</v>
      </c>
      <c r="O78" s="83">
        <f>IF(DAY(Mai_Dim1)=1,IF(AND(YEAR(Mai_Dim1+6)=Année_Calendaire,MONTH(Mai_Dim1+6)=5),Mai_Dim1+6,""),IF(AND(YEAR(Mai_Dim1+13)=Année_Calendaire,MONTH(Mai_Dim1+13)=5),Mai_Dim1+13,""))</f>
        <v>42497</v>
      </c>
      <c r="P78" s="83">
        <f>IF(DAY(Mai_Dim1)=1,IF(AND(YEAR(Mai_Dim1+7)=Année_Calendaire,MONTH(Mai_Dim1+7)=5),Mai_Dim1+7,""),IF(AND(YEAR(Mai_Dim1+14)=Année_Calendaire,MONTH(Mai_Dim1+14)=5),Mai_Dim1+14,""))</f>
        <v>42498</v>
      </c>
      <c r="Q78" s="97"/>
      <c r="R78" s="83">
        <f>IF(DAY(Mai_Dim1)=1,IF(AND(YEAR(Mai_Dim1+8)=Année_Calendaire,MONTH(Mai_Dim1+8)=5),Mai_Dim1+8,""),IF(AND(YEAR(Mai_Dim1+15)=Année_Calendaire,MONTH(Mai_Dim1+15)=5),Mai_Dim1+15,""))</f>
        <v>42499</v>
      </c>
      <c r="S78" s="83">
        <f>IF(DAY(Mai_Dim1)=1,IF(AND(YEAR(Mai_Dim1+9)=Année_Calendaire,MONTH(Mai_Dim1+9)=5),Mai_Dim1+9,""),IF(AND(YEAR(Mai_Dim1+16)=Année_Calendaire,MONTH(Mai_Dim1+16)=5),Mai_Dim1+16,""))</f>
        <v>42500</v>
      </c>
      <c r="T78" s="83">
        <f>IF(DAY(Mai_Dim1)=1,IF(AND(YEAR(Mai_Dim1+10)=Année_Calendaire,MONTH(Mai_Dim1+10)=5),Mai_Dim1+10,""),IF(AND(YEAR(Mai_Dim1+17)=Année_Calendaire,MONTH(Mai_Dim1+17)=5),Mai_Dim1+17,""))</f>
        <v>42501</v>
      </c>
      <c r="U78" s="83">
        <f>IF(DAY(Mai_Dim1)=1,IF(AND(YEAR(Mai_Dim1+11)=Année_Calendaire,MONTH(Mai_Dim1+11)=5),Mai_Dim1+11,""),IF(AND(YEAR(Mai_Dim1+18)=Année_Calendaire,MONTH(Mai_Dim1+18)=5),Mai_Dim1+18,""))</f>
        <v>42502</v>
      </c>
      <c r="V78" s="83">
        <f>IF(DAY(Mai_Dim1)=1,IF(AND(YEAR(Mai_Dim1+12)=Année_Calendaire,MONTH(Mai_Dim1+12)=5),Mai_Dim1+12,""),IF(AND(YEAR(Mai_Dim1+19)=Année_Calendaire,MONTH(Mai_Dim1+19)=5),Mai_Dim1+19,""))</f>
        <v>42503</v>
      </c>
      <c r="W78" s="83">
        <f>IF(DAY(Mai_Dim1)=1,IF(AND(YEAR(Mai_Dim1+13)=Année_Calendaire,MONTH(Mai_Dim1+13)=5),Mai_Dim1+13,""),IF(AND(YEAR(Mai_Dim1+20)=Année_Calendaire,MONTH(Mai_Dim1+20)=5),Mai_Dim1+20,""))</f>
        <v>42504</v>
      </c>
      <c r="X78" s="83">
        <f>IF(DAY(Mai_Dim1)=1,IF(AND(YEAR(Mai_Dim1+14)=Année_Calendaire,MONTH(Mai_Dim1+14)=5),Mai_Dim1+14,""),IF(AND(YEAR(Mai_Dim1+21)=Année_Calendaire,MONTH(Mai_Dim1+21)=5),Mai_Dim1+21,""))</f>
        <v>42505</v>
      </c>
      <c r="Y78" s="97"/>
      <c r="Z78" s="83">
        <f>IF(DAY(Mai_Dim1)=1,IF(AND(YEAR(Mai_Dim1+15)=Année_Calendaire,MONTH(Mai_Dim1+15)=5),Mai_Dim1+15,""),IF(AND(YEAR(Mai_Dim1+22)=Année_Calendaire,MONTH(Mai_Dim1+22)=5),Mai_Dim1+22,""))</f>
        <v>42506</v>
      </c>
      <c r="AA78" s="83">
        <f>IF(DAY(Mai_Dim1)=1,IF(AND(YEAR(Mai_Dim1+16)=Année_Calendaire,MONTH(Mai_Dim1+16)=5),Mai_Dim1+16,""),IF(AND(YEAR(Mai_Dim1+23)=Année_Calendaire,MONTH(Mai_Dim1+23)=5),Mai_Dim1+23,""))</f>
        <v>42507</v>
      </c>
      <c r="AB78" s="83">
        <f>IF(DAY(Mai_Dim1)=1,IF(AND(YEAR(Mai_Dim1+17)=Année_Calendaire,MONTH(Mai_Dim1+17)=5),Mai_Dim1+17,""),IF(AND(YEAR(Mai_Dim1+24)=Année_Calendaire,MONTH(Mai_Dim1+24)=5),Mai_Dim1+24,""))</f>
        <v>42508</v>
      </c>
      <c r="AC78" s="83">
        <f>IF(DAY(Mai_Dim1)=1,IF(AND(YEAR(Mai_Dim1+18)=Année_Calendaire,MONTH(Mai_Dim1+18)=5),Mai_Dim1+18,""),IF(AND(YEAR(Mai_Dim1+25)=Année_Calendaire,MONTH(Mai_Dim1+25)=5),Mai_Dim1+25,""))</f>
        <v>42509</v>
      </c>
      <c r="AD78" s="83">
        <f>IF(DAY(Mai_Dim1)=1,IF(AND(YEAR(Mai_Dim1+19)=Année_Calendaire,MONTH(Mai_Dim1+19)=5),Mai_Dim1+19,""),IF(AND(YEAR(Mai_Dim1+26)=Année_Calendaire,MONTH(Mai_Dim1+26)=5),Mai_Dim1+26,""))</f>
        <v>42510</v>
      </c>
      <c r="AE78" s="83">
        <f>IF(DAY(Mai_Dim1)=1,IF(AND(YEAR(Mai_Dim1+20)=Année_Calendaire,MONTH(Mai_Dim1+20)=5),Mai_Dim1+20,""),IF(AND(YEAR(Mai_Dim1+27)=Année_Calendaire,MONTH(Mai_Dim1+27)=5),Mai_Dim1+27,""))</f>
        <v>42511</v>
      </c>
      <c r="AF78" s="83">
        <f>IF(DAY(Mai_Dim1)=1,IF(AND(YEAR(Mai_Dim1+21)=Année_Calendaire,MONTH(Mai_Dim1+21)=5),Mai_Dim1+21,""),IF(AND(YEAR(Mai_Dim1+28)=Année_Calendaire,MONTH(Mai_Dim1+28)=5),Mai_Dim1+28,""))</f>
        <v>42512</v>
      </c>
      <c r="AG78" s="97"/>
      <c r="AH78" s="83">
        <f>IF(DAY(Mai_Dim1)=1,IF(AND(YEAR(Mai_Dim1+22)=Année_Calendaire,MONTH(Mai_Dim1+22)=5),Mai_Dim1+22,""),IF(AND(YEAR(Mai_Dim1+29)=Année_Calendaire,MONTH(Mai_Dim1+29)=5),Mai_Dim1+29,""))</f>
        <v>42513</v>
      </c>
      <c r="AI78" s="83">
        <f>IF(DAY(Mai_Dim1)=1,IF(AND(YEAR(Mai_Dim1+23)=Année_Calendaire,MONTH(Mai_Dim1+23)=5),Mai_Dim1+23,""),IF(AND(YEAR(Mai_Dim1+30)=Année_Calendaire,MONTH(Mai_Dim1+30)=5),Mai_Dim1+30,""))</f>
        <v>42514</v>
      </c>
      <c r="AJ78" s="83">
        <f>IF(DAY(Mai_Dim1)=1,IF(AND(YEAR(Mai_Dim1+24)=Année_Calendaire,MONTH(Mai_Dim1+24)=5),Mai_Dim1+24,""),IF(AND(YEAR(Mai_Dim1+31)=Année_Calendaire,MONTH(Mai_Dim1+31)=5),Mai_Dim1+31,""))</f>
        <v>42515</v>
      </c>
      <c r="AK78" s="83">
        <f>IF(DAY(Mai_Dim1)=1,IF(AND(YEAR(Mai_Dim1+25)=Année_Calendaire,MONTH(Mai_Dim1+25)=5),Mai_Dim1+25,""),IF(AND(YEAR(Mai_Dim1+32)=Année_Calendaire,MONTH(Mai_Dim1+32)=5),Mai_Dim1+32,""))</f>
        <v>42516</v>
      </c>
      <c r="AL78" s="83">
        <f>IF(DAY(Mai_Dim1)=1,IF(AND(YEAR(Mai_Dim1+26)=Année_Calendaire,MONTH(Mai_Dim1+26)=5),Mai_Dim1+26,""),IF(AND(YEAR(Mai_Dim1+33)=Année_Calendaire,MONTH(Mai_Dim1+33)=5),Mai_Dim1+33,""))</f>
        <v>42517</v>
      </c>
      <c r="AM78" s="83">
        <f>IF(DAY(Mai_Dim1)=1,IF(AND(YEAR(Mai_Dim1+27)=Année_Calendaire,MONTH(Mai_Dim1+27)=5),Mai_Dim1+27,""),IF(AND(YEAR(Mai_Dim1+34)=Année_Calendaire,MONTH(Mai_Dim1+34)=5),Mai_Dim1+34,""))</f>
        <v>42518</v>
      </c>
      <c r="AN78" s="83">
        <f>IF(DAY(Mai_Dim1)=1,IF(AND(YEAR(Mai_Dim1+28)=Année_Calendaire,MONTH(Mai_Dim1+28)=5),Mai_Dim1+28,""),IF(AND(YEAR(Mai_Dim1+35)=Année_Calendaire,MONTH(Mai_Dim1+35)=5),Mai_Dim1+35,""))</f>
        <v>42519</v>
      </c>
      <c r="AO78" s="97"/>
      <c r="AP78" s="77">
        <f>IF(DAY(Mai_Dim1)=1,IF(AND(YEAR(Mai_Dim1+29)=Année_Calendaire,MONTH(Mai_Dim1+29)=5),Mai_Dim1+29,""),IF(AND(YEAR(Mai_Dim1+36)=Année_Calendaire,MONTH(Mai_Dim1+36)=5),Mai_Dim1+36,""))</f>
        <v>42520</v>
      </c>
      <c r="AQ78" s="77">
        <f>IF(DAY(Mai_Dim1)=1,IF(AND(YEAR(Mai_Dim1+30)=Année_Calendaire,MONTH(Mai_Dim1+30)=5),Mai_Dim1+30,""),IF(AND(YEAR(Mai_Dim1+37)=Année_Calendaire,MONTH(Mai_Dim1+37)=5),Mai_Dim1+37,""))</f>
        <v>42521</v>
      </c>
      <c r="AR78" s="97"/>
      <c r="AS78" s="97"/>
      <c r="AT78" s="98"/>
      <c r="AU78" s="98"/>
      <c r="AV78" s="68"/>
      <c r="AW78" s="68"/>
      <c r="AX78" s="68"/>
      <c r="AY78" s="68"/>
      <c r="AZ78" s="51"/>
    </row>
    <row r="79" spans="1:52" s="8" customFormat="1" ht="15" customHeight="1" x14ac:dyDescent="0.25">
      <c r="A79" s="37" t="s">
        <v>2</v>
      </c>
      <c r="B79" s="47"/>
      <c r="C79" s="47"/>
      <c r="D79" s="47"/>
      <c r="E79" s="47"/>
      <c r="F79" s="47"/>
      <c r="G79" s="47"/>
      <c r="H79" s="47"/>
      <c r="I79" s="76"/>
      <c r="J79" s="47"/>
      <c r="K79" s="47" t="s">
        <v>107</v>
      </c>
      <c r="L79" s="47" t="s">
        <v>107</v>
      </c>
      <c r="M79" s="47"/>
      <c r="N79" s="47"/>
      <c r="O79" s="47"/>
      <c r="P79" s="47" t="s">
        <v>108</v>
      </c>
      <c r="Q79" s="76"/>
      <c r="R79" s="47" t="s">
        <v>108</v>
      </c>
      <c r="S79" s="47" t="s">
        <v>108</v>
      </c>
      <c r="T79" s="47" t="s">
        <v>108</v>
      </c>
      <c r="U79" s="47" t="s">
        <v>108</v>
      </c>
      <c r="V79" s="47" t="s">
        <v>108</v>
      </c>
      <c r="W79" s="47"/>
      <c r="X79" s="47"/>
      <c r="Y79" s="76"/>
      <c r="Z79" s="47"/>
      <c r="AA79" s="47" t="s">
        <v>107</v>
      </c>
      <c r="AB79" s="47" t="s">
        <v>107</v>
      </c>
      <c r="AC79" s="47" t="s">
        <v>107</v>
      </c>
      <c r="AD79" s="47" t="s">
        <v>107</v>
      </c>
      <c r="AE79" s="47"/>
      <c r="AF79" s="47"/>
      <c r="AG79" s="76"/>
      <c r="AH79" s="47" t="s">
        <v>106</v>
      </c>
      <c r="AI79" s="47"/>
      <c r="AJ79" s="47" t="s">
        <v>106</v>
      </c>
      <c r="AK79" s="47" t="s">
        <v>106</v>
      </c>
      <c r="AL79" s="47" t="s">
        <v>106</v>
      </c>
      <c r="AM79" s="47"/>
      <c r="AN79" s="47"/>
      <c r="AO79" s="76"/>
      <c r="AP79" s="47" t="s">
        <v>107</v>
      </c>
      <c r="AQ79" s="47" t="s">
        <v>107</v>
      </c>
      <c r="AR79" s="76"/>
      <c r="AS79" s="79"/>
      <c r="AT79" s="69"/>
      <c r="AU79" s="69"/>
      <c r="AV79" s="69"/>
      <c r="AW79" s="69"/>
      <c r="AX79" s="58"/>
      <c r="AY79" s="58"/>
      <c r="AZ79" s="48"/>
    </row>
    <row r="80" spans="1:52" s="7" customFormat="1" ht="15" customHeight="1" x14ac:dyDescent="0.25">
      <c r="A80" s="37" t="s">
        <v>63</v>
      </c>
      <c r="B80" s="76">
        <f t="shared" ref="B80:H80" si="171">IF(B79="Matin",1,IF(B79="AM",1,0))</f>
        <v>0</v>
      </c>
      <c r="C80" s="76">
        <f t="shared" si="171"/>
        <v>0</v>
      </c>
      <c r="D80" s="76">
        <f t="shared" si="171"/>
        <v>0</v>
      </c>
      <c r="E80" s="76">
        <f t="shared" si="171"/>
        <v>0</v>
      </c>
      <c r="F80" s="76">
        <f t="shared" si="171"/>
        <v>0</v>
      </c>
      <c r="G80" s="76">
        <f t="shared" si="171"/>
        <v>0</v>
      </c>
      <c r="H80" s="76">
        <f t="shared" si="171"/>
        <v>0</v>
      </c>
      <c r="I80" s="76">
        <f>SUM(B80:H80)</f>
        <v>0</v>
      </c>
      <c r="J80" s="76">
        <f t="shared" ref="J80:P80" si="172">IF(J79="Matin",1,IF(J79="AM",1,0))</f>
        <v>0</v>
      </c>
      <c r="K80" s="76">
        <f t="shared" si="172"/>
        <v>1</v>
      </c>
      <c r="L80" s="76">
        <f t="shared" si="172"/>
        <v>1</v>
      </c>
      <c r="M80" s="76">
        <f t="shared" si="172"/>
        <v>0</v>
      </c>
      <c r="N80" s="76">
        <f t="shared" si="172"/>
        <v>0</v>
      </c>
      <c r="O80" s="76">
        <f t="shared" si="172"/>
        <v>0</v>
      </c>
      <c r="P80" s="76">
        <f t="shared" si="172"/>
        <v>0</v>
      </c>
      <c r="Q80" s="76">
        <f>SUM(J80:P80)</f>
        <v>2</v>
      </c>
      <c r="R80" s="76">
        <f t="shared" ref="R80:X80" si="173">IF(R79="Matin",1,IF(R79="AM",1,0))</f>
        <v>0</v>
      </c>
      <c r="S80" s="76">
        <f t="shared" si="173"/>
        <v>0</v>
      </c>
      <c r="T80" s="76">
        <f t="shared" si="173"/>
        <v>0</v>
      </c>
      <c r="U80" s="76">
        <f t="shared" si="173"/>
        <v>0</v>
      </c>
      <c r="V80" s="76">
        <f t="shared" si="173"/>
        <v>0</v>
      </c>
      <c r="W80" s="76">
        <f t="shared" si="173"/>
        <v>0</v>
      </c>
      <c r="X80" s="76">
        <f t="shared" si="173"/>
        <v>0</v>
      </c>
      <c r="Y80" s="76">
        <f>SUM(R80:X80)</f>
        <v>0</v>
      </c>
      <c r="Z80" s="76">
        <f t="shared" ref="Z80:AF80" si="174">IF(Z79="Matin",1,IF(Z79="AM",1,0))</f>
        <v>0</v>
      </c>
      <c r="AA80" s="76">
        <f t="shared" si="174"/>
        <v>1</v>
      </c>
      <c r="AB80" s="76">
        <f t="shared" si="174"/>
        <v>1</v>
      </c>
      <c r="AC80" s="76">
        <f t="shared" si="174"/>
        <v>1</v>
      </c>
      <c r="AD80" s="76">
        <f t="shared" si="174"/>
        <v>1</v>
      </c>
      <c r="AE80" s="76">
        <f t="shared" si="174"/>
        <v>0</v>
      </c>
      <c r="AF80" s="76">
        <f t="shared" si="174"/>
        <v>0</v>
      </c>
      <c r="AG80" s="76">
        <f>SUM(Z80:AF80)</f>
        <v>4</v>
      </c>
      <c r="AH80" s="76">
        <f t="shared" ref="AH80:AN80" si="175">IF(AH79="Matin",1,IF(AH79="AM",1,0))</f>
        <v>1</v>
      </c>
      <c r="AI80" s="76">
        <f t="shared" si="175"/>
        <v>0</v>
      </c>
      <c r="AJ80" s="76">
        <f t="shared" si="175"/>
        <v>1</v>
      </c>
      <c r="AK80" s="76">
        <f t="shared" si="175"/>
        <v>1</v>
      </c>
      <c r="AL80" s="76">
        <f t="shared" si="175"/>
        <v>1</v>
      </c>
      <c r="AM80" s="76">
        <f t="shared" si="175"/>
        <v>0</v>
      </c>
      <c r="AN80" s="76">
        <f t="shared" si="175"/>
        <v>0</v>
      </c>
      <c r="AO80" s="76">
        <f>SUM(AH80:AN80)</f>
        <v>4</v>
      </c>
      <c r="AP80" s="76">
        <f t="shared" ref="AP80:AQ80" si="176">IF(AP79="Matin",1,IF(AP79="AM",1,0))</f>
        <v>1</v>
      </c>
      <c r="AQ80" s="76">
        <f t="shared" si="176"/>
        <v>1</v>
      </c>
      <c r="AR80" s="76">
        <f t="shared" ref="AR80:AR87" si="177">SUM(AP80:AQ80)</f>
        <v>2</v>
      </c>
      <c r="AS80" s="76">
        <f>I80+Q80+Y80+AG80+AO80+AR80</f>
        <v>12</v>
      </c>
      <c r="AT80" s="36"/>
      <c r="AU80" s="36"/>
      <c r="AV80" s="36"/>
      <c r="AW80" s="36"/>
      <c r="AX80" s="36"/>
      <c r="AY80" s="36"/>
      <c r="AZ80" s="45"/>
    </row>
    <row r="81" spans="1:52" s="7" customFormat="1" ht="15" customHeight="1" x14ac:dyDescent="0.25">
      <c r="A81" s="37" t="s">
        <v>4</v>
      </c>
      <c r="B81" s="76">
        <f>IF(B82&gt;=1,1,0)</f>
        <v>0</v>
      </c>
      <c r="C81" s="76">
        <f>IF(C82&gt;=1,1,0)</f>
        <v>0</v>
      </c>
      <c r="D81" s="76">
        <f t="shared" ref="D81:H81" si="178">IF(D82&gt;=1,1,0)</f>
        <v>0</v>
      </c>
      <c r="E81" s="76">
        <f t="shared" si="178"/>
        <v>0</v>
      </c>
      <c r="F81" s="76">
        <f t="shared" si="178"/>
        <v>0</v>
      </c>
      <c r="G81" s="76">
        <f t="shared" si="178"/>
        <v>0</v>
      </c>
      <c r="H81" s="76">
        <f t="shared" si="178"/>
        <v>0</v>
      </c>
      <c r="I81" s="76">
        <f t="shared" ref="I81:I91" si="179">SUM(B81:H81)</f>
        <v>0</v>
      </c>
      <c r="J81" s="76">
        <f>IF(J82&gt;=1,1,0)</f>
        <v>0</v>
      </c>
      <c r="K81" s="76">
        <f t="shared" ref="K81:P81" si="180">IF(K82&gt;=1,1,0)</f>
        <v>1</v>
      </c>
      <c r="L81" s="76">
        <f t="shared" si="180"/>
        <v>1</v>
      </c>
      <c r="M81" s="76">
        <f t="shared" si="180"/>
        <v>0</v>
      </c>
      <c r="N81" s="76">
        <f t="shared" si="180"/>
        <v>0</v>
      </c>
      <c r="O81" s="76">
        <f t="shared" si="180"/>
        <v>0</v>
      </c>
      <c r="P81" s="76">
        <f t="shared" si="180"/>
        <v>1</v>
      </c>
      <c r="Q81" s="76">
        <f t="shared" ref="Q81:Q91" si="181">SUM(J81:P81)</f>
        <v>3</v>
      </c>
      <c r="R81" s="76">
        <f>IF(R82&gt;=1,1,0)</f>
        <v>1</v>
      </c>
      <c r="S81" s="76">
        <f t="shared" ref="S81:X81" si="182">IF(S82&gt;=1,1,0)</f>
        <v>1</v>
      </c>
      <c r="T81" s="76">
        <f t="shared" si="182"/>
        <v>1</v>
      </c>
      <c r="U81" s="76">
        <f t="shared" si="182"/>
        <v>1</v>
      </c>
      <c r="V81" s="76">
        <f t="shared" si="182"/>
        <v>1</v>
      </c>
      <c r="W81" s="76">
        <f t="shared" si="182"/>
        <v>0</v>
      </c>
      <c r="X81" s="76">
        <f t="shared" si="182"/>
        <v>0</v>
      </c>
      <c r="Y81" s="76">
        <f t="shared" ref="Y81:Y91" si="183">SUM(R81:X81)</f>
        <v>5</v>
      </c>
      <c r="Z81" s="76">
        <f>IF(Z82&gt;=1,1,0)</f>
        <v>0</v>
      </c>
      <c r="AA81" s="76">
        <f t="shared" ref="AA81:AF81" si="184">IF(AA82&gt;=1,1,0)</f>
        <v>1</v>
      </c>
      <c r="AB81" s="76">
        <f t="shared" si="184"/>
        <v>1</v>
      </c>
      <c r="AC81" s="76">
        <f t="shared" si="184"/>
        <v>1</v>
      </c>
      <c r="AD81" s="76">
        <f t="shared" si="184"/>
        <v>1</v>
      </c>
      <c r="AE81" s="76">
        <f t="shared" si="184"/>
        <v>0</v>
      </c>
      <c r="AF81" s="76">
        <f t="shared" si="184"/>
        <v>0</v>
      </c>
      <c r="AG81" s="76">
        <f t="shared" ref="AG81:AG91" si="185">SUM(Z81:AF81)</f>
        <v>4</v>
      </c>
      <c r="AH81" s="76">
        <f>IF(AH82&gt;=1,1,0)</f>
        <v>1</v>
      </c>
      <c r="AI81" s="76">
        <f t="shared" ref="AI81:AN81" si="186">IF(AI82&gt;=1,1,0)</f>
        <v>0</v>
      </c>
      <c r="AJ81" s="76">
        <f t="shared" si="186"/>
        <v>1</v>
      </c>
      <c r="AK81" s="76">
        <f t="shared" si="186"/>
        <v>1</v>
      </c>
      <c r="AL81" s="76">
        <f t="shared" si="186"/>
        <v>1</v>
      </c>
      <c r="AM81" s="76">
        <f t="shared" si="186"/>
        <v>0</v>
      </c>
      <c r="AN81" s="76">
        <f t="shared" si="186"/>
        <v>0</v>
      </c>
      <c r="AO81" s="76">
        <f t="shared" ref="AO81:AO91" si="187">SUM(AH81:AN81)</f>
        <v>4</v>
      </c>
      <c r="AP81" s="76">
        <f>IF(AP82&gt;=1,1,0)</f>
        <v>1</v>
      </c>
      <c r="AQ81" s="76">
        <f t="shared" ref="AQ81" si="188">IF(AQ82&gt;=1,1,0)</f>
        <v>0</v>
      </c>
      <c r="AR81" s="76">
        <f t="shared" si="177"/>
        <v>1</v>
      </c>
      <c r="AS81" s="76">
        <f t="shared" ref="AS81:AS90" si="189">I81+Q81+Y81+AG81+AO81+AR81</f>
        <v>17</v>
      </c>
      <c r="AT81" s="24"/>
      <c r="AU81" s="24"/>
      <c r="AV81" s="24"/>
      <c r="AW81" s="24"/>
      <c r="AX81" s="24"/>
      <c r="AY81" s="24"/>
      <c r="AZ81" s="57"/>
    </row>
    <row r="82" spans="1:52" s="7" customFormat="1" ht="15" customHeight="1" x14ac:dyDescent="0.25">
      <c r="A82" s="37" t="s">
        <v>3</v>
      </c>
      <c r="B82" s="47"/>
      <c r="C82" s="47"/>
      <c r="D82" s="47"/>
      <c r="E82" s="47"/>
      <c r="F82" s="47"/>
      <c r="G82" s="47"/>
      <c r="H82" s="47"/>
      <c r="I82" s="76">
        <f t="shared" si="179"/>
        <v>0</v>
      </c>
      <c r="J82" s="47"/>
      <c r="K82" s="47">
        <v>8</v>
      </c>
      <c r="L82" s="47">
        <v>8</v>
      </c>
      <c r="M82" s="47"/>
      <c r="N82" s="47"/>
      <c r="O82" s="47"/>
      <c r="P82" s="47">
        <v>8</v>
      </c>
      <c r="Q82" s="76">
        <f t="shared" si="181"/>
        <v>24</v>
      </c>
      <c r="R82" s="47">
        <v>8</v>
      </c>
      <c r="S82" s="47">
        <v>8</v>
      </c>
      <c r="T82" s="47">
        <v>8</v>
      </c>
      <c r="U82" s="47">
        <v>8</v>
      </c>
      <c r="V82" s="47">
        <v>8</v>
      </c>
      <c r="W82" s="47"/>
      <c r="X82" s="47"/>
      <c r="Y82" s="76">
        <f t="shared" si="183"/>
        <v>40</v>
      </c>
      <c r="Z82" s="47"/>
      <c r="AA82" s="47">
        <v>8</v>
      </c>
      <c r="AB82" s="47">
        <v>8</v>
      </c>
      <c r="AC82" s="47">
        <v>8</v>
      </c>
      <c r="AD82" s="47">
        <v>8</v>
      </c>
      <c r="AE82" s="47"/>
      <c r="AF82" s="47"/>
      <c r="AG82" s="76">
        <f t="shared" si="185"/>
        <v>32</v>
      </c>
      <c r="AH82" s="47">
        <v>8</v>
      </c>
      <c r="AI82" s="47"/>
      <c r="AJ82" s="47">
        <v>8</v>
      </c>
      <c r="AK82" s="47">
        <v>8</v>
      </c>
      <c r="AL82" s="47">
        <v>8</v>
      </c>
      <c r="AM82" s="47"/>
      <c r="AN82" s="47"/>
      <c r="AO82" s="76">
        <f t="shared" si="187"/>
        <v>32</v>
      </c>
      <c r="AP82" s="47">
        <v>7</v>
      </c>
      <c r="AQ82" s="47"/>
      <c r="AR82" s="76">
        <f t="shared" si="177"/>
        <v>7</v>
      </c>
      <c r="AS82" s="76">
        <f t="shared" si="189"/>
        <v>135</v>
      </c>
      <c r="AT82" s="47"/>
      <c r="AU82" s="47"/>
      <c r="AV82" s="47"/>
      <c r="AW82" s="47"/>
      <c r="AX82" s="47"/>
      <c r="AY82" s="47"/>
      <c r="AZ82" s="57"/>
    </row>
    <row r="83" spans="1:52" s="7" customFormat="1" ht="15" customHeight="1" x14ac:dyDescent="0.25">
      <c r="A83" s="52" t="s">
        <v>71</v>
      </c>
      <c r="B83" s="82">
        <f>IF(B77&lt;&gt;"Dim",IF(B82&gt;32,MIN(B82,35)-32,0),0)</f>
        <v>0</v>
      </c>
      <c r="C83" s="82">
        <f>IF(C77&lt;&gt;"Dim",IF(SUM($B82:C82)&gt;32,MIN(SUM($B82:C82),35)-32-SUM($B83:B83),0),0)</f>
        <v>0</v>
      </c>
      <c r="D83" s="82">
        <f>IF(D77&lt;&gt;"Dim",IF(SUM($B82:D82)&gt;32,MIN(SUM($B82:D82),35)-32-SUM($B83:C83),0),0)</f>
        <v>0</v>
      </c>
      <c r="E83" s="82">
        <f>IF(E77&lt;&gt;"Dim",IF(SUM($B82:E82)&gt;32,MIN(SUM($B82:E82),35)-32-SUM($B83:D83),0),0)</f>
        <v>0</v>
      </c>
      <c r="F83" s="82">
        <f>IF(F77&lt;&gt;"Dim",IF(SUM($B82:F82)&gt;32,MIN(SUM($B82:F82),35)-32-SUM($B83:E83),0),0)</f>
        <v>0</v>
      </c>
      <c r="G83" s="82">
        <f>IF(G77&lt;&gt;"Dim",IF(SUM($B82:G82)&gt;32,MIN(SUM($B82:G82),35)-32-SUM($B83:F83),0),0)</f>
        <v>0</v>
      </c>
      <c r="H83" s="82">
        <f>IF(H77&lt;&gt;"Dim",IF(SUM($B82:H82)&gt;32,MIN(SUM($B82:H82),35)-32-SUM($B83:G83),0),0)</f>
        <v>0</v>
      </c>
      <c r="I83" s="76">
        <f t="shared" si="179"/>
        <v>0</v>
      </c>
      <c r="J83" s="82">
        <f>IF(J77&lt;&gt;"Dim",IF(J82&gt;32,MIN(J82,35)-32,0),0)</f>
        <v>0</v>
      </c>
      <c r="K83" s="82">
        <f>IF(K77&lt;&gt;"Dim",IF(SUM($J82:K82)&gt;32,MIN(SUM($J82:K82),35)-32-SUM($J83:J83),0),0)</f>
        <v>0</v>
      </c>
      <c r="L83" s="82">
        <f>IF(L77&lt;&gt;"Dim",IF(SUM($J82:L82)&gt;32,MIN(SUM($J82:L82),35)-32-SUM($J83:K83),0),0)</f>
        <v>0</v>
      </c>
      <c r="M83" s="82">
        <f>IF(M77&lt;&gt;"Dim",IF(SUM($J82:M82)&gt;32,MIN(SUM($J82:M82),35)-32-SUM($J83:L83),0),0)</f>
        <v>0</v>
      </c>
      <c r="N83" s="82">
        <f>IF(N77&lt;&gt;"Dim",IF(SUM($J82:N82)&gt;32,MIN(SUM($J82:N82),35)-32-SUM($J83:M83),0),0)</f>
        <v>0</v>
      </c>
      <c r="O83" s="82">
        <f>IF(O77&lt;&gt;"Dim",IF(SUM($J82:O82)&gt;32,MIN(SUM($J82:O82),35)-32-SUM($J83:N83),0),0)</f>
        <v>0</v>
      </c>
      <c r="P83" s="82">
        <f>IF(P77&lt;&gt;"Dim",IF(SUM($J82:P82)&gt;32,MIN(SUM($J82:P82),35)-32-SUM($J83:O83),0),0)</f>
        <v>0</v>
      </c>
      <c r="Q83" s="76">
        <f t="shared" si="181"/>
        <v>0</v>
      </c>
      <c r="R83" s="82">
        <f>IF(R77&lt;&gt;"Dim",IF(R82&gt;32,MIN(R82,35)-32,0),0)</f>
        <v>0</v>
      </c>
      <c r="S83" s="82">
        <f>IF(S77&lt;&gt;"Dim",IF(SUM($R82:S82)&gt;32,MIN(SUM($R82:S82),35)-32-SUM($R83:R83),0),0)</f>
        <v>0</v>
      </c>
      <c r="T83" s="82">
        <f>IF(T77&lt;&gt;"Dim",IF(SUM($R82:T82)&gt;32,MIN(SUM($R82:T82),35)-32-SUM($R83:S83),0),0)</f>
        <v>0</v>
      </c>
      <c r="U83" s="82">
        <f>IF(U77&lt;&gt;"Dim",IF(SUM($R82:U82)&gt;32,MIN(SUM($R82:U82),35)-32-SUM($R83:T83),0),0)</f>
        <v>0</v>
      </c>
      <c r="V83" s="82"/>
      <c r="W83" s="82"/>
      <c r="X83" s="82"/>
      <c r="Y83" s="76">
        <f t="shared" si="183"/>
        <v>0</v>
      </c>
      <c r="Z83" s="82">
        <f>IF(Z77&lt;&gt;"Dim",IF(Z82&gt;32,MIN(Z82,35)-32,0),0)</f>
        <v>0</v>
      </c>
      <c r="AA83" s="82">
        <f>IF(AA77&lt;&gt;"Dim",IF(SUM($Z82:AA82)&gt;32,MIN(SUM($Z82:AA82),35)-32-SUM($Z83:Z83),0),0)</f>
        <v>0</v>
      </c>
      <c r="AB83" s="82">
        <f>IF(AB77&lt;&gt;"Dim",IF(SUM($Z82:AB82)&gt;32,MIN(SUM($Z82:AB82),35)-32-SUM($Z83:AA83),0),0)</f>
        <v>0</v>
      </c>
      <c r="AC83" s="82">
        <f>IF(AC77&lt;&gt;"Dim",IF(SUM($Z82:AC82)&gt;32,MIN(SUM($Z82:AC82),35)-32-SUM($Z83:AB83),0),0)</f>
        <v>0</v>
      </c>
      <c r="AD83" s="82">
        <f>IF(AD77&lt;&gt;"Dim",IF(SUM($Z82:AD82)&gt;32,MIN(SUM($Z82:AD82),35)-32-SUM($Z83:AC83),0),0)</f>
        <v>0</v>
      </c>
      <c r="AE83" s="82">
        <f>IF(AE77&lt;&gt;"Dim",IF(SUM($Z82:AE82)&gt;32,MIN(SUM($Z82:AE82),35)-32-SUM($Z83:AD83),0),0)</f>
        <v>0</v>
      </c>
      <c r="AF83" s="82">
        <f>IF(AF77&lt;&gt;"Dim",IF(SUM($Z82:AF82)&gt;32,MIN(SUM($Z82:AF82),35)-32-SUM($Z83:AE83),0),0)</f>
        <v>0</v>
      </c>
      <c r="AG83" s="76">
        <f t="shared" si="185"/>
        <v>0</v>
      </c>
      <c r="AH83" s="82">
        <f>IF(AH77&lt;&gt;"Dim",IF(AH82&gt;32,MIN(AH82,35)-32,0),0)</f>
        <v>0</v>
      </c>
      <c r="AI83" s="82">
        <f>IF(AI77&lt;&gt;"Dim",IF(SUM($AH82:AI82)&gt;32,MIN(SUM($AH82:AI82),35)-32-SUM($AH83:AH83),0),0)</f>
        <v>0</v>
      </c>
      <c r="AJ83" s="82">
        <f>IF(AJ77&lt;&gt;"Dim",IF(SUM($AH82:AJ82)&gt;32,MIN(SUM($AH82:AJ82),35)-32-SUM($AH83:AI83),0),0)</f>
        <v>0</v>
      </c>
      <c r="AK83" s="82">
        <f>IF(AK77&lt;&gt;"Dim",IF(SUM($AH82:AK82)&gt;32,MIN(SUM($AH82:AK82),35)-32-SUM($AH83:AJ83),0),0)</f>
        <v>0</v>
      </c>
      <c r="AL83" s="82"/>
      <c r="AM83" s="82"/>
      <c r="AN83" s="82"/>
      <c r="AO83" s="76">
        <f t="shared" si="187"/>
        <v>0</v>
      </c>
      <c r="AP83" s="82">
        <f>IF(AP77&lt;&gt;"Dim",IF(AP82&gt;32,MIN(AP82,35)-32,0),0)</f>
        <v>0</v>
      </c>
      <c r="AQ83" s="82">
        <f>IF(AQ77&lt;&gt;"Dim",IF(SUM($AP82:AQ82)&gt;32,MIN(SUM($AP82:AQ82),35)-32-SUM($AP83:AP83),0),0)</f>
        <v>0</v>
      </c>
      <c r="AR83" s="76">
        <f t="shared" si="177"/>
        <v>0</v>
      </c>
      <c r="AS83" s="76">
        <f t="shared" si="189"/>
        <v>0</v>
      </c>
      <c r="AT83" s="24"/>
      <c r="AU83" s="24"/>
      <c r="AV83" s="24"/>
      <c r="AW83" s="24"/>
      <c r="AX83" s="24"/>
      <c r="AY83" s="24"/>
      <c r="AZ83" s="51"/>
    </row>
    <row r="84" spans="1:52" s="7" customFormat="1" ht="15" customHeight="1" x14ac:dyDescent="0.25">
      <c r="A84" s="37" t="s">
        <v>40</v>
      </c>
      <c r="B84" s="82">
        <f>IF(B77&lt;&gt;"Dim",IF(B82&gt;35,(MIN(B82,43)-35),0),0)</f>
        <v>0</v>
      </c>
      <c r="C84" s="82">
        <f>IF(C77&lt;&gt;"Dim",IF(SUM($B82:C82)&gt;35,(MIN(SUM($B82:C82),43)-35-SUM($B84:B84)),0),0)</f>
        <v>0</v>
      </c>
      <c r="D84" s="82">
        <f>IF(D77&lt;&gt;"Dim",IF(SUM($B82:D82)&gt;35,(MIN(SUM($B82:D82),43)-35-SUM($B84:C84)),0),0)</f>
        <v>0</v>
      </c>
      <c r="E84" s="82">
        <f>IF(E77&lt;&gt;"Dim",IF(SUM($B82:E82)&gt;35,(MIN(SUM($B82:E82),43)-35-SUM($B84:D84)),0),0)</f>
        <v>0</v>
      </c>
      <c r="F84" s="82">
        <f>IF(F77&lt;&gt;"Dim",IF(SUM($B82:F82)&gt;35,(MIN(SUM($B82:F82),43)-35-SUM($B84:E84)),0),0)</f>
        <v>0</v>
      </c>
      <c r="G84" s="82">
        <f>IF(G77&lt;&gt;"Dim",IF(SUM($B82:G82)&gt;35,(MIN(SUM($B82:G82),43)-35-SUM($B84:F84)),0),0)</f>
        <v>0</v>
      </c>
      <c r="H84" s="82">
        <f>IF(H77&lt;&gt;"Dim",IF(SUM($B82:H82)&gt;35,(MIN(SUM($B82:H82),43)-35-SUM($B84:G84)),0),0)</f>
        <v>0</v>
      </c>
      <c r="I84" s="76">
        <f t="shared" si="179"/>
        <v>0</v>
      </c>
      <c r="J84" s="82">
        <f>IF(J77&lt;&gt;"Dim",IF(J82&gt;35,(MIN(J82,43)-35),0),0)</f>
        <v>0</v>
      </c>
      <c r="K84" s="82">
        <f>IF(K77&lt;&gt;"Dim",IF(SUM($J82:K82)&gt;35,(MIN(SUM($J82:K82),43)-35-SUM($J84:J84)),0),0)</f>
        <v>0</v>
      </c>
      <c r="L84" s="82">
        <f>IF(L77&lt;&gt;"Dim",IF(SUM($J82:L82)&gt;35,(MIN(SUM($J82:L82),43)-35-SUM($J84:K84)),0),0)</f>
        <v>0</v>
      </c>
      <c r="M84" s="82">
        <f>IF(M77&lt;&gt;"Dim",IF(SUM($J82:M82)&gt;35,(MIN(SUM($J82:M82),43)-35-SUM($J84:L84)),0),0)</f>
        <v>0</v>
      </c>
      <c r="N84" s="82">
        <f>IF(N77&lt;&gt;"Dim",IF(SUM($J82:N82)&gt;35,(MIN(SUM($J82:N82),43)-35-SUM($J84:M84)),0),0)</f>
        <v>0</v>
      </c>
      <c r="O84" s="82">
        <f>IF(O77&lt;&gt;"Dim",IF(SUM($J82:O82)&gt;35,(MIN(SUM($J82:O82),43)-35-SUM($J84:N84)),0),0)</f>
        <v>0</v>
      </c>
      <c r="P84" s="82">
        <f>IF(P77&lt;&gt;"Dim",IF(SUM($J82:P82)&gt;35,(MIN(SUM($J82:P82),43)-35-SUM($J84:O84)),0),0)</f>
        <v>0</v>
      </c>
      <c r="Q84" s="76">
        <f t="shared" si="181"/>
        <v>0</v>
      </c>
      <c r="R84" s="82">
        <f>IF(R77&lt;&gt;"Dim",IF(R82&gt;35,(MIN(R82,43)-35),0),0)</f>
        <v>0</v>
      </c>
      <c r="S84" s="82">
        <f>IF(S77&lt;&gt;"Dim",IF(SUM($R82:S82)&gt;35,(MIN(SUM($R82:S82),43)-35-SUM($R84:R84)),0),0)</f>
        <v>0</v>
      </c>
      <c r="T84" s="82">
        <f>IF(T77&lt;&gt;"Dim",IF(SUM($R82:T82)&gt;35,(MIN(SUM($R82:T82),43)-35-SUM($R84:S84)),0),0)</f>
        <v>0</v>
      </c>
      <c r="U84" s="82">
        <f>IF(U77&lt;&gt;"Dim",IF(SUM($R82:U82)&gt;35,(MIN(SUM($R82:U82),43)-35-SUM($R84:T84)),0),0)</f>
        <v>0</v>
      </c>
      <c r="V84" s="82"/>
      <c r="W84" s="82"/>
      <c r="X84" s="82"/>
      <c r="Y84" s="76">
        <f t="shared" si="183"/>
        <v>0</v>
      </c>
      <c r="Z84" s="82">
        <f>IF(Z77&lt;&gt;"Dim",IF(Z82&gt;35,(MIN(Z82,43)-35),0),0)</f>
        <v>0</v>
      </c>
      <c r="AA84" s="82">
        <f>IF(AA77&lt;&gt;"Dim",IF(SUM($Z82:AA82)&gt;35,(MIN(SUM($Z82:AA82),43)-35-SUM($Z84:Z84)),0),0)</f>
        <v>0</v>
      </c>
      <c r="AB84" s="82">
        <f>IF(AB77&lt;&gt;"Dim",IF(SUM($Z82:AB82)&gt;35,(MIN(SUM($Z82:AB82),43)-35-SUM($Z84:AA84)),0),0)</f>
        <v>0</v>
      </c>
      <c r="AC84" s="82">
        <f>IF(AC77&lt;&gt;"Dim",IF(SUM($Z82:AC82)&gt;35,(MIN(SUM($Z82:AC82),43)-35-SUM($Z84:AB84)),0),0)</f>
        <v>0</v>
      </c>
      <c r="AD84" s="82">
        <f>IF(AD77&lt;&gt;"Dim",IF(SUM($Z82:AD82)&gt;35,(MIN(SUM($Z82:AD82),43)-35-SUM($Z84:AC84)),0),0)</f>
        <v>0</v>
      </c>
      <c r="AE84" s="82">
        <f>IF(AE77&lt;&gt;"Dim",IF(SUM($Z82:AE82)&gt;35,(MIN(SUM($Z82:AE82),43)-35-SUM($Z84:AD84)),0),0)</f>
        <v>0</v>
      </c>
      <c r="AF84" s="82">
        <f>IF(AF77&lt;&gt;"Dim",IF(SUM($Z82:AF82)&gt;35,(MIN(SUM($Z82:AF82),43)-35-SUM($Z84:AE84)),0),0)</f>
        <v>0</v>
      </c>
      <c r="AG84" s="76">
        <f t="shared" si="185"/>
        <v>0</v>
      </c>
      <c r="AH84" s="82">
        <f>IF(AH77&lt;&gt;"Dim",IF(AH82&gt;35,(MIN(AH82,43)-35),0),0)</f>
        <v>0</v>
      </c>
      <c r="AI84" s="82">
        <f>IF(AI77&lt;&gt;"Dim",IF(SUM($AH82:AI82)&gt;35,(MIN(SUM($AH82:AI82),43)-35-SUM($AH84:AH84)),0),0)</f>
        <v>0</v>
      </c>
      <c r="AJ84" s="82">
        <f>IF(AJ77&lt;&gt;"Dim",IF(SUM($AH82:AJ82)&gt;35,(MIN(SUM($AH82:AJ82),43)-35-SUM($AH84:AI84)),0),0)</f>
        <v>0</v>
      </c>
      <c r="AK84" s="82">
        <f>IF(AK77&lt;&gt;"Dim",IF(SUM($AH82:AK82)&gt;35,(MIN(SUM($AH82:AK82),43)-35-SUM($AH84:AJ84)),0),0)</f>
        <v>0</v>
      </c>
      <c r="AL84" s="82"/>
      <c r="AM84" s="82"/>
      <c r="AN84" s="82"/>
      <c r="AO84" s="76">
        <f t="shared" si="187"/>
        <v>0</v>
      </c>
      <c r="AP84" s="82">
        <f>IF(AP77&lt;&gt;"Dim",IF(AP82&gt;35,(MIN(AP82,43)-35),0),0)</f>
        <v>0</v>
      </c>
      <c r="AQ84" s="82">
        <f>IF(AQ77&lt;&gt;"Dim",IF(SUM($AP82:AQ82)&gt;35,(MIN(SUM($AP82:AQ82),43)-35-SUM($AP84:AP84)),0),0)</f>
        <v>0</v>
      </c>
      <c r="AR84" s="76">
        <f t="shared" si="177"/>
        <v>0</v>
      </c>
      <c r="AS84" s="76">
        <f t="shared" si="189"/>
        <v>0</v>
      </c>
      <c r="AT84" s="24"/>
      <c r="AU84" s="24"/>
      <c r="AV84" s="24"/>
      <c r="AW84" s="24"/>
      <c r="AX84" s="24"/>
      <c r="AY84" s="24"/>
      <c r="AZ84" s="51"/>
    </row>
    <row r="85" spans="1:52" s="7" customFormat="1" ht="15" customHeight="1" x14ac:dyDescent="0.25">
      <c r="A85" s="37" t="s">
        <v>39</v>
      </c>
      <c r="B85" s="82">
        <f>IF(B77&lt;&gt;"Dim",IF(B82&gt;43,(MIN(B82,48)-43),0),0)</f>
        <v>0</v>
      </c>
      <c r="C85" s="82">
        <f>IF(C77&lt;&gt;"Dim",IF(SUM($B82:C82)&gt;43,(MIN(SUM($B82:C82),48)-43-SUM($B85:B85)),0),0)</f>
        <v>0</v>
      </c>
      <c r="D85" s="82">
        <f>IF(D77&lt;&gt;"Dim",IF(SUM($B82:D82)&gt;43,(MIN(SUM($B82:D82),48)-43-SUM($B85:C85)),0),0)</f>
        <v>0</v>
      </c>
      <c r="E85" s="82">
        <f>IF(E77&lt;&gt;"Dim",IF(SUM($B82:E82)&gt;43,(MIN(SUM($B82:E82),48)-43-SUM($B85:D85)),0),0)</f>
        <v>0</v>
      </c>
      <c r="F85" s="82">
        <f>IF(F77&lt;&gt;"Dim",IF(SUM($B82:F82)&gt;43,(MIN(SUM($B82:F82),48)-43-SUM($B85:E85)),0),0)</f>
        <v>0</v>
      </c>
      <c r="G85" s="82">
        <f>IF(G77&lt;&gt;"Dim",IF(SUM($B82:G82)&gt;43,(MIN(SUM($B82:G82),48)-43-SUM($B85:F85)),0),0)</f>
        <v>0</v>
      </c>
      <c r="H85" s="82">
        <f>IF(H77&lt;&gt;"Dim",IF(SUM($B82:H82)&gt;43,(MIN(SUM($B82:H82),48)-43-SUM($B85:G85)),0),0)</f>
        <v>0</v>
      </c>
      <c r="I85" s="76">
        <f t="shared" si="179"/>
        <v>0</v>
      </c>
      <c r="J85" s="82">
        <f>IF(J77&lt;&gt;"Dim",IF(J82&gt;43,(MIN(J82,48)-43),0),0)</f>
        <v>0</v>
      </c>
      <c r="K85" s="82">
        <f>IF(K77&lt;&gt;"Dim",IF(SUM($J82:K82)&gt;43,(MIN(SUM($J82:K82),48)-43-SUM($J85:J85)),0),0)</f>
        <v>0</v>
      </c>
      <c r="L85" s="82">
        <f>IF(L77&lt;&gt;"Dim",IF(SUM($J82:L82)&gt;43,(MIN(SUM($J82:L82),48)-43-SUM($J85:K85)),0),0)</f>
        <v>0</v>
      </c>
      <c r="M85" s="82">
        <f>IF(M77&lt;&gt;"Dim",IF(SUM($J82:M82)&gt;43,(MIN(SUM($J82:M82),48)-43-SUM($J85:L85)),0),0)</f>
        <v>0</v>
      </c>
      <c r="N85" s="82">
        <f>IF(N77&lt;&gt;"Dim",IF(SUM($J82:N82)&gt;43,(MIN(SUM($J82:N82),48)-43-SUM($J85:M85)),0),0)</f>
        <v>0</v>
      </c>
      <c r="O85" s="82">
        <f>IF(O77&lt;&gt;"Dim",IF(SUM($J82:O82)&gt;43,(MIN(SUM($J82:O82),48)-43-SUM($J85:N85)),0),0)</f>
        <v>0</v>
      </c>
      <c r="P85" s="82">
        <f>IF(P77&lt;&gt;"Dim",IF(SUM($J82:P82)&gt;43,(MIN(SUM($J82:P82),48)-43-SUM($J85:O85)),0),0)</f>
        <v>0</v>
      </c>
      <c r="Q85" s="76">
        <f t="shared" si="181"/>
        <v>0</v>
      </c>
      <c r="R85" s="82">
        <f>IF(R77&lt;&gt;"Dim",IF(R82&gt;43,(MIN(R82,48)-43),0),0)</f>
        <v>0</v>
      </c>
      <c r="S85" s="82">
        <f>IF(S77&lt;&gt;"Dim",IF(SUM($R82:S82)&gt;43,(MIN(SUM($R82:S82),48)-43-SUM($R85:R85)),0),0)</f>
        <v>0</v>
      </c>
      <c r="T85" s="82">
        <f>IF(T77&lt;&gt;"Dim",IF(SUM($R82:T82)&gt;43,(MIN(SUM($R82:T82),48)-43-SUM($R85:S85)),0),0)</f>
        <v>0</v>
      </c>
      <c r="U85" s="82">
        <f>IF(U77&lt;&gt;"Dim",IF(SUM($R82:U82)&gt;43,(MIN(SUM($R82:U82),48)-43-SUM($R85:T85)),0),0)</f>
        <v>0</v>
      </c>
      <c r="V85" s="82">
        <f>IF(V77&lt;&gt;"Dim",IF(SUM($R82:V82)&gt;43,(MIN(SUM($R82:V82),48)-43-SUM($R85:U85)),0),0)</f>
        <v>0</v>
      </c>
      <c r="W85" s="82">
        <f>IF(W77&lt;&gt;"Dim",IF(SUM($R82:W82)&gt;43,(MIN(SUM($R82:W82),48)-43-SUM($R85:V85)),0),0)</f>
        <v>0</v>
      </c>
      <c r="X85" s="82">
        <f>IF(X77&lt;&gt;"Dim",IF(SUM($R82:X82)&gt;43,(MIN(SUM($R82:X82),48)-43-SUM($R85:W85)),0),0)</f>
        <v>0</v>
      </c>
      <c r="Y85" s="76">
        <f t="shared" si="183"/>
        <v>0</v>
      </c>
      <c r="Z85" s="82">
        <f>IF(Z77&lt;&gt;"Dim",IF(Z82&gt;43,(MIN(Z82,48)-43),0),0)</f>
        <v>0</v>
      </c>
      <c r="AA85" s="82">
        <f>IF(AA77&lt;&gt;"Dim",IF(SUM($Z82:AA82)&gt;43,(MIN(SUM($Z82:AA82),48)-43-SUM($Z85:Z85)),0),0)</f>
        <v>0</v>
      </c>
      <c r="AB85" s="82">
        <f>IF(AB77&lt;&gt;"Dim",IF(SUM($Z82:AB82)&gt;43,(MIN(SUM($Z82:AB82),48)-43-SUM($Z85:AA85)),0),0)</f>
        <v>0</v>
      </c>
      <c r="AC85" s="82">
        <f>IF(AC77&lt;&gt;"Dim",IF(SUM($Z82:AC82)&gt;43,(MIN(SUM($Z82:AC82),48)-43-SUM($Z85:AB85)),0),0)</f>
        <v>0</v>
      </c>
      <c r="AD85" s="82">
        <f>IF(AD77&lt;&gt;"Dim",IF(SUM($Z82:AD82)&gt;43,(MIN(SUM($Z82:AD82),48)-43-SUM($Z85:AC85)),0),0)</f>
        <v>0</v>
      </c>
      <c r="AE85" s="82">
        <f>IF(AE77&lt;&gt;"Dim",IF(SUM($Z82:AE82)&gt;43,(MIN(SUM($Z82:AE82),48)-43-SUM($Z85:AD85)),0),0)</f>
        <v>0</v>
      </c>
      <c r="AF85" s="82">
        <f>IF(AF77&lt;&gt;"Dim",IF(SUM($Z82:AF82)&gt;43,(MIN(SUM($Z82:AF82),48)-43-SUM($Z85:AE85)),0),0)</f>
        <v>0</v>
      </c>
      <c r="AG85" s="76">
        <f t="shared" si="185"/>
        <v>0</v>
      </c>
      <c r="AH85" s="82">
        <f>IF(AH77&lt;&gt;"Dim",IF(AH82&gt;43,(MIN(AH82,48)-43),0),0)</f>
        <v>0</v>
      </c>
      <c r="AI85" s="82">
        <f>IF(AI77&lt;&gt;"Dim",IF(SUM($AH82:AI82)&gt;43,(MIN(SUM($AH82:AI82),48)-43-SUM($AH85:AH85)),0),0)</f>
        <v>0</v>
      </c>
      <c r="AJ85" s="82">
        <f>IF(AJ77&lt;&gt;"Dim",IF(SUM($AH82:AJ82)&gt;43,(MIN(SUM($AH82:AJ82),48)-43-SUM($AH85:AI85)),0),0)</f>
        <v>0</v>
      </c>
      <c r="AK85" s="82">
        <f>IF(AK77&lt;&gt;"Dim",IF(SUM($AH82:AK82)&gt;43,(MIN(SUM($AH82:AK82),48)-43-SUM($AH85:AJ85)),0),0)</f>
        <v>0</v>
      </c>
      <c r="AL85" s="82">
        <f>IF(AL77&lt;&gt;"Dim",IF(SUM($AH82:AL82)&gt;43,(MIN(SUM($AH82:AL82),48)-43-SUM($AH85:AK85)),0),0)</f>
        <v>0</v>
      </c>
      <c r="AM85" s="82">
        <f>IF(AM77&lt;&gt;"Dim",IF(SUM($AH82:AM82)&gt;43,(MIN(SUM($AH82:AM82),48)-43-SUM($AH85:AL85)),0),0)</f>
        <v>0</v>
      </c>
      <c r="AN85" s="82">
        <f>IF(AN77&lt;&gt;"Dim",IF(SUM($AH82:AN82)&gt;43,(MIN(SUM($AH82:AN82),48)-43-SUM($AH85:AM85)),0),0)</f>
        <v>0</v>
      </c>
      <c r="AO85" s="76">
        <f t="shared" si="187"/>
        <v>0</v>
      </c>
      <c r="AP85" s="82">
        <f>IF(AP77&lt;&gt;"Dim",IF(AP82&gt;43,(MIN(AP82,48)-43),0),0)</f>
        <v>0</v>
      </c>
      <c r="AQ85" s="82">
        <f>IF(AQ77&lt;&gt;"Dim",IF(SUM($AP82:AQ82)&gt;43,(MIN(SUM($AP82:AQ82),48)-43-SUM($AP85:AP85)),0),0)</f>
        <v>0</v>
      </c>
      <c r="AR85" s="76">
        <f t="shared" si="177"/>
        <v>0</v>
      </c>
      <c r="AS85" s="76">
        <f t="shared" si="189"/>
        <v>0</v>
      </c>
      <c r="AT85" s="24"/>
      <c r="AU85" s="24"/>
      <c r="AV85" s="24"/>
      <c r="AW85" s="24"/>
      <c r="AX85" s="24"/>
      <c r="AY85" s="24"/>
      <c r="AZ85" s="51"/>
    </row>
    <row r="86" spans="1:52" s="7" customFormat="1" ht="15" customHeight="1" x14ac:dyDescent="0.25">
      <c r="A86" s="37" t="s">
        <v>41</v>
      </c>
      <c r="B86" s="82">
        <f>IF(B77="Dim",B82,IF(B92="ferie",B82,0))</f>
        <v>0</v>
      </c>
      <c r="C86" s="82">
        <f t="shared" ref="C86:H86" si="190">IF(C77="Dim",C82,IF(C92="ferie",C82,0))</f>
        <v>0</v>
      </c>
      <c r="D86" s="82">
        <f t="shared" si="190"/>
        <v>0</v>
      </c>
      <c r="E86" s="82">
        <f t="shared" si="190"/>
        <v>0</v>
      </c>
      <c r="F86" s="82">
        <f t="shared" si="190"/>
        <v>0</v>
      </c>
      <c r="G86" s="82">
        <f t="shared" si="190"/>
        <v>0</v>
      </c>
      <c r="H86" s="82">
        <f t="shared" si="190"/>
        <v>0</v>
      </c>
      <c r="I86" s="76">
        <f t="shared" si="179"/>
        <v>0</v>
      </c>
      <c r="J86" s="82">
        <f>IF(J77="Dim",J82,IF(J92="ferie",J82,0))</f>
        <v>0</v>
      </c>
      <c r="K86" s="82">
        <f t="shared" ref="K86:P86" si="191">IF(K77="Dim",K82,IF(K92="ferie",K82,0))</f>
        <v>0</v>
      </c>
      <c r="L86" s="82">
        <f t="shared" si="191"/>
        <v>0</v>
      </c>
      <c r="M86" s="82">
        <f t="shared" si="191"/>
        <v>0</v>
      </c>
      <c r="N86" s="82">
        <f t="shared" si="191"/>
        <v>0</v>
      </c>
      <c r="O86" s="82">
        <f>IF(O77="Dim",O82,IF(O92="ferie",O82,0))</f>
        <v>0</v>
      </c>
      <c r="P86" s="82">
        <f t="shared" si="191"/>
        <v>8</v>
      </c>
      <c r="Q86" s="76">
        <f t="shared" si="181"/>
        <v>8</v>
      </c>
      <c r="R86" s="82">
        <f>IF(R77="Dim",R82,IF(R92="ferie",R82,0))</f>
        <v>0</v>
      </c>
      <c r="S86" s="82">
        <f t="shared" ref="S86:X86" si="192">IF(S77="Dim",S82,IF(S92="ferie",S82,0))</f>
        <v>0</v>
      </c>
      <c r="T86" s="82">
        <f t="shared" si="192"/>
        <v>0</v>
      </c>
      <c r="U86" s="82">
        <f t="shared" si="192"/>
        <v>0</v>
      </c>
      <c r="V86" s="82">
        <f t="shared" si="192"/>
        <v>0</v>
      </c>
      <c r="W86" s="82">
        <f t="shared" si="192"/>
        <v>0</v>
      </c>
      <c r="X86" s="82">
        <f t="shared" si="192"/>
        <v>0</v>
      </c>
      <c r="Y86" s="76">
        <f t="shared" si="183"/>
        <v>0</v>
      </c>
      <c r="Z86" s="82">
        <f>IF(Z77="Dim",Z82,IF(Z92="ferie",Z82,0))</f>
        <v>0</v>
      </c>
      <c r="AA86" s="82">
        <f t="shared" ref="AA86:AF86" si="193">IF(AA77="Dim",AA82,IF(AA92="ferie",AA82,0))</f>
        <v>0</v>
      </c>
      <c r="AB86" s="82">
        <f t="shared" si="193"/>
        <v>0</v>
      </c>
      <c r="AC86" s="82">
        <f t="shared" si="193"/>
        <v>0</v>
      </c>
      <c r="AD86" s="82">
        <f t="shared" si="193"/>
        <v>0</v>
      </c>
      <c r="AE86" s="82">
        <f t="shared" si="193"/>
        <v>0</v>
      </c>
      <c r="AF86" s="82">
        <f t="shared" si="193"/>
        <v>0</v>
      </c>
      <c r="AG86" s="76">
        <f t="shared" si="185"/>
        <v>0</v>
      </c>
      <c r="AH86" s="82">
        <f>IF(AH77="Dim",AH82,IF(AH92="ferie",AH82,0))</f>
        <v>0</v>
      </c>
      <c r="AI86" s="82">
        <f t="shared" ref="AI86:AQ86" si="194">IF(AI77="Dim",AI82,IF(AI92="ferie",AI82,0))</f>
        <v>0</v>
      </c>
      <c r="AJ86" s="82">
        <f t="shared" si="194"/>
        <v>0</v>
      </c>
      <c r="AK86" s="82">
        <f t="shared" si="194"/>
        <v>0</v>
      </c>
      <c r="AL86" s="82">
        <f t="shared" si="194"/>
        <v>0</v>
      </c>
      <c r="AM86" s="82">
        <f t="shared" si="194"/>
        <v>0</v>
      </c>
      <c r="AN86" s="82">
        <f t="shared" si="194"/>
        <v>0</v>
      </c>
      <c r="AO86" s="76">
        <f>SUM(AH86:AN86)</f>
        <v>0</v>
      </c>
      <c r="AP86" s="82">
        <f>IF(AP77="Dim",AP82,IF(AP92="ferie",AP82,0))</f>
        <v>0</v>
      </c>
      <c r="AQ86" s="82">
        <f t="shared" si="194"/>
        <v>0</v>
      </c>
      <c r="AR86" s="76">
        <f t="shared" si="177"/>
        <v>0</v>
      </c>
      <c r="AS86" s="76">
        <f t="shared" si="189"/>
        <v>8</v>
      </c>
      <c r="AT86" s="24"/>
      <c r="AU86" s="24"/>
      <c r="AV86" s="24"/>
      <c r="AW86" s="24"/>
      <c r="AX86" s="24"/>
      <c r="AY86" s="24"/>
      <c r="AZ86" s="51"/>
    </row>
    <row r="87" spans="1:52" s="7" customFormat="1" ht="15" customHeight="1" x14ac:dyDescent="0.25">
      <c r="A87" s="37" t="s">
        <v>59</v>
      </c>
      <c r="B87" s="47"/>
      <c r="C87" s="47"/>
      <c r="D87" s="47"/>
      <c r="E87" s="47"/>
      <c r="F87" s="47"/>
      <c r="G87" s="47"/>
      <c r="H87" s="47"/>
      <c r="I87" s="76">
        <f t="shared" si="179"/>
        <v>0</v>
      </c>
      <c r="J87" s="47"/>
      <c r="K87" s="47"/>
      <c r="L87" s="47"/>
      <c r="M87" s="47"/>
      <c r="N87" s="47"/>
      <c r="O87" s="47"/>
      <c r="P87" s="47"/>
      <c r="Q87" s="76">
        <f t="shared" si="181"/>
        <v>0</v>
      </c>
      <c r="R87" s="47"/>
      <c r="S87" s="47"/>
      <c r="T87" s="47"/>
      <c r="U87" s="47"/>
      <c r="V87" s="47"/>
      <c r="W87" s="47"/>
      <c r="X87" s="47"/>
      <c r="Y87" s="76">
        <f t="shared" si="183"/>
        <v>0</v>
      </c>
      <c r="Z87" s="47"/>
      <c r="AA87" s="47"/>
      <c r="AB87" s="47"/>
      <c r="AC87" s="47"/>
      <c r="AD87" s="47"/>
      <c r="AE87" s="47"/>
      <c r="AF87" s="47"/>
      <c r="AG87" s="76">
        <f t="shared" si="185"/>
        <v>0</v>
      </c>
      <c r="AH87" s="47"/>
      <c r="AI87" s="47"/>
      <c r="AJ87" s="47"/>
      <c r="AK87" s="47"/>
      <c r="AL87" s="47"/>
      <c r="AM87" s="47"/>
      <c r="AN87" s="47"/>
      <c r="AO87" s="76">
        <f t="shared" si="187"/>
        <v>0</v>
      </c>
      <c r="AP87" s="47"/>
      <c r="AQ87" s="47"/>
      <c r="AR87" s="76">
        <f t="shared" si="177"/>
        <v>0</v>
      </c>
      <c r="AS87" s="76">
        <f t="shared" si="189"/>
        <v>0</v>
      </c>
      <c r="AT87" s="24"/>
      <c r="AU87" s="24"/>
      <c r="AV87" s="24"/>
      <c r="AW87" s="24"/>
      <c r="AX87" s="24"/>
      <c r="AY87" s="24"/>
      <c r="AZ87" s="51"/>
    </row>
    <row r="88" spans="1:52" s="8" customFormat="1" ht="15" customHeight="1" x14ac:dyDescent="0.25">
      <c r="A88" s="52" t="s">
        <v>60</v>
      </c>
      <c r="B88" s="47"/>
      <c r="C88" s="47"/>
      <c r="D88" s="47"/>
      <c r="E88" s="47"/>
      <c r="F88" s="47"/>
      <c r="G88" s="47"/>
      <c r="H88" s="47"/>
      <c r="I88" s="76">
        <f t="shared" si="179"/>
        <v>0</v>
      </c>
      <c r="J88" s="47"/>
      <c r="K88" s="47"/>
      <c r="L88" s="47"/>
      <c r="M88" s="47"/>
      <c r="N88" s="47"/>
      <c r="O88" s="47"/>
      <c r="P88" s="47"/>
      <c r="Q88" s="76">
        <f t="shared" si="181"/>
        <v>0</v>
      </c>
      <c r="R88" s="47"/>
      <c r="S88" s="47"/>
      <c r="T88" s="47"/>
      <c r="U88" s="47"/>
      <c r="V88" s="47"/>
      <c r="W88" s="47"/>
      <c r="X88" s="47"/>
      <c r="Y88" s="76">
        <f t="shared" si="183"/>
        <v>0</v>
      </c>
      <c r="Z88" s="47"/>
      <c r="AA88" s="47"/>
      <c r="AB88" s="47"/>
      <c r="AC88" s="47"/>
      <c r="AD88" s="47"/>
      <c r="AE88" s="47"/>
      <c r="AF88" s="47"/>
      <c r="AG88" s="76">
        <f t="shared" si="185"/>
        <v>0</v>
      </c>
      <c r="AH88" s="47"/>
      <c r="AI88" s="47"/>
      <c r="AJ88" s="47"/>
      <c r="AK88" s="47"/>
      <c r="AL88" s="47"/>
      <c r="AM88" s="47"/>
      <c r="AN88" s="47"/>
      <c r="AO88" s="76">
        <f t="shared" si="187"/>
        <v>0</v>
      </c>
      <c r="AP88" s="47"/>
      <c r="AQ88" s="47"/>
      <c r="AR88" s="76">
        <f t="shared" ref="AR88:AR90" si="195">SUM(AP88:AQ88)</f>
        <v>0</v>
      </c>
      <c r="AS88" s="76">
        <f t="shared" si="189"/>
        <v>0</v>
      </c>
      <c r="AT88" s="68"/>
      <c r="AU88" s="68"/>
      <c r="AV88" s="68"/>
      <c r="AW88" s="68"/>
      <c r="AX88" s="68"/>
      <c r="AY88" s="68"/>
      <c r="AZ88" s="51"/>
    </row>
    <row r="89" spans="1:52" s="8" customFormat="1" ht="15" customHeight="1" x14ac:dyDescent="0.25">
      <c r="A89" s="37" t="s">
        <v>62</v>
      </c>
      <c r="B89" s="47"/>
      <c r="C89" s="47"/>
      <c r="D89" s="47"/>
      <c r="E89" s="47"/>
      <c r="F89" s="47"/>
      <c r="G89" s="47"/>
      <c r="H89" s="47"/>
      <c r="I89" s="76">
        <f t="shared" si="179"/>
        <v>0</v>
      </c>
      <c r="J89" s="47"/>
      <c r="K89" s="47"/>
      <c r="L89" s="47"/>
      <c r="M89" s="47"/>
      <c r="N89" s="47"/>
      <c r="O89" s="47"/>
      <c r="P89" s="47"/>
      <c r="Q89" s="76">
        <f t="shared" si="181"/>
        <v>0</v>
      </c>
      <c r="R89" s="47"/>
      <c r="S89" s="47"/>
      <c r="T89" s="47"/>
      <c r="U89" s="47"/>
      <c r="V89" s="47"/>
      <c r="W89" s="47"/>
      <c r="X89" s="47"/>
      <c r="Y89" s="76">
        <f t="shared" si="183"/>
        <v>0</v>
      </c>
      <c r="Z89" s="47"/>
      <c r="AA89" s="47"/>
      <c r="AB89" s="47"/>
      <c r="AC89" s="47"/>
      <c r="AD89" s="47"/>
      <c r="AE89" s="47"/>
      <c r="AF89" s="47"/>
      <c r="AG89" s="76">
        <f t="shared" si="185"/>
        <v>0</v>
      </c>
      <c r="AH89" s="47"/>
      <c r="AI89" s="47"/>
      <c r="AJ89" s="47"/>
      <c r="AK89" s="47"/>
      <c r="AL89" s="47"/>
      <c r="AM89" s="47"/>
      <c r="AN89" s="47"/>
      <c r="AO89" s="76">
        <f t="shared" si="187"/>
        <v>0</v>
      </c>
      <c r="AP89" s="47"/>
      <c r="AQ89" s="47"/>
      <c r="AR89" s="76">
        <f t="shared" si="195"/>
        <v>0</v>
      </c>
      <c r="AS89" s="76">
        <f t="shared" si="189"/>
        <v>0</v>
      </c>
      <c r="AT89" s="68"/>
      <c r="AU89" s="68"/>
      <c r="AV89" s="68"/>
      <c r="AW89" s="68"/>
      <c r="AX89" s="68"/>
      <c r="AY89" s="68"/>
      <c r="AZ89" s="51"/>
    </row>
    <row r="90" spans="1:52" s="8" customFormat="1" ht="15" customHeight="1" x14ac:dyDescent="0.25">
      <c r="A90" s="52" t="s">
        <v>61</v>
      </c>
      <c r="B90" s="47"/>
      <c r="C90" s="47"/>
      <c r="D90" s="47"/>
      <c r="E90" s="47"/>
      <c r="F90" s="47"/>
      <c r="G90" s="47"/>
      <c r="H90" s="47"/>
      <c r="I90" s="76">
        <f t="shared" si="179"/>
        <v>0</v>
      </c>
      <c r="J90" s="47">
        <v>8</v>
      </c>
      <c r="K90" s="47"/>
      <c r="L90" s="47"/>
      <c r="M90" s="47"/>
      <c r="N90" s="47"/>
      <c r="O90" s="47"/>
      <c r="P90" s="47"/>
      <c r="Q90" s="76">
        <f t="shared" si="181"/>
        <v>8</v>
      </c>
      <c r="R90" s="47"/>
      <c r="S90" s="47"/>
      <c r="T90" s="47"/>
      <c r="U90" s="47"/>
      <c r="V90" s="47"/>
      <c r="W90" s="47"/>
      <c r="X90" s="47"/>
      <c r="Y90" s="76">
        <f t="shared" si="183"/>
        <v>0</v>
      </c>
      <c r="Z90" s="47"/>
      <c r="AA90" s="47"/>
      <c r="AB90" s="47"/>
      <c r="AC90" s="47"/>
      <c r="AD90" s="47"/>
      <c r="AE90" s="47"/>
      <c r="AF90" s="47"/>
      <c r="AG90" s="76">
        <f t="shared" si="185"/>
        <v>0</v>
      </c>
      <c r="AH90" s="47"/>
      <c r="AI90" s="47">
        <v>8</v>
      </c>
      <c r="AJ90" s="47"/>
      <c r="AK90" s="47"/>
      <c r="AL90" s="47"/>
      <c r="AM90" s="47"/>
      <c r="AN90" s="47"/>
      <c r="AO90" s="76">
        <f t="shared" si="187"/>
        <v>8</v>
      </c>
      <c r="AP90" s="47"/>
      <c r="AQ90" s="47"/>
      <c r="AR90" s="76">
        <f t="shared" si="195"/>
        <v>0</v>
      </c>
      <c r="AS90" s="76">
        <f t="shared" si="189"/>
        <v>16</v>
      </c>
      <c r="AT90" s="68"/>
      <c r="AU90" s="68"/>
      <c r="AV90" s="68"/>
      <c r="AW90" s="68"/>
      <c r="AX90" s="68"/>
      <c r="AY90" s="68"/>
      <c r="AZ90" s="51"/>
    </row>
    <row r="91" spans="1:52" s="49" customFormat="1" ht="15" customHeight="1" x14ac:dyDescent="0.25">
      <c r="A91" s="52" t="s">
        <v>95</v>
      </c>
      <c r="B91" s="76">
        <f>IF(B79="nuit",B82*0.02,0)</f>
        <v>0</v>
      </c>
      <c r="C91" s="76">
        <f>IF(C79="nuit",C82*0.02,0)</f>
        <v>0</v>
      </c>
      <c r="D91" s="76">
        <f t="shared" ref="D91:H91" si="196">IF(D79="nuit",D82*0.02,0)</f>
        <v>0</v>
      </c>
      <c r="E91" s="76">
        <f t="shared" si="196"/>
        <v>0</v>
      </c>
      <c r="F91" s="76">
        <f>IF(F79="nuit",F82*0.02,0)</f>
        <v>0</v>
      </c>
      <c r="G91" s="76">
        <f t="shared" si="196"/>
        <v>0</v>
      </c>
      <c r="H91" s="76">
        <f t="shared" si="196"/>
        <v>0</v>
      </c>
      <c r="I91" s="76">
        <f t="shared" si="179"/>
        <v>0</v>
      </c>
      <c r="J91" s="76">
        <f>IF(J79="nuit",J82*0.02,0)</f>
        <v>0</v>
      </c>
      <c r="K91" s="76">
        <f>IF(K79="nuit",K82*0.02,0)</f>
        <v>0</v>
      </c>
      <c r="L91" s="76">
        <f t="shared" ref="L91:P91" si="197">IF(L79="nuit",L82*0.02,0)</f>
        <v>0</v>
      </c>
      <c r="M91" s="76">
        <f t="shared" si="197"/>
        <v>0</v>
      </c>
      <c r="N91" s="76">
        <f>IF(N79="nuit",N82*0.02,0)</f>
        <v>0</v>
      </c>
      <c r="O91" s="76">
        <f t="shared" si="197"/>
        <v>0</v>
      </c>
      <c r="P91" s="76">
        <f t="shared" si="197"/>
        <v>0.16</v>
      </c>
      <c r="Q91" s="76">
        <f t="shared" si="181"/>
        <v>0.16</v>
      </c>
      <c r="R91" s="76">
        <f>IF(R79="nuit",R82*0.02,0)</f>
        <v>0.16</v>
      </c>
      <c r="S91" s="76">
        <f>IF(S79="nuit",S82*0.02,0)</f>
        <v>0.16</v>
      </c>
      <c r="T91" s="76">
        <f t="shared" ref="T91:X91" si="198">IF(T79="nuit",T82*0.02,0)</f>
        <v>0.16</v>
      </c>
      <c r="U91" s="76">
        <f t="shared" si="198"/>
        <v>0.16</v>
      </c>
      <c r="V91" s="76">
        <f>IF(V79="nuit",V82*0.02,0)</f>
        <v>0.16</v>
      </c>
      <c r="W91" s="76">
        <f t="shared" si="198"/>
        <v>0</v>
      </c>
      <c r="X91" s="76">
        <f t="shared" si="198"/>
        <v>0</v>
      </c>
      <c r="Y91" s="76">
        <f t="shared" si="183"/>
        <v>0.8</v>
      </c>
      <c r="Z91" s="76">
        <f>IF(Z79="nuit",Z82*0.02,0)</f>
        <v>0</v>
      </c>
      <c r="AA91" s="76">
        <f>IF(AA79="nuit",AA82*0.02,0)</f>
        <v>0</v>
      </c>
      <c r="AB91" s="76">
        <f t="shared" ref="AB91:AF91" si="199">IF(AB79="nuit",AB82*0.02,0)</f>
        <v>0</v>
      </c>
      <c r="AC91" s="76">
        <f t="shared" si="199"/>
        <v>0</v>
      </c>
      <c r="AD91" s="76">
        <f>IF(AD79="nuit",AD82*0.02,0)</f>
        <v>0</v>
      </c>
      <c r="AE91" s="76">
        <f t="shared" si="199"/>
        <v>0</v>
      </c>
      <c r="AF91" s="76">
        <f t="shared" si="199"/>
        <v>0</v>
      </c>
      <c r="AG91" s="76">
        <f t="shared" si="185"/>
        <v>0</v>
      </c>
      <c r="AH91" s="76">
        <f>IF(AH79="nuit",AH82*0.02,0)</f>
        <v>0</v>
      </c>
      <c r="AI91" s="76">
        <f>IF(AI79="nuit",AI82*0.02,0)</f>
        <v>0</v>
      </c>
      <c r="AJ91" s="76">
        <f t="shared" ref="AJ91:AN91" si="200">IF(AJ79="nuit",AJ82*0.02,0)</f>
        <v>0</v>
      </c>
      <c r="AK91" s="76">
        <f t="shared" si="200"/>
        <v>0</v>
      </c>
      <c r="AL91" s="76">
        <f>IF(AL79="nuit",AL82*0.02,0)</f>
        <v>0</v>
      </c>
      <c r="AM91" s="76">
        <f t="shared" si="200"/>
        <v>0</v>
      </c>
      <c r="AN91" s="76">
        <f t="shared" si="200"/>
        <v>0</v>
      </c>
      <c r="AO91" s="76">
        <f t="shared" si="187"/>
        <v>0</v>
      </c>
      <c r="AP91" s="76">
        <f>IF(AP79="nuit",AP82*0.02,0)</f>
        <v>0</v>
      </c>
      <c r="AQ91" s="76">
        <f>IF(AQ79="nuit",AQ82*0.02,0)</f>
        <v>0</v>
      </c>
      <c r="AR91" s="76">
        <f>SUM(AP91:AQ91)</f>
        <v>0</v>
      </c>
      <c r="AS91" s="76">
        <f>I91+Q91+Y91+AG91+AO91+AR91</f>
        <v>0.96000000000000008</v>
      </c>
      <c r="AT91" s="68"/>
      <c r="AU91" s="68"/>
      <c r="AV91" s="68"/>
      <c r="AW91" s="68"/>
      <c r="AX91" s="68"/>
      <c r="AY91" s="68"/>
      <c r="AZ91" s="51"/>
    </row>
    <row r="92" spans="1:52" s="8" customFormat="1" ht="15" customHeight="1" x14ac:dyDescent="0.25">
      <c r="A92" s="37" t="s">
        <v>82</v>
      </c>
      <c r="B92" s="47"/>
      <c r="C92" s="47"/>
      <c r="D92" s="47"/>
      <c r="E92" s="47"/>
      <c r="F92" s="47"/>
      <c r="G92" s="53"/>
      <c r="H92" s="53"/>
      <c r="I92" s="80"/>
      <c r="J92" s="53"/>
      <c r="K92" s="53"/>
      <c r="L92" s="53"/>
      <c r="M92" s="53"/>
      <c r="N92" s="53"/>
      <c r="O92" s="53"/>
      <c r="P92" s="53" t="s">
        <v>113</v>
      </c>
      <c r="Q92" s="80"/>
      <c r="R92" s="53"/>
      <c r="S92" s="53"/>
      <c r="T92" s="53"/>
      <c r="U92" s="53"/>
      <c r="V92" s="53"/>
      <c r="W92" s="53"/>
      <c r="X92" s="53"/>
      <c r="Y92" s="80"/>
      <c r="Z92" s="53" t="s">
        <v>112</v>
      </c>
      <c r="AA92" s="53"/>
      <c r="AB92" s="53"/>
      <c r="AC92" s="53"/>
      <c r="AD92" s="53"/>
      <c r="AE92" s="53"/>
      <c r="AF92" s="53"/>
      <c r="AG92" s="80"/>
      <c r="AH92" s="53"/>
      <c r="AI92" s="53"/>
      <c r="AJ92" s="53"/>
      <c r="AK92" s="53"/>
      <c r="AL92" s="53"/>
      <c r="AM92" s="53"/>
      <c r="AN92" s="53"/>
      <c r="AO92" s="80"/>
      <c r="AP92" s="53" t="s">
        <v>114</v>
      </c>
      <c r="AQ92" s="53" t="s">
        <v>114</v>
      </c>
      <c r="AR92" s="80"/>
      <c r="AS92" s="81"/>
      <c r="AT92" s="68"/>
      <c r="AU92" s="68"/>
      <c r="AV92" s="68"/>
      <c r="AW92" s="68"/>
      <c r="AX92" s="68"/>
      <c r="AY92" s="68"/>
      <c r="AZ92" s="51"/>
    </row>
    <row r="93" spans="1:52" s="8" customFormat="1" ht="15" customHeight="1" x14ac:dyDescent="0.25">
      <c r="A93" s="54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85"/>
      <c r="AT93" s="68"/>
      <c r="AU93" s="68"/>
      <c r="AV93" s="68"/>
      <c r="AW93" s="68"/>
      <c r="AX93" s="68"/>
      <c r="AY93" s="68"/>
      <c r="AZ93" s="51"/>
    </row>
    <row r="94" spans="1:52" s="8" customFormat="1" ht="27.6" x14ac:dyDescent="0.25">
      <c r="A94" s="37"/>
      <c r="B94" s="40" t="s">
        <v>75</v>
      </c>
      <c r="C94" s="40"/>
      <c r="D94" s="40"/>
      <c r="E94" s="40"/>
      <c r="F94" s="40"/>
      <c r="G94" s="96">
        <f>Année_Calendaire</f>
        <v>2016</v>
      </c>
      <c r="H94" s="96"/>
      <c r="I94" s="65"/>
      <c r="J94" s="47"/>
      <c r="K94" s="47"/>
      <c r="L94" s="47"/>
      <c r="M94" s="47"/>
      <c r="N94" s="47"/>
      <c r="O94" s="47"/>
      <c r="P94" s="47"/>
      <c r="Q94" s="65"/>
      <c r="R94" s="40" t="s">
        <v>75</v>
      </c>
      <c r="S94" s="40"/>
      <c r="T94" s="40"/>
      <c r="U94" s="40"/>
      <c r="V94" s="40"/>
      <c r="W94" s="96">
        <f>Année_Calendaire</f>
        <v>2016</v>
      </c>
      <c r="X94" s="96"/>
      <c r="Y94" s="65"/>
      <c r="Z94" s="47"/>
      <c r="AA94" s="47"/>
      <c r="AB94" s="47"/>
      <c r="AC94" s="47"/>
      <c r="AD94" s="47"/>
      <c r="AE94" s="47"/>
      <c r="AF94" s="47"/>
      <c r="AG94" s="65"/>
      <c r="AH94" s="40" t="s">
        <v>75</v>
      </c>
      <c r="AI94" s="40"/>
      <c r="AJ94" s="40"/>
      <c r="AK94" s="40"/>
      <c r="AL94" s="40"/>
      <c r="AM94" s="96">
        <f>Année_Calendaire</f>
        <v>2016</v>
      </c>
      <c r="AN94" s="96"/>
      <c r="AO94" s="65"/>
      <c r="AP94" s="47"/>
      <c r="AQ94" s="47"/>
      <c r="AR94" s="65"/>
      <c r="AS94" s="69"/>
      <c r="AT94" s="58"/>
      <c r="AU94" s="69"/>
      <c r="AV94" s="69"/>
      <c r="AW94" s="69"/>
      <c r="AX94" s="58"/>
      <c r="AY94" s="58"/>
      <c r="AZ94" s="48"/>
    </row>
    <row r="95" spans="1:52" ht="29.25" customHeight="1" x14ac:dyDescent="0.25">
      <c r="A95" s="47"/>
      <c r="B95" s="78" t="s">
        <v>64</v>
      </c>
      <c r="C95" s="78" t="s">
        <v>65</v>
      </c>
      <c r="D95" s="78" t="s">
        <v>66</v>
      </c>
      <c r="E95" s="78" t="s">
        <v>67</v>
      </c>
      <c r="F95" s="78" t="s">
        <v>68</v>
      </c>
      <c r="G95" s="78" t="s">
        <v>69</v>
      </c>
      <c r="H95" s="78" t="s">
        <v>70</v>
      </c>
      <c r="I95" s="97" t="s">
        <v>83</v>
      </c>
      <c r="J95" s="78" t="s">
        <v>64</v>
      </c>
      <c r="K95" s="78" t="s">
        <v>65</v>
      </c>
      <c r="L95" s="78" t="s">
        <v>66</v>
      </c>
      <c r="M95" s="78" t="s">
        <v>67</v>
      </c>
      <c r="N95" s="78" t="s">
        <v>68</v>
      </c>
      <c r="O95" s="78" t="s">
        <v>69</v>
      </c>
      <c r="P95" s="78" t="s">
        <v>70</v>
      </c>
      <c r="Q95" s="97" t="s">
        <v>83</v>
      </c>
      <c r="R95" s="78" t="s">
        <v>64</v>
      </c>
      <c r="S95" s="78" t="s">
        <v>65</v>
      </c>
      <c r="T95" s="78" t="s">
        <v>66</v>
      </c>
      <c r="U95" s="78" t="s">
        <v>67</v>
      </c>
      <c r="V95" s="78" t="s">
        <v>68</v>
      </c>
      <c r="W95" s="78" t="s">
        <v>69</v>
      </c>
      <c r="X95" s="78" t="s">
        <v>70</v>
      </c>
      <c r="Y95" s="97" t="s">
        <v>83</v>
      </c>
      <c r="Z95" s="78" t="s">
        <v>64</v>
      </c>
      <c r="AA95" s="78" t="s">
        <v>65</v>
      </c>
      <c r="AB95" s="78" t="s">
        <v>66</v>
      </c>
      <c r="AC95" s="78" t="s">
        <v>67</v>
      </c>
      <c r="AD95" s="78" t="s">
        <v>68</v>
      </c>
      <c r="AE95" s="78" t="s">
        <v>69</v>
      </c>
      <c r="AF95" s="78" t="s">
        <v>70</v>
      </c>
      <c r="AG95" s="97" t="s">
        <v>83</v>
      </c>
      <c r="AH95" s="78" t="s">
        <v>64</v>
      </c>
      <c r="AI95" s="78" t="s">
        <v>65</v>
      </c>
      <c r="AJ95" s="78" t="s">
        <v>66</v>
      </c>
      <c r="AK95" s="78" t="s">
        <v>67</v>
      </c>
      <c r="AL95" s="78" t="s">
        <v>68</v>
      </c>
      <c r="AM95" s="78" t="s">
        <v>69</v>
      </c>
      <c r="AN95" s="78" t="s">
        <v>70</v>
      </c>
      <c r="AO95" s="97" t="s">
        <v>83</v>
      </c>
      <c r="AP95" s="78" t="s">
        <v>64</v>
      </c>
      <c r="AQ95" s="78" t="s">
        <v>65</v>
      </c>
      <c r="AR95" s="97" t="s">
        <v>83</v>
      </c>
      <c r="AS95" s="97" t="s">
        <v>86</v>
      </c>
      <c r="AT95" s="98">
        <f>AS102+AS103+AS104</f>
        <v>8</v>
      </c>
      <c r="AU95" s="98">
        <f>AT95+AU77</f>
        <v>54</v>
      </c>
      <c r="AV95" s="24"/>
      <c r="AW95" s="24"/>
      <c r="AX95" s="24"/>
      <c r="AY95" s="24"/>
      <c r="AZ95" s="1"/>
    </row>
    <row r="96" spans="1:52" ht="15" customHeight="1" x14ac:dyDescent="0.25">
      <c r="A96" s="64"/>
      <c r="B96" s="83" t="str">
        <f>IF(DAY(Juin_Dim1)=1,"",IF(AND(YEAR(Juin_Dim1+1)=Année_Calendaire,MONTH(Juin_Dim1+1)=6),Juin_Dim1+1,""))</f>
        <v/>
      </c>
      <c r="C96" s="83" t="str">
        <f>IF(DAY(Juin_Dim1)=1,"",IF(AND(YEAR(Juin_Dim1+2)=Année_Calendaire,MONTH(Juin_Dim1+2)=6),Juin_Dim1+2,""))</f>
        <v/>
      </c>
      <c r="D96" s="83">
        <f>IF(DAY(Juin_Dim1)=1,"",IF(AND(YEAR(Juin_Dim1+3)=Année_Calendaire,MONTH(Juin_Dim1+3)=6),Juin_Dim1+3,""))</f>
        <v>42522</v>
      </c>
      <c r="E96" s="83">
        <f>IF(DAY(Juin_Dim1)=1,"",IF(AND(YEAR(Juin_Dim1+4)=Année_Calendaire,MONTH(Juin_Dim1+4)=6),Juin_Dim1+4,""))</f>
        <v>42523</v>
      </c>
      <c r="F96" s="83">
        <f>IF(DAY(Juin_Dim1)=1,"",IF(AND(YEAR(Juin_Dim1+5)=Année_Calendaire,MONTH(Juin_Dim1+5)=6),Juin_Dim1+5,""))</f>
        <v>42524</v>
      </c>
      <c r="G96" s="83">
        <f>IF(DAY(Juin_Dim1)=1,"",IF(AND(YEAR(Juin_Dim1+6)=Année_Calendaire,MONTH(Juin_Dim1+6)=6),Juin_Dim1+6,""))</f>
        <v>42525</v>
      </c>
      <c r="H96" s="83">
        <f>IF(DAY(Juin_Dim1)=1,IF(AND(YEAR(Juin_Dim1)=Année_Calendaire,MONTH(Juin_Dim1)=6),Juin_Dim1,""),IF(AND(YEAR(Juin_Dim1+7)=Année_Calendaire,MONTH(Juin_Dim1+7)=6),Juin_Dim1+7,""))</f>
        <v>42526</v>
      </c>
      <c r="I96" s="97"/>
      <c r="J96" s="83">
        <f>IF(DAY(Juin_Dim1)=1,IF(AND(YEAR(Juin_Dim1+1)=Année_Calendaire,MONTH(Juin_Dim1+1)=6),Juin_Dim1+1,""),IF(AND(YEAR(Juin_Dim1+8)=Année_Calendaire,MONTH(Juin_Dim1+8)=6),Juin_Dim1+8,""))</f>
        <v>42527</v>
      </c>
      <c r="K96" s="83">
        <f>IF(DAY(Juin_Dim1)=1,IF(AND(YEAR(Juin_Dim1+2)=Année_Calendaire,MONTH(Juin_Dim1+2)=6),Juin_Dim1+2,""),IF(AND(YEAR(Juin_Dim1+9)=Année_Calendaire,MONTH(Juin_Dim1+9)=6),Juin_Dim1+9,""))</f>
        <v>42528</v>
      </c>
      <c r="L96" s="83">
        <f>IF(DAY(Juin_Dim1)=1,IF(AND(YEAR(Juin_Dim1+3)=Année_Calendaire,MONTH(Juin_Dim1+3)=6),Juin_Dim1+3,""),IF(AND(YEAR(Juin_Dim1+10)=Année_Calendaire,MONTH(Juin_Dim1+10)=6),Juin_Dim1+10,""))</f>
        <v>42529</v>
      </c>
      <c r="M96" s="83">
        <f>IF(DAY(Juin_Dim1)=1,IF(AND(YEAR(Juin_Dim1+4)=Année_Calendaire,MONTH(Juin_Dim1+4)=6),Juin_Dim1+4,""),IF(AND(YEAR(Juin_Dim1+11)=Année_Calendaire,MONTH(Juin_Dim1+11)=6),Juin_Dim1+11,""))</f>
        <v>42530</v>
      </c>
      <c r="N96" s="83">
        <f>IF(DAY(Juin_Dim1)=1,IF(AND(YEAR(Juin_Dim1+5)=Année_Calendaire,MONTH(Juin_Dim1+5)=6),Juin_Dim1+5,""),IF(AND(YEAR(Juin_Dim1+12)=Année_Calendaire,MONTH(Juin_Dim1+12)=6),Juin_Dim1+12,""))</f>
        <v>42531</v>
      </c>
      <c r="O96" s="83">
        <f>IF(DAY(Juin_Dim1)=1,IF(AND(YEAR(Juin_Dim1+6)=Année_Calendaire,MONTH(Juin_Dim1+6)=6),Juin_Dim1+6,""),IF(AND(YEAR(Juin_Dim1+13)=Année_Calendaire,MONTH(Juin_Dim1+13)=6),Juin_Dim1+13,""))</f>
        <v>42532</v>
      </c>
      <c r="P96" s="83">
        <f>IF(DAY(Juin_Dim1)=1,IF(AND(YEAR(Juin_Dim1+7)=Année_Calendaire,MONTH(Juin_Dim1+7)=6),Juin_Dim1+7,""),IF(AND(YEAR(Juin_Dim1+14)=Année_Calendaire,MONTH(Juin_Dim1+14)=6),Juin_Dim1+14,""))</f>
        <v>42533</v>
      </c>
      <c r="Q96" s="97"/>
      <c r="R96" s="83">
        <f>IF(DAY(Juin_Dim1)=1,IF(AND(YEAR(Juin_Dim1+8)=Année_Calendaire,MONTH(Juin_Dim1+8)=6),Juin_Dim1+8,""),IF(AND(YEAR(Juin_Dim1+15)=Année_Calendaire,MONTH(Juin_Dim1+15)=6),Juin_Dim1+15,""))</f>
        <v>42534</v>
      </c>
      <c r="S96" s="83">
        <f>IF(DAY(Juin_Dim1)=1,IF(AND(YEAR(Juin_Dim1+9)=Année_Calendaire,MONTH(Juin_Dim1+9)=6),Juin_Dim1+9,""),IF(AND(YEAR(Juin_Dim1+16)=Année_Calendaire,MONTH(Juin_Dim1+16)=6),Juin_Dim1+16,""))</f>
        <v>42535</v>
      </c>
      <c r="T96" s="83">
        <f>IF(DAY(Juin_Dim1)=1,IF(AND(YEAR(Juin_Dim1+10)=Année_Calendaire,MONTH(Juin_Dim1+10)=6),Juin_Dim1+10,""),IF(AND(YEAR(Juin_Dim1+17)=Année_Calendaire,MONTH(Juin_Dim1+17)=6),Juin_Dim1+17,""))</f>
        <v>42536</v>
      </c>
      <c r="U96" s="83">
        <f>IF(DAY(Juin_Dim1)=1,IF(AND(YEAR(Juin_Dim1+11)=Année_Calendaire,MONTH(Juin_Dim1+11)=6),Juin_Dim1+11,""),IF(AND(YEAR(Juin_Dim1+18)=Année_Calendaire,MONTH(Juin_Dim1+18)=6),Juin_Dim1+18,""))</f>
        <v>42537</v>
      </c>
      <c r="V96" s="83">
        <f>IF(DAY(Juin_Dim1)=1,IF(AND(YEAR(Juin_Dim1+12)=Année_Calendaire,MONTH(Juin_Dim1+12)=6),Juin_Dim1+12,""),IF(AND(YEAR(Juin_Dim1+19)=Année_Calendaire,MONTH(Juin_Dim1+19)=6),Juin_Dim1+19,""))</f>
        <v>42538</v>
      </c>
      <c r="W96" s="83">
        <f>IF(DAY(Juin_Dim1)=1,IF(AND(YEAR(Juin_Dim1+13)=Année_Calendaire,MONTH(Juin_Dim1+13)=6),Juin_Dim1+13,""),IF(AND(YEAR(Juin_Dim1+20)=Année_Calendaire,MONTH(Juin_Dim1+20)=6),Juin_Dim1+20,""))</f>
        <v>42539</v>
      </c>
      <c r="X96" s="83">
        <f>IF(DAY(Juin_Dim1)=1,IF(AND(YEAR(Juin_Dim1+14)=Année_Calendaire,MONTH(Juin_Dim1+14)=6),Juin_Dim1+14,""),IF(AND(YEAR(Juin_Dim1+21)=Année_Calendaire,MONTH(Juin_Dim1+21)=6),Juin_Dim1+21,""))</f>
        <v>42540</v>
      </c>
      <c r="Y96" s="97"/>
      <c r="Z96" s="83">
        <f>IF(DAY(Juin_Dim1)=1,IF(AND(YEAR(Juin_Dim1+15)=Année_Calendaire,MONTH(Juin_Dim1+15)=6),Juin_Dim1+15,""),IF(AND(YEAR(Juin_Dim1+22)=Année_Calendaire,MONTH(Juin_Dim1+22)=6),Juin_Dim1+22,""))</f>
        <v>42541</v>
      </c>
      <c r="AA96" s="83">
        <f>IF(DAY(Juin_Dim1)=1,IF(AND(YEAR(Juin_Dim1+16)=Année_Calendaire,MONTH(Juin_Dim1+16)=6),Juin_Dim1+16,""),IF(AND(YEAR(Juin_Dim1+23)=Année_Calendaire,MONTH(Juin_Dim1+23)=6),Juin_Dim1+23,""))</f>
        <v>42542</v>
      </c>
      <c r="AB96" s="83">
        <f>IF(DAY(Juin_Dim1)=1,IF(AND(YEAR(Juin_Dim1+17)=Année_Calendaire,MONTH(Juin_Dim1+17)=6),Juin_Dim1+17,""),IF(AND(YEAR(Juin_Dim1+24)=Année_Calendaire,MONTH(Juin_Dim1+24)=6),Juin_Dim1+24,""))</f>
        <v>42543</v>
      </c>
      <c r="AC96" s="83">
        <f>IF(DAY(Juin_Dim1)=1,IF(AND(YEAR(Juin_Dim1+18)=Année_Calendaire,MONTH(Juin_Dim1+18)=6),Juin_Dim1+18,""),IF(AND(YEAR(Juin_Dim1+25)=Année_Calendaire,MONTH(Juin_Dim1+25)=6),Juin_Dim1+25,""))</f>
        <v>42544</v>
      </c>
      <c r="AD96" s="83">
        <f>IF(DAY(Juin_Dim1)=1,IF(AND(YEAR(Juin_Dim1+19)=Année_Calendaire,MONTH(Juin_Dim1+19)=6),Juin_Dim1+19,""),IF(AND(YEAR(Juin_Dim1+26)=Année_Calendaire,MONTH(Juin_Dim1+26)=6),Juin_Dim1+26,""))</f>
        <v>42545</v>
      </c>
      <c r="AE96" s="83">
        <f>IF(DAY(Juin_Dim1)=1,IF(AND(YEAR(Juin_Dim1+20)=Année_Calendaire,MONTH(Juin_Dim1+20)=6),Juin_Dim1+20,""),IF(AND(YEAR(Juin_Dim1+27)=Année_Calendaire,MONTH(Juin_Dim1+27)=6),Juin_Dim1+27,""))</f>
        <v>42546</v>
      </c>
      <c r="AF96" s="83">
        <f>IF(DAY(Juin_Dim1)=1,IF(AND(YEAR(Juin_Dim1+21)=Année_Calendaire,MONTH(Juin_Dim1+21)=6),Juin_Dim1+21,""),IF(AND(YEAR(Juin_Dim1+28)=Année_Calendaire,MONTH(Juin_Dim1+28)=6),Juin_Dim1+28,""))</f>
        <v>42547</v>
      </c>
      <c r="AG96" s="97"/>
      <c r="AH96" s="83">
        <f>IF(DAY(Juin_Dim1)=1,IF(AND(YEAR(Juin_Dim1+22)=Année_Calendaire,MONTH(Juin_Dim1+22)=6),Juin_Dim1+22,""),IF(AND(YEAR(Juin_Dim1+29)=Année_Calendaire,MONTH(Juin_Dim1+29)=6),Juin_Dim1+29,""))</f>
        <v>42548</v>
      </c>
      <c r="AI96" s="83">
        <f>IF(DAY(Juin_Dim1)=1,IF(AND(YEAR(Juin_Dim1+23)=Année_Calendaire,MONTH(Juin_Dim1+23)=6),Juin_Dim1+23,""),IF(AND(YEAR(Juin_Dim1+30)=Année_Calendaire,MONTH(Juin_Dim1+30)=6),Juin_Dim1+30,""))</f>
        <v>42549</v>
      </c>
      <c r="AJ96" s="83">
        <f>IF(DAY(Juin_Dim1)=1,IF(AND(YEAR(Juin_Dim1+24)=Année_Calendaire,MONTH(Juin_Dim1+24)=6),Juin_Dim1+24,""),IF(AND(YEAR(Juin_Dim1+31)=Année_Calendaire,MONTH(Juin_Dim1+31)=6),Juin_Dim1+31,""))</f>
        <v>42550</v>
      </c>
      <c r="AK96" s="83">
        <f>IF(DAY(Juin_Dim1)=1,IF(AND(YEAR(Juin_Dim1+25)=Année_Calendaire,MONTH(Juin_Dim1+25)=6),Juin_Dim1+25,""),IF(AND(YEAR(Juin_Dim1+32)=Année_Calendaire,MONTH(Juin_Dim1+32)=6),Juin_Dim1+32,""))</f>
        <v>42551</v>
      </c>
      <c r="AL96" s="83" t="str">
        <f>IF(DAY(Juin_Dim1)=1,IF(AND(YEAR(Juin_Dim1+26)=Année_Calendaire,MONTH(Juin_Dim1+26)=6),Juin_Dim1+26,""),IF(AND(YEAR(Juin_Dim1+33)=Année_Calendaire,MONTH(Juin_Dim1+33)=6),Juin_Dim1+33,""))</f>
        <v/>
      </c>
      <c r="AM96" s="83" t="str">
        <f>IF(DAY(Juin_Dim1)=1,IF(AND(YEAR(Juin_Dim1+27)=Année_Calendaire,MONTH(Juin_Dim1+27)=6),Juin_Dim1+27,""),IF(AND(YEAR(Juin_Dim1+34)=Année_Calendaire,MONTH(Juin_Dim1+34)=6),Juin_Dim1+34,""))</f>
        <v/>
      </c>
      <c r="AN96" s="83" t="str">
        <f>IF(DAY(Juin_Dim1)=1,IF(AND(YEAR(Juin_Dim1+28)=Année_Calendaire,MONTH(Juin_Dim1+28)=6),Juin_Dim1+28,""),IF(AND(YEAR(Juin_Dim1+35)=Année_Calendaire,MONTH(Juin_Dim1+35)=6),Juin_Dim1+35,""))</f>
        <v/>
      </c>
      <c r="AO96" s="97"/>
      <c r="AP96" s="77" t="str">
        <f>IF(DAY(Juin_Dim1)=1,IF(AND(YEAR(Juin_Dim1+29)=Année_Calendaire,MONTH(Juin_Dim1+29)=6),Juin_Dim1+29,""),IF(AND(YEAR(Juin_Dim1+36)=Année_Calendaire,MONTH(Juin_Dim1+36)=6),Juin_Dim1+36,""))</f>
        <v/>
      </c>
      <c r="AQ96" s="77" t="str">
        <f>IF(DAY(Juin_Dim1)=1,IF(AND(YEAR(Juin_Dim1+30)=Année_Calendaire,MONTH(Juin_Dim1+30)=6),Juin_Dim1+30,""),IF(AND(YEAR(Juin_Dim1+37)=Année_Calendaire,MONTH(Juin_Dim1+37)=6),Juin_Dim1+37,""))</f>
        <v/>
      </c>
      <c r="AR96" s="97"/>
      <c r="AS96" s="97"/>
      <c r="AT96" s="98"/>
      <c r="AU96" s="98"/>
      <c r="AV96" s="70"/>
      <c r="AW96" s="70"/>
      <c r="AX96" s="99"/>
      <c r="AY96" s="99"/>
      <c r="AZ96" s="1"/>
    </row>
    <row r="97" spans="1:52" s="6" customFormat="1" ht="15" customHeight="1" x14ac:dyDescent="0.25">
      <c r="A97" s="37" t="s">
        <v>2</v>
      </c>
      <c r="B97" s="47"/>
      <c r="C97" s="47"/>
      <c r="D97" s="47" t="s">
        <v>107</v>
      </c>
      <c r="E97" s="47"/>
      <c r="F97" s="47"/>
      <c r="G97" s="47"/>
      <c r="H97" s="47" t="s">
        <v>107</v>
      </c>
      <c r="I97" s="76"/>
      <c r="J97" s="47" t="s">
        <v>108</v>
      </c>
      <c r="K97" s="47" t="s">
        <v>108</v>
      </c>
      <c r="L97" s="47" t="s">
        <v>108</v>
      </c>
      <c r="M97" s="47" t="s">
        <v>108</v>
      </c>
      <c r="N97" s="47" t="s">
        <v>108</v>
      </c>
      <c r="O97" s="47"/>
      <c r="P97" s="47"/>
      <c r="Q97" s="76"/>
      <c r="R97" s="47" t="s">
        <v>107</v>
      </c>
      <c r="S97" s="47" t="s">
        <v>107</v>
      </c>
      <c r="T97" s="47"/>
      <c r="U97" s="47"/>
      <c r="V97" s="47"/>
      <c r="W97" s="47"/>
      <c r="X97" s="47"/>
      <c r="Y97" s="76"/>
      <c r="Z97" s="47" t="s">
        <v>106</v>
      </c>
      <c r="AA97" s="47" t="s">
        <v>106</v>
      </c>
      <c r="AB97" s="47" t="s">
        <v>106</v>
      </c>
      <c r="AC97" s="47" t="s">
        <v>106</v>
      </c>
      <c r="AD97" s="47" t="s">
        <v>106</v>
      </c>
      <c r="AE97" s="47"/>
      <c r="AF97" s="47"/>
      <c r="AG97" s="76"/>
      <c r="AH97" s="47" t="s">
        <v>107</v>
      </c>
      <c r="AI97" s="47" t="s">
        <v>107</v>
      </c>
      <c r="AJ97" s="47" t="s">
        <v>107</v>
      </c>
      <c r="AK97" s="47" t="s">
        <v>107</v>
      </c>
      <c r="AL97" s="47"/>
      <c r="AM97" s="47"/>
      <c r="AN97" s="47"/>
      <c r="AO97" s="76"/>
      <c r="AP97" s="47"/>
      <c r="AQ97" s="47"/>
      <c r="AR97" s="76"/>
      <c r="AS97" s="79"/>
      <c r="AT97" s="75"/>
      <c r="AU97" s="70"/>
      <c r="AV97" s="70"/>
      <c r="AW97" s="70"/>
      <c r="AX97" s="99"/>
      <c r="AY97" s="99"/>
      <c r="AZ97" s="5"/>
    </row>
    <row r="98" spans="1:52" s="6" customFormat="1" ht="15" customHeight="1" x14ac:dyDescent="0.25">
      <c r="A98" s="37" t="s">
        <v>63</v>
      </c>
      <c r="B98" s="76">
        <f t="shared" ref="B98:H98" si="201">IF(B97="Matin",1,IF(B97="AM",1,0))</f>
        <v>0</v>
      </c>
      <c r="C98" s="76">
        <f t="shared" si="201"/>
        <v>0</v>
      </c>
      <c r="D98" s="76">
        <f t="shared" si="201"/>
        <v>1</v>
      </c>
      <c r="E98" s="76">
        <f t="shared" si="201"/>
        <v>0</v>
      </c>
      <c r="F98" s="76">
        <f t="shared" si="201"/>
        <v>0</v>
      </c>
      <c r="G98" s="76">
        <f t="shared" si="201"/>
        <v>0</v>
      </c>
      <c r="H98" s="76">
        <f t="shared" si="201"/>
        <v>1</v>
      </c>
      <c r="I98" s="76">
        <f>SUM(B98:H98)</f>
        <v>2</v>
      </c>
      <c r="J98" s="76">
        <f t="shared" ref="J98:P98" si="202">IF(J97="Matin",1,IF(J97="AM",1,0))</f>
        <v>0</v>
      </c>
      <c r="K98" s="76">
        <f t="shared" si="202"/>
        <v>0</v>
      </c>
      <c r="L98" s="76">
        <f t="shared" si="202"/>
        <v>0</v>
      </c>
      <c r="M98" s="76">
        <f t="shared" si="202"/>
        <v>0</v>
      </c>
      <c r="N98" s="76">
        <f t="shared" si="202"/>
        <v>0</v>
      </c>
      <c r="O98" s="76">
        <f t="shared" si="202"/>
        <v>0</v>
      </c>
      <c r="P98" s="76">
        <f t="shared" si="202"/>
        <v>0</v>
      </c>
      <c r="Q98" s="76">
        <f>SUM(J98:P98)</f>
        <v>0</v>
      </c>
      <c r="R98" s="76">
        <f t="shared" ref="R98:X98" si="203">IF(R97="Matin",1,IF(R97="AM",1,0))</f>
        <v>1</v>
      </c>
      <c r="S98" s="76">
        <f t="shared" si="203"/>
        <v>1</v>
      </c>
      <c r="T98" s="76">
        <f t="shared" si="203"/>
        <v>0</v>
      </c>
      <c r="U98" s="76">
        <f t="shared" si="203"/>
        <v>0</v>
      </c>
      <c r="V98" s="76">
        <f t="shared" si="203"/>
        <v>0</v>
      </c>
      <c r="W98" s="76">
        <f t="shared" si="203"/>
        <v>0</v>
      </c>
      <c r="X98" s="76">
        <f t="shared" si="203"/>
        <v>0</v>
      </c>
      <c r="Y98" s="76">
        <f>SUM(R98:X98)</f>
        <v>2</v>
      </c>
      <c r="Z98" s="76">
        <f t="shared" ref="Z98:AF98" si="204">IF(Z97="Matin",1,IF(Z97="AM",1,0))</f>
        <v>1</v>
      </c>
      <c r="AA98" s="76">
        <f t="shared" si="204"/>
        <v>1</v>
      </c>
      <c r="AB98" s="76">
        <f t="shared" si="204"/>
        <v>1</v>
      </c>
      <c r="AC98" s="76">
        <f t="shared" si="204"/>
        <v>1</v>
      </c>
      <c r="AD98" s="76">
        <f t="shared" si="204"/>
        <v>1</v>
      </c>
      <c r="AE98" s="76">
        <f t="shared" si="204"/>
        <v>0</v>
      </c>
      <c r="AF98" s="76">
        <f t="shared" si="204"/>
        <v>0</v>
      </c>
      <c r="AG98" s="76">
        <f>SUM(Z98:AF98)</f>
        <v>5</v>
      </c>
      <c r="AH98" s="76">
        <f t="shared" ref="AH98:AN98" si="205">IF(AH97="Matin",1,IF(AH97="AM",1,0))</f>
        <v>1</v>
      </c>
      <c r="AI98" s="76">
        <f t="shared" si="205"/>
        <v>1</v>
      </c>
      <c r="AJ98" s="76">
        <f t="shared" si="205"/>
        <v>1</v>
      </c>
      <c r="AK98" s="76">
        <f t="shared" si="205"/>
        <v>1</v>
      </c>
      <c r="AL98" s="76">
        <f t="shared" si="205"/>
        <v>0</v>
      </c>
      <c r="AM98" s="76">
        <f t="shared" si="205"/>
        <v>0</v>
      </c>
      <c r="AN98" s="76">
        <f t="shared" si="205"/>
        <v>0</v>
      </c>
      <c r="AO98" s="76">
        <f>SUM(AH98:AN98)</f>
        <v>4</v>
      </c>
      <c r="AP98" s="76">
        <f t="shared" ref="AP98:AQ98" si="206">IF(AP97="Matin",1,IF(AP97="AM",1,0))</f>
        <v>0</v>
      </c>
      <c r="AQ98" s="76">
        <f t="shared" si="206"/>
        <v>0</v>
      </c>
      <c r="AR98" s="76">
        <f t="shared" ref="AR98:AR105" si="207">SUM(AP98:AQ98)</f>
        <v>0</v>
      </c>
      <c r="AS98" s="76">
        <f>I98+Q98+Y98+AG98+AO98+AR98</f>
        <v>13</v>
      </c>
      <c r="AT98" s="75"/>
      <c r="AU98" s="100"/>
      <c r="AV98" s="100"/>
      <c r="AW98" s="71"/>
      <c r="AX98" s="33"/>
      <c r="AY98" s="33"/>
      <c r="AZ98" s="5"/>
    </row>
    <row r="99" spans="1:52" ht="15" customHeight="1" x14ac:dyDescent="0.25">
      <c r="A99" s="37" t="s">
        <v>4</v>
      </c>
      <c r="B99" s="76">
        <f>IF(B100&gt;=1,1,0)</f>
        <v>0</v>
      </c>
      <c r="C99" s="76">
        <f>IF(C100&gt;=1,1,0)</f>
        <v>0</v>
      </c>
      <c r="D99" s="76">
        <f t="shared" ref="D99:H99" si="208">IF(D100&gt;=1,1,0)</f>
        <v>1</v>
      </c>
      <c r="E99" s="76">
        <f t="shared" si="208"/>
        <v>0</v>
      </c>
      <c r="F99" s="76">
        <f t="shared" si="208"/>
        <v>0</v>
      </c>
      <c r="G99" s="76">
        <f t="shared" si="208"/>
        <v>0</v>
      </c>
      <c r="H99" s="76">
        <f t="shared" si="208"/>
        <v>1</v>
      </c>
      <c r="I99" s="76">
        <f t="shared" ref="I99:I109" si="209">SUM(B99:H99)</f>
        <v>2</v>
      </c>
      <c r="J99" s="76">
        <f>IF(J100&gt;=1,1,0)</f>
        <v>1</v>
      </c>
      <c r="K99" s="76">
        <f t="shared" ref="K99:P99" si="210">IF(K100&gt;=1,1,0)</f>
        <v>1</v>
      </c>
      <c r="L99" s="76">
        <f t="shared" si="210"/>
        <v>1</v>
      </c>
      <c r="M99" s="76">
        <f t="shared" si="210"/>
        <v>1</v>
      </c>
      <c r="N99" s="76">
        <f t="shared" si="210"/>
        <v>1</v>
      </c>
      <c r="O99" s="76">
        <f t="shared" si="210"/>
        <v>0</v>
      </c>
      <c r="P99" s="76">
        <f t="shared" si="210"/>
        <v>0</v>
      </c>
      <c r="Q99" s="76">
        <f t="shared" ref="Q99:Q109" si="211">SUM(J99:P99)</f>
        <v>5</v>
      </c>
      <c r="R99" s="76">
        <f>IF(R100&gt;=1,1,0)</f>
        <v>0</v>
      </c>
      <c r="S99" s="76">
        <f t="shared" ref="S99:X99" si="212">IF(S100&gt;=1,1,0)</f>
        <v>0</v>
      </c>
      <c r="T99" s="76">
        <f t="shared" si="212"/>
        <v>0</v>
      </c>
      <c r="U99" s="76">
        <f t="shared" si="212"/>
        <v>0</v>
      </c>
      <c r="V99" s="76">
        <f t="shared" si="212"/>
        <v>0</v>
      </c>
      <c r="W99" s="76">
        <f t="shared" si="212"/>
        <v>0</v>
      </c>
      <c r="X99" s="76">
        <f t="shared" si="212"/>
        <v>0</v>
      </c>
      <c r="Y99" s="76">
        <f t="shared" ref="Y99:Y109" si="213">SUM(R99:X99)</f>
        <v>0</v>
      </c>
      <c r="Z99" s="76">
        <f>IF(Z100&gt;=1,1,0)</f>
        <v>1</v>
      </c>
      <c r="AA99" s="76">
        <f t="shared" ref="AA99:AF99" si="214">IF(AA100&gt;=1,1,0)</f>
        <v>1</v>
      </c>
      <c r="AB99" s="76">
        <f t="shared" si="214"/>
        <v>1</v>
      </c>
      <c r="AC99" s="76">
        <f t="shared" si="214"/>
        <v>1</v>
      </c>
      <c r="AD99" s="76">
        <f t="shared" si="214"/>
        <v>1</v>
      </c>
      <c r="AE99" s="76">
        <f t="shared" si="214"/>
        <v>0</v>
      </c>
      <c r="AF99" s="76">
        <f t="shared" si="214"/>
        <v>0</v>
      </c>
      <c r="AG99" s="76">
        <f t="shared" ref="AG99:AG109" si="215">SUM(Z99:AF99)</f>
        <v>5</v>
      </c>
      <c r="AH99" s="76">
        <f>IF(AH100&gt;=1,1,0)</f>
        <v>1</v>
      </c>
      <c r="AI99" s="76">
        <f t="shared" ref="AI99:AN99" si="216">IF(AI100&gt;=1,1,0)</f>
        <v>1</v>
      </c>
      <c r="AJ99" s="76">
        <f t="shared" si="216"/>
        <v>1</v>
      </c>
      <c r="AK99" s="76">
        <f t="shared" si="216"/>
        <v>1</v>
      </c>
      <c r="AL99" s="76">
        <f t="shared" si="216"/>
        <v>0</v>
      </c>
      <c r="AM99" s="76">
        <f t="shared" si="216"/>
        <v>0</v>
      </c>
      <c r="AN99" s="76">
        <f t="shared" si="216"/>
        <v>0</v>
      </c>
      <c r="AO99" s="76">
        <f t="shared" ref="AO99:AO109" si="217">SUM(AH99:AN99)</f>
        <v>4</v>
      </c>
      <c r="AP99" s="76">
        <f>IF(AP100&gt;=1,1,0)</f>
        <v>0</v>
      </c>
      <c r="AQ99" s="76">
        <f t="shared" ref="AQ99" si="218">IF(AQ100&gt;=1,1,0)</f>
        <v>0</v>
      </c>
      <c r="AR99" s="76">
        <f t="shared" si="207"/>
        <v>0</v>
      </c>
      <c r="AS99" s="76">
        <f t="shared" ref="AS99:AS108" si="219">I99+Q99+Y99+AG99+AO99+AR99</f>
        <v>16</v>
      </c>
      <c r="AT99" s="75"/>
      <c r="AU99" s="60"/>
      <c r="AV99" s="60"/>
      <c r="AW99" s="60"/>
      <c r="AX99" s="19"/>
      <c r="AY99" s="59"/>
      <c r="AZ99" s="60"/>
    </row>
    <row r="100" spans="1:52" ht="15" customHeight="1" x14ac:dyDescent="0.25">
      <c r="A100" s="37" t="s">
        <v>3</v>
      </c>
      <c r="B100" s="47"/>
      <c r="C100" s="47"/>
      <c r="D100" s="47">
        <v>8</v>
      </c>
      <c r="E100" s="47"/>
      <c r="F100" s="47"/>
      <c r="G100" s="47"/>
      <c r="H100" s="47">
        <v>8</v>
      </c>
      <c r="I100" s="76">
        <f t="shared" si="209"/>
        <v>16</v>
      </c>
      <c r="J100" s="47">
        <v>8</v>
      </c>
      <c r="K100" s="47">
        <v>8</v>
      </c>
      <c r="L100" s="47">
        <v>8</v>
      </c>
      <c r="M100" s="47">
        <v>8</v>
      </c>
      <c r="N100" s="47">
        <v>8</v>
      </c>
      <c r="O100" s="47"/>
      <c r="P100" s="47"/>
      <c r="Q100" s="76">
        <f t="shared" si="211"/>
        <v>40</v>
      </c>
      <c r="R100" s="47"/>
      <c r="S100" s="47"/>
      <c r="T100" s="47"/>
      <c r="U100" s="47"/>
      <c r="V100" s="47"/>
      <c r="W100" s="47"/>
      <c r="X100" s="47"/>
      <c r="Y100" s="76">
        <f t="shared" si="213"/>
        <v>0</v>
      </c>
      <c r="Z100" s="47">
        <v>8</v>
      </c>
      <c r="AA100" s="47">
        <v>8</v>
      </c>
      <c r="AB100" s="47">
        <v>8</v>
      </c>
      <c r="AC100" s="47">
        <v>8</v>
      </c>
      <c r="AD100" s="47">
        <v>8</v>
      </c>
      <c r="AE100" s="47"/>
      <c r="AF100" s="47"/>
      <c r="AG100" s="76">
        <f t="shared" si="215"/>
        <v>40</v>
      </c>
      <c r="AH100" s="47">
        <v>8</v>
      </c>
      <c r="AI100" s="47">
        <v>8</v>
      </c>
      <c r="AJ100" s="47">
        <v>8</v>
      </c>
      <c r="AK100" s="47">
        <v>8</v>
      </c>
      <c r="AL100" s="47"/>
      <c r="AM100" s="47"/>
      <c r="AN100" s="47"/>
      <c r="AO100" s="76">
        <f t="shared" si="217"/>
        <v>32</v>
      </c>
      <c r="AP100" s="47"/>
      <c r="AQ100" s="47"/>
      <c r="AR100" s="76">
        <f t="shared" si="207"/>
        <v>0</v>
      </c>
      <c r="AS100" s="76">
        <f t="shared" si="219"/>
        <v>128</v>
      </c>
      <c r="AT100" s="75"/>
      <c r="AU100" s="60"/>
      <c r="AV100" s="60"/>
      <c r="AW100" s="60"/>
      <c r="AX100" s="19"/>
      <c r="AY100" s="59"/>
      <c r="AZ100" s="60"/>
    </row>
    <row r="101" spans="1:52" ht="15" customHeight="1" x14ac:dyDescent="0.25">
      <c r="A101" s="52" t="s">
        <v>71</v>
      </c>
      <c r="B101" s="82">
        <f>IF(B95&lt;&gt;"Dim",IF(B100&gt;32,MIN(B100,35)-32,0),0)</f>
        <v>0</v>
      </c>
      <c r="C101" s="82">
        <f>IF(C95&lt;&gt;"Dim",IF(SUM($B100:C100)&gt;32,MIN(SUM($B100:C100),35)-32-SUM($B101:B101),0),0)</f>
        <v>0</v>
      </c>
      <c r="D101" s="82">
        <f>IF(D95&lt;&gt;"Dim",IF(SUM($B100:D100)&gt;32,MIN(SUM($B100:D100),35)-32-SUM($B101:C101),0),0)</f>
        <v>0</v>
      </c>
      <c r="E101" s="82">
        <f>IF(E95&lt;&gt;"Dim",IF(SUM($B100:E100)&gt;32,MIN(SUM($B100:E100),35)-32-SUM($B101:D101),0),0)</f>
        <v>0</v>
      </c>
      <c r="F101" s="82">
        <f>IF(F95&lt;&gt;"Dim",IF(SUM($B100:F100)&gt;32,MIN(SUM($B100:F100),35)-32-SUM($B101:E101),0),0)</f>
        <v>0</v>
      </c>
      <c r="G101" s="82">
        <f>IF(G95&lt;&gt;"Dim",IF(SUM($B100:G100)&gt;32,MIN(SUM($B100:G100),35)-32-SUM($B101:F101),0),0)</f>
        <v>0</v>
      </c>
      <c r="H101" s="82">
        <f>IF(H95&lt;&gt;"Dim",IF(SUM($B100:H100)&gt;32,MIN(SUM($B100:H100),35)-32-SUM($B101:G101),0),0)</f>
        <v>0</v>
      </c>
      <c r="I101" s="76">
        <f t="shared" si="209"/>
        <v>0</v>
      </c>
      <c r="J101" s="82">
        <f>IF(J95&lt;&gt;"Dim",IF(J100&gt;32,MIN(J100,35)-32,0),0)</f>
        <v>0</v>
      </c>
      <c r="K101" s="82">
        <f>IF(K95&lt;&gt;"Dim",IF(SUM($J100:K100)&gt;32,MIN(SUM($J100:K100),35)-32-SUM($J101:J101),0),0)</f>
        <v>0</v>
      </c>
      <c r="L101" s="82">
        <f>IF(L95&lt;&gt;"Dim",IF(SUM($J100:L100)&gt;32,MIN(SUM($J100:L100),35)-32-SUM($J101:K101),0),0)</f>
        <v>0</v>
      </c>
      <c r="M101" s="82">
        <f>IF(M95&lt;&gt;"Dim",IF(SUM($J100:M100)&gt;32,MIN(SUM($J100:M100),35)-32-SUM($J101:L101),0),0)</f>
        <v>0</v>
      </c>
      <c r="N101" s="82"/>
      <c r="O101" s="82"/>
      <c r="P101" s="82">
        <f>IF(P95&lt;&gt;"Dim",IF(SUM($J100:P100)&gt;32,MIN(SUM($J100:P100),35)-32-SUM($J101:O101),0),0)</f>
        <v>0</v>
      </c>
      <c r="Q101" s="76">
        <f t="shared" si="211"/>
        <v>0</v>
      </c>
      <c r="R101" s="82">
        <f>IF(R95&lt;&gt;"Dim",IF(R100&gt;32,MIN(R100,35)-32,0),0)</f>
        <v>0</v>
      </c>
      <c r="S101" s="82">
        <f>IF(S95&lt;&gt;"Dim",IF(SUM($R100:S100)&gt;32,MIN(SUM($R100:S100),35)-32-SUM($R101:R101),0),0)</f>
        <v>0</v>
      </c>
      <c r="T101" s="82">
        <f>IF(T95&lt;&gt;"Dim",IF(SUM($R100:T100)&gt;32,MIN(SUM($R100:T100),35)-32-SUM($R101:S101),0),0)</f>
        <v>0</v>
      </c>
      <c r="U101" s="82">
        <f>IF(U95&lt;&gt;"Dim",IF(SUM($R100:U100)&gt;32,MIN(SUM($R100:U100),35)-32-SUM($R101:T101),0),0)</f>
        <v>0</v>
      </c>
      <c r="V101" s="82">
        <f>IF(V95&lt;&gt;"Dim",IF(SUM($R100:V100)&gt;32,MIN(SUM($R100:V100),35)-32-SUM($R101:U101),0),0)</f>
        <v>0</v>
      </c>
      <c r="W101" s="82">
        <f>IF(W95&lt;&gt;"Dim",IF(SUM($R100:W100)&gt;32,MIN(SUM($R100:W100),35)-32-SUM($R101:V101),0),0)</f>
        <v>0</v>
      </c>
      <c r="X101" s="82">
        <f>IF(X95&lt;&gt;"Dim",IF(SUM($R100:X100)&gt;32,MIN(SUM($R100:X100),35)-32-SUM($R101:W101),0),0)</f>
        <v>0</v>
      </c>
      <c r="Y101" s="76">
        <f t="shared" si="213"/>
        <v>0</v>
      </c>
      <c r="Z101" s="82">
        <f>IF(Z95&lt;&gt;"Dim",IF(Z100&gt;32,MIN(Z100,35)-32,0),0)</f>
        <v>0</v>
      </c>
      <c r="AA101" s="82">
        <f>IF(AA95&lt;&gt;"Dim",IF(SUM($Z100:AA100)&gt;32,MIN(SUM($Z100:AA100),35)-32-SUM($Z101:Z101),0),0)</f>
        <v>0</v>
      </c>
      <c r="AB101" s="82">
        <f>IF(AB95&lt;&gt;"Dim",IF(SUM($Z100:AB100)&gt;32,MIN(SUM($Z100:AB100),35)-32-SUM($Z101:AA101),0),0)</f>
        <v>0</v>
      </c>
      <c r="AC101" s="82">
        <f>IF(AC95&lt;&gt;"Dim",IF(SUM($Z100:AC100)&gt;32,MIN(SUM($Z100:AC100),35)-32-SUM($Z101:AB101),0),0)</f>
        <v>0</v>
      </c>
      <c r="AD101" s="82"/>
      <c r="AE101" s="82"/>
      <c r="AF101" s="82">
        <f>IF(AF95&lt;&gt;"Dim",IF(SUM($Z100:AF100)&gt;32,MIN(SUM($Z100:AF100),35)-32-SUM($Z101:AE101),0),0)</f>
        <v>0</v>
      </c>
      <c r="AG101" s="76">
        <f t="shared" si="215"/>
        <v>0</v>
      </c>
      <c r="AH101" s="82">
        <f>IF(AH95&lt;&gt;"Dim",IF(AH100&gt;32,MIN(AH100,35)-32,0),0)</f>
        <v>0</v>
      </c>
      <c r="AI101" s="82">
        <f>IF(AI95&lt;&gt;"Dim",IF(SUM($AH100:AI100)&gt;32,MIN(SUM($AH100:AI100),35)-32-SUM($AH101:AH101),0),0)</f>
        <v>0</v>
      </c>
      <c r="AJ101" s="82">
        <f>IF(AJ95&lt;&gt;"Dim",IF(SUM($AH100:AJ100)&gt;32,MIN(SUM($AH100:AJ100),35)-32-SUM($AH101:AI101),0),0)</f>
        <v>0</v>
      </c>
      <c r="AK101" s="82">
        <f>IF(AK95&lt;&gt;"Dim",IF(SUM($AH100:AK100)&gt;32,MIN(SUM($AH100:AK100),35)-32-SUM($AH101:AJ101),0),0)</f>
        <v>0</v>
      </c>
      <c r="AL101" s="82">
        <f>IF(AL95&lt;&gt;"Dim",IF(SUM($AH100:AL100)&gt;32,MIN(SUM($AH100:AL100),35)-32-SUM($AH101:AK101),0),0)</f>
        <v>0</v>
      </c>
      <c r="AM101" s="82">
        <f>IF(AM95&lt;&gt;"Dim",IF(SUM($AH100:AM100)&gt;32,MIN(SUM($AH100:AM100),35)-32-SUM($AH101:AL101),0),0)</f>
        <v>0</v>
      </c>
      <c r="AN101" s="82">
        <f>IF(AN95&lt;&gt;"Dim",IF(SUM($AH100:AN100)&gt;32,MIN(SUM($AH100:AN100),35)-32-SUM($AH101:AM101),0),0)</f>
        <v>0</v>
      </c>
      <c r="AO101" s="76">
        <f t="shared" si="217"/>
        <v>0</v>
      </c>
      <c r="AP101" s="82">
        <f>IF(AP95&lt;&gt;"Dim",IF(AP100&gt;32,MIN(AP100,35)-32,0),0)</f>
        <v>0</v>
      </c>
      <c r="AQ101" s="82">
        <f>IF(AQ95&lt;&gt;"Dim",IF(SUM($AP100:AQ100)&gt;32,MIN(SUM($AP100:AQ100),35)-32-SUM($AP101:AP101),0),0)</f>
        <v>0</v>
      </c>
      <c r="AR101" s="76">
        <f t="shared" si="207"/>
        <v>0</v>
      </c>
      <c r="AS101" s="76">
        <f t="shared" si="219"/>
        <v>0</v>
      </c>
      <c r="AT101" s="75"/>
      <c r="AU101" s="19"/>
      <c r="AV101" s="73"/>
      <c r="AW101" s="60"/>
      <c r="AX101" s="19"/>
      <c r="AY101" s="59"/>
      <c r="AZ101" s="60"/>
    </row>
    <row r="102" spans="1:52" x14ac:dyDescent="0.25">
      <c r="A102" s="37" t="s">
        <v>40</v>
      </c>
      <c r="B102" s="82">
        <f>IF(B95&lt;&gt;"Dim",IF(B100&gt;35,(MIN(B100,43)-35),0),0)</f>
        <v>0</v>
      </c>
      <c r="C102" s="82">
        <f>IF(C95&lt;&gt;"Dim",IF(SUM($B100:C100)&gt;35,(MIN(SUM($B100:C100),43)-35-SUM($B102:B102)),0),0)</f>
        <v>0</v>
      </c>
      <c r="D102" s="82">
        <f>IF(D95&lt;&gt;"Dim",IF(SUM($B100:D100)&gt;35,(MIN(SUM($B100:D100),43)-35-SUM($B102:C102)),0),0)</f>
        <v>0</v>
      </c>
      <c r="E102" s="82">
        <f>IF(E95&lt;&gt;"Dim",IF(SUM($B100:E100)&gt;35,(MIN(SUM($B100:E100),43)-35-SUM($B102:D102)),0),0)</f>
        <v>0</v>
      </c>
      <c r="F102" s="82">
        <f>IF(F95&lt;&gt;"Dim",IF(SUM($B100:F100)&gt;35,(MIN(SUM($B100:F100),43)-35-SUM($B102:E102)),0),0)</f>
        <v>0</v>
      </c>
      <c r="G102" s="82">
        <f>IF(G95&lt;&gt;"Dim",IF(SUM($B100:G100)&gt;35,(MIN(SUM($B100:G100),43)-35-SUM($B102:F102)),0),0)</f>
        <v>0</v>
      </c>
      <c r="H102" s="82">
        <f>IF(H95&lt;&gt;"Dim",IF(SUM($B100:H100)&gt;35,(MIN(SUM($B100:H100),43)-35-SUM($B102:G102)),0),0)</f>
        <v>0</v>
      </c>
      <c r="I102" s="76">
        <f t="shared" si="209"/>
        <v>0</v>
      </c>
      <c r="J102" s="82">
        <f>IF(J95&lt;&gt;"Dim",IF(J100&gt;35,(MIN(J100,43)-35),0),0)</f>
        <v>0</v>
      </c>
      <c r="K102" s="82">
        <f>IF(K95&lt;&gt;"Dim",IF(SUM($J100:K100)&gt;35,(MIN(SUM($J100:K100),43)-35-SUM($J102:J102)),0),0)</f>
        <v>0</v>
      </c>
      <c r="L102" s="82">
        <f>IF(L95&lt;&gt;"Dim",IF(SUM($J100:L100)&gt;35,(MIN(SUM($J100:L100),43)-35-SUM($J102:K102)),0),0)</f>
        <v>0</v>
      </c>
      <c r="M102" s="82">
        <f>IF(M95&lt;&gt;"Dim",IF(SUM($J100:M100)&gt;35,(MIN(SUM($J100:M100),43)-35-SUM($J102:L102)),0),0)</f>
        <v>0</v>
      </c>
      <c r="N102" s="82"/>
      <c r="O102" s="82"/>
      <c r="P102" s="82">
        <f>IF(P95&lt;&gt;"Dim",IF(SUM($J100:P100)&gt;35,(MIN(SUM($J100:P100),43)-35-SUM($J102:O102)),0),0)</f>
        <v>0</v>
      </c>
      <c r="Q102" s="76">
        <f t="shared" si="211"/>
        <v>0</v>
      </c>
      <c r="R102" s="82">
        <f>IF(R95&lt;&gt;"Dim",IF(R100&gt;35,(MIN(R100,43)-35),0),0)</f>
        <v>0</v>
      </c>
      <c r="S102" s="82">
        <f>IF(S95&lt;&gt;"Dim",IF(SUM($R100:S100)&gt;35,(MIN(SUM($R100:S100),43)-35-SUM($R102:R102)),0),0)</f>
        <v>0</v>
      </c>
      <c r="T102" s="82">
        <f>IF(T95&lt;&gt;"Dim",IF(SUM($R100:T100)&gt;35,(MIN(SUM($R100:T100),43)-35-SUM($R102:S102)),0),0)</f>
        <v>0</v>
      </c>
      <c r="U102" s="82">
        <f>IF(U95&lt;&gt;"Dim",IF(SUM($R100:U100)&gt;35,(MIN(SUM($R100:U100),43)-35-SUM($R102:T102)),0),0)</f>
        <v>0</v>
      </c>
      <c r="V102" s="82">
        <f>IF(V95&lt;&gt;"Dim",IF(SUM($R100:V100)&gt;35,(MIN(SUM($R100:V100),43)-35-SUM($R102:U102)),0),0)</f>
        <v>0</v>
      </c>
      <c r="W102" s="82">
        <f>IF(W95&lt;&gt;"Dim",IF(SUM($R100:W100)&gt;35,(MIN(SUM($R100:W100),43)-35-SUM($R102:V102)),0),0)</f>
        <v>0</v>
      </c>
      <c r="X102" s="82">
        <f>IF(X95&lt;&gt;"Dim",IF(SUM($R100:X100)&gt;35,(MIN(SUM($R100:X100),43)-35-SUM($R102:W102)),0),0)</f>
        <v>0</v>
      </c>
      <c r="Y102" s="76">
        <f t="shared" si="213"/>
        <v>0</v>
      </c>
      <c r="Z102" s="82">
        <f>IF(Z95&lt;&gt;"Dim",IF(Z100&gt;35,(MIN(Z100,43)-35),0),0)</f>
        <v>0</v>
      </c>
      <c r="AA102" s="82">
        <f>IF(AA95&lt;&gt;"Dim",IF(SUM($Z100:AA100)&gt;35,(MIN(SUM($Z100:AA100),43)-35-SUM($Z102:Z102)),0),0)</f>
        <v>0</v>
      </c>
      <c r="AB102" s="82">
        <f>IF(AB95&lt;&gt;"Dim",IF(SUM($Z100:AB100)&gt;35,(MIN(SUM($Z100:AB100),43)-35-SUM($Z102:AA102)),0),0)</f>
        <v>0</v>
      </c>
      <c r="AC102" s="82">
        <f>IF(AC95&lt;&gt;"Dim",IF(SUM($Z100:AC100)&gt;35,(MIN(SUM($Z100:AC100),43)-35-SUM($Z102:AB102)),0),0)</f>
        <v>0</v>
      </c>
      <c r="AD102" s="82"/>
      <c r="AE102" s="82"/>
      <c r="AF102" s="82">
        <f>IF(AF95&lt;&gt;"Dim",IF(SUM($Z100:AF100)&gt;35,(MIN(SUM($Z100:AF100),43)-35-SUM($Z102:AE102)),0),0)</f>
        <v>0</v>
      </c>
      <c r="AG102" s="76">
        <f t="shared" si="215"/>
        <v>0</v>
      </c>
      <c r="AH102" s="82">
        <f>IF(AH95&lt;&gt;"Dim",IF(AH100&gt;35,(MIN(AH100,43)-35),0),0)</f>
        <v>0</v>
      </c>
      <c r="AI102" s="82">
        <f>IF(AI95&lt;&gt;"Dim",IF(SUM($AH100:AI100)&gt;35,(MIN(SUM($AH100:AI100),43)-35-SUM($AH102:AH102)),0),0)</f>
        <v>0</v>
      </c>
      <c r="AJ102" s="82">
        <f>IF(AJ95&lt;&gt;"Dim",IF(SUM($AH100:AJ100)&gt;35,(MIN(SUM($AH100:AJ100),43)-35-SUM($AH102:AI102)),0),0)</f>
        <v>0</v>
      </c>
      <c r="AK102" s="82">
        <f>IF(AK95&lt;&gt;"Dim",IF(SUM($AH100:AK100)&gt;35,(MIN(SUM($AH100:AK100),43)-35-SUM($AH102:AJ102)),0),0)</f>
        <v>0</v>
      </c>
      <c r="AL102" s="82">
        <f>IF(AL95&lt;&gt;"Dim",IF(SUM($AH100:AL100)&gt;35,(MIN(SUM($AH100:AL100),43)-35-SUM($AH102:AK102)),0),0)</f>
        <v>0</v>
      </c>
      <c r="AM102" s="82">
        <f>IF(AM95&lt;&gt;"Dim",IF(SUM($AH100:AM100)&gt;35,(MIN(SUM($AH100:AM100),43)-35-SUM($AH102:AL102)),0),0)</f>
        <v>0</v>
      </c>
      <c r="AN102" s="82">
        <f>IF(AN95&lt;&gt;"Dim",IF(SUM($AH100:AN100)&gt;35,(MIN(SUM($AH100:AN100),43)-35-SUM($AH102:AM102)),0),0)</f>
        <v>0</v>
      </c>
      <c r="AO102" s="76">
        <f t="shared" si="217"/>
        <v>0</v>
      </c>
      <c r="AP102" s="82">
        <f>IF(AP95&lt;&gt;"Dim",IF(AP100&gt;35,(MIN(AP100,43)-35),0),0)</f>
        <v>0</v>
      </c>
      <c r="AQ102" s="82">
        <f>IF(AQ95&lt;&gt;"Dim",IF(SUM($AP100:AQ100)&gt;35,(MIN(SUM($AP100:AQ100),43)-35-SUM($AP102:AP102)),0),0)</f>
        <v>0</v>
      </c>
      <c r="AR102" s="76">
        <f t="shared" si="207"/>
        <v>0</v>
      </c>
      <c r="AS102" s="76">
        <f t="shared" si="219"/>
        <v>0</v>
      </c>
      <c r="AT102" s="75"/>
      <c r="AU102" s="60"/>
      <c r="AV102" s="60"/>
      <c r="AW102" s="60"/>
      <c r="AX102" s="19"/>
      <c r="AY102" s="59"/>
      <c r="AZ102" s="60"/>
    </row>
    <row r="103" spans="1:52" x14ac:dyDescent="0.25">
      <c r="A103" s="37" t="s">
        <v>39</v>
      </c>
      <c r="B103" s="82">
        <f>IF(B95&lt;&gt;"Dim",IF(B100&gt;43,(MIN(B100,48)-43),0),0)</f>
        <v>0</v>
      </c>
      <c r="C103" s="82">
        <f>IF(C95&lt;&gt;"Dim",IF(SUM($B100:C100)&gt;43,(MIN(SUM($B100:C100),48)-43-SUM($B103:B103)),0),0)</f>
        <v>0</v>
      </c>
      <c r="D103" s="82">
        <f>IF(D95&lt;&gt;"Dim",IF(SUM($B100:D100)&gt;43,(MIN(SUM($B100:D100),48)-43-SUM($B103:C103)),0),0)</f>
        <v>0</v>
      </c>
      <c r="E103" s="82">
        <f>IF(E95&lt;&gt;"Dim",IF(SUM($B100:E100)&gt;43,(MIN(SUM($B100:E100),48)-43-SUM($B103:D103)),0),0)</f>
        <v>0</v>
      </c>
      <c r="F103" s="82">
        <f>IF(F95&lt;&gt;"Dim",IF(SUM($B100:F100)&gt;43,(MIN(SUM($B100:F100),48)-43-SUM($B103:E103)),0),0)</f>
        <v>0</v>
      </c>
      <c r="G103" s="82">
        <f>IF(G95&lt;&gt;"Dim",IF(SUM($B100:G100)&gt;43,(MIN(SUM($B100:G100),48)-43-SUM($B103:F103)),0),0)</f>
        <v>0</v>
      </c>
      <c r="H103" s="82">
        <f>IF(H95&lt;&gt;"Dim",IF(SUM($B100:H100)&gt;43,(MIN(SUM($B100:H100),48)-43-SUM($B103:G103)),0),0)</f>
        <v>0</v>
      </c>
      <c r="I103" s="76">
        <f t="shared" si="209"/>
        <v>0</v>
      </c>
      <c r="J103" s="82">
        <f>IF(J95&lt;&gt;"Dim",IF(J100&gt;43,(MIN(J100,48)-43),0),0)</f>
        <v>0</v>
      </c>
      <c r="K103" s="82">
        <f>IF(K95&lt;&gt;"Dim",IF(SUM($J100:K100)&gt;43,(MIN(SUM($J100:K100),48)-43-SUM($J103:J103)),0),0)</f>
        <v>0</v>
      </c>
      <c r="L103" s="82">
        <f>IF(L95&lt;&gt;"Dim",IF(SUM($J100:L100)&gt;43,(MIN(SUM($J100:L100),48)-43-SUM($J103:K103)),0),0)</f>
        <v>0</v>
      </c>
      <c r="M103" s="82">
        <f>IF(M95&lt;&gt;"Dim",IF(SUM($J100:M100)&gt;43,(MIN(SUM($J100:M100),48)-43-SUM($J103:L103)),0),0)</f>
        <v>0</v>
      </c>
      <c r="N103" s="82">
        <f>IF(N95&lt;&gt;"Dim",IF(SUM($J100:N100)&gt;43,(MIN(SUM($J100:N100),48)-43-SUM($J103:M103)),0),0)</f>
        <v>0</v>
      </c>
      <c r="O103" s="82">
        <f>IF(O95&lt;&gt;"Dim",IF(SUM($J100:O100)&gt;43,(MIN(SUM($J100:O100),48)-43-SUM($J103:N103)),0),0)</f>
        <v>0</v>
      </c>
      <c r="P103" s="82">
        <f>IF(P95&lt;&gt;"Dim",IF(SUM($J100:P100)&gt;43,(MIN(SUM($J100:P100),48)-43-SUM($J103:O103)),0),0)</f>
        <v>0</v>
      </c>
      <c r="Q103" s="76">
        <f t="shared" si="211"/>
        <v>0</v>
      </c>
      <c r="R103" s="82">
        <f>IF(R95&lt;&gt;"Dim",IF(R100&gt;43,(MIN(R100,48)-43),0),0)</f>
        <v>0</v>
      </c>
      <c r="S103" s="82">
        <f>IF(S95&lt;&gt;"Dim",IF(SUM($R100:S100)&gt;43,(MIN(SUM($R100:S100),48)-43-SUM($R103:R103)),0),0)</f>
        <v>0</v>
      </c>
      <c r="T103" s="82">
        <f>IF(T95&lt;&gt;"Dim",IF(SUM($R100:T100)&gt;43,(MIN(SUM($R100:T100),48)-43-SUM($R103:S103)),0),0)</f>
        <v>0</v>
      </c>
      <c r="U103" s="82">
        <f>IF(U95&lt;&gt;"Dim",IF(SUM($R100:U100)&gt;43,(MIN(SUM($R100:U100),48)-43-SUM($R103:T103)),0),0)</f>
        <v>0</v>
      </c>
      <c r="V103" s="82">
        <f>IF(V95&lt;&gt;"Dim",IF(SUM($R100:V100)&gt;43,(MIN(SUM($R100:V100),48)-43-SUM($R103:U103)),0),0)</f>
        <v>0</v>
      </c>
      <c r="W103" s="82">
        <f>IF(W95&lt;&gt;"Dim",IF(SUM($R100:W100)&gt;43,(MIN(SUM($R100:W100),48)-43-SUM($R103:V103)),0),0)</f>
        <v>0</v>
      </c>
      <c r="X103" s="82">
        <f>IF(X95&lt;&gt;"Dim",IF(SUM($R100:X100)&gt;43,(MIN(SUM($R100:X100),48)-43-SUM($R103:W103)),0),0)</f>
        <v>0</v>
      </c>
      <c r="Y103" s="76">
        <f t="shared" si="213"/>
        <v>0</v>
      </c>
      <c r="Z103" s="82">
        <f>IF(Z95&lt;&gt;"Dim",IF(Z100&gt;43,(MIN(Z100,48)-43),0),0)</f>
        <v>0</v>
      </c>
      <c r="AA103" s="82">
        <f>IF(AA95&lt;&gt;"Dim",IF(SUM($Z100:AA100)&gt;43,(MIN(SUM($Z100:AA100),48)-43-SUM($Z103:Z103)),0),0)</f>
        <v>0</v>
      </c>
      <c r="AB103" s="82">
        <f>IF(AB95&lt;&gt;"Dim",IF(SUM($Z100:AB100)&gt;43,(MIN(SUM($Z100:AB100),48)-43-SUM($Z103:AA103)),0),0)</f>
        <v>0</v>
      </c>
      <c r="AC103" s="82">
        <f>IF(AC95&lt;&gt;"Dim",IF(SUM($Z100:AC100)&gt;43,(MIN(SUM($Z100:AC100),48)-43-SUM($Z103:AB103)),0),0)</f>
        <v>0</v>
      </c>
      <c r="AD103" s="82">
        <f>IF(AD95&lt;&gt;"Dim",IF(SUM($Z100:AD100)&gt;43,(MIN(SUM($Z100:AD100),48)-43-SUM($Z103:AC103)),0),0)</f>
        <v>0</v>
      </c>
      <c r="AE103" s="82">
        <f>IF(AE95&lt;&gt;"Dim",IF(SUM($Z100:AE100)&gt;43,(MIN(SUM($Z100:AE100),48)-43-SUM($Z103:AD103)),0),0)</f>
        <v>0</v>
      </c>
      <c r="AF103" s="82">
        <f>IF(AF95&lt;&gt;"Dim",IF(SUM($Z100:AF100)&gt;43,(MIN(SUM($Z100:AF100),48)-43-SUM($Z103:AE103)),0),0)</f>
        <v>0</v>
      </c>
      <c r="AG103" s="76">
        <f t="shared" si="215"/>
        <v>0</v>
      </c>
      <c r="AH103" s="82">
        <f>IF(AH95&lt;&gt;"Dim",IF(AH100&gt;43,(MIN(AH100,48)-43),0),0)</f>
        <v>0</v>
      </c>
      <c r="AI103" s="82">
        <f>IF(AI95&lt;&gt;"Dim",IF(SUM($AH100:AI100)&gt;43,(MIN(SUM($AH100:AI100),48)-43-SUM($AH103:AH103)),0),0)</f>
        <v>0</v>
      </c>
      <c r="AJ103" s="82">
        <f>IF(AJ95&lt;&gt;"Dim",IF(SUM($AH100:AJ100)&gt;43,(MIN(SUM($AH100:AJ100),48)-43-SUM($AH103:AI103)),0),0)</f>
        <v>0</v>
      </c>
      <c r="AK103" s="82">
        <f>IF(AK95&lt;&gt;"Dim",IF(SUM($AH100:AK100)&gt;43,(MIN(SUM($AH100:AK100),48)-43-SUM($AH103:AJ103)),0),0)</f>
        <v>0</v>
      </c>
      <c r="AL103" s="82">
        <f>IF(AL95&lt;&gt;"Dim",IF(SUM($AH100:AL100)&gt;43,(MIN(SUM($AH100:AL100),48)-43-SUM($AH103:AK103)),0),0)</f>
        <v>0</v>
      </c>
      <c r="AM103" s="82">
        <f>IF(AM95&lt;&gt;"Dim",IF(SUM($AH100:AM100)&gt;43,(MIN(SUM($AH100:AM100),48)-43-SUM($AH103:AL103)),0),0)</f>
        <v>0</v>
      </c>
      <c r="AN103" s="82">
        <f>IF(AN95&lt;&gt;"Dim",IF(SUM($AH100:AN100)&gt;43,(MIN(SUM($AH100:AN100),48)-43-SUM($AH103:AM103)),0),0)</f>
        <v>0</v>
      </c>
      <c r="AO103" s="76">
        <f t="shared" si="217"/>
        <v>0</v>
      </c>
      <c r="AP103" s="82">
        <f>IF(AP95&lt;&gt;"Dim",IF(AP100&gt;43,(MIN(AP100,48)-43),0),0)</f>
        <v>0</v>
      </c>
      <c r="AQ103" s="82">
        <f>IF(AQ95&lt;&gt;"Dim",IF(SUM($AP100:AQ100)&gt;43,(MIN(SUM($AP100:AQ100),48)-43-SUM($AP103:AP103)),0),0)</f>
        <v>0</v>
      </c>
      <c r="AR103" s="76">
        <f t="shared" si="207"/>
        <v>0</v>
      </c>
      <c r="AS103" s="76">
        <f t="shared" si="219"/>
        <v>0</v>
      </c>
      <c r="AT103" s="75"/>
      <c r="AU103" s="60"/>
      <c r="AV103" s="60"/>
      <c r="AW103" s="60"/>
      <c r="AX103" s="19"/>
      <c r="AY103" s="59"/>
      <c r="AZ103" s="60"/>
    </row>
    <row r="104" spans="1:52" ht="15" customHeight="1" x14ac:dyDescent="0.25">
      <c r="A104" s="37" t="s">
        <v>41</v>
      </c>
      <c r="B104" s="82">
        <f>IF(B95="Dim",B100,IF(B110="ferie",B100,0))</f>
        <v>0</v>
      </c>
      <c r="C104" s="82">
        <f t="shared" ref="C104:H104" si="220">IF(C95="Dim",C100,IF(C110="ferie",C100,0))</f>
        <v>0</v>
      </c>
      <c r="D104" s="82">
        <f t="shared" si="220"/>
        <v>0</v>
      </c>
      <c r="E104" s="82">
        <f t="shared" si="220"/>
        <v>0</v>
      </c>
      <c r="F104" s="82">
        <f t="shared" si="220"/>
        <v>0</v>
      </c>
      <c r="G104" s="82">
        <f t="shared" si="220"/>
        <v>0</v>
      </c>
      <c r="H104" s="82">
        <f t="shared" si="220"/>
        <v>8</v>
      </c>
      <c r="I104" s="76">
        <f t="shared" si="209"/>
        <v>8</v>
      </c>
      <c r="J104" s="82">
        <f>IF(J95="Dim",J100,IF(J110="ferie",J100,0))</f>
        <v>0</v>
      </c>
      <c r="K104" s="82">
        <f t="shared" ref="K104:P104" si="221">IF(K95="Dim",K100,IF(K110="ferie",K100,0))</f>
        <v>0</v>
      </c>
      <c r="L104" s="82">
        <f t="shared" si="221"/>
        <v>0</v>
      </c>
      <c r="M104" s="82">
        <f t="shared" si="221"/>
        <v>0</v>
      </c>
      <c r="N104" s="82">
        <f t="shared" si="221"/>
        <v>0</v>
      </c>
      <c r="O104" s="82">
        <f>IF(O95="Dim",O100,IF(O110="ferie",O100,0))</f>
        <v>0</v>
      </c>
      <c r="P104" s="82">
        <f t="shared" si="221"/>
        <v>0</v>
      </c>
      <c r="Q104" s="76">
        <f t="shared" si="211"/>
        <v>0</v>
      </c>
      <c r="R104" s="82">
        <f>IF(R95="Dim",R100,IF(R110="ferie",R100,0))</f>
        <v>0</v>
      </c>
      <c r="S104" s="82">
        <f t="shared" ref="S104:X104" si="222">IF(S95="Dim",S100,IF(S110="ferie",S100,0))</f>
        <v>0</v>
      </c>
      <c r="T104" s="82">
        <f t="shared" si="222"/>
        <v>0</v>
      </c>
      <c r="U104" s="82">
        <f t="shared" si="222"/>
        <v>0</v>
      </c>
      <c r="V104" s="82">
        <f t="shared" si="222"/>
        <v>0</v>
      </c>
      <c r="W104" s="82">
        <f t="shared" si="222"/>
        <v>0</v>
      </c>
      <c r="X104" s="82">
        <f t="shared" si="222"/>
        <v>0</v>
      </c>
      <c r="Y104" s="76">
        <f t="shared" ref="Y104" si="223">SUM(R104:X104)</f>
        <v>0</v>
      </c>
      <c r="Z104" s="82">
        <f>IF(Z95="Dim",Z100,IF(Z110="ferie",Z100,0))</f>
        <v>0</v>
      </c>
      <c r="AA104" s="82">
        <f t="shared" ref="AA104:AF104" si="224">IF(AA95="Dim",AA100,IF(AA110="ferie",AA100,0))</f>
        <v>0</v>
      </c>
      <c r="AB104" s="82">
        <f t="shared" si="224"/>
        <v>0</v>
      </c>
      <c r="AC104" s="82">
        <f t="shared" si="224"/>
        <v>0</v>
      </c>
      <c r="AD104" s="82">
        <f t="shared" si="224"/>
        <v>0</v>
      </c>
      <c r="AE104" s="82">
        <f t="shared" si="224"/>
        <v>0</v>
      </c>
      <c r="AF104" s="82">
        <f t="shared" si="224"/>
        <v>0</v>
      </c>
      <c r="AG104" s="76">
        <f t="shared" si="215"/>
        <v>0</v>
      </c>
      <c r="AH104" s="82">
        <f>IF(AH95="Dim",AH100,IF(AH110="ferie",AH100,0))</f>
        <v>0</v>
      </c>
      <c r="AI104" s="82">
        <f t="shared" ref="AI104:AQ104" si="225">IF(AI95="Dim",AI100,IF(AI110="ferie",AI100,0))</f>
        <v>0</v>
      </c>
      <c r="AJ104" s="82">
        <f t="shared" si="225"/>
        <v>0</v>
      </c>
      <c r="AK104" s="82">
        <f t="shared" si="225"/>
        <v>0</v>
      </c>
      <c r="AL104" s="82">
        <f t="shared" si="225"/>
        <v>0</v>
      </c>
      <c r="AM104" s="82">
        <f t="shared" si="225"/>
        <v>0</v>
      </c>
      <c r="AN104" s="82">
        <f t="shared" si="225"/>
        <v>0</v>
      </c>
      <c r="AO104" s="76">
        <f>SUM(AH104:AN104)</f>
        <v>0</v>
      </c>
      <c r="AP104" s="82">
        <f>IF(AP95="Dim",AP100,IF(AP110="ferie",AP100,0))</f>
        <v>0</v>
      </c>
      <c r="AQ104" s="82">
        <f t="shared" si="225"/>
        <v>0</v>
      </c>
      <c r="AR104" s="76">
        <f t="shared" si="207"/>
        <v>0</v>
      </c>
      <c r="AS104" s="76">
        <f t="shared" si="219"/>
        <v>8</v>
      </c>
      <c r="AT104" s="75"/>
    </row>
    <row r="105" spans="1:52" ht="15" customHeight="1" x14ac:dyDescent="0.25">
      <c r="A105" s="37" t="s">
        <v>59</v>
      </c>
      <c r="B105" s="47"/>
      <c r="C105" s="47"/>
      <c r="D105" s="47"/>
      <c r="E105" s="47"/>
      <c r="F105" s="47"/>
      <c r="G105" s="47"/>
      <c r="H105" s="47"/>
      <c r="I105" s="76">
        <f t="shared" si="209"/>
        <v>0</v>
      </c>
      <c r="J105" s="47"/>
      <c r="K105" s="47"/>
      <c r="L105" s="47"/>
      <c r="M105" s="47"/>
      <c r="N105" s="47"/>
      <c r="O105" s="47"/>
      <c r="P105" s="47"/>
      <c r="Q105" s="76">
        <f t="shared" si="211"/>
        <v>0</v>
      </c>
      <c r="R105" s="47"/>
      <c r="S105" s="47">
        <v>8</v>
      </c>
      <c r="T105" s="47"/>
      <c r="U105" s="47"/>
      <c r="V105" s="47"/>
      <c r="W105" s="47"/>
      <c r="X105" s="47"/>
      <c r="Y105" s="76">
        <f t="shared" si="213"/>
        <v>8</v>
      </c>
      <c r="Z105" s="47"/>
      <c r="AA105" s="47"/>
      <c r="AB105" s="47"/>
      <c r="AC105" s="47"/>
      <c r="AD105" s="47"/>
      <c r="AE105" s="47"/>
      <c r="AF105" s="47"/>
      <c r="AG105" s="76">
        <f t="shared" si="215"/>
        <v>0</v>
      </c>
      <c r="AH105" s="47"/>
      <c r="AI105" s="47"/>
      <c r="AJ105" s="47"/>
      <c r="AK105" s="47"/>
      <c r="AL105" s="47"/>
      <c r="AM105" s="47"/>
      <c r="AN105" s="47"/>
      <c r="AO105" s="76">
        <f t="shared" si="217"/>
        <v>0</v>
      </c>
      <c r="AP105" s="47"/>
      <c r="AQ105" s="47"/>
      <c r="AR105" s="76">
        <f t="shared" si="207"/>
        <v>0</v>
      </c>
      <c r="AS105" s="76">
        <f t="shared" si="219"/>
        <v>8</v>
      </c>
      <c r="AT105" s="75"/>
    </row>
    <row r="106" spans="1:52" ht="15" customHeight="1" x14ac:dyDescent="0.25">
      <c r="A106" s="52" t="s">
        <v>60</v>
      </c>
      <c r="B106" s="47"/>
      <c r="C106" s="47"/>
      <c r="D106" s="47"/>
      <c r="E106" s="47"/>
      <c r="F106" s="47"/>
      <c r="G106" s="47"/>
      <c r="H106" s="47"/>
      <c r="I106" s="76">
        <f t="shared" si="209"/>
        <v>0</v>
      </c>
      <c r="J106" s="47"/>
      <c r="K106" s="47"/>
      <c r="L106" s="47"/>
      <c r="M106" s="47"/>
      <c r="N106" s="47"/>
      <c r="O106" s="47"/>
      <c r="P106" s="47"/>
      <c r="Q106" s="76">
        <f t="shared" si="211"/>
        <v>0</v>
      </c>
      <c r="R106" s="47"/>
      <c r="S106" s="47"/>
      <c r="T106" s="47"/>
      <c r="U106" s="47">
        <v>8</v>
      </c>
      <c r="V106" s="47">
        <v>8</v>
      </c>
      <c r="W106" s="47"/>
      <c r="X106" s="47"/>
      <c r="Y106" s="76">
        <f t="shared" si="213"/>
        <v>16</v>
      </c>
      <c r="Z106" s="47"/>
      <c r="AA106" s="47"/>
      <c r="AB106" s="47"/>
      <c r="AC106" s="47"/>
      <c r="AD106" s="47"/>
      <c r="AE106" s="47"/>
      <c r="AF106" s="47"/>
      <c r="AG106" s="76">
        <f t="shared" si="215"/>
        <v>0</v>
      </c>
      <c r="AH106" s="47"/>
      <c r="AI106" s="47"/>
      <c r="AJ106" s="47"/>
      <c r="AK106" s="47"/>
      <c r="AL106" s="47"/>
      <c r="AM106" s="47"/>
      <c r="AN106" s="47"/>
      <c r="AO106" s="76">
        <f t="shared" si="217"/>
        <v>0</v>
      </c>
      <c r="AP106" s="47"/>
      <c r="AQ106" s="47"/>
      <c r="AR106" s="76">
        <f t="shared" ref="AR106:AR108" si="226">SUM(AP106:AQ106)</f>
        <v>0</v>
      </c>
      <c r="AS106" s="76">
        <f t="shared" si="219"/>
        <v>16</v>
      </c>
      <c r="AT106" s="75"/>
    </row>
    <row r="107" spans="1:52" ht="15" customHeight="1" x14ac:dyDescent="0.25">
      <c r="A107" s="37" t="s">
        <v>62</v>
      </c>
      <c r="B107" s="47"/>
      <c r="C107" s="47"/>
      <c r="D107" s="47"/>
      <c r="E107" s="47"/>
      <c r="F107" s="47"/>
      <c r="G107" s="47"/>
      <c r="H107" s="47"/>
      <c r="I107" s="76">
        <f t="shared" si="209"/>
        <v>0</v>
      </c>
      <c r="J107" s="47"/>
      <c r="K107" s="47"/>
      <c r="L107" s="47"/>
      <c r="M107" s="47"/>
      <c r="N107" s="47"/>
      <c r="O107" s="47"/>
      <c r="P107" s="47"/>
      <c r="Q107" s="76">
        <f t="shared" si="211"/>
        <v>0</v>
      </c>
      <c r="R107" s="47"/>
      <c r="S107" s="47"/>
      <c r="T107" s="47"/>
      <c r="U107" s="47"/>
      <c r="V107" s="47"/>
      <c r="W107" s="47"/>
      <c r="X107" s="47"/>
      <c r="Y107" s="76">
        <f t="shared" si="213"/>
        <v>0</v>
      </c>
      <c r="Z107" s="47"/>
      <c r="AA107" s="47"/>
      <c r="AB107" s="47"/>
      <c r="AC107" s="47"/>
      <c r="AD107" s="47"/>
      <c r="AE107" s="47"/>
      <c r="AF107" s="47"/>
      <c r="AG107" s="76">
        <f t="shared" si="215"/>
        <v>0</v>
      </c>
      <c r="AH107" s="47"/>
      <c r="AI107" s="47"/>
      <c r="AJ107" s="47"/>
      <c r="AK107" s="47"/>
      <c r="AL107" s="47"/>
      <c r="AM107" s="47"/>
      <c r="AN107" s="47"/>
      <c r="AO107" s="76">
        <f t="shared" si="217"/>
        <v>0</v>
      </c>
      <c r="AP107" s="47"/>
      <c r="AQ107" s="47"/>
      <c r="AR107" s="76">
        <f t="shared" si="226"/>
        <v>0</v>
      </c>
      <c r="AS107" s="76">
        <f t="shared" si="219"/>
        <v>0</v>
      </c>
      <c r="AT107" s="75"/>
    </row>
    <row r="108" spans="1:52" ht="15" customHeight="1" x14ac:dyDescent="0.25">
      <c r="A108" s="52" t="s">
        <v>61</v>
      </c>
      <c r="B108" s="47"/>
      <c r="C108" s="47"/>
      <c r="D108" s="47"/>
      <c r="E108" s="47"/>
      <c r="F108" s="47"/>
      <c r="G108" s="47"/>
      <c r="H108" s="47"/>
      <c r="I108" s="76">
        <f t="shared" si="209"/>
        <v>0</v>
      </c>
      <c r="J108" s="47"/>
      <c r="K108" s="47"/>
      <c r="L108" s="47"/>
      <c r="M108" s="47"/>
      <c r="N108" s="47"/>
      <c r="O108" s="47"/>
      <c r="P108" s="47"/>
      <c r="Q108" s="76">
        <f t="shared" si="211"/>
        <v>0</v>
      </c>
      <c r="R108" s="47"/>
      <c r="S108" s="47"/>
      <c r="T108" s="47"/>
      <c r="U108" s="47"/>
      <c r="V108" s="47"/>
      <c r="W108" s="47"/>
      <c r="X108" s="47"/>
      <c r="Y108" s="76">
        <f t="shared" si="213"/>
        <v>0</v>
      </c>
      <c r="Z108" s="47"/>
      <c r="AA108" s="47"/>
      <c r="AB108" s="47"/>
      <c r="AC108" s="47"/>
      <c r="AD108" s="47"/>
      <c r="AE108" s="47"/>
      <c r="AF108" s="47"/>
      <c r="AG108" s="76">
        <f t="shared" si="215"/>
        <v>0</v>
      </c>
      <c r="AH108" s="47"/>
      <c r="AI108" s="47"/>
      <c r="AJ108" s="47"/>
      <c r="AK108" s="47"/>
      <c r="AL108" s="47"/>
      <c r="AM108" s="47"/>
      <c r="AN108" s="47"/>
      <c r="AO108" s="76">
        <f t="shared" si="217"/>
        <v>0</v>
      </c>
      <c r="AP108" s="47"/>
      <c r="AQ108" s="47"/>
      <c r="AR108" s="76">
        <f t="shared" si="226"/>
        <v>0</v>
      </c>
      <c r="AS108" s="76">
        <f t="shared" si="219"/>
        <v>0</v>
      </c>
      <c r="AT108" s="75"/>
    </row>
    <row r="109" spans="1:52" s="49" customFormat="1" ht="15" customHeight="1" x14ac:dyDescent="0.25">
      <c r="A109" s="52" t="s">
        <v>95</v>
      </c>
      <c r="B109" s="76">
        <f>IF(B97="nuit",B100*0.02,0)</f>
        <v>0</v>
      </c>
      <c r="C109" s="76">
        <f>IF(C97="nuit",C100*0.02,0)</f>
        <v>0</v>
      </c>
      <c r="D109" s="76">
        <f t="shared" ref="D109:H109" si="227">IF(D97="nuit",D100*0.02,0)</f>
        <v>0</v>
      </c>
      <c r="E109" s="76">
        <f t="shared" si="227"/>
        <v>0</v>
      </c>
      <c r="F109" s="76">
        <f>IF(F97="nuit",F100*0.02,0)</f>
        <v>0</v>
      </c>
      <c r="G109" s="76">
        <f t="shared" si="227"/>
        <v>0</v>
      </c>
      <c r="H109" s="76">
        <f t="shared" si="227"/>
        <v>0</v>
      </c>
      <c r="I109" s="76">
        <f t="shared" si="209"/>
        <v>0</v>
      </c>
      <c r="J109" s="76">
        <f>IF(J97="nuit",J100*0.02,0)</f>
        <v>0.16</v>
      </c>
      <c r="K109" s="76">
        <f>IF(K97="nuit",K100*0.02,0)</f>
        <v>0.16</v>
      </c>
      <c r="L109" s="76">
        <f t="shared" ref="L109:P109" si="228">IF(L97="nuit",L100*0.02,0)</f>
        <v>0.16</v>
      </c>
      <c r="M109" s="76">
        <f t="shared" si="228"/>
        <v>0.16</v>
      </c>
      <c r="N109" s="76">
        <f>IF(N97="nuit",N100*0.02,0)</f>
        <v>0.16</v>
      </c>
      <c r="O109" s="76">
        <f t="shared" si="228"/>
        <v>0</v>
      </c>
      <c r="P109" s="76">
        <f t="shared" si="228"/>
        <v>0</v>
      </c>
      <c r="Q109" s="76">
        <f t="shared" si="211"/>
        <v>0.8</v>
      </c>
      <c r="R109" s="76">
        <f>IF(R97="nuit",R100*0.02,0)</f>
        <v>0</v>
      </c>
      <c r="S109" s="76">
        <f>IF(S97="nuit",S100*0.02,0)</f>
        <v>0</v>
      </c>
      <c r="T109" s="76">
        <f t="shared" ref="T109:X109" si="229">IF(T97="nuit",T100*0.02,0)</f>
        <v>0</v>
      </c>
      <c r="U109" s="76">
        <f t="shared" si="229"/>
        <v>0</v>
      </c>
      <c r="V109" s="76">
        <f>IF(V97="nuit",V100*0.02,0)</f>
        <v>0</v>
      </c>
      <c r="W109" s="76">
        <f t="shared" si="229"/>
        <v>0</v>
      </c>
      <c r="X109" s="76">
        <f t="shared" si="229"/>
        <v>0</v>
      </c>
      <c r="Y109" s="76">
        <f t="shared" si="213"/>
        <v>0</v>
      </c>
      <c r="Z109" s="76">
        <f>IF(Z97="nuit",Z100*0.02,0)</f>
        <v>0</v>
      </c>
      <c r="AA109" s="76">
        <f>IF(AA97="nuit",AA100*0.02,0)</f>
        <v>0</v>
      </c>
      <c r="AB109" s="76">
        <f t="shared" ref="AB109:AF109" si="230">IF(AB97="nuit",AB100*0.02,0)</f>
        <v>0</v>
      </c>
      <c r="AC109" s="76">
        <f t="shared" si="230"/>
        <v>0</v>
      </c>
      <c r="AD109" s="76">
        <f>IF(AD97="nuit",AD100*0.02,0)</f>
        <v>0</v>
      </c>
      <c r="AE109" s="76">
        <f t="shared" si="230"/>
        <v>0</v>
      </c>
      <c r="AF109" s="76">
        <f t="shared" si="230"/>
        <v>0</v>
      </c>
      <c r="AG109" s="76">
        <f t="shared" si="215"/>
        <v>0</v>
      </c>
      <c r="AH109" s="76">
        <f>IF(AH97="nuit",AH100*0.02,0)</f>
        <v>0</v>
      </c>
      <c r="AI109" s="76">
        <f>IF(AI97="nuit",AI100*0.02,0)</f>
        <v>0</v>
      </c>
      <c r="AJ109" s="76">
        <f t="shared" ref="AJ109:AN109" si="231">IF(AJ97="nuit",AJ100*0.02,0)</f>
        <v>0</v>
      </c>
      <c r="AK109" s="76">
        <f t="shared" si="231"/>
        <v>0</v>
      </c>
      <c r="AL109" s="76">
        <f>IF(AL97="nuit",AL100*0.02,0)</f>
        <v>0</v>
      </c>
      <c r="AM109" s="76">
        <f t="shared" si="231"/>
        <v>0</v>
      </c>
      <c r="AN109" s="76">
        <f t="shared" si="231"/>
        <v>0</v>
      </c>
      <c r="AO109" s="76">
        <f t="shared" si="217"/>
        <v>0</v>
      </c>
      <c r="AP109" s="76">
        <f>IF(AP97="nuit",AP100*0.02,0)</f>
        <v>0</v>
      </c>
      <c r="AQ109" s="76">
        <f>IF(AQ97="nuit",AQ100*0.02,0)</f>
        <v>0</v>
      </c>
      <c r="AR109" s="76">
        <f>SUM(AP109:AQ109)</f>
        <v>0</v>
      </c>
      <c r="AS109" s="76">
        <f>I109+Q109+Y109+AG109+AO109+AR109</f>
        <v>0.8</v>
      </c>
      <c r="AT109" s="68"/>
      <c r="AU109" s="68"/>
      <c r="AV109" s="68"/>
      <c r="AW109" s="68"/>
      <c r="AX109" s="68"/>
      <c r="AY109" s="68"/>
      <c r="AZ109" s="51"/>
    </row>
    <row r="110" spans="1:52" ht="15" customHeight="1" x14ac:dyDescent="0.25">
      <c r="A110" s="37" t="s">
        <v>82</v>
      </c>
      <c r="B110" s="47"/>
      <c r="C110" s="47"/>
      <c r="D110" s="47"/>
      <c r="E110" s="47"/>
      <c r="F110" s="47"/>
      <c r="G110" s="53"/>
      <c r="H110" s="53"/>
      <c r="I110" s="80"/>
      <c r="J110" s="53"/>
      <c r="K110" s="53"/>
      <c r="L110" s="53"/>
      <c r="M110" s="53"/>
      <c r="N110" s="53"/>
      <c r="O110" s="53"/>
      <c r="P110" s="53"/>
      <c r="Q110" s="80"/>
      <c r="R110" s="53"/>
      <c r="S110" s="53"/>
      <c r="T110" s="53"/>
      <c r="U110" s="53"/>
      <c r="V110" s="53"/>
      <c r="W110" s="53"/>
      <c r="X110" s="53"/>
      <c r="Y110" s="80"/>
      <c r="Z110" s="53"/>
      <c r="AA110" s="53"/>
      <c r="AB110" s="53"/>
      <c r="AC110" s="53"/>
      <c r="AD110" s="53"/>
      <c r="AE110" s="53"/>
      <c r="AF110" s="53"/>
      <c r="AG110" s="80"/>
      <c r="AH110" s="53"/>
      <c r="AI110" s="53"/>
      <c r="AJ110" s="53"/>
      <c r="AK110" s="53"/>
      <c r="AL110" s="53"/>
      <c r="AM110" s="53"/>
      <c r="AN110" s="53"/>
      <c r="AO110" s="80"/>
      <c r="AP110" s="53"/>
      <c r="AQ110" s="53"/>
      <c r="AR110" s="80"/>
      <c r="AS110" s="81"/>
    </row>
    <row r="111" spans="1:52" ht="15" customHeight="1" x14ac:dyDescent="0.25">
      <c r="A111" s="54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85"/>
    </row>
    <row r="112" spans="1:52" ht="27.6" x14ac:dyDescent="0.25">
      <c r="A112" s="37"/>
      <c r="B112" s="40" t="s">
        <v>76</v>
      </c>
      <c r="C112" s="40"/>
      <c r="D112" s="40"/>
      <c r="E112" s="40"/>
      <c r="F112" s="40"/>
      <c r="G112" s="96">
        <f>Année_Calendaire</f>
        <v>2016</v>
      </c>
      <c r="H112" s="96"/>
      <c r="I112" s="65"/>
      <c r="J112" s="47"/>
      <c r="K112" s="47"/>
      <c r="L112" s="47"/>
      <c r="M112" s="47"/>
      <c r="N112" s="47"/>
      <c r="O112" s="47"/>
      <c r="P112" s="47"/>
      <c r="Q112" s="65"/>
      <c r="R112" s="40" t="s">
        <v>76</v>
      </c>
      <c r="S112" s="40"/>
      <c r="T112" s="40"/>
      <c r="U112" s="40"/>
      <c r="V112" s="40"/>
      <c r="W112" s="96">
        <f>Année_Calendaire</f>
        <v>2016</v>
      </c>
      <c r="X112" s="96"/>
      <c r="Y112" s="65"/>
      <c r="Z112" s="47"/>
      <c r="AA112" s="47"/>
      <c r="AB112" s="47"/>
      <c r="AC112" s="47"/>
      <c r="AD112" s="47"/>
      <c r="AE112" s="47"/>
      <c r="AF112" s="47"/>
      <c r="AG112" s="65"/>
      <c r="AH112" s="40" t="s">
        <v>76</v>
      </c>
      <c r="AI112" s="40"/>
      <c r="AJ112" s="40"/>
      <c r="AK112" s="40"/>
      <c r="AL112" s="40"/>
      <c r="AM112" s="96">
        <f>Année_Calendaire</f>
        <v>2016</v>
      </c>
      <c r="AN112" s="96"/>
      <c r="AO112" s="65"/>
      <c r="AP112" s="47"/>
      <c r="AQ112" s="47"/>
      <c r="AR112" s="65"/>
    </row>
    <row r="113" spans="1:52" ht="29.25" customHeight="1" x14ac:dyDescent="0.25">
      <c r="A113" s="47"/>
      <c r="B113" s="78" t="s">
        <v>64</v>
      </c>
      <c r="C113" s="78" t="s">
        <v>65</v>
      </c>
      <c r="D113" s="78" t="s">
        <v>66</v>
      </c>
      <c r="E113" s="78" t="s">
        <v>67</v>
      </c>
      <c r="F113" s="78" t="s">
        <v>68</v>
      </c>
      <c r="G113" s="78" t="s">
        <v>69</v>
      </c>
      <c r="H113" s="78" t="s">
        <v>70</v>
      </c>
      <c r="I113" s="97" t="s">
        <v>83</v>
      </c>
      <c r="J113" s="78" t="s">
        <v>64</v>
      </c>
      <c r="K113" s="78" t="s">
        <v>65</v>
      </c>
      <c r="L113" s="78" t="s">
        <v>66</v>
      </c>
      <c r="M113" s="78" t="s">
        <v>67</v>
      </c>
      <c r="N113" s="78" t="s">
        <v>68</v>
      </c>
      <c r="O113" s="78" t="s">
        <v>69</v>
      </c>
      <c r="P113" s="78" t="s">
        <v>70</v>
      </c>
      <c r="Q113" s="97" t="s">
        <v>83</v>
      </c>
      <c r="R113" s="78" t="s">
        <v>64</v>
      </c>
      <c r="S113" s="78" t="s">
        <v>65</v>
      </c>
      <c r="T113" s="78" t="s">
        <v>66</v>
      </c>
      <c r="U113" s="78" t="s">
        <v>67</v>
      </c>
      <c r="V113" s="78" t="s">
        <v>68</v>
      </c>
      <c r="W113" s="78" t="s">
        <v>69</v>
      </c>
      <c r="X113" s="78" t="s">
        <v>70</v>
      </c>
      <c r="Y113" s="97" t="s">
        <v>83</v>
      </c>
      <c r="Z113" s="78" t="s">
        <v>64</v>
      </c>
      <c r="AA113" s="78" t="s">
        <v>65</v>
      </c>
      <c r="AB113" s="78" t="s">
        <v>66</v>
      </c>
      <c r="AC113" s="78" t="s">
        <v>67</v>
      </c>
      <c r="AD113" s="78" t="s">
        <v>68</v>
      </c>
      <c r="AE113" s="78" t="s">
        <v>69</v>
      </c>
      <c r="AF113" s="78" t="s">
        <v>70</v>
      </c>
      <c r="AG113" s="97" t="s">
        <v>83</v>
      </c>
      <c r="AH113" s="78" t="s">
        <v>64</v>
      </c>
      <c r="AI113" s="78" t="s">
        <v>65</v>
      </c>
      <c r="AJ113" s="78" t="s">
        <v>66</v>
      </c>
      <c r="AK113" s="78" t="s">
        <v>67</v>
      </c>
      <c r="AL113" s="78" t="s">
        <v>68</v>
      </c>
      <c r="AM113" s="78" t="s">
        <v>69</v>
      </c>
      <c r="AN113" s="78" t="s">
        <v>70</v>
      </c>
      <c r="AO113" s="97" t="s">
        <v>83</v>
      </c>
      <c r="AP113" s="78" t="s">
        <v>64</v>
      </c>
      <c r="AQ113" s="78" t="s">
        <v>65</v>
      </c>
      <c r="AR113" s="97" t="s">
        <v>83</v>
      </c>
      <c r="AS113" s="97" t="s">
        <v>86</v>
      </c>
      <c r="AT113" s="98">
        <f>AS120+AS121+AS122</f>
        <v>26</v>
      </c>
      <c r="AU113" s="98">
        <f>AT113+AU95</f>
        <v>80</v>
      </c>
    </row>
    <row r="114" spans="1:52" ht="15" customHeight="1" x14ac:dyDescent="0.25">
      <c r="A114" s="64"/>
      <c r="B114" s="83" t="str">
        <f>IF(DAY(Juil_Dim1)=1,"",IF(AND(YEAR(Juil_Dim1+1)=Année_Calendaire,MONTH(Juil_Dim1+1)=7),Juil_Dim1+1,""))</f>
        <v/>
      </c>
      <c r="C114" s="83" t="str">
        <f>IF(DAY(Juil_Dim1)=1,"",IF(AND(YEAR(Juil_Dim1+2)=Année_Calendaire,MONTH(Juil_Dim1+2)=7),Juil_Dim1+2,""))</f>
        <v/>
      </c>
      <c r="D114" s="83" t="str">
        <f>IF(DAY(Juil_Dim1)=1,"",IF(AND(YEAR(Juil_Dim1+3)=Année_Calendaire,MONTH(Juil_Dim1+3)=7),Juil_Dim1+3,""))</f>
        <v/>
      </c>
      <c r="E114" s="83" t="str">
        <f>IF(DAY(Juil_Dim1)=1,"",IF(AND(YEAR(Juil_Dim1+4)=Année_Calendaire,MONTH(Juil_Dim1+4)=7),Juil_Dim1+4,""))</f>
        <v/>
      </c>
      <c r="F114" s="83">
        <f>IF(DAY(Juil_Dim1)=1,"",IF(AND(YEAR(Juil_Dim1+5)=Année_Calendaire,MONTH(Juil_Dim1+5)=7),Juil_Dim1+5,""))</f>
        <v>42552</v>
      </c>
      <c r="G114" s="83">
        <f>IF(DAY(Juil_Dim1)=1,"",IF(AND(YEAR(Juil_Dim1+6)=Année_Calendaire,MONTH(Juil_Dim1+6)=7),Juil_Dim1+6,""))</f>
        <v>42553</v>
      </c>
      <c r="H114" s="83">
        <f>IF(DAY(Juil_Dim1)=1,IF(AND(YEAR(Juil_Dim1)=Année_Calendaire,MONTH(Juil_Dim1)=7),Juil_Dim1,""),IF(AND(YEAR(Juil_Dim1+7)=Année_Calendaire,MONTH(Juil_Dim1+7)=7),Juil_Dim1+7,""))</f>
        <v>42554</v>
      </c>
      <c r="I114" s="97"/>
      <c r="J114" s="83">
        <f>IF(DAY(Juil_Dim1)=1,IF(AND(YEAR(Juil_Dim1+1)=Année_Calendaire,MONTH(Juil_Dim1+1)=7),Juil_Dim1+1,""),IF(AND(YEAR(Juil_Dim1+8)=Année_Calendaire,MONTH(Juil_Dim1+8)=7),Juil_Dim1+8,""))</f>
        <v>42555</v>
      </c>
      <c r="K114" s="83">
        <f>IF(DAY(Juil_Dim1)=1,IF(AND(YEAR(Juil_Dim1+2)=Année_Calendaire,MONTH(Juil_Dim1+2)=7),Juil_Dim1+2,""),IF(AND(YEAR(Juil_Dim1+9)=Année_Calendaire,MONTH(Juil_Dim1+9)=7),Juil_Dim1+9,""))</f>
        <v>42556</v>
      </c>
      <c r="L114" s="83">
        <f>IF(DAY(Juil_Dim1)=1,IF(AND(YEAR(Juil_Dim1+3)=Année_Calendaire,MONTH(Juil_Dim1+3)=7),Juil_Dim1+3,""),IF(AND(YEAR(Juil_Dim1+10)=Année_Calendaire,MONTH(Juil_Dim1+10)=7),Juil_Dim1+10,""))</f>
        <v>42557</v>
      </c>
      <c r="M114" s="83">
        <f>IF(DAY(Juil_Dim1)=1,IF(AND(YEAR(Juil_Dim1+4)=Année_Calendaire,MONTH(Juil_Dim1+4)=7),Juil_Dim1+4,""),IF(AND(YEAR(Juil_Dim1+11)=Année_Calendaire,MONTH(Juil_Dim1+11)=7),Juil_Dim1+11,""))</f>
        <v>42558</v>
      </c>
      <c r="N114" s="83">
        <f>IF(DAY(Juil_Dim1)=1,IF(AND(YEAR(Juil_Dim1+5)=Année_Calendaire,MONTH(Juil_Dim1+5)=7),Juil_Dim1+5,""),IF(AND(YEAR(Juil_Dim1+12)=Année_Calendaire,MONTH(Juil_Dim1+12)=7),Juil_Dim1+12,""))</f>
        <v>42559</v>
      </c>
      <c r="O114" s="83">
        <f>IF(DAY(Juil_Dim1)=1,IF(AND(YEAR(Juil_Dim1+6)=Année_Calendaire,MONTH(Juil_Dim1+6)=7),Juil_Dim1+6,""),IF(AND(YEAR(Juil_Dim1+13)=Année_Calendaire,MONTH(Juil_Dim1+13)=7),Juil_Dim1+13,""))</f>
        <v>42560</v>
      </c>
      <c r="P114" s="83">
        <f>IF(DAY(Juil_Dim1)=1,IF(AND(YEAR(Juil_Dim1+7)=Année_Calendaire,MONTH(Juil_Dim1+7)=7),Juil_Dim1+7,""),IF(AND(YEAR(Juil_Dim1+14)=Année_Calendaire,MONTH(Juil_Dim1+14)=7),Juil_Dim1+14,""))</f>
        <v>42561</v>
      </c>
      <c r="Q114" s="97"/>
      <c r="R114" s="83">
        <f>IF(DAY(Juil_Dim1)=1,IF(AND(YEAR(Juil_Dim1+8)=Année_Calendaire,MONTH(Juil_Dim1+8)=7),Juil_Dim1+8,""),IF(AND(YEAR(Juil_Dim1+15)=Année_Calendaire,MONTH(Juil_Dim1+15)=7),Juil_Dim1+15,""))</f>
        <v>42562</v>
      </c>
      <c r="S114" s="83">
        <f>IF(DAY(Juil_Dim1)=1,IF(AND(YEAR(Juil_Dim1+9)=Année_Calendaire,MONTH(Juil_Dim1+9)=7),Juil_Dim1+9,""),IF(AND(YEAR(Juil_Dim1+16)=Année_Calendaire,MONTH(Juil_Dim1+16)=7),Juil_Dim1+16,""))</f>
        <v>42563</v>
      </c>
      <c r="T114" s="83">
        <f>IF(DAY(Juil_Dim1)=1,IF(AND(YEAR(Juil_Dim1+10)=Année_Calendaire,MONTH(Juil_Dim1+10)=7),Juil_Dim1+10,""),IF(AND(YEAR(Juil_Dim1+17)=Année_Calendaire,MONTH(Juil_Dim1+17)=7),Juil_Dim1+17,""))</f>
        <v>42564</v>
      </c>
      <c r="U114" s="83">
        <f>IF(DAY(Juil_Dim1)=1,IF(AND(YEAR(Juil_Dim1+11)=Année_Calendaire,MONTH(Juil_Dim1+11)=7),Juil_Dim1+11,""),IF(AND(YEAR(Juil_Dim1+18)=Année_Calendaire,MONTH(Juil_Dim1+18)=7),Juil_Dim1+18,""))</f>
        <v>42565</v>
      </c>
      <c r="V114" s="83">
        <f>IF(DAY(Juil_Dim1)=1,IF(AND(YEAR(Juil_Dim1+12)=Année_Calendaire,MONTH(Juil_Dim1+12)=7),Juil_Dim1+12,""),IF(AND(YEAR(Juil_Dim1+19)=Année_Calendaire,MONTH(Juil_Dim1+19)=7),Juil_Dim1+19,""))</f>
        <v>42566</v>
      </c>
      <c r="W114" s="83">
        <f>IF(DAY(Juil_Dim1)=1,IF(AND(YEAR(Juil_Dim1+13)=Année_Calendaire,MONTH(Juil_Dim1+13)=7),Juil_Dim1+13,""),IF(AND(YEAR(Juil_Dim1+20)=Année_Calendaire,MONTH(Juil_Dim1+20)=7),Juil_Dim1+20,""))</f>
        <v>42567</v>
      </c>
      <c r="X114" s="83">
        <f>IF(DAY(Juil_Dim1)=1,IF(AND(YEAR(Juil_Dim1+14)=Année_Calendaire,MONTH(Juil_Dim1+14)=7),Juil_Dim1+14,""),IF(AND(YEAR(Juil_Dim1+21)=Année_Calendaire,MONTH(Juil_Dim1+21)=7),Juil_Dim1+21,""))</f>
        <v>42568</v>
      </c>
      <c r="Y114" s="97"/>
      <c r="Z114" s="83">
        <f>IF(DAY(Juil_Dim1)=1,IF(AND(YEAR(Juil_Dim1+15)=Année_Calendaire,MONTH(Juil_Dim1+15)=7),Juil_Dim1+15,""),IF(AND(YEAR(Juil_Dim1+22)=Année_Calendaire,MONTH(Juil_Dim1+22)=7),Juil_Dim1+22,""))</f>
        <v>42569</v>
      </c>
      <c r="AA114" s="83">
        <f>IF(DAY(Juil_Dim1)=1,IF(AND(YEAR(Juil_Dim1+16)=Année_Calendaire,MONTH(Juil_Dim1+16)=7),Juil_Dim1+16,""),IF(AND(YEAR(Juil_Dim1+23)=Année_Calendaire,MONTH(Juil_Dim1+23)=7),Juil_Dim1+23,""))</f>
        <v>42570</v>
      </c>
      <c r="AB114" s="83">
        <f>IF(DAY(Juil_Dim1)=1,IF(AND(YEAR(Juil_Dim1+17)=Année_Calendaire,MONTH(Juil_Dim1+17)=7),Juil_Dim1+17,""),IF(AND(YEAR(Juil_Dim1+24)=Année_Calendaire,MONTH(Juil_Dim1+24)=7),Juil_Dim1+24,""))</f>
        <v>42571</v>
      </c>
      <c r="AC114" s="83">
        <f>IF(DAY(Juil_Dim1)=1,IF(AND(YEAR(Juil_Dim1+18)=Année_Calendaire,MONTH(Juil_Dim1+18)=7),Juil_Dim1+18,""),IF(AND(YEAR(Juil_Dim1+25)=Année_Calendaire,MONTH(Juil_Dim1+25)=7),Juil_Dim1+25,""))</f>
        <v>42572</v>
      </c>
      <c r="AD114" s="83">
        <f>IF(DAY(Juil_Dim1)=1,IF(AND(YEAR(Juil_Dim1+19)=Année_Calendaire,MONTH(Juil_Dim1+19)=7),Juil_Dim1+19,""),IF(AND(YEAR(Juil_Dim1+26)=Année_Calendaire,MONTH(Juil_Dim1+26)=7),Juil_Dim1+26,""))</f>
        <v>42573</v>
      </c>
      <c r="AE114" s="83">
        <f>IF(DAY(Juil_Dim1)=1,IF(AND(YEAR(Juil_Dim1+20)=Année_Calendaire,MONTH(Juil_Dim1+20)=7),Juil_Dim1+20,""),IF(AND(YEAR(Juil_Dim1+27)=Année_Calendaire,MONTH(Juil_Dim1+27)=7),Juil_Dim1+27,""))</f>
        <v>42574</v>
      </c>
      <c r="AF114" s="83">
        <f>IF(DAY(Juil_Dim1)=1,IF(AND(YEAR(Juil_Dim1+21)=Année_Calendaire,MONTH(Juil_Dim1+21)=7),Juil_Dim1+21,""),IF(AND(YEAR(Juil_Dim1+28)=Année_Calendaire,MONTH(Juil_Dim1+28)=7),Juil_Dim1+28,""))</f>
        <v>42575</v>
      </c>
      <c r="AG114" s="97"/>
      <c r="AH114" s="83">
        <f>IF(DAY(Juil_Dim1)=1,IF(AND(YEAR(Juil_Dim1+22)=Année_Calendaire,MONTH(Juil_Dim1+22)=7),Juil_Dim1+22,""),IF(AND(YEAR(Juil_Dim1+29)=Année_Calendaire,MONTH(Juil_Dim1+29)=7),Juil_Dim1+29,""))</f>
        <v>42576</v>
      </c>
      <c r="AI114" s="83">
        <f>IF(DAY(Juil_Dim1)=1,IF(AND(YEAR(Juil_Dim1+23)=Année_Calendaire,MONTH(Juil_Dim1+23)=7),Juil_Dim1+23,""),IF(AND(YEAR(Juil_Dim1+30)=Année_Calendaire,MONTH(Juil_Dim1+30)=7),Juil_Dim1+30,""))</f>
        <v>42577</v>
      </c>
      <c r="AJ114" s="83">
        <f>IF(DAY(Juil_Dim1)=1,IF(AND(YEAR(Juil_Dim1+24)=Année_Calendaire,MONTH(Juil_Dim1+24)=7),Juil_Dim1+24,""),IF(AND(YEAR(Juil_Dim1+31)=Année_Calendaire,MONTH(Juil_Dim1+31)=7),Juil_Dim1+31,""))</f>
        <v>42578</v>
      </c>
      <c r="AK114" s="83">
        <f>IF(DAY(Juil_Dim1)=1,IF(AND(YEAR(Juil_Dim1+25)=Année_Calendaire,MONTH(Juil_Dim1+25)=7),Juil_Dim1+25,""),IF(AND(YEAR(Juil_Dim1+32)=Année_Calendaire,MONTH(Juil_Dim1+32)=7),Juil_Dim1+32,""))</f>
        <v>42579</v>
      </c>
      <c r="AL114" s="83">
        <f>IF(DAY(Juil_Dim1)=1,IF(AND(YEAR(Juil_Dim1+26)=Année_Calendaire,MONTH(Juil_Dim1+26)=7),Juil_Dim1+26,""),IF(AND(YEAR(Juil_Dim1+33)=Année_Calendaire,MONTH(Juil_Dim1+33)=7),Juil_Dim1+33,""))</f>
        <v>42580</v>
      </c>
      <c r="AM114" s="83">
        <f>IF(DAY(Juil_Dim1)=1,IF(AND(YEAR(Juil_Dim1+27)=Année_Calendaire,MONTH(Juil_Dim1+27)=7),Juil_Dim1+27,""),IF(AND(YEAR(Juil_Dim1+34)=Année_Calendaire,MONTH(Juil_Dim1+34)=7),Juil_Dim1+34,""))</f>
        <v>42581</v>
      </c>
      <c r="AN114" s="83">
        <f>IF(DAY(Juil_Dim1)=1,IF(AND(YEAR(Juil_Dim1+28)=Année_Calendaire,MONTH(Juil_Dim1+28)=7),Juil_Dim1+28,""),IF(AND(YEAR(Juil_Dim1+35)=Année_Calendaire,MONTH(Juil_Dim1+35)=7),Juil_Dim1+35,""))</f>
        <v>42582</v>
      </c>
      <c r="AO114" s="97"/>
      <c r="AP114" s="77" t="str">
        <f>IF(DAY(Juil_Dim1)=1,IF(AND(YEAR(Juil_Dim1+29)=Année_Calendaire,MONTH(Juil_Dim1+29)=7),Juil_Dim1+29,""),IF(AND(YEAR(Juil_Dim1+36)=Année_Calendaire,MONTH(Juil_Dim1+36)=7),Juil_Dim1+36,""))</f>
        <v/>
      </c>
      <c r="AQ114" s="77" t="str">
        <f>IF(DAY(Juil_Dim1)=1,IF(AND(YEAR(Juil_Dim1+30)=Année_Calendaire,MONTH(Juil_Dim1+30)=7),Juil_Dim1+30,""),IF(AND(YEAR(Juil_Dim1+37)=Année_Calendaire,MONTH(Juil_Dim1+37)=7),Juil_Dim1+37,""))</f>
        <v/>
      </c>
      <c r="AR114" s="97"/>
      <c r="AS114" s="97"/>
      <c r="AT114" s="98"/>
      <c r="AU114" s="98"/>
    </row>
    <row r="115" spans="1:52" ht="15" customHeight="1" x14ac:dyDescent="0.25">
      <c r="A115" s="37" t="s">
        <v>2</v>
      </c>
      <c r="B115" s="47"/>
      <c r="C115" s="47"/>
      <c r="D115" s="47"/>
      <c r="E115" s="47"/>
      <c r="F115" s="47" t="s">
        <v>107</v>
      </c>
      <c r="G115" s="47"/>
      <c r="H115" s="47" t="s">
        <v>108</v>
      </c>
      <c r="I115" s="76"/>
      <c r="J115" s="47" t="s">
        <v>108</v>
      </c>
      <c r="K115" s="47" t="s">
        <v>108</v>
      </c>
      <c r="L115" s="47" t="s">
        <v>108</v>
      </c>
      <c r="M115" s="47" t="s">
        <v>108</v>
      </c>
      <c r="N115" s="47" t="s">
        <v>108</v>
      </c>
      <c r="O115" s="47"/>
      <c r="P115" s="47"/>
      <c r="Q115" s="76"/>
      <c r="R115" s="47" t="s">
        <v>107</v>
      </c>
      <c r="S115" s="47" t="s">
        <v>107</v>
      </c>
      <c r="T115" s="47" t="s">
        <v>107</v>
      </c>
      <c r="U115" s="47" t="s">
        <v>107</v>
      </c>
      <c r="V115" s="47" t="s">
        <v>107</v>
      </c>
      <c r="W115" s="47"/>
      <c r="X115" s="47" t="s">
        <v>108</v>
      </c>
      <c r="Y115" s="76"/>
      <c r="Z115" s="47" t="s">
        <v>108</v>
      </c>
      <c r="AA115" s="47"/>
      <c r="AB115" s="47" t="s">
        <v>108</v>
      </c>
      <c r="AC115" s="47" t="s">
        <v>108</v>
      </c>
      <c r="AD115" s="47"/>
      <c r="AE115" s="47"/>
      <c r="AF115" s="47"/>
      <c r="AG115" s="76"/>
      <c r="AH115" s="47" t="s">
        <v>108</v>
      </c>
      <c r="AI115" s="47" t="s">
        <v>108</v>
      </c>
      <c r="AJ115" s="47" t="s">
        <v>108</v>
      </c>
      <c r="AK115" s="47" t="s">
        <v>108</v>
      </c>
      <c r="AL115" s="47" t="s">
        <v>108</v>
      </c>
      <c r="AM115" s="47"/>
      <c r="AN115" s="47"/>
      <c r="AO115" s="76"/>
      <c r="AP115" s="47"/>
      <c r="AQ115" s="47"/>
      <c r="AR115" s="76"/>
      <c r="AS115" s="79"/>
    </row>
    <row r="116" spans="1:52" ht="15" customHeight="1" x14ac:dyDescent="0.25">
      <c r="A116" s="37" t="s">
        <v>63</v>
      </c>
      <c r="B116" s="76">
        <f t="shared" ref="B116:H116" si="232">IF(B115="Matin",1,IF(B115="AM",1,0))</f>
        <v>0</v>
      </c>
      <c r="C116" s="76">
        <f t="shared" si="232"/>
        <v>0</v>
      </c>
      <c r="D116" s="76">
        <f t="shared" si="232"/>
        <v>0</v>
      </c>
      <c r="E116" s="76">
        <f t="shared" si="232"/>
        <v>0</v>
      </c>
      <c r="F116" s="76">
        <f t="shared" si="232"/>
        <v>1</v>
      </c>
      <c r="G116" s="76">
        <f t="shared" si="232"/>
        <v>0</v>
      </c>
      <c r="H116" s="76">
        <f t="shared" si="232"/>
        <v>0</v>
      </c>
      <c r="I116" s="76">
        <f>SUM(B116:H116)</f>
        <v>1</v>
      </c>
      <c r="J116" s="76">
        <f t="shared" ref="J116:P116" si="233">IF(J115="Matin",1,IF(J115="AM",1,0))</f>
        <v>0</v>
      </c>
      <c r="K116" s="76">
        <f t="shared" si="233"/>
        <v>0</v>
      </c>
      <c r="L116" s="76">
        <f t="shared" si="233"/>
        <v>0</v>
      </c>
      <c r="M116" s="76">
        <f t="shared" si="233"/>
        <v>0</v>
      </c>
      <c r="N116" s="76">
        <f t="shared" si="233"/>
        <v>0</v>
      </c>
      <c r="O116" s="76">
        <f t="shared" si="233"/>
        <v>0</v>
      </c>
      <c r="P116" s="76">
        <f t="shared" si="233"/>
        <v>0</v>
      </c>
      <c r="Q116" s="76">
        <f>SUM(J116:P116)</f>
        <v>0</v>
      </c>
      <c r="R116" s="76">
        <f t="shared" ref="R116:X116" si="234">IF(R115="Matin",1,IF(R115="AM",1,0))</f>
        <v>1</v>
      </c>
      <c r="S116" s="76">
        <f t="shared" si="234"/>
        <v>1</v>
      </c>
      <c r="T116" s="76">
        <f t="shared" si="234"/>
        <v>1</v>
      </c>
      <c r="U116" s="76">
        <f t="shared" si="234"/>
        <v>1</v>
      </c>
      <c r="V116" s="76">
        <f t="shared" si="234"/>
        <v>1</v>
      </c>
      <c r="W116" s="76">
        <f t="shared" si="234"/>
        <v>0</v>
      </c>
      <c r="X116" s="76">
        <f t="shared" si="234"/>
        <v>0</v>
      </c>
      <c r="Y116" s="76">
        <f>SUM(R116:X116)</f>
        <v>5</v>
      </c>
      <c r="Z116" s="76">
        <f t="shared" ref="Z116:AF116" si="235">IF(Z115="Matin",1,IF(Z115="AM",1,0))</f>
        <v>0</v>
      </c>
      <c r="AA116" s="76">
        <f t="shared" si="235"/>
        <v>0</v>
      </c>
      <c r="AB116" s="76">
        <f t="shared" si="235"/>
        <v>0</v>
      </c>
      <c r="AC116" s="76">
        <f t="shared" si="235"/>
        <v>0</v>
      </c>
      <c r="AD116" s="76">
        <f t="shared" si="235"/>
        <v>0</v>
      </c>
      <c r="AE116" s="76">
        <f t="shared" si="235"/>
        <v>0</v>
      </c>
      <c r="AF116" s="76">
        <f t="shared" si="235"/>
        <v>0</v>
      </c>
      <c r="AG116" s="76">
        <f>SUM(Z116:AF116)</f>
        <v>0</v>
      </c>
      <c r="AH116" s="76">
        <f t="shared" ref="AH116:AN116" si="236">IF(AH115="Matin",1,IF(AH115="AM",1,0))</f>
        <v>0</v>
      </c>
      <c r="AI116" s="76">
        <f t="shared" si="236"/>
        <v>0</v>
      </c>
      <c r="AJ116" s="76">
        <f t="shared" si="236"/>
        <v>0</v>
      </c>
      <c r="AK116" s="76">
        <f t="shared" si="236"/>
        <v>0</v>
      </c>
      <c r="AL116" s="76">
        <f t="shared" si="236"/>
        <v>0</v>
      </c>
      <c r="AM116" s="76">
        <f t="shared" si="236"/>
        <v>0</v>
      </c>
      <c r="AN116" s="76">
        <f t="shared" si="236"/>
        <v>0</v>
      </c>
      <c r="AO116" s="76">
        <f>SUM(AH116:AN116)</f>
        <v>0</v>
      </c>
      <c r="AP116" s="76">
        <f t="shared" ref="AP116:AQ116" si="237">IF(AP115="Matin",1,IF(AP115="AM",1,0))</f>
        <v>0</v>
      </c>
      <c r="AQ116" s="76">
        <f t="shared" si="237"/>
        <v>0</v>
      </c>
      <c r="AR116" s="76">
        <f t="shared" ref="AR116:AR123" si="238">SUM(AP116:AQ116)</f>
        <v>0</v>
      </c>
      <c r="AS116" s="76">
        <f>I116+Q116+Y116+AG116+AO116+AR116</f>
        <v>6</v>
      </c>
    </row>
    <row r="117" spans="1:52" ht="15" customHeight="1" x14ac:dyDescent="0.25">
      <c r="A117" s="37" t="s">
        <v>4</v>
      </c>
      <c r="B117" s="76">
        <f>IF(B118&gt;=1,1,0)</f>
        <v>0</v>
      </c>
      <c r="C117" s="76">
        <f>IF(C118&gt;=1,1,0)</f>
        <v>0</v>
      </c>
      <c r="D117" s="76">
        <f t="shared" ref="D117:H117" si="239">IF(D118&gt;=1,1,0)</f>
        <v>0</v>
      </c>
      <c r="E117" s="76">
        <f t="shared" si="239"/>
        <v>0</v>
      </c>
      <c r="F117" s="76">
        <f t="shared" si="239"/>
        <v>1</v>
      </c>
      <c r="G117" s="76">
        <f t="shared" si="239"/>
        <v>0</v>
      </c>
      <c r="H117" s="76">
        <f t="shared" si="239"/>
        <v>1</v>
      </c>
      <c r="I117" s="76">
        <f t="shared" ref="I117:I127" si="240">SUM(B117:H117)</f>
        <v>2</v>
      </c>
      <c r="J117" s="76">
        <f>IF(J118&gt;=1,1,0)</f>
        <v>1</v>
      </c>
      <c r="K117" s="76">
        <f t="shared" ref="K117:P117" si="241">IF(K118&gt;=1,1,0)</f>
        <v>1</v>
      </c>
      <c r="L117" s="76">
        <f t="shared" si="241"/>
        <v>1</v>
      </c>
      <c r="M117" s="76">
        <f t="shared" si="241"/>
        <v>1</v>
      </c>
      <c r="N117" s="76">
        <f t="shared" si="241"/>
        <v>1</v>
      </c>
      <c r="O117" s="76">
        <f t="shared" si="241"/>
        <v>0</v>
      </c>
      <c r="P117" s="76">
        <f t="shared" si="241"/>
        <v>0</v>
      </c>
      <c r="Q117" s="76">
        <f t="shared" ref="Q117:Q127" si="242">SUM(J117:P117)</f>
        <v>5</v>
      </c>
      <c r="R117" s="76">
        <f>IF(R118&gt;=1,1,0)</f>
        <v>1</v>
      </c>
      <c r="S117" s="76">
        <f t="shared" ref="S117:X117" si="243">IF(S118&gt;=1,1,0)</f>
        <v>1</v>
      </c>
      <c r="T117" s="76">
        <f t="shared" si="243"/>
        <v>1</v>
      </c>
      <c r="U117" s="76">
        <f t="shared" si="243"/>
        <v>1</v>
      </c>
      <c r="V117" s="76">
        <f t="shared" si="243"/>
        <v>1</v>
      </c>
      <c r="W117" s="76">
        <f t="shared" si="243"/>
        <v>0</v>
      </c>
      <c r="X117" s="76">
        <f t="shared" si="243"/>
        <v>1</v>
      </c>
      <c r="Y117" s="76">
        <f t="shared" ref="Y117:Y127" si="244">SUM(R117:X117)</f>
        <v>6</v>
      </c>
      <c r="Z117" s="76">
        <f>IF(Z118&gt;=1,1,0)</f>
        <v>1</v>
      </c>
      <c r="AA117" s="76">
        <f t="shared" ref="AA117:AF117" si="245">IF(AA118&gt;=1,1,0)</f>
        <v>0</v>
      </c>
      <c r="AB117" s="76">
        <f t="shared" si="245"/>
        <v>1</v>
      </c>
      <c r="AC117" s="76">
        <f t="shared" si="245"/>
        <v>1</v>
      </c>
      <c r="AD117" s="76">
        <f t="shared" si="245"/>
        <v>0</v>
      </c>
      <c r="AE117" s="76">
        <f t="shared" si="245"/>
        <v>0</v>
      </c>
      <c r="AF117" s="76">
        <f t="shared" si="245"/>
        <v>0</v>
      </c>
      <c r="AG117" s="76">
        <f t="shared" ref="AG117:AG127" si="246">SUM(Z117:AF117)</f>
        <v>3</v>
      </c>
      <c r="AH117" s="76">
        <f>IF(AH118&gt;=1,1,0)</f>
        <v>1</v>
      </c>
      <c r="AI117" s="76">
        <f t="shared" ref="AI117:AN117" si="247">IF(AI118&gt;=1,1,0)</f>
        <v>1</v>
      </c>
      <c r="AJ117" s="76">
        <f t="shared" si="247"/>
        <v>1</v>
      </c>
      <c r="AK117" s="76">
        <f t="shared" si="247"/>
        <v>1</v>
      </c>
      <c r="AL117" s="76">
        <f t="shared" si="247"/>
        <v>1</v>
      </c>
      <c r="AM117" s="76">
        <f t="shared" si="247"/>
        <v>0</v>
      </c>
      <c r="AN117" s="76">
        <f t="shared" si="247"/>
        <v>0</v>
      </c>
      <c r="AO117" s="76">
        <f t="shared" ref="AO117:AO127" si="248">SUM(AH117:AN117)</f>
        <v>5</v>
      </c>
      <c r="AP117" s="76">
        <f>IF(AP118&gt;=1,1,0)</f>
        <v>0</v>
      </c>
      <c r="AQ117" s="76">
        <f t="shared" ref="AQ117" si="249">IF(AQ118&gt;=1,1,0)</f>
        <v>0</v>
      </c>
      <c r="AR117" s="76">
        <f t="shared" si="238"/>
        <v>0</v>
      </c>
      <c r="AS117" s="76">
        <f t="shared" ref="AS117:AS126" si="250">I117+Q117+Y117+AG117+AO117+AR117</f>
        <v>21</v>
      </c>
    </row>
    <row r="118" spans="1:52" ht="15" customHeight="1" x14ac:dyDescent="0.25">
      <c r="A118" s="37" t="s">
        <v>3</v>
      </c>
      <c r="B118" s="47"/>
      <c r="C118" s="47"/>
      <c r="D118" s="47"/>
      <c r="E118" s="47"/>
      <c r="F118" s="47">
        <v>8</v>
      </c>
      <c r="G118" s="47"/>
      <c r="H118" s="47">
        <v>8</v>
      </c>
      <c r="I118" s="76">
        <f t="shared" si="240"/>
        <v>16</v>
      </c>
      <c r="J118" s="47">
        <v>10</v>
      </c>
      <c r="K118" s="47">
        <v>8</v>
      </c>
      <c r="L118" s="47">
        <v>8</v>
      </c>
      <c r="M118" s="47">
        <v>8</v>
      </c>
      <c r="N118" s="47">
        <v>8</v>
      </c>
      <c r="O118" s="47"/>
      <c r="P118" s="47"/>
      <c r="Q118" s="76">
        <f t="shared" si="242"/>
        <v>42</v>
      </c>
      <c r="R118" s="47">
        <v>8</v>
      </c>
      <c r="S118" s="47">
        <v>8</v>
      </c>
      <c r="T118" s="47">
        <v>8</v>
      </c>
      <c r="U118" s="47">
        <v>8</v>
      </c>
      <c r="V118" s="47">
        <v>8</v>
      </c>
      <c r="W118" s="47"/>
      <c r="X118" s="47">
        <v>8</v>
      </c>
      <c r="Y118" s="76">
        <f t="shared" si="244"/>
        <v>48</v>
      </c>
      <c r="Z118" s="47">
        <v>8</v>
      </c>
      <c r="AA118" s="47"/>
      <c r="AB118" s="47">
        <v>8</v>
      </c>
      <c r="AC118" s="47">
        <v>8</v>
      </c>
      <c r="AD118" s="47"/>
      <c r="AE118" s="47"/>
      <c r="AF118" s="47"/>
      <c r="AG118" s="76">
        <f t="shared" si="246"/>
        <v>24</v>
      </c>
      <c r="AH118" s="47">
        <v>8</v>
      </c>
      <c r="AI118" s="47">
        <v>8</v>
      </c>
      <c r="AJ118" s="47">
        <v>8</v>
      </c>
      <c r="AK118" s="47">
        <v>8</v>
      </c>
      <c r="AL118" s="47">
        <v>3</v>
      </c>
      <c r="AM118" s="47"/>
      <c r="AN118" s="47"/>
      <c r="AO118" s="76">
        <f t="shared" si="248"/>
        <v>35</v>
      </c>
      <c r="AP118" s="47"/>
      <c r="AQ118" s="47"/>
      <c r="AR118" s="76">
        <f t="shared" si="238"/>
        <v>0</v>
      </c>
      <c r="AS118" s="76">
        <f t="shared" si="250"/>
        <v>165</v>
      </c>
    </row>
    <row r="119" spans="1:52" ht="15" customHeight="1" x14ac:dyDescent="0.25">
      <c r="A119" s="52" t="s">
        <v>71</v>
      </c>
      <c r="B119" s="82">
        <f>IF(B113&lt;&gt;"Dim",IF(B118&gt;32,MIN(B118,35)-32,0),0)</f>
        <v>0</v>
      </c>
      <c r="C119" s="82">
        <f>IF(C113&lt;&gt;"Dim",IF(SUM($B118:C118)&gt;32,MIN(SUM($B118:C118),35)-32-SUM($B119:B119),0),0)</f>
        <v>0</v>
      </c>
      <c r="D119" s="82">
        <f>IF(D113&lt;&gt;"Dim",IF(SUM($B118:D118)&gt;32,MIN(SUM($B118:D118),35)-32-SUM($B119:C119),0),0)</f>
        <v>0</v>
      </c>
      <c r="E119" s="82">
        <f>IF(E113&lt;&gt;"Dim",IF(SUM($B118:E118)&gt;32,MIN(SUM($B118:E118),35)-32-SUM($B119:D119),0),0)</f>
        <v>0</v>
      </c>
      <c r="F119" s="82">
        <v>3</v>
      </c>
      <c r="G119" s="82">
        <f>IF(G113&lt;&gt;"Dim",IF(SUM($B118:G118)&gt;32,MIN(SUM($B118:G118),35)-32-SUM($B119:F119),0),0)</f>
        <v>0</v>
      </c>
      <c r="H119" s="82">
        <f>IF(H113&lt;&gt;"Dim",IF(SUM($B118:H118)&gt;32,MIN(SUM($B118:H118),35)-32-SUM($B119:G119),0),0)</f>
        <v>0</v>
      </c>
      <c r="I119" s="76">
        <f t="shared" si="240"/>
        <v>3</v>
      </c>
      <c r="J119" s="82">
        <f>IF(J113&lt;&gt;"Dim",IF(J118&gt;32,MIN(J118,35)-32,0),0)</f>
        <v>0</v>
      </c>
      <c r="K119" s="82">
        <f>IF(K113&lt;&gt;"Dim",IF(SUM($J118:K118)&gt;32,MIN(SUM($J118:K118),35)-32-SUM($J119:J119),0),0)</f>
        <v>0</v>
      </c>
      <c r="L119" s="82">
        <f>IF(L113&lt;&gt;"Dim",IF(SUM($J118:L118)&gt;32,MIN(SUM($J118:L118),35)-32-SUM($J119:K119),0),0)</f>
        <v>0</v>
      </c>
      <c r="M119" s="82"/>
      <c r="N119" s="82"/>
      <c r="O119" s="82"/>
      <c r="P119" s="82">
        <f>IF(P113&lt;&gt;"Dim",IF(SUM($J118:P118)&gt;32,MIN(SUM($J118:P118),35)-32-SUM($J119:O119),0),0)</f>
        <v>0</v>
      </c>
      <c r="Q119" s="76">
        <f t="shared" si="242"/>
        <v>0</v>
      </c>
      <c r="R119" s="82">
        <f>IF(R113&lt;&gt;"Dim",IF(R118&gt;32,MIN(R118,35)-32,0),0)</f>
        <v>0</v>
      </c>
      <c r="S119" s="82">
        <f>IF(S113&lt;&gt;"Dim",IF(SUM($R118:S118)&gt;32,MIN(SUM($R118:S118),35)-32-SUM($R119:R119),0),0)</f>
        <v>0</v>
      </c>
      <c r="T119" s="82">
        <f>IF(T113&lt;&gt;"Dim",IF(SUM($R118:T118)&gt;32,MIN(SUM($R118:T118),35)-32-SUM($R119:S119),0),0)</f>
        <v>0</v>
      </c>
      <c r="U119" s="82">
        <f>IF(U113&lt;&gt;"Dim",IF(SUM($R118:U118)&gt;32,MIN(SUM($R118:U118),35)-32-SUM($R119:T119),0),0)</f>
        <v>0</v>
      </c>
      <c r="V119" s="82">
        <f>IF(V113&lt;&gt;"Dim",IF(SUM($R118:V118)&gt;32,MIN(SUM($R118:V118),35)-32-SUM($R119:U119),0),0)</f>
        <v>3</v>
      </c>
      <c r="W119" s="82">
        <f>IF(W113&lt;&gt;"Dim",IF(SUM($R118:W118)&gt;32,MIN(SUM($R118:W118),35)-32-SUM($R119:V119),0),0)</f>
        <v>0</v>
      </c>
      <c r="X119" s="82">
        <f>IF(X113&lt;&gt;"Dim",IF(SUM($R118:X118)&gt;32,MIN(SUM($R118:X118),35)-32-SUM($R119:W119),0),0)</f>
        <v>0</v>
      </c>
      <c r="Y119" s="76">
        <f t="shared" si="244"/>
        <v>3</v>
      </c>
      <c r="Z119" s="82">
        <f>IF(Z113&lt;&gt;"Dim",IF(Z118&gt;32,MIN(Z118,35)-32,0),0)</f>
        <v>0</v>
      </c>
      <c r="AA119" s="82">
        <f>IF(AA113&lt;&gt;"Dim",IF(SUM($Z118:AA118)&gt;32,MIN(SUM($Z118:AA118),35)-32-SUM($Z119:Z119),0),0)</f>
        <v>0</v>
      </c>
      <c r="AB119" s="82">
        <f>IF(AB113&lt;&gt;"Dim",IF(SUM($Z118:AB118)&gt;32,MIN(SUM($Z118:AB118),35)-32-SUM($Z119:AA119),0),0)</f>
        <v>0</v>
      </c>
      <c r="AC119" s="82">
        <f>IF(AC113&lt;&gt;"Dim",IF(SUM($Z118:AC118)&gt;32,MIN(SUM($Z118:AC118),35)-32-SUM($Z119:AB119),0),0)</f>
        <v>0</v>
      </c>
      <c r="AD119" s="82"/>
      <c r="AE119" s="82"/>
      <c r="AF119" s="82">
        <f>IF(AF113&lt;&gt;"Dim",IF(SUM($Z118:AF118)&gt;32,MIN(SUM($Z118:AF118),35)-32-SUM($Z119:AE119),0),0)</f>
        <v>0</v>
      </c>
      <c r="AG119" s="76">
        <f t="shared" si="246"/>
        <v>0</v>
      </c>
      <c r="AH119" s="82">
        <f>IF(AH113&lt;&gt;"Dim",IF(AH118&gt;32,MIN(AH118,35)-32,0),0)</f>
        <v>0</v>
      </c>
      <c r="AI119" s="82">
        <f>IF(AI113&lt;&gt;"Dim",IF(SUM($AH118:AI118)&gt;32,MIN(SUM($AH118:AI118),35)-32-SUM($AH119:AH119),0),0)</f>
        <v>0</v>
      </c>
      <c r="AJ119" s="82">
        <f>IF(AJ113&lt;&gt;"Dim",IF(SUM($AH118:AJ118)&gt;32,MIN(SUM($AH118:AJ118),35)-32-SUM($AH119:AI119),0),0)</f>
        <v>0</v>
      </c>
      <c r="AK119" s="82">
        <f>IF(AK113&lt;&gt;"Dim",IF(SUM($AH118:AK118)&gt;32,MIN(SUM($AH118:AK118),35)-32-SUM($AH119:AJ119),0),0)</f>
        <v>0</v>
      </c>
      <c r="AL119" s="82">
        <f>IF(AL113&lt;&gt;"Dim",IF(SUM($AH118:AL118)&gt;32,MIN(SUM($AH118:AL118),35)-32-SUM($AH119:AK119),0),0)</f>
        <v>3</v>
      </c>
      <c r="AM119" s="82">
        <f>IF(AM113&lt;&gt;"Dim",IF(SUM($AH118:AM118)&gt;32,MIN(SUM($AH118:AM118),35)-32-SUM($AH119:AL119),0),0)</f>
        <v>0</v>
      </c>
      <c r="AN119" s="82">
        <f>IF(AN113&lt;&gt;"Dim",IF(SUM($AH118:AN118)&gt;32,MIN(SUM($AH118:AN118),35)-32-SUM($AH119:AM119),0),0)</f>
        <v>0</v>
      </c>
      <c r="AO119" s="76">
        <f t="shared" si="248"/>
        <v>3</v>
      </c>
      <c r="AP119" s="82">
        <f>IF(AP113&lt;&gt;"Dim",IF(AP118&gt;32,MIN(AP118,35)-32,0),0)</f>
        <v>0</v>
      </c>
      <c r="AQ119" s="82">
        <f>IF(AQ113&lt;&gt;"Dim",IF(SUM($AP118:AQ118)&gt;32,MIN(SUM($AP118:AQ118),35)-32-SUM($AP119:AP119),0),0)</f>
        <v>0</v>
      </c>
      <c r="AR119" s="76">
        <f t="shared" si="238"/>
        <v>0</v>
      </c>
      <c r="AS119" s="76">
        <f t="shared" si="250"/>
        <v>9</v>
      </c>
    </row>
    <row r="120" spans="1:52" ht="15" customHeight="1" x14ac:dyDescent="0.25">
      <c r="A120" s="37" t="s">
        <v>40</v>
      </c>
      <c r="B120" s="82">
        <f>IF(B113&lt;&gt;"Dim",IF(B118&gt;35,(MIN(B118,43)-35),0),0)</f>
        <v>0</v>
      </c>
      <c r="C120" s="82">
        <f>IF(C113&lt;&gt;"Dim",IF(SUM($B118:C118)&gt;35,(MIN(SUM($B118:C118),43)-35-SUM($B120:B120)),0),0)</f>
        <v>0</v>
      </c>
      <c r="D120" s="82">
        <f>IF(D113&lt;&gt;"Dim",IF(SUM($B118:D118)&gt;35,(MIN(SUM($B118:D118),43)-35-SUM($B120:C120)),0),0)</f>
        <v>0</v>
      </c>
      <c r="E120" s="82">
        <f>IF(E113&lt;&gt;"Dim",IF(SUM($B118:E118)&gt;35,(MIN(SUM($B118:E118),43)-35-SUM($B120:D120)),0),0)</f>
        <v>0</v>
      </c>
      <c r="F120" s="82">
        <v>5</v>
      </c>
      <c r="G120" s="82">
        <f>IF(G113&lt;&gt;"Dim",IF(SUM($B118:G118)&gt;35,(MIN(SUM($B118:G118),43)-35-SUM($B120:F120)),0),0)</f>
        <v>0</v>
      </c>
      <c r="H120" s="82">
        <f>IF(H113&lt;&gt;"Dim",IF(SUM($B118:H118)&gt;35,(MIN(SUM($B118:H118),43)-35-SUM($B120:G120)),0),0)</f>
        <v>0</v>
      </c>
      <c r="I120" s="76">
        <f t="shared" si="240"/>
        <v>5</v>
      </c>
      <c r="J120" s="82">
        <f>IF(J113&lt;&gt;"Dim",IF(J118&gt;35,(MIN(J118,43)-35),0),0)</f>
        <v>0</v>
      </c>
      <c r="K120" s="82">
        <f>IF(K113&lt;&gt;"Dim",IF(SUM($J118:K118)&gt;35,(MIN(SUM($J118:K118),43)-35-SUM($J120:J120)),0),0)</f>
        <v>0</v>
      </c>
      <c r="L120" s="82">
        <f>IF(L113&lt;&gt;"Dim",IF(SUM($J118:L118)&gt;35,(MIN(SUM($J118:L118),43)-35-SUM($J120:K120)),0),0)</f>
        <v>0</v>
      </c>
      <c r="M120" s="82">
        <f>IF(M113&lt;&gt;"Dim",IF(SUM($J118:M118)&gt;35,(MIN(SUM($J118:M118),43)-35-SUM($J120:L120)),0),0)</f>
        <v>0</v>
      </c>
      <c r="N120" s="82"/>
      <c r="O120" s="82"/>
      <c r="P120" s="82">
        <f>IF(P113&lt;&gt;"Dim",IF(SUM($J118:P118)&gt;35,(MIN(SUM($J118:P118),43)-35-SUM($J120:O120)),0),0)</f>
        <v>0</v>
      </c>
      <c r="Q120" s="76">
        <f t="shared" si="242"/>
        <v>0</v>
      </c>
      <c r="R120" s="82">
        <f>IF(R113&lt;&gt;"Dim",IF(R118&gt;35,(MIN(R118,43)-35),0),0)</f>
        <v>0</v>
      </c>
      <c r="S120" s="82">
        <f>IF(S113&lt;&gt;"Dim",IF(SUM($R118:S118)&gt;35,(MIN(SUM($R118:S118),43)-35-SUM($R120:R120)),0),0)</f>
        <v>0</v>
      </c>
      <c r="T120" s="82">
        <f>IF(T113&lt;&gt;"Dim",IF(SUM($R118:T118)&gt;35,(MIN(SUM($R118:T118),43)-35-SUM($R120:S120)),0),0)</f>
        <v>0</v>
      </c>
      <c r="U120" s="82">
        <f>IF(U113&lt;&gt;"Dim",IF(SUM($R118:U118)&gt;35,(MIN(SUM($R118:U118),43)-35-SUM($R120:T120)),0),0)</f>
        <v>0</v>
      </c>
      <c r="V120" s="82">
        <f>IF(V113&lt;&gt;"Dim",IF(SUM($R118:V118)&gt;35,(MIN(SUM($R118:V118),43)-35-SUM($R120:U120)),0),0)</f>
        <v>5</v>
      </c>
      <c r="W120" s="82">
        <f>IF(W113&lt;&gt;"Dim",IF(SUM($R118:W118)&gt;35,(MIN(SUM($R118:W118),43)-35-SUM($R120:V120)),0),0)</f>
        <v>0</v>
      </c>
      <c r="X120" s="82">
        <f>IF(X113&lt;&gt;"Dim",IF(SUM($R118:X118)&gt;35,(MIN(SUM($R118:X118),43)-35-SUM($R120:W120)),0),0)</f>
        <v>0</v>
      </c>
      <c r="Y120" s="76">
        <f t="shared" si="244"/>
        <v>5</v>
      </c>
      <c r="Z120" s="82">
        <f>IF(Z113&lt;&gt;"Dim",IF(Z118&gt;35,(MIN(Z118,43)-35),0),0)</f>
        <v>0</v>
      </c>
      <c r="AA120" s="82">
        <f>IF(AA113&lt;&gt;"Dim",IF(SUM($Z118:AA118)&gt;35,(MIN(SUM($Z118:AA118),43)-35-SUM($Z120:Z120)),0),0)</f>
        <v>0</v>
      </c>
      <c r="AB120" s="82">
        <f>IF(AB113&lt;&gt;"Dim",IF(SUM($Z118:AB118)&gt;35,(MIN(SUM($Z118:AB118),43)-35-SUM($Z120:AA120)),0),0)</f>
        <v>0</v>
      </c>
      <c r="AC120" s="82">
        <f>IF(AC113&lt;&gt;"Dim",IF(SUM($Z118:AC118)&gt;35,(MIN(SUM($Z118:AC118),43)-35-SUM($Z120:AB120)),0),0)</f>
        <v>0</v>
      </c>
      <c r="AD120" s="82"/>
      <c r="AE120" s="82"/>
      <c r="AF120" s="82">
        <f>IF(AF113&lt;&gt;"Dim",IF(SUM($Z118:AF118)&gt;35,(MIN(SUM($Z118:AF118),43)-35-SUM($Z120:AE120)),0),0)</f>
        <v>0</v>
      </c>
      <c r="AG120" s="76">
        <f t="shared" si="246"/>
        <v>0</v>
      </c>
      <c r="AH120" s="82">
        <f>IF(AH113&lt;&gt;"Dim",IF(AH118&gt;35,(MIN(AH118,43)-35),0),0)</f>
        <v>0</v>
      </c>
      <c r="AI120" s="82">
        <f>IF(AI113&lt;&gt;"Dim",IF(SUM($AH118:AI118)&gt;35,(MIN(SUM($AH118:AI118),43)-35-SUM($AH120:AH120)),0),0)</f>
        <v>0</v>
      </c>
      <c r="AJ120" s="82">
        <f>IF(AJ113&lt;&gt;"Dim",IF(SUM($AH118:AJ118)&gt;35,(MIN(SUM($AH118:AJ118),43)-35-SUM($AH120:AI120)),0),0)</f>
        <v>0</v>
      </c>
      <c r="AK120" s="82">
        <f>IF(AK113&lt;&gt;"Dim",IF(SUM($AH118:AK118)&gt;35,(MIN(SUM($AH118:AK118),43)-35-SUM($AH120:AJ120)),0),0)</f>
        <v>0</v>
      </c>
      <c r="AL120" s="82">
        <f>IF(AL113&lt;&gt;"Dim",IF(SUM($AH118:AL118)&gt;35,(MIN(SUM($AH118:AL118),43)-35-SUM($AH120:AK120)),0),0)</f>
        <v>0</v>
      </c>
      <c r="AM120" s="82">
        <f>IF(AM113&lt;&gt;"Dim",IF(SUM($AH118:AM118)&gt;35,(MIN(SUM($AH118:AM118),43)-35-SUM($AH120:AL120)),0),0)</f>
        <v>0</v>
      </c>
      <c r="AN120" s="82">
        <f>IF(AN113&lt;&gt;"Dim",IF(SUM($AH118:AN118)&gt;35,(MIN(SUM($AH118:AN118),43)-35-SUM($AH120:AM120)),0),0)</f>
        <v>0</v>
      </c>
      <c r="AO120" s="76">
        <f t="shared" si="248"/>
        <v>0</v>
      </c>
      <c r="AP120" s="82">
        <f>IF(AP113&lt;&gt;"Dim",IF(AP118&gt;35,(MIN(AP118,43)-35),0),0)</f>
        <v>0</v>
      </c>
      <c r="AQ120" s="82">
        <f>IF(AQ113&lt;&gt;"Dim",IF(SUM($AP118:AQ118)&gt;35,(MIN(SUM($AP118:AQ118),43)-35-SUM($AP120:AP120)),0),0)</f>
        <v>0</v>
      </c>
      <c r="AR120" s="76">
        <f t="shared" si="238"/>
        <v>0</v>
      </c>
      <c r="AS120" s="76">
        <f t="shared" si="250"/>
        <v>10</v>
      </c>
    </row>
    <row r="121" spans="1:52" ht="15" customHeight="1" x14ac:dyDescent="0.25">
      <c r="A121" s="37" t="s">
        <v>39</v>
      </c>
      <c r="B121" s="82">
        <f>IF(B113&lt;&gt;"Dim",IF(B118&gt;43,(MIN(B118,48)-43),0),0)</f>
        <v>0</v>
      </c>
      <c r="C121" s="82">
        <f>IF(C113&lt;&gt;"Dim",IF(SUM($B118:C118)&gt;43,(MIN(SUM($B118:C118),48)-43-SUM($B121:B121)),0),0)</f>
        <v>0</v>
      </c>
      <c r="D121" s="82">
        <f>IF(D113&lt;&gt;"Dim",IF(SUM($B118:D118)&gt;43,(MIN(SUM($B118:D118),48)-43-SUM($B121:C121)),0),0)</f>
        <v>0</v>
      </c>
      <c r="E121" s="82">
        <f>IF(E113&lt;&gt;"Dim",IF(SUM($B118:E118)&gt;43,(MIN(SUM($B118:E118),48)-43-SUM($B121:D121)),0),0)</f>
        <v>0</v>
      </c>
      <c r="F121" s="82">
        <f>IF(F113&lt;&gt;"Dim",IF(SUM($B118:F118)&gt;43,(MIN(SUM($B118:F118),48)-43-SUM($B121:E121)),0),0)</f>
        <v>0</v>
      </c>
      <c r="G121" s="82">
        <f>IF(G113&lt;&gt;"Dim",IF(SUM($B118:G118)&gt;43,(MIN(SUM($B118:G118),48)-43-SUM($B121:F121)),0),0)</f>
        <v>0</v>
      </c>
      <c r="H121" s="82">
        <f>IF(H113&lt;&gt;"Dim",IF(SUM($B118:H118)&gt;43,(MIN(SUM($B118:H118),48)-43-SUM($B121:G121)),0),0)</f>
        <v>0</v>
      </c>
      <c r="I121" s="76">
        <f t="shared" si="240"/>
        <v>0</v>
      </c>
      <c r="J121" s="82">
        <f>IF(J113&lt;&gt;"Dim",IF(J118&gt;43,(MIN(J118,48)-43),0),0)</f>
        <v>0</v>
      </c>
      <c r="K121" s="82">
        <f>IF(K113&lt;&gt;"Dim",IF(SUM($J118:K118)&gt;43,(MIN(SUM($J118:K118),48)-43-SUM($J121:J121)),0),0)</f>
        <v>0</v>
      </c>
      <c r="L121" s="82">
        <f>IF(L113&lt;&gt;"Dim",IF(SUM($J118:L118)&gt;43,(MIN(SUM($J118:L118),48)-43-SUM($J121:K121)),0),0)</f>
        <v>0</v>
      </c>
      <c r="M121" s="82">
        <f>IF(M113&lt;&gt;"Dim",IF(SUM($J118:M118)&gt;43,(MIN(SUM($J118:M118),48)-43-SUM($J121:L121)),0),0)</f>
        <v>0</v>
      </c>
      <c r="N121" s="82">
        <f>IF(N113&lt;&gt;"Dim",IF(SUM($J118:N118)&gt;43,(MIN(SUM($J118:N118),48)-43-SUM($J121:M121)),0),0)</f>
        <v>0</v>
      </c>
      <c r="O121" s="82">
        <f>IF(O113&lt;&gt;"Dim",IF(SUM($J118:O118)&gt;43,(MIN(SUM($J118:O118),48)-43-SUM($J121:N121)),0),0)</f>
        <v>0</v>
      </c>
      <c r="P121" s="82">
        <f>IF(P113&lt;&gt;"Dim",IF(SUM($J118:P118)&gt;43,(MIN(SUM($J118:P118),48)-43-SUM($J121:O121)),0),0)</f>
        <v>0</v>
      </c>
      <c r="Q121" s="76">
        <f t="shared" si="242"/>
        <v>0</v>
      </c>
      <c r="R121" s="82">
        <f>IF(R113&lt;&gt;"Dim",IF(R118&gt;43,(MIN(R118,48)-43),0),0)</f>
        <v>0</v>
      </c>
      <c r="S121" s="82">
        <f>IF(S113&lt;&gt;"Dim",IF(SUM($R118:S118)&gt;43,(MIN(SUM($R118:S118),48)-43-SUM($R121:R121)),0),0)</f>
        <v>0</v>
      </c>
      <c r="T121" s="82">
        <f>IF(T113&lt;&gt;"Dim",IF(SUM($R118:T118)&gt;43,(MIN(SUM($R118:T118),48)-43-SUM($R121:S121)),0),0)</f>
        <v>0</v>
      </c>
      <c r="U121" s="82">
        <f>IF(U113&lt;&gt;"Dim",IF(SUM($R118:U118)&gt;43,(MIN(SUM($R118:U118),48)-43-SUM($R121:T121)),0),0)</f>
        <v>0</v>
      </c>
      <c r="V121" s="82">
        <f>IF(V113&lt;&gt;"Dim",IF(SUM($R118:V118)&gt;43,(MIN(SUM($R118:V118),48)-43-SUM($R121:U121)),0),0)</f>
        <v>0</v>
      </c>
      <c r="W121" s="82">
        <f>IF(W113&lt;&gt;"Dim",IF(SUM($R118:W118)&gt;43,(MIN(SUM($R118:W118),48)-43-SUM($R121:V121)),0),0)</f>
        <v>0</v>
      </c>
      <c r="X121" s="82">
        <f>IF(X113&lt;&gt;"Dim",IF(SUM($R118:X118)&gt;43,(MIN(SUM($R118:X118),48)-43-SUM($R121:W121)),0),0)</f>
        <v>0</v>
      </c>
      <c r="Y121" s="76">
        <f t="shared" si="244"/>
        <v>0</v>
      </c>
      <c r="Z121" s="82">
        <f>IF(Z113&lt;&gt;"Dim",IF(Z118&gt;43,(MIN(Z118,48)-43),0),0)</f>
        <v>0</v>
      </c>
      <c r="AA121" s="82">
        <f>IF(AA113&lt;&gt;"Dim",IF(SUM($Z118:AA118)&gt;43,(MIN(SUM($Z118:AA118),48)-43-SUM($Z121:Z121)),0),0)</f>
        <v>0</v>
      </c>
      <c r="AB121" s="82">
        <f>IF(AB113&lt;&gt;"Dim",IF(SUM($Z118:AB118)&gt;43,(MIN(SUM($Z118:AB118),48)-43-SUM($Z121:AA121)),0),0)</f>
        <v>0</v>
      </c>
      <c r="AC121" s="82">
        <f>IF(AC113&lt;&gt;"Dim",IF(SUM($Z118:AC118)&gt;43,(MIN(SUM($Z118:AC118),48)-43-SUM($Z121:AB121)),0),0)</f>
        <v>0</v>
      </c>
      <c r="AD121" s="82">
        <f>IF(AD113&lt;&gt;"Dim",IF(SUM($Z118:AD118)&gt;43,(MIN(SUM($Z118:AD118),48)-43-SUM($Z121:AC121)),0),0)</f>
        <v>0</v>
      </c>
      <c r="AE121" s="82">
        <f>IF(AE113&lt;&gt;"Dim",IF(SUM($Z118:AE118)&gt;43,(MIN(SUM($Z118:AE118),48)-43-SUM($Z121:AD121)),0),0)</f>
        <v>0</v>
      </c>
      <c r="AF121" s="82">
        <f>IF(AF113&lt;&gt;"Dim",IF(SUM($Z118:AF118)&gt;43,(MIN(SUM($Z118:AF118),48)-43-SUM($Z121:AE121)),0),0)</f>
        <v>0</v>
      </c>
      <c r="AG121" s="76">
        <f t="shared" si="246"/>
        <v>0</v>
      </c>
      <c r="AH121" s="82">
        <f>IF(AH113&lt;&gt;"Dim",IF(AH118&gt;43,(MIN(AH118,48)-43),0),0)</f>
        <v>0</v>
      </c>
      <c r="AI121" s="82">
        <f>IF(AI113&lt;&gt;"Dim",IF(SUM($AH118:AI118)&gt;43,(MIN(SUM($AH118:AI118),48)-43-SUM($AH121:AH121)),0),0)</f>
        <v>0</v>
      </c>
      <c r="AJ121" s="82">
        <f>IF(AJ113&lt;&gt;"Dim",IF(SUM($AH118:AJ118)&gt;43,(MIN(SUM($AH118:AJ118),48)-43-SUM($AH121:AI121)),0),0)</f>
        <v>0</v>
      </c>
      <c r="AK121" s="82">
        <f>IF(AK113&lt;&gt;"Dim",IF(SUM($AH118:AK118)&gt;43,(MIN(SUM($AH118:AK118),48)-43-SUM($AH121:AJ121)),0),0)</f>
        <v>0</v>
      </c>
      <c r="AL121" s="82">
        <f>IF(AL113&lt;&gt;"Dim",IF(SUM($AH118:AL118)&gt;43,(MIN(SUM($AH118:AL118),48)-43-SUM($AH121:AK121)),0),0)</f>
        <v>0</v>
      </c>
      <c r="AM121" s="82">
        <f>IF(AM113&lt;&gt;"Dim",IF(SUM($AH118:AM118)&gt;43,(MIN(SUM($AH118:AM118),48)-43-SUM($AH121:AL121)),0),0)</f>
        <v>0</v>
      </c>
      <c r="AN121" s="82">
        <f>IF(AN113&lt;&gt;"Dim",IF(SUM($AH118:AN118)&gt;43,(MIN(SUM($AH118:AN118),48)-43-SUM($AH121:AM121)),0),0)</f>
        <v>0</v>
      </c>
      <c r="AO121" s="76">
        <f t="shared" si="248"/>
        <v>0</v>
      </c>
      <c r="AP121" s="82">
        <f>IF(AP113&lt;&gt;"Dim",IF(AP118&gt;43,(MIN(AP118,48)-43),0),0)</f>
        <v>0</v>
      </c>
      <c r="AQ121" s="82">
        <f>IF(AQ113&lt;&gt;"Dim",IF(SUM($AP118:AQ118)&gt;43,(MIN(SUM($AP118:AQ118),48)-43-SUM($AP121:AP121)),0),0)</f>
        <v>0</v>
      </c>
      <c r="AR121" s="76">
        <f t="shared" si="238"/>
        <v>0</v>
      </c>
      <c r="AS121" s="76">
        <f t="shared" si="250"/>
        <v>0</v>
      </c>
    </row>
    <row r="122" spans="1:52" ht="15" customHeight="1" x14ac:dyDescent="0.25">
      <c r="A122" s="37" t="s">
        <v>41</v>
      </c>
      <c r="B122" s="82">
        <f>IF(B113="Dim",B118,IF(B128="ferie",B118,0))</f>
        <v>0</v>
      </c>
      <c r="C122" s="82">
        <f t="shared" ref="C122:H122" si="251">IF(C113="Dim",C118,IF(C128="ferie",C118,0))</f>
        <v>0</v>
      </c>
      <c r="D122" s="82">
        <f t="shared" si="251"/>
        <v>0</v>
      </c>
      <c r="E122" s="82">
        <f t="shared" si="251"/>
        <v>0</v>
      </c>
      <c r="F122" s="82">
        <f t="shared" si="251"/>
        <v>0</v>
      </c>
      <c r="G122" s="82">
        <f t="shared" si="251"/>
        <v>0</v>
      </c>
      <c r="H122" s="82">
        <f t="shared" si="251"/>
        <v>8</v>
      </c>
      <c r="I122" s="76">
        <f t="shared" si="240"/>
        <v>8</v>
      </c>
      <c r="J122" s="82">
        <f>IF(J113="Dim",J118,IF(J128="ferie",J118,0))</f>
        <v>0</v>
      </c>
      <c r="K122" s="82">
        <f t="shared" ref="K122:P122" si="252">IF(K113="Dim",K118,IF(K128="ferie",K118,0))</f>
        <v>0</v>
      </c>
      <c r="L122" s="82">
        <f t="shared" si="252"/>
        <v>0</v>
      </c>
      <c r="M122" s="82">
        <f t="shared" si="252"/>
        <v>0</v>
      </c>
      <c r="N122" s="82">
        <f t="shared" si="252"/>
        <v>0</v>
      </c>
      <c r="O122" s="82">
        <f>IF(O113="Dim",O118,IF(O128="ferie",O118,0))</f>
        <v>0</v>
      </c>
      <c r="P122" s="82">
        <f t="shared" si="252"/>
        <v>0</v>
      </c>
      <c r="Q122" s="76">
        <f t="shared" si="242"/>
        <v>0</v>
      </c>
      <c r="R122" s="82">
        <f>IF(R113="Dim",R118,IF(R128="ferie",R118,0))</f>
        <v>0</v>
      </c>
      <c r="S122" s="82">
        <f t="shared" ref="S122:X122" si="253">IF(S113="Dim",S118,IF(S128="ferie",S118,0))</f>
        <v>0</v>
      </c>
      <c r="T122" s="82">
        <f t="shared" si="253"/>
        <v>0</v>
      </c>
      <c r="U122" s="82">
        <f t="shared" si="253"/>
        <v>0</v>
      </c>
      <c r="V122" s="82">
        <f t="shared" si="253"/>
        <v>0</v>
      </c>
      <c r="W122" s="82">
        <f t="shared" si="253"/>
        <v>0</v>
      </c>
      <c r="X122" s="82">
        <f t="shared" si="253"/>
        <v>8</v>
      </c>
      <c r="Y122" s="76">
        <f t="shared" si="244"/>
        <v>8</v>
      </c>
      <c r="Z122" s="82">
        <f>IF(Z113="Dim",Z118,IF(Z128="ferie",Z118,0))</f>
        <v>0</v>
      </c>
      <c r="AA122" s="82">
        <f t="shared" ref="AA122:AF122" si="254">IF(AA113="Dim",AA118,IF(AA128="ferie",AA118,0))</f>
        <v>0</v>
      </c>
      <c r="AB122" s="82">
        <f t="shared" si="254"/>
        <v>0</v>
      </c>
      <c r="AC122" s="82">
        <f t="shared" si="254"/>
        <v>0</v>
      </c>
      <c r="AD122" s="82">
        <f t="shared" si="254"/>
        <v>0</v>
      </c>
      <c r="AE122" s="82">
        <f t="shared" si="254"/>
        <v>0</v>
      </c>
      <c r="AF122" s="82">
        <f t="shared" si="254"/>
        <v>0</v>
      </c>
      <c r="AG122" s="76">
        <f t="shared" si="246"/>
        <v>0</v>
      </c>
      <c r="AH122" s="82">
        <f>IF(AH113="Dim",AH118,IF(AH128="ferie",AH118,0))</f>
        <v>0</v>
      </c>
      <c r="AI122" s="82">
        <f t="shared" ref="AI122:AQ122" si="255">IF(AI113="Dim",AI118,IF(AI128="ferie",AI118,0))</f>
        <v>0</v>
      </c>
      <c r="AJ122" s="82">
        <f t="shared" si="255"/>
        <v>0</v>
      </c>
      <c r="AK122" s="82">
        <f t="shared" si="255"/>
        <v>0</v>
      </c>
      <c r="AL122" s="82">
        <f t="shared" si="255"/>
        <v>0</v>
      </c>
      <c r="AM122" s="82">
        <f t="shared" si="255"/>
        <v>0</v>
      </c>
      <c r="AN122" s="82">
        <f t="shared" si="255"/>
        <v>0</v>
      </c>
      <c r="AO122" s="76">
        <f>SUM(AH122:AN122)</f>
        <v>0</v>
      </c>
      <c r="AP122" s="82">
        <f>IF(AP113="Dim",AP118,IF(AP128="ferie",AP118,0))</f>
        <v>0</v>
      </c>
      <c r="AQ122" s="82">
        <f t="shared" si="255"/>
        <v>0</v>
      </c>
      <c r="AR122" s="76">
        <f t="shared" si="238"/>
        <v>0</v>
      </c>
      <c r="AS122" s="76">
        <f t="shared" si="250"/>
        <v>16</v>
      </c>
    </row>
    <row r="123" spans="1:52" ht="15" customHeight="1" x14ac:dyDescent="0.25">
      <c r="A123" s="37" t="s">
        <v>59</v>
      </c>
      <c r="B123" s="47"/>
      <c r="C123" s="47"/>
      <c r="D123" s="47"/>
      <c r="E123" s="47"/>
      <c r="F123" s="47"/>
      <c r="G123" s="47"/>
      <c r="H123" s="47"/>
      <c r="I123" s="76">
        <f t="shared" si="240"/>
        <v>0</v>
      </c>
      <c r="J123" s="47"/>
      <c r="K123" s="47"/>
      <c r="L123" s="47"/>
      <c r="M123" s="47"/>
      <c r="N123" s="47"/>
      <c r="O123" s="47"/>
      <c r="P123" s="47"/>
      <c r="Q123" s="76">
        <f t="shared" si="242"/>
        <v>0</v>
      </c>
      <c r="R123" s="47"/>
      <c r="S123" s="47"/>
      <c r="T123" s="47"/>
      <c r="U123" s="47"/>
      <c r="V123" s="47"/>
      <c r="W123" s="47"/>
      <c r="X123" s="47"/>
      <c r="Y123" s="76">
        <f t="shared" si="244"/>
        <v>0</v>
      </c>
      <c r="Z123" s="47"/>
      <c r="AA123" s="47"/>
      <c r="AB123" s="47"/>
      <c r="AC123" s="47"/>
      <c r="AD123" s="47"/>
      <c r="AE123" s="47"/>
      <c r="AF123" s="47"/>
      <c r="AG123" s="76">
        <f t="shared" si="246"/>
        <v>0</v>
      </c>
      <c r="AH123" s="47"/>
      <c r="AI123" s="47"/>
      <c r="AJ123" s="47"/>
      <c r="AK123" s="47"/>
      <c r="AL123" s="47"/>
      <c r="AM123" s="47"/>
      <c r="AN123" s="47"/>
      <c r="AO123" s="76">
        <f t="shared" si="248"/>
        <v>0</v>
      </c>
      <c r="AP123" s="47"/>
      <c r="AQ123" s="47"/>
      <c r="AR123" s="76">
        <f t="shared" si="238"/>
        <v>0</v>
      </c>
      <c r="AS123" s="76">
        <f t="shared" si="250"/>
        <v>0</v>
      </c>
    </row>
    <row r="124" spans="1:52" ht="15" customHeight="1" x14ac:dyDescent="0.25">
      <c r="A124" s="52" t="s">
        <v>60</v>
      </c>
      <c r="B124" s="47"/>
      <c r="C124" s="47"/>
      <c r="D124" s="47"/>
      <c r="E124" s="47"/>
      <c r="F124" s="47"/>
      <c r="G124" s="47"/>
      <c r="H124" s="47"/>
      <c r="I124" s="76">
        <f t="shared" si="240"/>
        <v>0</v>
      </c>
      <c r="J124" s="47"/>
      <c r="K124" s="47"/>
      <c r="L124" s="47"/>
      <c r="M124" s="47"/>
      <c r="N124" s="47"/>
      <c r="O124" s="47"/>
      <c r="P124" s="47"/>
      <c r="Q124" s="76">
        <f t="shared" si="242"/>
        <v>0</v>
      </c>
      <c r="R124" s="47"/>
      <c r="S124" s="47"/>
      <c r="T124" s="47"/>
      <c r="U124" s="47"/>
      <c r="V124" s="47"/>
      <c r="W124" s="47"/>
      <c r="X124" s="47"/>
      <c r="Y124" s="76">
        <f t="shared" si="244"/>
        <v>0</v>
      </c>
      <c r="Z124" s="47"/>
      <c r="AA124" s="47"/>
      <c r="AB124" s="47"/>
      <c r="AC124" s="47"/>
      <c r="AD124" s="47"/>
      <c r="AE124" s="47"/>
      <c r="AF124" s="47"/>
      <c r="AG124" s="76">
        <f t="shared" si="246"/>
        <v>0</v>
      </c>
      <c r="AH124" s="47"/>
      <c r="AI124" s="47"/>
      <c r="AJ124" s="47"/>
      <c r="AK124" s="47"/>
      <c r="AL124" s="47"/>
      <c r="AM124" s="47"/>
      <c r="AN124" s="47"/>
      <c r="AO124" s="76">
        <f t="shared" si="248"/>
        <v>0</v>
      </c>
      <c r="AP124" s="47"/>
      <c r="AQ124" s="47"/>
      <c r="AR124" s="76">
        <f t="shared" ref="AR124:AR126" si="256">SUM(AP124:AQ124)</f>
        <v>0</v>
      </c>
      <c r="AS124" s="76">
        <f t="shared" si="250"/>
        <v>0</v>
      </c>
    </row>
    <row r="125" spans="1:52" ht="15" customHeight="1" x14ac:dyDescent="0.25">
      <c r="A125" s="37" t="s">
        <v>62</v>
      </c>
      <c r="B125" s="47"/>
      <c r="C125" s="47"/>
      <c r="D125" s="47"/>
      <c r="E125" s="47"/>
      <c r="F125" s="47"/>
      <c r="G125" s="47"/>
      <c r="H125" s="47"/>
      <c r="I125" s="76">
        <f t="shared" si="240"/>
        <v>0</v>
      </c>
      <c r="J125" s="47"/>
      <c r="K125" s="47"/>
      <c r="L125" s="47"/>
      <c r="M125" s="47"/>
      <c r="N125" s="47"/>
      <c r="O125" s="47"/>
      <c r="P125" s="47"/>
      <c r="Q125" s="76">
        <f t="shared" si="242"/>
        <v>0</v>
      </c>
      <c r="R125" s="47"/>
      <c r="S125" s="47"/>
      <c r="T125" s="47"/>
      <c r="U125" s="47"/>
      <c r="V125" s="47"/>
      <c r="W125" s="47"/>
      <c r="X125" s="47"/>
      <c r="Y125" s="76">
        <f t="shared" si="244"/>
        <v>0</v>
      </c>
      <c r="Z125" s="47"/>
      <c r="AA125" s="47"/>
      <c r="AB125" s="47"/>
      <c r="AC125" s="47"/>
      <c r="AD125" s="47"/>
      <c r="AE125" s="47"/>
      <c r="AF125" s="47"/>
      <c r="AG125" s="76">
        <f t="shared" si="246"/>
        <v>0</v>
      </c>
      <c r="AH125" s="47"/>
      <c r="AI125" s="47"/>
      <c r="AJ125" s="47"/>
      <c r="AK125" s="47"/>
      <c r="AL125" s="47"/>
      <c r="AM125" s="47"/>
      <c r="AN125" s="47"/>
      <c r="AO125" s="76">
        <f t="shared" si="248"/>
        <v>0</v>
      </c>
      <c r="AP125" s="47"/>
      <c r="AQ125" s="47"/>
      <c r="AR125" s="76">
        <f t="shared" si="256"/>
        <v>0</v>
      </c>
      <c r="AS125" s="76">
        <f t="shared" si="250"/>
        <v>0</v>
      </c>
    </row>
    <row r="126" spans="1:52" ht="15" customHeight="1" x14ac:dyDescent="0.25">
      <c r="A126" s="52" t="s">
        <v>61</v>
      </c>
      <c r="B126" s="47"/>
      <c r="C126" s="47"/>
      <c r="D126" s="47"/>
      <c r="E126" s="47"/>
      <c r="F126" s="47"/>
      <c r="G126" s="47"/>
      <c r="H126" s="47"/>
      <c r="I126" s="76">
        <f t="shared" si="240"/>
        <v>0</v>
      </c>
      <c r="J126" s="47"/>
      <c r="K126" s="47"/>
      <c r="L126" s="47"/>
      <c r="M126" s="47"/>
      <c r="N126" s="47"/>
      <c r="O126" s="47"/>
      <c r="P126" s="47"/>
      <c r="Q126" s="76">
        <f t="shared" si="242"/>
        <v>0</v>
      </c>
      <c r="R126" s="47"/>
      <c r="S126" s="47"/>
      <c r="T126" s="47"/>
      <c r="U126" s="47"/>
      <c r="V126" s="47"/>
      <c r="W126" s="47"/>
      <c r="X126" s="47"/>
      <c r="Y126" s="76">
        <f t="shared" si="244"/>
        <v>0</v>
      </c>
      <c r="Z126" s="47"/>
      <c r="AA126" s="47">
        <v>8</v>
      </c>
      <c r="AB126" s="47"/>
      <c r="AC126" s="47"/>
      <c r="AD126" s="47">
        <v>8</v>
      </c>
      <c r="AE126" s="47"/>
      <c r="AF126" s="47"/>
      <c r="AG126" s="76">
        <f t="shared" si="246"/>
        <v>16</v>
      </c>
      <c r="AH126" s="47"/>
      <c r="AI126" s="47"/>
      <c r="AJ126" s="47"/>
      <c r="AK126" s="47"/>
      <c r="AL126" s="47"/>
      <c r="AM126" s="47"/>
      <c r="AN126" s="47"/>
      <c r="AO126" s="76">
        <f t="shared" si="248"/>
        <v>0</v>
      </c>
      <c r="AP126" s="47"/>
      <c r="AQ126" s="47"/>
      <c r="AR126" s="76">
        <f t="shared" si="256"/>
        <v>0</v>
      </c>
      <c r="AS126" s="76">
        <f t="shared" si="250"/>
        <v>16</v>
      </c>
    </row>
    <row r="127" spans="1:52" s="49" customFormat="1" ht="15" customHeight="1" x14ac:dyDescent="0.25">
      <c r="A127" s="52" t="s">
        <v>95</v>
      </c>
      <c r="B127" s="76">
        <f>IF(B115="nuit",B118*0.02,0)</f>
        <v>0</v>
      </c>
      <c r="C127" s="76">
        <f>IF(C115="nuit",C118*0.02,0)</f>
        <v>0</v>
      </c>
      <c r="D127" s="76">
        <f t="shared" ref="D127:H127" si="257">IF(D115="nuit",D118*0.02,0)</f>
        <v>0</v>
      </c>
      <c r="E127" s="76">
        <f t="shared" si="257"/>
        <v>0</v>
      </c>
      <c r="F127" s="76">
        <f>IF(F115="nuit",F118*0.02,0)</f>
        <v>0</v>
      </c>
      <c r="G127" s="76">
        <f t="shared" si="257"/>
        <v>0</v>
      </c>
      <c r="H127" s="76">
        <f t="shared" si="257"/>
        <v>0.16</v>
      </c>
      <c r="I127" s="76">
        <f t="shared" si="240"/>
        <v>0.16</v>
      </c>
      <c r="J127" s="76">
        <f>IF(J115="nuit",J118*0.02,0)</f>
        <v>0.2</v>
      </c>
      <c r="K127" s="76">
        <f>IF(K115="nuit",K118*0.02,0)</f>
        <v>0.16</v>
      </c>
      <c r="L127" s="76">
        <f t="shared" ref="L127:P127" si="258">IF(L115="nuit",L118*0.02,0)</f>
        <v>0.16</v>
      </c>
      <c r="M127" s="76">
        <f t="shared" si="258"/>
        <v>0.16</v>
      </c>
      <c r="N127" s="76">
        <f>IF(N115="nuit",N118*0.02,0)</f>
        <v>0.16</v>
      </c>
      <c r="O127" s="76">
        <f t="shared" si="258"/>
        <v>0</v>
      </c>
      <c r="P127" s="76">
        <f t="shared" si="258"/>
        <v>0</v>
      </c>
      <c r="Q127" s="76">
        <f t="shared" si="242"/>
        <v>0.84000000000000008</v>
      </c>
      <c r="R127" s="76">
        <f>IF(R115="nuit",R118*0.02,0)</f>
        <v>0</v>
      </c>
      <c r="S127" s="76">
        <f>IF(S115="nuit",S118*0.02,0)</f>
        <v>0</v>
      </c>
      <c r="T127" s="76">
        <f t="shared" ref="T127:X127" si="259">IF(T115="nuit",T118*0.02,0)</f>
        <v>0</v>
      </c>
      <c r="U127" s="76">
        <f t="shared" si="259"/>
        <v>0</v>
      </c>
      <c r="V127" s="76">
        <f>IF(V115="nuit",V118*0.02,0)</f>
        <v>0</v>
      </c>
      <c r="W127" s="76">
        <f t="shared" si="259"/>
        <v>0</v>
      </c>
      <c r="X127" s="76">
        <f t="shared" si="259"/>
        <v>0.16</v>
      </c>
      <c r="Y127" s="76">
        <f t="shared" si="244"/>
        <v>0.16</v>
      </c>
      <c r="Z127" s="76">
        <f>IF(Z115="nuit",Z118*0.02,0)</f>
        <v>0.16</v>
      </c>
      <c r="AA127" s="76">
        <f>IF(AA115="nuit",AA118*0.02,0)</f>
        <v>0</v>
      </c>
      <c r="AB127" s="76">
        <f t="shared" ref="AB127:AF127" si="260">IF(AB115="nuit",AB118*0.02,0)</f>
        <v>0.16</v>
      </c>
      <c r="AC127" s="76">
        <f t="shared" si="260"/>
        <v>0.16</v>
      </c>
      <c r="AD127" s="76">
        <f>IF(AD115="nuit",AD118*0.02,0)</f>
        <v>0</v>
      </c>
      <c r="AE127" s="76">
        <f t="shared" si="260"/>
        <v>0</v>
      </c>
      <c r="AF127" s="76">
        <f t="shared" si="260"/>
        <v>0</v>
      </c>
      <c r="AG127" s="76">
        <f t="shared" si="246"/>
        <v>0.48</v>
      </c>
      <c r="AH127" s="76">
        <f>IF(AH115="nuit",AH118*0.02,0)</f>
        <v>0.16</v>
      </c>
      <c r="AI127" s="76">
        <f>IF(AI115="nuit",AI118*0.02,0)</f>
        <v>0.16</v>
      </c>
      <c r="AJ127" s="76">
        <f t="shared" ref="AJ127:AN127" si="261">IF(AJ115="nuit",AJ118*0.02,0)</f>
        <v>0.16</v>
      </c>
      <c r="AK127" s="76">
        <f t="shared" si="261"/>
        <v>0.16</v>
      </c>
      <c r="AL127" s="76">
        <f>IF(AL115="nuit",AL118*0.02,0)</f>
        <v>0.06</v>
      </c>
      <c r="AM127" s="76">
        <f t="shared" si="261"/>
        <v>0</v>
      </c>
      <c r="AN127" s="76">
        <f t="shared" si="261"/>
        <v>0</v>
      </c>
      <c r="AO127" s="76">
        <f t="shared" si="248"/>
        <v>0.7</v>
      </c>
      <c r="AP127" s="76">
        <f>IF(AP115="nuit",AP118*0.02,0)</f>
        <v>0</v>
      </c>
      <c r="AQ127" s="76">
        <f>IF(AQ115="nuit",AQ118*0.02,0)</f>
        <v>0</v>
      </c>
      <c r="AR127" s="76">
        <f>SUM(AP127:AQ127)</f>
        <v>0</v>
      </c>
      <c r="AS127" s="76">
        <f>I127+Q127+Y127+AG127+AO127+AR127</f>
        <v>2.34</v>
      </c>
      <c r="AT127" s="68"/>
      <c r="AU127" s="68"/>
      <c r="AV127" s="68"/>
      <c r="AW127" s="68"/>
      <c r="AX127" s="68"/>
      <c r="AY127" s="68"/>
      <c r="AZ127" s="51"/>
    </row>
    <row r="128" spans="1:52" ht="15" customHeight="1" x14ac:dyDescent="0.25">
      <c r="A128" s="37" t="s">
        <v>82</v>
      </c>
      <c r="B128" s="47"/>
      <c r="C128" s="47"/>
      <c r="D128" s="47"/>
      <c r="E128" s="47"/>
      <c r="F128" s="47"/>
      <c r="G128" s="53"/>
      <c r="H128" s="53"/>
      <c r="I128" s="80"/>
      <c r="J128" s="53"/>
      <c r="K128" s="53"/>
      <c r="L128" s="53"/>
      <c r="M128" s="53"/>
      <c r="N128" s="53"/>
      <c r="O128" s="53"/>
      <c r="P128" s="53"/>
      <c r="Q128" s="80"/>
      <c r="R128" s="53"/>
      <c r="S128" s="53"/>
      <c r="T128" s="53"/>
      <c r="U128" s="53"/>
      <c r="V128" s="53"/>
      <c r="W128" s="53"/>
      <c r="X128" s="53"/>
      <c r="Y128" s="80"/>
      <c r="Z128" s="53"/>
      <c r="AA128" s="53"/>
      <c r="AB128" s="53"/>
      <c r="AC128" s="53"/>
      <c r="AD128" s="53"/>
      <c r="AE128" s="53"/>
      <c r="AF128" s="53"/>
      <c r="AG128" s="80"/>
      <c r="AH128" s="53"/>
      <c r="AI128" s="53"/>
      <c r="AJ128" s="53"/>
      <c r="AK128" s="53"/>
      <c r="AL128" s="53"/>
      <c r="AM128" s="53"/>
      <c r="AN128" s="53"/>
      <c r="AO128" s="80"/>
      <c r="AP128" s="53"/>
      <c r="AQ128" s="53"/>
      <c r="AR128" s="80"/>
      <c r="AS128" s="81"/>
    </row>
    <row r="129" spans="1:47" ht="15" customHeight="1" x14ac:dyDescent="0.25">
      <c r="A129" s="54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85"/>
    </row>
    <row r="130" spans="1:47" ht="27.6" x14ac:dyDescent="0.25">
      <c r="A130" s="37"/>
      <c r="B130" s="40" t="s">
        <v>77</v>
      </c>
      <c r="C130" s="40"/>
      <c r="D130" s="40"/>
      <c r="E130" s="40"/>
      <c r="F130" s="40"/>
      <c r="G130" s="96">
        <f>Année_Calendaire</f>
        <v>2016</v>
      </c>
      <c r="H130" s="96"/>
      <c r="I130" s="65"/>
      <c r="J130" s="47"/>
      <c r="K130" s="47"/>
      <c r="L130" s="47"/>
      <c r="M130" s="47"/>
      <c r="N130" s="47"/>
      <c r="O130" s="47"/>
      <c r="P130" s="47"/>
      <c r="Q130" s="65"/>
      <c r="R130" s="40" t="s">
        <v>77</v>
      </c>
      <c r="S130" s="40"/>
      <c r="T130" s="40"/>
      <c r="U130" s="40"/>
      <c r="V130" s="40"/>
      <c r="W130" s="96">
        <f>Année_Calendaire</f>
        <v>2016</v>
      </c>
      <c r="X130" s="96"/>
      <c r="Y130" s="65"/>
      <c r="Z130" s="47"/>
      <c r="AA130" s="47"/>
      <c r="AB130" s="47"/>
      <c r="AC130" s="47"/>
      <c r="AD130" s="47"/>
      <c r="AE130" s="47"/>
      <c r="AF130" s="47"/>
      <c r="AG130" s="65"/>
      <c r="AH130" s="40" t="s">
        <v>77</v>
      </c>
      <c r="AI130" s="40"/>
      <c r="AJ130" s="40"/>
      <c r="AK130" s="40"/>
      <c r="AL130" s="40"/>
      <c r="AM130" s="96">
        <f>Année_Calendaire</f>
        <v>2016</v>
      </c>
      <c r="AN130" s="96"/>
      <c r="AO130" s="65"/>
      <c r="AP130" s="47"/>
      <c r="AQ130" s="47"/>
      <c r="AR130" s="65"/>
    </row>
    <row r="131" spans="1:47" ht="29.25" customHeight="1" x14ac:dyDescent="0.25">
      <c r="A131" s="47"/>
      <c r="B131" s="78" t="s">
        <v>64</v>
      </c>
      <c r="C131" s="78" t="s">
        <v>65</v>
      </c>
      <c r="D131" s="78" t="s">
        <v>66</v>
      </c>
      <c r="E131" s="78" t="s">
        <v>67</v>
      </c>
      <c r="F131" s="78" t="s">
        <v>68</v>
      </c>
      <c r="G131" s="78" t="s">
        <v>69</v>
      </c>
      <c r="H131" s="78" t="s">
        <v>70</v>
      </c>
      <c r="I131" s="97" t="s">
        <v>83</v>
      </c>
      <c r="J131" s="78" t="s">
        <v>64</v>
      </c>
      <c r="K131" s="78" t="s">
        <v>65</v>
      </c>
      <c r="L131" s="78" t="s">
        <v>66</v>
      </c>
      <c r="M131" s="78" t="s">
        <v>67</v>
      </c>
      <c r="N131" s="78" t="s">
        <v>68</v>
      </c>
      <c r="O131" s="78" t="s">
        <v>69</v>
      </c>
      <c r="P131" s="78" t="s">
        <v>70</v>
      </c>
      <c r="Q131" s="97" t="s">
        <v>83</v>
      </c>
      <c r="R131" s="78" t="s">
        <v>64</v>
      </c>
      <c r="S131" s="78" t="s">
        <v>65</v>
      </c>
      <c r="T131" s="78" t="s">
        <v>66</v>
      </c>
      <c r="U131" s="78" t="s">
        <v>67</v>
      </c>
      <c r="V131" s="78" t="s">
        <v>68</v>
      </c>
      <c r="W131" s="78" t="s">
        <v>69</v>
      </c>
      <c r="X131" s="78" t="s">
        <v>70</v>
      </c>
      <c r="Y131" s="97" t="s">
        <v>83</v>
      </c>
      <c r="Z131" s="78" t="s">
        <v>64</v>
      </c>
      <c r="AA131" s="78" t="s">
        <v>65</v>
      </c>
      <c r="AB131" s="78" t="s">
        <v>66</v>
      </c>
      <c r="AC131" s="78" t="s">
        <v>67</v>
      </c>
      <c r="AD131" s="78" t="s">
        <v>68</v>
      </c>
      <c r="AE131" s="78" t="s">
        <v>69</v>
      </c>
      <c r="AF131" s="78" t="s">
        <v>70</v>
      </c>
      <c r="AG131" s="97" t="s">
        <v>83</v>
      </c>
      <c r="AH131" s="78" t="s">
        <v>64</v>
      </c>
      <c r="AI131" s="78" t="s">
        <v>65</v>
      </c>
      <c r="AJ131" s="78" t="s">
        <v>66</v>
      </c>
      <c r="AK131" s="78" t="s">
        <v>67</v>
      </c>
      <c r="AL131" s="78" t="s">
        <v>68</v>
      </c>
      <c r="AM131" s="78" t="s">
        <v>69</v>
      </c>
      <c r="AN131" s="78" t="s">
        <v>70</v>
      </c>
      <c r="AO131" s="97" t="s">
        <v>83</v>
      </c>
      <c r="AP131" s="78" t="s">
        <v>64</v>
      </c>
      <c r="AQ131" s="78" t="s">
        <v>65</v>
      </c>
      <c r="AR131" s="97" t="s">
        <v>83</v>
      </c>
      <c r="AS131" s="97" t="s">
        <v>86</v>
      </c>
      <c r="AT131" s="98">
        <f>AS138+AS139+AS140</f>
        <v>5</v>
      </c>
      <c r="AU131" s="98">
        <f>AT131+AU113</f>
        <v>85</v>
      </c>
    </row>
    <row r="132" spans="1:47" ht="15" customHeight="1" x14ac:dyDescent="0.25">
      <c r="A132" s="64"/>
      <c r="B132" s="83">
        <f>IF(DAY(Aoû_Dim1)=1,"",IF(AND(YEAR(Aoû_Dim1+1)=Année_Calendaire,MONTH(Aoû_Dim1+1)=8),Aoû_Dim1+1,""))</f>
        <v>42583</v>
      </c>
      <c r="C132" s="83">
        <f>IF(DAY(Aoû_Dim1)=1,"",IF(AND(YEAR(Aoû_Dim1+2)=Année_Calendaire,MONTH(Aoû_Dim1+2)=8),Aoû_Dim1+2,""))</f>
        <v>42584</v>
      </c>
      <c r="D132" s="83">
        <f>IF(DAY(Aoû_Dim1)=1,"",IF(AND(YEAR(Aoû_Dim1+3)=Année_Calendaire,MONTH(Aoû_Dim1+3)=8),Aoû_Dim1+3,""))</f>
        <v>42585</v>
      </c>
      <c r="E132" s="83">
        <f>IF(DAY(Aoû_Dim1)=1,"",IF(AND(YEAR(Aoû_Dim1+4)=Année_Calendaire,MONTH(Aoû_Dim1+4)=8),Aoû_Dim1+4,""))</f>
        <v>42586</v>
      </c>
      <c r="F132" s="83">
        <f>IF(DAY(Aoû_Dim1)=1,"",IF(AND(YEAR(Aoû_Dim1+5)=Année_Calendaire,MONTH(Aoû_Dim1+5)=8),Aoû_Dim1+5,""))</f>
        <v>42587</v>
      </c>
      <c r="G132" s="83">
        <f>IF(DAY(Aoû_Dim1)=1,"",IF(AND(YEAR(Aoû_Dim1+6)=Année_Calendaire,MONTH(Aoû_Dim1+6)=8),Aoû_Dim1+6,""))</f>
        <v>42588</v>
      </c>
      <c r="H132" s="83">
        <f>IF(DAY(Aoû_Dim1)=1,IF(AND(YEAR(Aoû_Dim1)=Année_Calendaire,MONTH(Aoû_Dim1)=8),Aoû_Dim1,""),IF(AND(YEAR(Aoû_Dim1+7)=Année_Calendaire,MONTH(Aoû_Dim1+7)=8),Aoû_Dim1+7,""))</f>
        <v>42589</v>
      </c>
      <c r="I132" s="97"/>
      <c r="J132" s="83">
        <f>IF(DAY(Aoû_Dim1)=1,IF(AND(YEAR(Aoû_Dim1+1)=Année_Calendaire,MONTH(Aoû_Dim1+1)=8),Aoû_Dim1+1,""),IF(AND(YEAR(Aoû_Dim1+8)=Année_Calendaire,MONTH(Aoû_Dim1+8)=8),Aoû_Dim1+8,""))</f>
        <v>42590</v>
      </c>
      <c r="K132" s="83">
        <f>IF(DAY(Aoû_Dim1)=1,IF(AND(YEAR(Aoû_Dim1+2)=Année_Calendaire,MONTH(Aoû_Dim1+2)=8),Aoû_Dim1+2,""),IF(AND(YEAR(Aoû_Dim1+9)=Année_Calendaire,MONTH(Aoû_Dim1+9)=8),Aoû_Dim1+9,""))</f>
        <v>42591</v>
      </c>
      <c r="L132" s="83">
        <f>IF(DAY(Aoû_Dim1)=1,IF(AND(YEAR(Aoû_Dim1+3)=Année_Calendaire,MONTH(Aoû_Dim1+3)=8),Aoû_Dim1+3,""),IF(AND(YEAR(Aoû_Dim1+10)=Année_Calendaire,MONTH(Aoû_Dim1+10)=8),Aoû_Dim1+10,""))</f>
        <v>42592</v>
      </c>
      <c r="M132" s="83">
        <f>IF(DAY(Aoû_Dim1)=1,IF(AND(YEAR(Aoû_Dim1+4)=Année_Calendaire,MONTH(Aoû_Dim1+4)=8),Aoû_Dim1+4,""),IF(AND(YEAR(Aoû_Dim1+11)=Année_Calendaire,MONTH(Aoû_Dim1+11)=8),Aoû_Dim1+11,""))</f>
        <v>42593</v>
      </c>
      <c r="N132" s="83">
        <f>IF(DAY(Aoû_Dim1)=1,IF(AND(YEAR(Aoû_Dim1+5)=Année_Calendaire,MONTH(Aoû_Dim1+5)=8),Aoû_Dim1+5,""),IF(AND(YEAR(Aoû_Dim1+12)=Année_Calendaire,MONTH(Aoû_Dim1+12)=8),Aoû_Dim1+12,""))</f>
        <v>42594</v>
      </c>
      <c r="O132" s="83">
        <f>IF(DAY(Aoû_Dim1)=1,IF(AND(YEAR(Aoû_Dim1+6)=Année_Calendaire,MONTH(Aoû_Dim1+6)=8),Aoû_Dim1+6,""),IF(AND(YEAR(Aoû_Dim1+13)=Année_Calendaire,MONTH(Aoû_Dim1+13)=8),Aoû_Dim1+13,""))</f>
        <v>42595</v>
      </c>
      <c r="P132" s="83">
        <f>IF(DAY(Aoû_Dim1)=1,IF(AND(YEAR(Aoû_Dim1+7)=Année_Calendaire,MONTH(Aoû_Dim1+7)=8),Aoû_Dim1+7,""),IF(AND(YEAR(Aoû_Dim1+14)=Année_Calendaire,MONTH(Aoû_Dim1+14)=8),Aoû_Dim1+14,""))</f>
        <v>42596</v>
      </c>
      <c r="Q132" s="97"/>
      <c r="R132" s="83">
        <f>IF(DAY(Aoû_Dim1)=1,IF(AND(YEAR(Aoû_Dim1+8)=Année_Calendaire,MONTH(Aoû_Dim1+8)=8),Aoû_Dim1+8,""),IF(AND(YEAR(Aoû_Dim1+15)=Année_Calendaire,MONTH(Aoû_Dim1+15)=8),Aoû_Dim1+15,""))</f>
        <v>42597</v>
      </c>
      <c r="S132" s="83">
        <f>IF(DAY(Aoû_Dim1)=1,IF(AND(YEAR(Aoû_Dim1+9)=Année_Calendaire,MONTH(Aoû_Dim1+9)=8),Aoû_Dim1+9,""),IF(AND(YEAR(Aoû_Dim1+16)=Année_Calendaire,MONTH(Aoû_Dim1+16)=8),Aoû_Dim1+16,""))</f>
        <v>42598</v>
      </c>
      <c r="T132" s="83">
        <f>IF(DAY(Aoû_Dim1)=1,IF(AND(YEAR(Aoû_Dim1+10)=Année_Calendaire,MONTH(Aoû_Dim1+10)=8),Aoû_Dim1+10,""),IF(AND(YEAR(Aoû_Dim1+17)=Année_Calendaire,MONTH(Aoû_Dim1+17)=8),Aoû_Dim1+17,""))</f>
        <v>42599</v>
      </c>
      <c r="U132" s="83">
        <f>IF(DAY(Aoû_Dim1)=1,IF(AND(YEAR(Aoû_Dim1+11)=Année_Calendaire,MONTH(Aoû_Dim1+11)=8),Aoû_Dim1+11,""),IF(AND(YEAR(Aoû_Dim1+18)=Année_Calendaire,MONTH(Aoû_Dim1+18)=8),Aoû_Dim1+18,""))</f>
        <v>42600</v>
      </c>
      <c r="V132" s="83">
        <f>IF(DAY(Aoû_Dim1)=1,IF(AND(YEAR(Aoû_Dim1+12)=Année_Calendaire,MONTH(Aoû_Dim1+12)=8),Aoû_Dim1+12,""),IF(AND(YEAR(Aoû_Dim1+19)=Année_Calendaire,MONTH(Aoû_Dim1+19)=8),Aoû_Dim1+19,""))</f>
        <v>42601</v>
      </c>
      <c r="W132" s="83">
        <f>IF(DAY(Aoû_Dim1)=1,IF(AND(YEAR(Aoû_Dim1+13)=Année_Calendaire,MONTH(Aoû_Dim1+13)=8),Aoû_Dim1+13,""),IF(AND(YEAR(Aoû_Dim1+20)=Année_Calendaire,MONTH(Aoû_Dim1+20)=8),Aoû_Dim1+20,""))</f>
        <v>42602</v>
      </c>
      <c r="X132" s="83">
        <f>IF(DAY(Aoû_Dim1)=1,IF(AND(YEAR(Aoû_Dim1+14)=Année_Calendaire,MONTH(Aoû_Dim1+14)=8),Aoû_Dim1+14,""),IF(AND(YEAR(Aoû_Dim1+21)=Année_Calendaire,MONTH(Aoû_Dim1+21)=8),Aoû_Dim1+21,""))</f>
        <v>42603</v>
      </c>
      <c r="Y132" s="97"/>
      <c r="Z132" s="83">
        <f>IF(DAY(Aoû_Dim1)=1,IF(AND(YEAR(Aoû_Dim1+15)=Année_Calendaire,MONTH(Aoû_Dim1+15)=8),Aoû_Dim1+15,""),IF(AND(YEAR(Aoû_Dim1+22)=Année_Calendaire,MONTH(Aoû_Dim1+22)=8),Aoû_Dim1+22,""))</f>
        <v>42604</v>
      </c>
      <c r="AA132" s="83">
        <f>IF(DAY(Aoû_Dim1)=1,IF(AND(YEAR(Aoû_Dim1+16)=Année_Calendaire,MONTH(Aoû_Dim1+16)=8),Aoû_Dim1+16,""),IF(AND(YEAR(Aoû_Dim1+23)=Année_Calendaire,MONTH(Aoû_Dim1+23)=8),Aoû_Dim1+23,""))</f>
        <v>42605</v>
      </c>
      <c r="AB132" s="83">
        <f>IF(DAY(Aoû_Dim1)=1,IF(AND(YEAR(Aoû_Dim1+17)=Année_Calendaire,MONTH(Aoû_Dim1+17)=8),Aoû_Dim1+17,""),IF(AND(YEAR(Aoû_Dim1+24)=Année_Calendaire,MONTH(Aoû_Dim1+24)=8),Aoû_Dim1+24,""))</f>
        <v>42606</v>
      </c>
      <c r="AC132" s="83">
        <f>IF(DAY(Aoû_Dim1)=1,IF(AND(YEAR(Aoû_Dim1+18)=Année_Calendaire,MONTH(Aoû_Dim1+18)=8),Aoû_Dim1+18,""),IF(AND(YEAR(Aoû_Dim1+25)=Année_Calendaire,MONTH(Aoû_Dim1+25)=8),Aoû_Dim1+25,""))</f>
        <v>42607</v>
      </c>
      <c r="AD132" s="83">
        <f>IF(DAY(Aoû_Dim1)=1,IF(AND(YEAR(Aoû_Dim1+19)=Année_Calendaire,MONTH(Aoû_Dim1+19)=8),Aoû_Dim1+19,""),IF(AND(YEAR(Aoû_Dim1+26)=Année_Calendaire,MONTH(Aoû_Dim1+26)=8),Aoû_Dim1+26,""))</f>
        <v>42608</v>
      </c>
      <c r="AE132" s="83">
        <f>IF(DAY(Aoû_Dim1)=1,IF(AND(YEAR(Aoû_Dim1+20)=Année_Calendaire,MONTH(Aoû_Dim1+20)=8),Aoû_Dim1+20,""),IF(AND(YEAR(Aoû_Dim1+27)=Année_Calendaire,MONTH(Aoû_Dim1+27)=8),Aoû_Dim1+27,""))</f>
        <v>42609</v>
      </c>
      <c r="AF132" s="83">
        <f>IF(DAY(Aoû_Dim1)=1,IF(AND(YEAR(Aoû_Dim1+21)=Année_Calendaire,MONTH(Aoû_Dim1+21)=8),Aoû_Dim1+21,""),IF(AND(YEAR(Aoû_Dim1+28)=Année_Calendaire,MONTH(Aoû_Dim1+28)=8),Aoû_Dim1+28,""))</f>
        <v>42610</v>
      </c>
      <c r="AG132" s="97"/>
      <c r="AH132" s="83">
        <f>IF(DAY(Aoû_Dim1)=1,IF(AND(YEAR(Aoû_Dim1+22)=Année_Calendaire,MONTH(Aoû_Dim1+22)=8),Aoû_Dim1+22,""),IF(AND(YEAR(Aoû_Dim1+29)=Année_Calendaire,MONTH(Aoû_Dim1+29)=8),Aoû_Dim1+29,""))</f>
        <v>42611</v>
      </c>
      <c r="AI132" s="83">
        <f>IF(DAY(Aoû_Dim1)=1,IF(AND(YEAR(Aoû_Dim1+23)=Année_Calendaire,MONTH(Aoû_Dim1+23)=8),Aoû_Dim1+23,""),IF(AND(YEAR(Aoû_Dim1+30)=Année_Calendaire,MONTH(Aoû_Dim1+30)=8),Aoû_Dim1+30,""))</f>
        <v>42612</v>
      </c>
      <c r="AJ132" s="83">
        <f>IF(DAY(Aoû_Dim1)=1,IF(AND(YEAR(Aoû_Dim1+24)=Année_Calendaire,MONTH(Aoû_Dim1+24)=8),Aoû_Dim1+24,""),IF(AND(YEAR(Aoû_Dim1+31)=Année_Calendaire,MONTH(Aoû_Dim1+31)=8),Aoû_Dim1+31,""))</f>
        <v>42613</v>
      </c>
      <c r="AK132" s="83" t="str">
        <f>IF(DAY(Aoû_Dim1)=1,IF(AND(YEAR(Aoû_Dim1+25)=Année_Calendaire,MONTH(Aoû_Dim1+25)=8),Aoû_Dim1+25,""),IF(AND(YEAR(Aoû_Dim1+32)=Année_Calendaire,MONTH(Aoû_Dim1+32)=8),Aoû_Dim1+32,""))</f>
        <v/>
      </c>
      <c r="AL132" s="83" t="str">
        <f>IF(DAY(Aoû_Dim1)=1,IF(AND(YEAR(Aoû_Dim1+26)=Année_Calendaire,MONTH(Aoû_Dim1+26)=8),Aoû_Dim1+26,""),IF(AND(YEAR(Aoû_Dim1+33)=Année_Calendaire,MONTH(Aoû_Dim1+33)=8),Aoû_Dim1+33,""))</f>
        <v/>
      </c>
      <c r="AM132" s="83" t="str">
        <f>IF(DAY(Aoû_Dim1)=1,IF(AND(YEAR(Aoû_Dim1+27)=Année_Calendaire,MONTH(Aoû_Dim1+27)=8),Aoû_Dim1+27,""),IF(AND(YEAR(Aoû_Dim1+34)=Année_Calendaire,MONTH(Aoû_Dim1+34)=8),Aoû_Dim1+34,""))</f>
        <v/>
      </c>
      <c r="AN132" s="83" t="str">
        <f>IF(DAY(Aoû_Dim1)=1,IF(AND(YEAR(Aoû_Dim1+28)=Année_Calendaire,MONTH(Aoû_Dim1+28)=8),Aoû_Dim1+28,""),IF(AND(YEAR(Aoû_Dim1+35)=Année_Calendaire,MONTH(Aoû_Dim1+35)=8),Aoû_Dim1+35,""))</f>
        <v/>
      </c>
      <c r="AO132" s="97"/>
      <c r="AP132" s="77" t="str">
        <f>IF(DAY(Aoû_Dim1)=1,IF(AND(YEAR(Aoû_Dim1+29)=Année_Calendaire,MONTH(Aoû_Dim1+29)=8),Aoû_Dim1+29,""),IF(AND(YEAR(Aoû_Dim1+36)=Année_Calendaire,MONTH(Aoû_Dim1+36)=8),Aoû_Dim1+36,""))</f>
        <v/>
      </c>
      <c r="AQ132" s="77" t="str">
        <f>IF(DAY(Aoû_Dim1)=1,IF(AND(YEAR(Aoû_Dim1+30)=Année_Calendaire,MONTH(Aoû_Dim1+30)=8),Aoû_Dim1+30,""),IF(AND(YEAR(Aoû_Dim1+37)=Année_Calendaire,MONTH(Aoû_Dim1+37)=8),Aoû_Dim1+37,""))</f>
        <v/>
      </c>
      <c r="AR132" s="97"/>
      <c r="AS132" s="97"/>
      <c r="AT132" s="98"/>
      <c r="AU132" s="98"/>
    </row>
    <row r="133" spans="1:47" ht="15" customHeight="1" x14ac:dyDescent="0.25">
      <c r="A133" s="37" t="s">
        <v>2</v>
      </c>
      <c r="B133" s="47" t="s">
        <v>106</v>
      </c>
      <c r="C133" s="47" t="s">
        <v>106</v>
      </c>
      <c r="D133" s="47" t="s">
        <v>106</v>
      </c>
      <c r="E133" s="47" t="s">
        <v>106</v>
      </c>
      <c r="F133" s="47" t="s">
        <v>106</v>
      </c>
      <c r="G133" s="47"/>
      <c r="H133" s="47"/>
      <c r="I133" s="76"/>
      <c r="J133" s="47"/>
      <c r="K133" s="47"/>
      <c r="L133" s="47"/>
      <c r="M133" s="47"/>
      <c r="N133" s="47"/>
      <c r="O133" s="47"/>
      <c r="P133" s="47"/>
      <c r="Q133" s="76"/>
      <c r="R133" s="47"/>
      <c r="S133" s="47"/>
      <c r="T133" s="47"/>
      <c r="U133" s="47"/>
      <c r="V133" s="47"/>
      <c r="W133" s="47"/>
      <c r="X133" s="47"/>
      <c r="Y133" s="76"/>
      <c r="Z133" s="47" t="s">
        <v>108</v>
      </c>
      <c r="AA133" s="47" t="s">
        <v>108</v>
      </c>
      <c r="AB133" s="47" t="s">
        <v>108</v>
      </c>
      <c r="AC133" s="47" t="s">
        <v>108</v>
      </c>
      <c r="AD133" s="47" t="s">
        <v>108</v>
      </c>
      <c r="AE133" s="47"/>
      <c r="AF133" s="47"/>
      <c r="AG133" s="76"/>
      <c r="AH133" s="47" t="s">
        <v>106</v>
      </c>
      <c r="AI133" s="47" t="s">
        <v>106</v>
      </c>
      <c r="AJ133" s="47" t="s">
        <v>106</v>
      </c>
      <c r="AK133" s="47"/>
      <c r="AL133" s="47"/>
      <c r="AM133" s="47"/>
      <c r="AN133" s="47"/>
      <c r="AO133" s="76"/>
      <c r="AP133" s="47"/>
      <c r="AQ133" s="47"/>
      <c r="AR133" s="76"/>
      <c r="AS133" s="79"/>
    </row>
    <row r="134" spans="1:47" ht="15" customHeight="1" x14ac:dyDescent="0.25">
      <c r="A134" s="37" t="s">
        <v>63</v>
      </c>
      <c r="B134" s="76">
        <f t="shared" ref="B134:H134" si="262">IF(B133="Matin",1,IF(B133="AM",1,0))</f>
        <v>1</v>
      </c>
      <c r="C134" s="76">
        <f t="shared" si="262"/>
        <v>1</v>
      </c>
      <c r="D134" s="76">
        <f t="shared" si="262"/>
        <v>1</v>
      </c>
      <c r="E134" s="76">
        <f t="shared" si="262"/>
        <v>1</v>
      </c>
      <c r="F134" s="76">
        <f t="shared" si="262"/>
        <v>1</v>
      </c>
      <c r="G134" s="76">
        <f t="shared" si="262"/>
        <v>0</v>
      </c>
      <c r="H134" s="76">
        <f t="shared" si="262"/>
        <v>0</v>
      </c>
      <c r="I134" s="76">
        <f>SUM(B134:H134)</f>
        <v>5</v>
      </c>
      <c r="J134" s="76">
        <f t="shared" ref="J134:P134" si="263">IF(J133="Matin",1,IF(J133="AM",1,0))</f>
        <v>0</v>
      </c>
      <c r="K134" s="76">
        <f t="shared" si="263"/>
        <v>0</v>
      </c>
      <c r="L134" s="76">
        <f t="shared" si="263"/>
        <v>0</v>
      </c>
      <c r="M134" s="76">
        <f t="shared" si="263"/>
        <v>0</v>
      </c>
      <c r="N134" s="76">
        <f t="shared" si="263"/>
        <v>0</v>
      </c>
      <c r="O134" s="76">
        <f t="shared" si="263"/>
        <v>0</v>
      </c>
      <c r="P134" s="76">
        <f t="shared" si="263"/>
        <v>0</v>
      </c>
      <c r="Q134" s="76">
        <f>SUM(J134:P134)</f>
        <v>0</v>
      </c>
      <c r="R134" s="76">
        <f t="shared" ref="R134:X134" si="264">IF(R133="Matin",1,IF(R133="AM",1,0))</f>
        <v>0</v>
      </c>
      <c r="S134" s="76">
        <f t="shared" si="264"/>
        <v>0</v>
      </c>
      <c r="T134" s="76">
        <f t="shared" si="264"/>
        <v>0</v>
      </c>
      <c r="U134" s="76">
        <f t="shared" si="264"/>
        <v>0</v>
      </c>
      <c r="V134" s="76">
        <f t="shared" si="264"/>
        <v>0</v>
      </c>
      <c r="W134" s="76">
        <f t="shared" si="264"/>
        <v>0</v>
      </c>
      <c r="X134" s="76">
        <f t="shared" si="264"/>
        <v>0</v>
      </c>
      <c r="Y134" s="76">
        <f>SUM(R134:X134)</f>
        <v>0</v>
      </c>
      <c r="Z134" s="76">
        <f t="shared" ref="Z134:AF134" si="265">IF(Z133="Matin",1,IF(Z133="AM",1,0))</f>
        <v>0</v>
      </c>
      <c r="AA134" s="76">
        <f t="shared" si="265"/>
        <v>0</v>
      </c>
      <c r="AB134" s="76">
        <f t="shared" si="265"/>
        <v>0</v>
      </c>
      <c r="AC134" s="76">
        <f t="shared" si="265"/>
        <v>0</v>
      </c>
      <c r="AD134" s="76">
        <f t="shared" si="265"/>
        <v>0</v>
      </c>
      <c r="AE134" s="76">
        <f t="shared" si="265"/>
        <v>0</v>
      </c>
      <c r="AF134" s="76">
        <f t="shared" si="265"/>
        <v>0</v>
      </c>
      <c r="AG134" s="76">
        <f>SUM(Z134:AF134)</f>
        <v>0</v>
      </c>
      <c r="AH134" s="76">
        <f t="shared" ref="AH134:AN134" si="266">IF(AH133="Matin",1,IF(AH133="AM",1,0))</f>
        <v>1</v>
      </c>
      <c r="AI134" s="76">
        <f t="shared" si="266"/>
        <v>1</v>
      </c>
      <c r="AJ134" s="76">
        <f t="shared" si="266"/>
        <v>1</v>
      </c>
      <c r="AK134" s="76">
        <f t="shared" si="266"/>
        <v>0</v>
      </c>
      <c r="AL134" s="76">
        <f t="shared" si="266"/>
        <v>0</v>
      </c>
      <c r="AM134" s="76">
        <f t="shared" si="266"/>
        <v>0</v>
      </c>
      <c r="AN134" s="76">
        <f t="shared" si="266"/>
        <v>0</v>
      </c>
      <c r="AO134" s="76">
        <f>SUM(AH134:AN134)</f>
        <v>3</v>
      </c>
      <c r="AP134" s="76">
        <f t="shared" ref="AP134:AQ134" si="267">IF(AP133="Matin",1,IF(AP133="AM",1,0))</f>
        <v>0</v>
      </c>
      <c r="AQ134" s="76">
        <f t="shared" si="267"/>
        <v>0</v>
      </c>
      <c r="AR134" s="76">
        <f t="shared" ref="AR134:AR141" si="268">SUM(AP134:AQ134)</f>
        <v>0</v>
      </c>
      <c r="AS134" s="76">
        <f>I134+Q134+Y134+AG134+AO134+AR134</f>
        <v>8</v>
      </c>
    </row>
    <row r="135" spans="1:47" ht="15" customHeight="1" x14ac:dyDescent="0.25">
      <c r="A135" s="37" t="s">
        <v>4</v>
      </c>
      <c r="B135" s="76">
        <f>IF(B136&gt;=1,1,0)</f>
        <v>1</v>
      </c>
      <c r="C135" s="76">
        <f>IF(C136&gt;=1,1,0)</f>
        <v>1</v>
      </c>
      <c r="D135" s="76">
        <f t="shared" ref="D135:H135" si="269">IF(D136&gt;=1,1,0)</f>
        <v>1</v>
      </c>
      <c r="E135" s="76">
        <f t="shared" si="269"/>
        <v>1</v>
      </c>
      <c r="F135" s="76">
        <f t="shared" si="269"/>
        <v>1</v>
      </c>
      <c r="G135" s="76">
        <f t="shared" si="269"/>
        <v>0</v>
      </c>
      <c r="H135" s="76">
        <f t="shared" si="269"/>
        <v>0</v>
      </c>
      <c r="I135" s="76">
        <f t="shared" ref="I135:I145" si="270">SUM(B135:H135)</f>
        <v>5</v>
      </c>
      <c r="J135" s="76">
        <f>IF(J136&gt;=1,1,0)</f>
        <v>0</v>
      </c>
      <c r="K135" s="76">
        <f t="shared" ref="K135:P135" si="271">IF(K136&gt;=1,1,0)</f>
        <v>0</v>
      </c>
      <c r="L135" s="76">
        <f t="shared" si="271"/>
        <v>0</v>
      </c>
      <c r="M135" s="76">
        <f t="shared" si="271"/>
        <v>0</v>
      </c>
      <c r="N135" s="76">
        <f t="shared" si="271"/>
        <v>0</v>
      </c>
      <c r="O135" s="76">
        <f t="shared" si="271"/>
        <v>0</v>
      </c>
      <c r="P135" s="76">
        <f t="shared" si="271"/>
        <v>0</v>
      </c>
      <c r="Q135" s="76">
        <f t="shared" ref="Q135:Q145" si="272">SUM(J135:P135)</f>
        <v>0</v>
      </c>
      <c r="R135" s="76">
        <f>IF(R136&gt;=1,1,0)</f>
        <v>0</v>
      </c>
      <c r="S135" s="76">
        <f t="shared" ref="S135:X135" si="273">IF(S136&gt;=1,1,0)</f>
        <v>0</v>
      </c>
      <c r="T135" s="76">
        <f t="shared" si="273"/>
        <v>0</v>
      </c>
      <c r="U135" s="76">
        <f t="shared" si="273"/>
        <v>0</v>
      </c>
      <c r="V135" s="76">
        <f t="shared" si="273"/>
        <v>0</v>
      </c>
      <c r="W135" s="76">
        <f t="shared" si="273"/>
        <v>0</v>
      </c>
      <c r="X135" s="76">
        <f t="shared" si="273"/>
        <v>0</v>
      </c>
      <c r="Y135" s="76">
        <f t="shared" ref="Y135:Y145" si="274">SUM(R135:X135)</f>
        <v>0</v>
      </c>
      <c r="Z135" s="76">
        <f>IF(Z136&gt;=1,1,0)</f>
        <v>0</v>
      </c>
      <c r="AA135" s="76">
        <f t="shared" ref="AA135:AF135" si="275">IF(AA136&gt;=1,1,0)</f>
        <v>0</v>
      </c>
      <c r="AB135" s="76">
        <f t="shared" si="275"/>
        <v>0</v>
      </c>
      <c r="AC135" s="76">
        <f t="shared" si="275"/>
        <v>0</v>
      </c>
      <c r="AD135" s="76">
        <f t="shared" si="275"/>
        <v>0</v>
      </c>
      <c r="AE135" s="76">
        <f t="shared" si="275"/>
        <v>0</v>
      </c>
      <c r="AF135" s="76">
        <f t="shared" si="275"/>
        <v>0</v>
      </c>
      <c r="AG135" s="76">
        <f t="shared" ref="AG135:AG145" si="276">SUM(Z135:AF135)</f>
        <v>0</v>
      </c>
      <c r="AH135" s="76">
        <f>IF(AH136&gt;=1,1,0)</f>
        <v>0</v>
      </c>
      <c r="AI135" s="76">
        <f t="shared" ref="AI135:AN135" si="277">IF(AI136&gt;=1,1,0)</f>
        <v>0</v>
      </c>
      <c r="AJ135" s="76">
        <f t="shared" si="277"/>
        <v>0</v>
      </c>
      <c r="AK135" s="76">
        <f t="shared" si="277"/>
        <v>0</v>
      </c>
      <c r="AL135" s="76">
        <f t="shared" si="277"/>
        <v>0</v>
      </c>
      <c r="AM135" s="76">
        <f t="shared" si="277"/>
        <v>0</v>
      </c>
      <c r="AN135" s="76">
        <f t="shared" si="277"/>
        <v>0</v>
      </c>
      <c r="AO135" s="76">
        <f t="shared" ref="AO135:AO145" si="278">SUM(AH135:AN135)</f>
        <v>0</v>
      </c>
      <c r="AP135" s="76">
        <f>IF(AP136&gt;=1,1,0)</f>
        <v>0</v>
      </c>
      <c r="AQ135" s="76">
        <f t="shared" ref="AQ135" si="279">IF(AQ136&gt;=1,1,0)</f>
        <v>0</v>
      </c>
      <c r="AR135" s="76">
        <f t="shared" si="268"/>
        <v>0</v>
      </c>
      <c r="AS135" s="76">
        <f t="shared" ref="AS135:AS144" si="280">I135+Q135+Y135+AG135+AO135+AR135</f>
        <v>5</v>
      </c>
    </row>
    <row r="136" spans="1:47" ht="15" customHeight="1" x14ac:dyDescent="0.25">
      <c r="A136" s="37" t="s">
        <v>3</v>
      </c>
      <c r="B136" s="47">
        <v>8</v>
      </c>
      <c r="C136" s="47">
        <v>8</v>
      </c>
      <c r="D136" s="47">
        <v>8</v>
      </c>
      <c r="E136" s="47">
        <v>8</v>
      </c>
      <c r="F136" s="47">
        <v>8</v>
      </c>
      <c r="G136" s="47"/>
      <c r="H136" s="47"/>
      <c r="I136" s="76">
        <f t="shared" si="270"/>
        <v>40</v>
      </c>
      <c r="J136" s="47"/>
      <c r="K136" s="47"/>
      <c r="L136" s="47"/>
      <c r="M136" s="47"/>
      <c r="N136" s="47"/>
      <c r="O136" s="47"/>
      <c r="P136" s="47"/>
      <c r="Q136" s="76">
        <f t="shared" si="272"/>
        <v>0</v>
      </c>
      <c r="R136" s="47"/>
      <c r="S136" s="47"/>
      <c r="T136" s="47"/>
      <c r="U136" s="47"/>
      <c r="V136" s="47"/>
      <c r="W136" s="47"/>
      <c r="X136" s="47"/>
      <c r="Y136" s="76">
        <f t="shared" si="274"/>
        <v>0</v>
      </c>
      <c r="Z136" s="47"/>
      <c r="AA136" s="47"/>
      <c r="AB136" s="47"/>
      <c r="AC136" s="47"/>
      <c r="AD136" s="47"/>
      <c r="AE136" s="47"/>
      <c r="AF136" s="47"/>
      <c r="AG136" s="76">
        <f t="shared" si="276"/>
        <v>0</v>
      </c>
      <c r="AH136" s="47"/>
      <c r="AI136" s="47"/>
      <c r="AJ136" s="47"/>
      <c r="AK136" s="47"/>
      <c r="AL136" s="47"/>
      <c r="AM136" s="47"/>
      <c r="AN136" s="47"/>
      <c r="AO136" s="76">
        <f t="shared" si="278"/>
        <v>0</v>
      </c>
      <c r="AP136" s="47"/>
      <c r="AQ136" s="47"/>
      <c r="AR136" s="76">
        <f t="shared" si="268"/>
        <v>0</v>
      </c>
      <c r="AS136" s="76">
        <f t="shared" si="280"/>
        <v>40</v>
      </c>
    </row>
    <row r="137" spans="1:47" ht="15" customHeight="1" x14ac:dyDescent="0.25">
      <c r="A137" s="52" t="s">
        <v>71</v>
      </c>
      <c r="B137" s="82">
        <f>IF(B131&lt;&gt;"Dim",IF(B136&gt;32,MIN(B136,35)-32,0),0)</f>
        <v>0</v>
      </c>
      <c r="C137" s="82">
        <f>IF(C131&lt;&gt;"Dim",IF(SUM($B136:C136)&gt;32,MIN(SUM($B136:C136),35)-32-SUM($B137:B137),0),0)</f>
        <v>0</v>
      </c>
      <c r="D137" s="82">
        <f>IF(D131&lt;&gt;"Dim",IF(SUM($B136:D136)&gt;32,MIN(SUM($B136:D136),35)-32-SUM($B137:C137),0),0)</f>
        <v>0</v>
      </c>
      <c r="E137" s="82">
        <f>IF(E131&lt;&gt;"Dim",IF(SUM($B136:E136)&gt;32,MIN(SUM($B136:E136),35)-32-SUM($B137:D137),0),0)</f>
        <v>0</v>
      </c>
      <c r="F137" s="82">
        <f>IF(F131&lt;&gt;"Dim",IF(SUM($B136:F136)&gt;32,MIN(SUM($B136:F136),35)-32-SUM($B137:E137),0),0)</f>
        <v>3</v>
      </c>
      <c r="G137" s="82">
        <f>IF(G131&lt;&gt;"Dim",IF(SUM($B136:G136)&gt;32,MIN(SUM($B136:G136),35)-32-SUM($B137:F137),0),0)</f>
        <v>0</v>
      </c>
      <c r="H137" s="82">
        <f>IF(H131&lt;&gt;"Dim",IF(SUM($B136:H136)&gt;32,MIN(SUM($B136:H136),35)-32-SUM($B137:G137),0),0)</f>
        <v>0</v>
      </c>
      <c r="I137" s="76">
        <f t="shared" si="270"/>
        <v>3</v>
      </c>
      <c r="J137" s="82">
        <f>IF(J131&lt;&gt;"Dim",IF(J136&gt;32,MIN(J136,35)-32,0),0)</f>
        <v>0</v>
      </c>
      <c r="K137" s="82">
        <f>IF(K131&lt;&gt;"Dim",IF(SUM($J136:K136)&gt;32,MIN(SUM($J136:K136),35)-32-SUM($J137:J137),0),0)</f>
        <v>0</v>
      </c>
      <c r="L137" s="82">
        <f>IF(L131&lt;&gt;"Dim",IF(SUM($J136:L136)&gt;32,MIN(SUM($J136:L136),35)-32-SUM($J137:K137),0),0)</f>
        <v>0</v>
      </c>
      <c r="M137" s="82">
        <f>IF(M131&lt;&gt;"Dim",IF(SUM($J136:M136)&gt;32,MIN(SUM($J136:M136),35)-32-SUM($J137:L137),0),0)</f>
        <v>0</v>
      </c>
      <c r="N137" s="82">
        <f>IF(N131&lt;&gt;"Dim",IF(SUM($J136:N136)&gt;32,MIN(SUM($J136:N136),35)-32-SUM($J137:M137),0),0)</f>
        <v>0</v>
      </c>
      <c r="O137" s="82">
        <f>IF(O131&lt;&gt;"Dim",IF(SUM($J136:O136)&gt;32,MIN(SUM($J136:O136),35)-32-SUM($J137:N137),0),0)</f>
        <v>0</v>
      </c>
      <c r="P137" s="82">
        <f>IF(P131&lt;&gt;"Dim",IF(SUM($J136:P136)&gt;32,MIN(SUM($J136:P136),35)-32-SUM($J137:O137),0),0)</f>
        <v>0</v>
      </c>
      <c r="Q137" s="76">
        <f t="shared" si="272"/>
        <v>0</v>
      </c>
      <c r="R137" s="82">
        <f>IF(R131&lt;&gt;"Dim",IF(R136&gt;32,MIN(R136,35)-32,0),0)</f>
        <v>0</v>
      </c>
      <c r="S137" s="82">
        <f>IF(S131&lt;&gt;"Dim",IF(SUM($R136:S136)&gt;32,MIN(SUM($R136:S136),35)-32-SUM($R137:R137),0),0)</f>
        <v>0</v>
      </c>
      <c r="T137" s="82">
        <f>IF(T131&lt;&gt;"Dim",IF(SUM($R136:T136)&gt;32,MIN(SUM($R136:T136),35)-32-SUM($R137:S137),0),0)</f>
        <v>0</v>
      </c>
      <c r="U137" s="82">
        <f>IF(U131&lt;&gt;"Dim",IF(SUM($R136:U136)&gt;32,MIN(SUM($R136:U136),35)-32-SUM($R137:T137),0),0)</f>
        <v>0</v>
      </c>
      <c r="V137" s="82">
        <f>IF(V131&lt;&gt;"Dim",IF(SUM($R136:V136)&gt;32,MIN(SUM($R136:V136),35)-32-SUM($R137:U137),0),0)</f>
        <v>0</v>
      </c>
      <c r="W137" s="82">
        <f>IF(W131&lt;&gt;"Dim",IF(SUM($R136:W136)&gt;32,MIN(SUM($R136:W136),35)-32-SUM($R137:V137),0),0)</f>
        <v>0</v>
      </c>
      <c r="X137" s="82">
        <f>IF(X131&lt;&gt;"Dim",IF(SUM($R136:X136)&gt;32,MIN(SUM($R136:X136),35)-32-SUM($R137:W137),0),0)</f>
        <v>0</v>
      </c>
      <c r="Y137" s="76">
        <f t="shared" si="274"/>
        <v>0</v>
      </c>
      <c r="Z137" s="82">
        <f>IF(Z131&lt;&gt;"Dim",IF(Z136&gt;32,MIN(Z136,35)-32,0),0)</f>
        <v>0</v>
      </c>
      <c r="AA137" s="82">
        <f>IF(AA131&lt;&gt;"Dim",IF(SUM($Z136:AA136)&gt;32,MIN(SUM($Z136:AA136),35)-32-SUM($Z137:Z137),0),0)</f>
        <v>0</v>
      </c>
      <c r="AB137" s="82">
        <f>IF(AB131&lt;&gt;"Dim",IF(SUM($Z136:AB136)&gt;32,MIN(SUM($Z136:AB136),35)-32-SUM($Z137:AA137),0),0)</f>
        <v>0</v>
      </c>
      <c r="AC137" s="82">
        <f>IF(AC131&lt;&gt;"Dim",IF(SUM($Z136:AC136)&gt;32,MIN(SUM($Z136:AC136),35)-32-SUM($Z137:AB137),0),0)</f>
        <v>0</v>
      </c>
      <c r="AD137" s="82">
        <f>IF(AD131&lt;&gt;"Dim",IF(SUM($Z136:AD136)&gt;32,MIN(SUM($Z136:AD136),35)-32-SUM($Z137:AC137),0),0)</f>
        <v>0</v>
      </c>
      <c r="AE137" s="82">
        <f>IF(AE131&lt;&gt;"Dim",IF(SUM($Z136:AE136)&gt;32,MIN(SUM($Z136:AE136),35)-32-SUM($Z137:AD137),0),0)</f>
        <v>0</v>
      </c>
      <c r="AF137" s="82">
        <f>IF(AF131&lt;&gt;"Dim",IF(SUM($Z136:AF136)&gt;32,MIN(SUM($Z136:AF136),35)-32-SUM($Z137:AE137),0),0)</f>
        <v>0</v>
      </c>
      <c r="AG137" s="76">
        <f t="shared" si="276"/>
        <v>0</v>
      </c>
      <c r="AH137" s="82">
        <f>IF(AH131&lt;&gt;"Dim",IF(AH136&gt;32,MIN(AH136,35)-32,0),0)</f>
        <v>0</v>
      </c>
      <c r="AI137" s="82">
        <f>IF(AI131&lt;&gt;"Dim",IF(SUM($AH136:AI136)&gt;32,MIN(SUM($AH136:AI136),35)-32-SUM($AH137:AH137),0),0)</f>
        <v>0</v>
      </c>
      <c r="AJ137" s="82">
        <f>IF(AJ131&lt;&gt;"Dim",IF(SUM($AH136:AJ136)&gt;32,MIN(SUM($AH136:AJ136),35)-32-SUM($AH137:AI137),0),0)</f>
        <v>0</v>
      </c>
      <c r="AK137" s="82">
        <f>IF(AK131&lt;&gt;"Dim",IF(SUM($AH136:AK136)&gt;32,MIN(SUM($AH136:AK136),35)-32-SUM($AH137:AJ137),0),0)</f>
        <v>0</v>
      </c>
      <c r="AL137" s="82">
        <f>IF(AL131&lt;&gt;"Dim",IF(SUM($AH136:AL136)&gt;32,MIN(SUM($AH136:AL136),35)-32-SUM($AH137:AK137),0),0)</f>
        <v>0</v>
      </c>
      <c r="AM137" s="82">
        <f>IF(AM131&lt;&gt;"Dim",IF(SUM($AH136:AM136)&gt;32,MIN(SUM($AH136:AM136),35)-32-SUM($AH137:AL137),0),0)</f>
        <v>0</v>
      </c>
      <c r="AN137" s="82">
        <f>IF(AN131&lt;&gt;"Dim",IF(SUM($AH136:AN136)&gt;32,MIN(SUM($AH136:AN136),35)-32-SUM($AH137:AM137),0),0)</f>
        <v>0</v>
      </c>
      <c r="AO137" s="76">
        <f t="shared" si="278"/>
        <v>0</v>
      </c>
      <c r="AP137" s="82">
        <f>IF(AP131&lt;&gt;"Dim",IF(AP136&gt;32,MIN(AP136,35)-32,0),0)</f>
        <v>0</v>
      </c>
      <c r="AQ137" s="82">
        <f>IF(AQ131&lt;&gt;"Dim",IF(SUM($AP136:AQ136)&gt;32,MIN(SUM($AP136:AQ136),35)-32-SUM($AP137:AP137),0),0)</f>
        <v>0</v>
      </c>
      <c r="AR137" s="76">
        <f t="shared" si="268"/>
        <v>0</v>
      </c>
      <c r="AS137" s="76">
        <f t="shared" si="280"/>
        <v>3</v>
      </c>
    </row>
    <row r="138" spans="1:47" ht="15" customHeight="1" x14ac:dyDescent="0.25">
      <c r="A138" s="37" t="s">
        <v>40</v>
      </c>
      <c r="B138" s="82">
        <f>IF(B131&lt;&gt;"Dim",IF(B136&gt;35,(MIN(B136,43)-35),0),0)</f>
        <v>0</v>
      </c>
      <c r="C138" s="82">
        <f>IF(C131&lt;&gt;"Dim",IF(SUM($B136:C136)&gt;35,(MIN(SUM($B136:C136),43)-35-SUM($B138:B138)),0),0)</f>
        <v>0</v>
      </c>
      <c r="D138" s="82">
        <f>IF(D131&lt;&gt;"Dim",IF(SUM($B136:D136)&gt;35,(MIN(SUM($B136:D136),43)-35-SUM($B138:C138)),0),0)</f>
        <v>0</v>
      </c>
      <c r="E138" s="82">
        <f>IF(E131&lt;&gt;"Dim",IF(SUM($B136:E136)&gt;35,(MIN(SUM($B136:E136),43)-35-SUM($B138:D138)),0),0)</f>
        <v>0</v>
      </c>
      <c r="F138" s="82">
        <f>IF(F131&lt;&gt;"Dim",IF(SUM($B136:F136)&gt;35,(MIN(SUM($B136:F136),43)-35-SUM($B138:E138)),0),0)</f>
        <v>5</v>
      </c>
      <c r="G138" s="82">
        <f>IF(G131&lt;&gt;"Dim",IF(SUM($B136:G136)&gt;35,(MIN(SUM($B136:G136),43)-35-SUM($B138:F138)),0),0)</f>
        <v>0</v>
      </c>
      <c r="H138" s="82">
        <f>IF(H131&lt;&gt;"Dim",IF(SUM($B136:H136)&gt;35,(MIN(SUM($B136:H136),43)-35-SUM($B138:G138)),0),0)</f>
        <v>0</v>
      </c>
      <c r="I138" s="76">
        <f t="shared" si="270"/>
        <v>5</v>
      </c>
      <c r="J138" s="82">
        <f>IF(J131&lt;&gt;"Dim",IF(J136&gt;35,(MIN(J136,43)-35),0),0)</f>
        <v>0</v>
      </c>
      <c r="K138" s="82">
        <f>IF(K131&lt;&gt;"Dim",IF(SUM($J136:K136)&gt;35,(MIN(SUM($J136:K136),43)-35-SUM($J138:J138)),0),0)</f>
        <v>0</v>
      </c>
      <c r="L138" s="82">
        <f>IF(L131&lt;&gt;"Dim",IF(SUM($J136:L136)&gt;35,(MIN(SUM($J136:L136),43)-35-SUM($J138:K138)),0),0)</f>
        <v>0</v>
      </c>
      <c r="M138" s="82">
        <f>IF(M131&lt;&gt;"Dim",IF(SUM($J136:M136)&gt;35,(MIN(SUM($J136:M136),43)-35-SUM($J138:L138)),0),0)</f>
        <v>0</v>
      </c>
      <c r="N138" s="82">
        <f>IF(N131&lt;&gt;"Dim",IF(SUM($J136:N136)&gt;35,(MIN(SUM($J136:N136),43)-35-SUM($J138:M138)),0),0)</f>
        <v>0</v>
      </c>
      <c r="O138" s="82">
        <f>IF(O131&lt;&gt;"Dim",IF(SUM($J136:O136)&gt;35,(MIN(SUM($J136:O136),43)-35-SUM($J138:N138)),0),0)</f>
        <v>0</v>
      </c>
      <c r="P138" s="82">
        <f>IF(P131&lt;&gt;"Dim",IF(SUM($J136:P136)&gt;35,(MIN(SUM($J136:P136),43)-35-SUM($J138:O138)),0),0)</f>
        <v>0</v>
      </c>
      <c r="Q138" s="76">
        <f t="shared" si="272"/>
        <v>0</v>
      </c>
      <c r="R138" s="82">
        <f>IF(R131&lt;&gt;"Dim",IF(R136&gt;35,(MIN(R136,43)-35),0),0)</f>
        <v>0</v>
      </c>
      <c r="S138" s="82">
        <f>IF(S131&lt;&gt;"Dim",IF(SUM($R136:S136)&gt;35,(MIN(SUM($R136:S136),43)-35-SUM($R138:R138)),0),0)</f>
        <v>0</v>
      </c>
      <c r="T138" s="82">
        <f>IF(T131&lt;&gt;"Dim",IF(SUM($R136:T136)&gt;35,(MIN(SUM($R136:T136),43)-35-SUM($R138:S138)),0),0)</f>
        <v>0</v>
      </c>
      <c r="U138" s="82">
        <f>IF(U131&lt;&gt;"Dim",IF(SUM($R136:U136)&gt;35,(MIN(SUM($R136:U136),43)-35-SUM($R138:T138)),0),0)</f>
        <v>0</v>
      </c>
      <c r="V138" s="82">
        <f>IF(V131&lt;&gt;"Dim",IF(SUM($R136:V136)&gt;35,(MIN(SUM($R136:V136),43)-35-SUM($R138:U138)),0),0)</f>
        <v>0</v>
      </c>
      <c r="W138" s="82">
        <f>IF(W131&lt;&gt;"Dim",IF(SUM($R136:W136)&gt;35,(MIN(SUM($R136:W136),43)-35-SUM($R138:V138)),0),0)</f>
        <v>0</v>
      </c>
      <c r="X138" s="82">
        <f>IF(X131&lt;&gt;"Dim",IF(SUM($R136:X136)&gt;35,(MIN(SUM($R136:X136),43)-35-SUM($R138:W138)),0),0)</f>
        <v>0</v>
      </c>
      <c r="Y138" s="76">
        <f t="shared" si="274"/>
        <v>0</v>
      </c>
      <c r="Z138" s="82">
        <f>IF(Z131&lt;&gt;"Dim",IF(Z136&gt;35,(MIN(Z136,43)-35),0),0)</f>
        <v>0</v>
      </c>
      <c r="AA138" s="82">
        <f>IF(AA131&lt;&gt;"Dim",IF(SUM($Z136:AA136)&gt;35,(MIN(SUM($Z136:AA136),43)-35-SUM($Z138:Z138)),0),0)</f>
        <v>0</v>
      </c>
      <c r="AB138" s="82">
        <f>IF(AB131&lt;&gt;"Dim",IF(SUM($Z136:AB136)&gt;35,(MIN(SUM($Z136:AB136),43)-35-SUM($Z138:AA138)),0),0)</f>
        <v>0</v>
      </c>
      <c r="AC138" s="82">
        <f>IF(AC131&lt;&gt;"Dim",IF(SUM($Z136:AC136)&gt;35,(MIN(SUM($Z136:AC136),43)-35-SUM($Z138:AB138)),0),0)</f>
        <v>0</v>
      </c>
      <c r="AD138" s="82">
        <f>IF(AD131&lt;&gt;"Dim",IF(SUM($Z136:AD136)&gt;35,(MIN(SUM($Z136:AD136),43)-35-SUM($Z138:AC138)),0),0)</f>
        <v>0</v>
      </c>
      <c r="AE138" s="82">
        <f>IF(AE131&lt;&gt;"Dim",IF(SUM($Z136:AE136)&gt;35,(MIN(SUM($Z136:AE136),43)-35-SUM($Z138:AD138)),0),0)</f>
        <v>0</v>
      </c>
      <c r="AF138" s="82">
        <f>IF(AF131&lt;&gt;"Dim",IF(SUM($Z136:AF136)&gt;35,(MIN(SUM($Z136:AF136),43)-35-SUM($Z138:AE138)),0),0)</f>
        <v>0</v>
      </c>
      <c r="AG138" s="76">
        <f t="shared" si="276"/>
        <v>0</v>
      </c>
      <c r="AH138" s="82">
        <f>IF(AH131&lt;&gt;"Dim",IF(AH136&gt;35,(MIN(AH136,43)-35),0),0)</f>
        <v>0</v>
      </c>
      <c r="AI138" s="82">
        <f>IF(AI131&lt;&gt;"Dim",IF(SUM($AH136:AI136)&gt;35,(MIN(SUM($AH136:AI136),43)-35-SUM($AH138:AH138)),0),0)</f>
        <v>0</v>
      </c>
      <c r="AJ138" s="82">
        <f>IF(AJ131&lt;&gt;"Dim",IF(SUM($AH136:AJ136)&gt;35,(MIN(SUM($AH136:AJ136),43)-35-SUM($AH138:AI138)),0),0)</f>
        <v>0</v>
      </c>
      <c r="AK138" s="82">
        <f>IF(AK131&lt;&gt;"Dim",IF(SUM($AH136:AK136)&gt;35,(MIN(SUM($AH136:AK136),43)-35-SUM($AH138:AJ138)),0),0)</f>
        <v>0</v>
      </c>
      <c r="AL138" s="82">
        <f>IF(AL131&lt;&gt;"Dim",IF(SUM($AH136:AL136)&gt;35,(MIN(SUM($AH136:AL136),43)-35-SUM($AH138:AK138)),0),0)</f>
        <v>0</v>
      </c>
      <c r="AM138" s="82">
        <f>IF(AM131&lt;&gt;"Dim",IF(SUM($AH136:AM136)&gt;35,(MIN(SUM($AH136:AM136),43)-35-SUM($AH138:AL138)),0),0)</f>
        <v>0</v>
      </c>
      <c r="AN138" s="82">
        <f>IF(AN131&lt;&gt;"Dim",IF(SUM($AH136:AN136)&gt;35,(MIN(SUM($AH136:AN136),43)-35-SUM($AH138:AM138)),0),0)</f>
        <v>0</v>
      </c>
      <c r="AO138" s="76">
        <f t="shared" si="278"/>
        <v>0</v>
      </c>
      <c r="AP138" s="82">
        <f>IF(AP131&lt;&gt;"Dim",IF(AP136&gt;35,(MIN(AP136,43)-35),0),0)</f>
        <v>0</v>
      </c>
      <c r="AQ138" s="82">
        <f>IF(AQ131&lt;&gt;"Dim",IF(SUM($AP136:AQ136)&gt;35,(MIN(SUM($AP136:AQ136),43)-35-SUM($AP138:AP138)),0),0)</f>
        <v>0</v>
      </c>
      <c r="AR138" s="76">
        <f t="shared" si="268"/>
        <v>0</v>
      </c>
      <c r="AS138" s="76">
        <f t="shared" si="280"/>
        <v>5</v>
      </c>
    </row>
    <row r="139" spans="1:47" ht="15" customHeight="1" x14ac:dyDescent="0.25">
      <c r="A139" s="37" t="s">
        <v>39</v>
      </c>
      <c r="B139" s="82">
        <f>IF(B131&lt;&gt;"Dim",IF(B136&gt;43,(MIN(B136,48)-43),0),0)</f>
        <v>0</v>
      </c>
      <c r="C139" s="82">
        <f>IF(C131&lt;&gt;"Dim",IF(SUM($B136:C136)&gt;43,(MIN(SUM($B136:C136),48)-43-SUM($B139:B139)),0),0)</f>
        <v>0</v>
      </c>
      <c r="D139" s="82">
        <f>IF(D131&lt;&gt;"Dim",IF(SUM($B136:D136)&gt;43,(MIN(SUM($B136:D136),48)-43-SUM($B139:C139)),0),0)</f>
        <v>0</v>
      </c>
      <c r="E139" s="82">
        <f>IF(E131&lt;&gt;"Dim",IF(SUM($B136:E136)&gt;43,(MIN(SUM($B136:E136),48)-43-SUM($B139:D139)),0),0)</f>
        <v>0</v>
      </c>
      <c r="F139" s="82">
        <f>IF(F131&lt;&gt;"Dim",IF(SUM($B136:F136)&gt;43,(MIN(SUM($B136:F136),48)-43-SUM($B139:E139)),0),0)</f>
        <v>0</v>
      </c>
      <c r="G139" s="82">
        <f>IF(G131&lt;&gt;"Dim",IF(SUM($B136:G136)&gt;43,(MIN(SUM($B136:G136),48)-43-SUM($B139:F139)),0),0)</f>
        <v>0</v>
      </c>
      <c r="H139" s="82">
        <f>IF(H131&lt;&gt;"Dim",IF(SUM($B136:H136)&gt;43,(MIN(SUM($B136:H136),48)-43-SUM($B139:G139)),0),0)</f>
        <v>0</v>
      </c>
      <c r="I139" s="76">
        <f t="shared" si="270"/>
        <v>0</v>
      </c>
      <c r="J139" s="82">
        <f>IF(J131&lt;&gt;"Dim",IF(J136&gt;43,(MIN(J136,48)-43),0),0)</f>
        <v>0</v>
      </c>
      <c r="K139" s="82">
        <f>IF(K131&lt;&gt;"Dim",IF(SUM($J136:K136)&gt;43,(MIN(SUM($J136:K136),48)-43-SUM($J139:J139)),0),0)</f>
        <v>0</v>
      </c>
      <c r="L139" s="82">
        <f>IF(L131&lt;&gt;"Dim",IF(SUM($J136:L136)&gt;43,(MIN(SUM($J136:L136),48)-43-SUM($J139:K139)),0),0)</f>
        <v>0</v>
      </c>
      <c r="M139" s="82">
        <f>IF(M131&lt;&gt;"Dim",IF(SUM($J136:M136)&gt;43,(MIN(SUM($J136:M136),48)-43-SUM($J139:L139)),0),0)</f>
        <v>0</v>
      </c>
      <c r="N139" s="82">
        <f>IF(N131&lt;&gt;"Dim",IF(SUM($J136:N136)&gt;43,(MIN(SUM($J136:N136),48)-43-SUM($J139:M139)),0),0)</f>
        <v>0</v>
      </c>
      <c r="O139" s="82">
        <f>IF(O131&lt;&gt;"Dim",IF(SUM($J136:O136)&gt;43,(MIN(SUM($J136:O136),48)-43-SUM($J139:N139)),0),0)</f>
        <v>0</v>
      </c>
      <c r="P139" s="82">
        <f>IF(P131&lt;&gt;"Dim",IF(SUM($J136:P136)&gt;43,(MIN(SUM($J136:P136),48)-43-SUM($J139:O139)),0),0)</f>
        <v>0</v>
      </c>
      <c r="Q139" s="76">
        <f t="shared" si="272"/>
        <v>0</v>
      </c>
      <c r="R139" s="82">
        <f>IF(R131&lt;&gt;"Dim",IF(R136&gt;43,(MIN(R136,48)-43),0),0)</f>
        <v>0</v>
      </c>
      <c r="S139" s="82">
        <f>IF(S131&lt;&gt;"Dim",IF(SUM($R136:S136)&gt;43,(MIN(SUM($R136:S136),48)-43-SUM($R139:R139)),0),0)</f>
        <v>0</v>
      </c>
      <c r="T139" s="82">
        <f>IF(T131&lt;&gt;"Dim",IF(SUM($R136:T136)&gt;43,(MIN(SUM($R136:T136),48)-43-SUM($R139:S139)),0),0)</f>
        <v>0</v>
      </c>
      <c r="U139" s="82">
        <f>IF(U131&lt;&gt;"Dim",IF(SUM($R136:U136)&gt;43,(MIN(SUM($R136:U136),48)-43-SUM($R139:T139)),0),0)</f>
        <v>0</v>
      </c>
      <c r="V139" s="82">
        <f>IF(V131&lt;&gt;"Dim",IF(SUM($R136:V136)&gt;43,(MIN(SUM($R136:V136),48)-43-SUM($R139:U139)),0),0)</f>
        <v>0</v>
      </c>
      <c r="W139" s="82">
        <f>IF(W131&lt;&gt;"Dim",IF(SUM($R136:W136)&gt;43,(MIN(SUM($R136:W136),48)-43-SUM($R139:V139)),0),0)</f>
        <v>0</v>
      </c>
      <c r="X139" s="82">
        <f>IF(X131&lt;&gt;"Dim",IF(SUM($R136:X136)&gt;43,(MIN(SUM($R136:X136),48)-43-SUM($R139:W139)),0),0)</f>
        <v>0</v>
      </c>
      <c r="Y139" s="76">
        <f t="shared" si="274"/>
        <v>0</v>
      </c>
      <c r="Z139" s="82">
        <f>IF(Z131&lt;&gt;"Dim",IF(Z136&gt;43,(MIN(Z136,48)-43),0),0)</f>
        <v>0</v>
      </c>
      <c r="AA139" s="82">
        <f>IF(AA131&lt;&gt;"Dim",IF(SUM($Z136:AA136)&gt;43,(MIN(SUM($Z136:AA136),48)-43-SUM($Z139:Z139)),0),0)</f>
        <v>0</v>
      </c>
      <c r="AB139" s="82">
        <f>IF(AB131&lt;&gt;"Dim",IF(SUM($Z136:AB136)&gt;43,(MIN(SUM($Z136:AB136),48)-43-SUM($Z139:AA139)),0),0)</f>
        <v>0</v>
      </c>
      <c r="AC139" s="82">
        <f>IF(AC131&lt;&gt;"Dim",IF(SUM($Z136:AC136)&gt;43,(MIN(SUM($Z136:AC136),48)-43-SUM($Z139:AB139)),0),0)</f>
        <v>0</v>
      </c>
      <c r="AD139" s="82">
        <f>IF(AD131&lt;&gt;"Dim",IF(SUM($Z136:AD136)&gt;43,(MIN(SUM($Z136:AD136),48)-43-SUM($Z139:AC139)),0),0)</f>
        <v>0</v>
      </c>
      <c r="AE139" s="82">
        <f>IF(AE131&lt;&gt;"Dim",IF(SUM($Z136:AE136)&gt;43,(MIN(SUM($Z136:AE136),48)-43-SUM($Z139:AD139)),0),0)</f>
        <v>0</v>
      </c>
      <c r="AF139" s="82">
        <f>IF(AF131&lt;&gt;"Dim",IF(SUM($Z136:AF136)&gt;43,(MIN(SUM($Z136:AF136),48)-43-SUM($Z139:AE139)),0),0)</f>
        <v>0</v>
      </c>
      <c r="AG139" s="76">
        <f t="shared" si="276"/>
        <v>0</v>
      </c>
      <c r="AH139" s="82">
        <f>IF(AH131&lt;&gt;"Dim",IF(AH136&gt;43,(MIN(AH136,48)-43),0),0)</f>
        <v>0</v>
      </c>
      <c r="AI139" s="82">
        <f>IF(AI131&lt;&gt;"Dim",IF(SUM($AH136:AI136)&gt;43,(MIN(SUM($AH136:AI136),48)-43-SUM($AH139:AH139)),0),0)</f>
        <v>0</v>
      </c>
      <c r="AJ139" s="82">
        <f>IF(AJ131&lt;&gt;"Dim",IF(SUM($AH136:AJ136)&gt;43,(MIN(SUM($AH136:AJ136),48)-43-SUM($AH139:AI139)),0),0)</f>
        <v>0</v>
      </c>
      <c r="AK139" s="82">
        <f>IF(AK131&lt;&gt;"Dim",IF(SUM($AH136:AK136)&gt;43,(MIN(SUM($AH136:AK136),48)-43-SUM($AH139:AJ139)),0),0)</f>
        <v>0</v>
      </c>
      <c r="AL139" s="82">
        <f>IF(AL131&lt;&gt;"Dim",IF(SUM($AH136:AL136)&gt;43,(MIN(SUM($AH136:AL136),48)-43-SUM($AH139:AK139)),0),0)</f>
        <v>0</v>
      </c>
      <c r="AM139" s="82">
        <f>IF(AM131&lt;&gt;"Dim",IF(SUM($AH136:AM136)&gt;43,(MIN(SUM($AH136:AM136),48)-43-SUM($AH139:AL139)),0),0)</f>
        <v>0</v>
      </c>
      <c r="AN139" s="82">
        <f>IF(AN131&lt;&gt;"Dim",IF(SUM($AH136:AN136)&gt;43,(MIN(SUM($AH136:AN136),48)-43-SUM($AH139:AM139)),0),0)</f>
        <v>0</v>
      </c>
      <c r="AO139" s="76">
        <f t="shared" si="278"/>
        <v>0</v>
      </c>
      <c r="AP139" s="82">
        <f>IF(AP131&lt;&gt;"Dim",IF(AP136&gt;43,(MIN(AP136,48)-43),0),0)</f>
        <v>0</v>
      </c>
      <c r="AQ139" s="82">
        <f>IF(AQ131&lt;&gt;"Dim",IF(SUM($AP136:AQ136)&gt;43,(MIN(SUM($AP136:AQ136),48)-43-SUM($AP139:AP139)),0),0)</f>
        <v>0</v>
      </c>
      <c r="AR139" s="76">
        <f t="shared" si="268"/>
        <v>0</v>
      </c>
      <c r="AS139" s="76">
        <f t="shared" si="280"/>
        <v>0</v>
      </c>
    </row>
    <row r="140" spans="1:47" ht="15" customHeight="1" x14ac:dyDescent="0.25">
      <c r="A140" s="37" t="s">
        <v>41</v>
      </c>
      <c r="B140" s="82">
        <f>IF(B131="Dim",B136,IF(B146="ferie",B136,0))</f>
        <v>0</v>
      </c>
      <c r="C140" s="82">
        <f t="shared" ref="C140:H140" si="281">IF(C131="Dim",C136,IF(C146="ferie",C136,0))</f>
        <v>0</v>
      </c>
      <c r="D140" s="82">
        <f t="shared" si="281"/>
        <v>0</v>
      </c>
      <c r="E140" s="82">
        <f t="shared" si="281"/>
        <v>0</v>
      </c>
      <c r="F140" s="82">
        <f t="shared" si="281"/>
        <v>0</v>
      </c>
      <c r="G140" s="82">
        <f t="shared" si="281"/>
        <v>0</v>
      </c>
      <c r="H140" s="82">
        <f t="shared" si="281"/>
        <v>0</v>
      </c>
      <c r="I140" s="76">
        <f t="shared" si="270"/>
        <v>0</v>
      </c>
      <c r="J140" s="82">
        <f>IF(J131="Dim",J136,IF(J146="ferie",J136,0))</f>
        <v>0</v>
      </c>
      <c r="K140" s="82">
        <f t="shared" ref="K140:P140" si="282">IF(K131="Dim",K136,IF(K146="ferie",K136,0))</f>
        <v>0</v>
      </c>
      <c r="L140" s="82">
        <f t="shared" si="282"/>
        <v>0</v>
      </c>
      <c r="M140" s="82">
        <f t="shared" si="282"/>
        <v>0</v>
      </c>
      <c r="N140" s="82">
        <f t="shared" si="282"/>
        <v>0</v>
      </c>
      <c r="O140" s="82">
        <f>IF(O131="Dim",O136,IF(O146="ferie",O136,0))</f>
        <v>0</v>
      </c>
      <c r="P140" s="82">
        <f t="shared" si="282"/>
        <v>0</v>
      </c>
      <c r="Q140" s="76">
        <f t="shared" si="272"/>
        <v>0</v>
      </c>
      <c r="R140" s="82">
        <f>IF(R131="Dim",R136,IF(R146="ferie",R136,0))</f>
        <v>0</v>
      </c>
      <c r="S140" s="82">
        <f t="shared" ref="S140:X140" si="283">IF(S131="Dim",S136,IF(S146="ferie",S136,0))</f>
        <v>0</v>
      </c>
      <c r="T140" s="82">
        <f t="shared" si="283"/>
        <v>0</v>
      </c>
      <c r="U140" s="82">
        <f t="shared" si="283"/>
        <v>0</v>
      </c>
      <c r="V140" s="82">
        <f t="shared" si="283"/>
        <v>0</v>
      </c>
      <c r="W140" s="82">
        <f t="shared" si="283"/>
        <v>0</v>
      </c>
      <c r="X140" s="82">
        <f t="shared" si="283"/>
        <v>0</v>
      </c>
      <c r="Y140" s="76">
        <f t="shared" si="274"/>
        <v>0</v>
      </c>
      <c r="Z140" s="82">
        <f>IF(Z131="Dim",Z136,IF(Z146="ferie",Z136,0))</f>
        <v>0</v>
      </c>
      <c r="AA140" s="82">
        <f t="shared" ref="AA140:AF140" si="284">IF(AA131="Dim",AA136,IF(AA146="ferie",AA136,0))</f>
        <v>0</v>
      </c>
      <c r="AB140" s="82">
        <f t="shared" si="284"/>
        <v>0</v>
      </c>
      <c r="AC140" s="82">
        <f t="shared" si="284"/>
        <v>0</v>
      </c>
      <c r="AD140" s="82">
        <f t="shared" si="284"/>
        <v>0</v>
      </c>
      <c r="AE140" s="82">
        <f t="shared" si="284"/>
        <v>0</v>
      </c>
      <c r="AF140" s="82">
        <f t="shared" si="284"/>
        <v>0</v>
      </c>
      <c r="AG140" s="76">
        <f t="shared" si="276"/>
        <v>0</v>
      </c>
      <c r="AH140" s="82">
        <f>IF(AH131="Dim",AH136,IF(AH146="ferie",AH136,0))</f>
        <v>0</v>
      </c>
      <c r="AI140" s="82">
        <f t="shared" ref="AI140:AQ140" si="285">IF(AI131="Dim",AI136,IF(AI146="ferie",AI136,0))</f>
        <v>0</v>
      </c>
      <c r="AJ140" s="82">
        <f t="shared" si="285"/>
        <v>0</v>
      </c>
      <c r="AK140" s="82">
        <f t="shared" si="285"/>
        <v>0</v>
      </c>
      <c r="AL140" s="82">
        <f t="shared" si="285"/>
        <v>0</v>
      </c>
      <c r="AM140" s="82">
        <f t="shared" si="285"/>
        <v>0</v>
      </c>
      <c r="AN140" s="82">
        <f t="shared" si="285"/>
        <v>0</v>
      </c>
      <c r="AO140" s="76">
        <f>SUM(AH140:AN140)</f>
        <v>0</v>
      </c>
      <c r="AP140" s="82">
        <f>IF(AP131="Dim",AP136,IF(AP146="ferie",AP136,0))</f>
        <v>0</v>
      </c>
      <c r="AQ140" s="82">
        <f t="shared" si="285"/>
        <v>0</v>
      </c>
      <c r="AR140" s="76">
        <f t="shared" si="268"/>
        <v>0</v>
      </c>
      <c r="AS140" s="76">
        <f t="shared" si="280"/>
        <v>0</v>
      </c>
    </row>
    <row r="141" spans="1:47" ht="15" customHeight="1" x14ac:dyDescent="0.25">
      <c r="A141" s="37" t="s">
        <v>59</v>
      </c>
      <c r="B141" s="47"/>
      <c r="C141" s="47"/>
      <c r="D141" s="47"/>
      <c r="E141" s="47"/>
      <c r="F141" s="47"/>
      <c r="G141" s="47"/>
      <c r="H141" s="47"/>
      <c r="I141" s="76">
        <f t="shared" si="270"/>
        <v>0</v>
      </c>
      <c r="J141" s="47"/>
      <c r="K141" s="47"/>
      <c r="L141" s="47"/>
      <c r="M141" s="47"/>
      <c r="N141" s="47"/>
      <c r="O141" s="47"/>
      <c r="P141" s="47"/>
      <c r="Q141" s="76">
        <f t="shared" si="272"/>
        <v>0</v>
      </c>
      <c r="R141" s="47"/>
      <c r="S141" s="47"/>
      <c r="T141" s="47"/>
      <c r="U141" s="47"/>
      <c r="V141" s="47"/>
      <c r="W141" s="47"/>
      <c r="X141" s="47"/>
      <c r="Y141" s="76">
        <f t="shared" si="274"/>
        <v>0</v>
      </c>
      <c r="Z141" s="47"/>
      <c r="AA141" s="47"/>
      <c r="AB141" s="47"/>
      <c r="AC141" s="47"/>
      <c r="AD141" s="47"/>
      <c r="AE141" s="47"/>
      <c r="AF141" s="47"/>
      <c r="AG141" s="76">
        <f t="shared" si="276"/>
        <v>0</v>
      </c>
      <c r="AH141" s="47"/>
      <c r="AI141" s="47"/>
      <c r="AJ141" s="47"/>
      <c r="AK141" s="47"/>
      <c r="AL141" s="47"/>
      <c r="AM141" s="47"/>
      <c r="AN141" s="47"/>
      <c r="AO141" s="76">
        <f t="shared" si="278"/>
        <v>0</v>
      </c>
      <c r="AP141" s="47"/>
      <c r="AQ141" s="47"/>
      <c r="AR141" s="76">
        <f t="shared" si="268"/>
        <v>0</v>
      </c>
      <c r="AS141" s="76">
        <f t="shared" si="280"/>
        <v>0</v>
      </c>
    </row>
    <row r="142" spans="1:47" ht="15" customHeight="1" x14ac:dyDescent="0.25">
      <c r="A142" s="52" t="s">
        <v>60</v>
      </c>
      <c r="B142" s="47"/>
      <c r="C142" s="47"/>
      <c r="D142" s="47"/>
      <c r="E142" s="47"/>
      <c r="F142" s="47"/>
      <c r="G142" s="47"/>
      <c r="H142" s="47"/>
      <c r="I142" s="76">
        <f t="shared" si="270"/>
        <v>0</v>
      </c>
      <c r="J142" s="47"/>
      <c r="K142" s="47"/>
      <c r="L142" s="47"/>
      <c r="M142" s="47"/>
      <c r="N142" s="47"/>
      <c r="O142" s="47"/>
      <c r="P142" s="47"/>
      <c r="Q142" s="76">
        <f t="shared" si="272"/>
        <v>0</v>
      </c>
      <c r="R142" s="47"/>
      <c r="S142" s="47"/>
      <c r="T142" s="47"/>
      <c r="U142" s="47"/>
      <c r="V142" s="47"/>
      <c r="W142" s="47"/>
      <c r="X142" s="47"/>
      <c r="Y142" s="76">
        <f t="shared" si="274"/>
        <v>0</v>
      </c>
      <c r="Z142" s="47"/>
      <c r="AA142" s="47"/>
      <c r="AB142" s="47"/>
      <c r="AC142" s="47"/>
      <c r="AD142" s="47"/>
      <c r="AE142" s="47"/>
      <c r="AF142" s="47"/>
      <c r="AG142" s="76">
        <f t="shared" si="276"/>
        <v>0</v>
      </c>
      <c r="AH142" s="47"/>
      <c r="AI142" s="47"/>
      <c r="AJ142" s="47"/>
      <c r="AK142" s="47"/>
      <c r="AL142" s="47"/>
      <c r="AM142" s="47"/>
      <c r="AN142" s="47"/>
      <c r="AO142" s="76">
        <f t="shared" si="278"/>
        <v>0</v>
      </c>
      <c r="AP142" s="47"/>
      <c r="AQ142" s="47"/>
      <c r="AR142" s="76">
        <f t="shared" ref="AR142:AR144" si="286">SUM(AP142:AQ142)</f>
        <v>0</v>
      </c>
      <c r="AS142" s="76">
        <f t="shared" si="280"/>
        <v>0</v>
      </c>
    </row>
    <row r="143" spans="1:47" ht="15" customHeight="1" x14ac:dyDescent="0.25">
      <c r="A143" s="37" t="s">
        <v>62</v>
      </c>
      <c r="B143" s="47"/>
      <c r="C143" s="47"/>
      <c r="D143" s="47"/>
      <c r="E143" s="47"/>
      <c r="F143" s="47"/>
      <c r="G143" s="47"/>
      <c r="H143" s="47"/>
      <c r="I143" s="76">
        <f t="shared" si="270"/>
        <v>0</v>
      </c>
      <c r="J143" s="47">
        <v>1</v>
      </c>
      <c r="K143" s="47">
        <v>1</v>
      </c>
      <c r="L143" s="47">
        <v>1</v>
      </c>
      <c r="M143" s="47"/>
      <c r="N143" s="47"/>
      <c r="O143" s="47"/>
      <c r="P143" s="47"/>
      <c r="Q143" s="76">
        <f t="shared" si="272"/>
        <v>3</v>
      </c>
      <c r="R143" s="47"/>
      <c r="S143" s="47">
        <v>1</v>
      </c>
      <c r="T143" s="47">
        <v>1</v>
      </c>
      <c r="U143" s="47">
        <v>1</v>
      </c>
      <c r="V143" s="47">
        <v>1</v>
      </c>
      <c r="W143" s="47"/>
      <c r="X143" s="47"/>
      <c r="Y143" s="76">
        <f t="shared" si="274"/>
        <v>4</v>
      </c>
      <c r="Z143" s="47"/>
      <c r="AA143" s="47"/>
      <c r="AB143" s="47"/>
      <c r="AC143" s="47"/>
      <c r="AD143" s="47"/>
      <c r="AE143" s="47"/>
      <c r="AF143" s="47"/>
      <c r="AG143" s="76">
        <f t="shared" si="276"/>
        <v>0</v>
      </c>
      <c r="AH143" s="47"/>
      <c r="AI143" s="47"/>
      <c r="AJ143" s="47"/>
      <c r="AK143" s="47"/>
      <c r="AL143" s="47"/>
      <c r="AM143" s="47"/>
      <c r="AN143" s="47"/>
      <c r="AO143" s="76">
        <f t="shared" si="278"/>
        <v>0</v>
      </c>
      <c r="AP143" s="47"/>
      <c r="AQ143" s="47"/>
      <c r="AR143" s="76">
        <f t="shared" si="286"/>
        <v>0</v>
      </c>
      <c r="AS143" s="76">
        <f t="shared" si="280"/>
        <v>7</v>
      </c>
    </row>
    <row r="144" spans="1:47" ht="15" customHeight="1" x14ac:dyDescent="0.25">
      <c r="A144" s="52" t="s">
        <v>61</v>
      </c>
      <c r="B144" s="47"/>
      <c r="C144" s="47"/>
      <c r="D144" s="47"/>
      <c r="E144" s="47"/>
      <c r="F144" s="47"/>
      <c r="G144" s="47"/>
      <c r="H144" s="47"/>
      <c r="I144" s="76">
        <f t="shared" si="270"/>
        <v>0</v>
      </c>
      <c r="J144" s="47"/>
      <c r="K144" s="47"/>
      <c r="L144" s="47"/>
      <c r="M144" s="47"/>
      <c r="N144" s="47"/>
      <c r="O144" s="47"/>
      <c r="P144" s="47"/>
      <c r="Q144" s="76">
        <f t="shared" si="272"/>
        <v>0</v>
      </c>
      <c r="R144" s="47"/>
      <c r="S144" s="47"/>
      <c r="T144" s="47"/>
      <c r="U144" s="47"/>
      <c r="V144" s="47"/>
      <c r="W144" s="47"/>
      <c r="X144" s="47"/>
      <c r="Y144" s="76">
        <f t="shared" si="274"/>
        <v>0</v>
      </c>
      <c r="Z144" s="47"/>
      <c r="AA144" s="47"/>
      <c r="AB144" s="47"/>
      <c r="AC144" s="47"/>
      <c r="AD144" s="47"/>
      <c r="AE144" s="47"/>
      <c r="AF144" s="47"/>
      <c r="AG144" s="76">
        <f t="shared" si="276"/>
        <v>0</v>
      </c>
      <c r="AH144" s="47"/>
      <c r="AI144" s="47"/>
      <c r="AJ144" s="47"/>
      <c r="AK144" s="47"/>
      <c r="AL144" s="47"/>
      <c r="AM144" s="47"/>
      <c r="AN144" s="47"/>
      <c r="AO144" s="76">
        <f t="shared" si="278"/>
        <v>0</v>
      </c>
      <c r="AP144" s="47"/>
      <c r="AQ144" s="47"/>
      <c r="AR144" s="76">
        <f t="shared" si="286"/>
        <v>0</v>
      </c>
      <c r="AS144" s="76">
        <f t="shared" si="280"/>
        <v>0</v>
      </c>
    </row>
    <row r="145" spans="1:52" s="49" customFormat="1" ht="15" customHeight="1" x14ac:dyDescent="0.25">
      <c r="A145" s="52" t="s">
        <v>95</v>
      </c>
      <c r="B145" s="76">
        <f>IF(B133="nuit",B136*0.02,0)</f>
        <v>0</v>
      </c>
      <c r="C145" s="76">
        <f>IF(C133="nuit",C136*0.02,0)</f>
        <v>0</v>
      </c>
      <c r="D145" s="76">
        <f t="shared" ref="D145:H145" si="287">IF(D133="nuit",D136*0.02,0)</f>
        <v>0</v>
      </c>
      <c r="E145" s="76">
        <f t="shared" si="287"/>
        <v>0</v>
      </c>
      <c r="F145" s="76">
        <f>IF(F133="nuit",F136*0.02,0)</f>
        <v>0</v>
      </c>
      <c r="G145" s="76">
        <f t="shared" si="287"/>
        <v>0</v>
      </c>
      <c r="H145" s="76">
        <f t="shared" si="287"/>
        <v>0</v>
      </c>
      <c r="I145" s="76">
        <f t="shared" si="270"/>
        <v>0</v>
      </c>
      <c r="J145" s="76">
        <f>IF(J133="nuit",J136*0.02,0)</f>
        <v>0</v>
      </c>
      <c r="K145" s="76">
        <f>IF(K133="nuit",K136*0.02,0)</f>
        <v>0</v>
      </c>
      <c r="L145" s="76">
        <f t="shared" ref="L145:P145" si="288">IF(L133="nuit",L136*0.02,0)</f>
        <v>0</v>
      </c>
      <c r="M145" s="76">
        <f t="shared" si="288"/>
        <v>0</v>
      </c>
      <c r="N145" s="76">
        <f>IF(N133="nuit",N136*0.02,0)</f>
        <v>0</v>
      </c>
      <c r="O145" s="76">
        <f t="shared" si="288"/>
        <v>0</v>
      </c>
      <c r="P145" s="76">
        <f t="shared" si="288"/>
        <v>0</v>
      </c>
      <c r="Q145" s="76">
        <f t="shared" si="272"/>
        <v>0</v>
      </c>
      <c r="R145" s="76">
        <f>IF(R133="nuit",R136*0.02,0)</f>
        <v>0</v>
      </c>
      <c r="S145" s="76">
        <f>IF(S133="nuit",S136*0.02,0)</f>
        <v>0</v>
      </c>
      <c r="T145" s="76">
        <f t="shared" ref="T145:X145" si="289">IF(T133="nuit",T136*0.02,0)</f>
        <v>0</v>
      </c>
      <c r="U145" s="76">
        <f t="shared" si="289"/>
        <v>0</v>
      </c>
      <c r="V145" s="76">
        <f>IF(V133="nuit",V136*0.02,0)</f>
        <v>0</v>
      </c>
      <c r="W145" s="76">
        <f t="shared" si="289"/>
        <v>0</v>
      </c>
      <c r="X145" s="76">
        <f t="shared" si="289"/>
        <v>0</v>
      </c>
      <c r="Y145" s="76">
        <f t="shared" si="274"/>
        <v>0</v>
      </c>
      <c r="Z145" s="76">
        <f>IF(Z133="nuit",Z136*0.02,0)</f>
        <v>0</v>
      </c>
      <c r="AA145" s="76">
        <f>IF(AA133="nuit",AA136*0.02,0)</f>
        <v>0</v>
      </c>
      <c r="AB145" s="76">
        <f t="shared" ref="AB145:AF145" si="290">IF(AB133="nuit",AB136*0.02,0)</f>
        <v>0</v>
      </c>
      <c r="AC145" s="76">
        <f t="shared" si="290"/>
        <v>0</v>
      </c>
      <c r="AD145" s="76">
        <f>IF(AD133="nuit",AD136*0.02,0)</f>
        <v>0</v>
      </c>
      <c r="AE145" s="76">
        <f t="shared" si="290"/>
        <v>0</v>
      </c>
      <c r="AF145" s="76">
        <f t="shared" si="290"/>
        <v>0</v>
      </c>
      <c r="AG145" s="76">
        <f t="shared" si="276"/>
        <v>0</v>
      </c>
      <c r="AH145" s="76">
        <f>IF(AH133="nuit",AH136*0.02,0)</f>
        <v>0</v>
      </c>
      <c r="AI145" s="76">
        <f>IF(AI133="nuit",AI136*0.02,0)</f>
        <v>0</v>
      </c>
      <c r="AJ145" s="76">
        <f t="shared" ref="AJ145:AN145" si="291">IF(AJ133="nuit",AJ136*0.02,0)</f>
        <v>0</v>
      </c>
      <c r="AK145" s="76">
        <f t="shared" si="291"/>
        <v>0</v>
      </c>
      <c r="AL145" s="76">
        <f>IF(AL133="nuit",AL136*0.02,0)</f>
        <v>0</v>
      </c>
      <c r="AM145" s="76">
        <f t="shared" si="291"/>
        <v>0</v>
      </c>
      <c r="AN145" s="76">
        <f t="shared" si="291"/>
        <v>0</v>
      </c>
      <c r="AO145" s="76">
        <f t="shared" si="278"/>
        <v>0</v>
      </c>
      <c r="AP145" s="76">
        <f>IF(AP133="nuit",AP136*0.02,0)</f>
        <v>0</v>
      </c>
      <c r="AQ145" s="76">
        <f>IF(AQ133="nuit",AQ136*0.02,0)</f>
        <v>0</v>
      </c>
      <c r="AR145" s="76">
        <f>SUM(AP145:AQ145)</f>
        <v>0</v>
      </c>
      <c r="AS145" s="76">
        <f>I145+Q145+Y145+AG145+AO145+AR145</f>
        <v>0</v>
      </c>
      <c r="AT145" s="68"/>
      <c r="AU145" s="68"/>
      <c r="AV145" s="68"/>
      <c r="AW145" s="68"/>
      <c r="AX145" s="68"/>
      <c r="AY145" s="68"/>
      <c r="AZ145" s="51"/>
    </row>
    <row r="146" spans="1:52" ht="15" customHeight="1" x14ac:dyDescent="0.25">
      <c r="A146" s="37" t="s">
        <v>82</v>
      </c>
      <c r="B146" s="47"/>
      <c r="C146" s="47"/>
      <c r="D146" s="47"/>
      <c r="E146" s="47"/>
      <c r="F146" s="47"/>
      <c r="G146" s="53"/>
      <c r="H146" s="53"/>
      <c r="I146" s="80"/>
      <c r="J146" s="53"/>
      <c r="K146" s="53"/>
      <c r="L146" s="53"/>
      <c r="M146" s="53"/>
      <c r="N146" s="53"/>
      <c r="O146" s="53"/>
      <c r="P146" s="53"/>
      <c r="Q146" s="80"/>
      <c r="R146" s="53"/>
      <c r="S146" s="53"/>
      <c r="T146" s="53"/>
      <c r="U146" s="53"/>
      <c r="V146" s="53"/>
      <c r="W146" s="53"/>
      <c r="X146" s="53"/>
      <c r="Y146" s="80"/>
      <c r="Z146" s="53"/>
      <c r="AA146" s="53"/>
      <c r="AB146" s="53"/>
      <c r="AC146" s="53"/>
      <c r="AD146" s="53"/>
      <c r="AE146" s="53"/>
      <c r="AF146" s="53"/>
      <c r="AG146" s="80"/>
      <c r="AH146" s="53"/>
      <c r="AI146" s="53"/>
      <c r="AJ146" s="53"/>
      <c r="AK146" s="53"/>
      <c r="AL146" s="53"/>
      <c r="AM146" s="53"/>
      <c r="AN146" s="53"/>
      <c r="AO146" s="80"/>
      <c r="AP146" s="53"/>
      <c r="AQ146" s="53"/>
      <c r="AR146" s="80"/>
      <c r="AS146" s="81"/>
    </row>
    <row r="147" spans="1:52" ht="15" customHeight="1" x14ac:dyDescent="0.25">
      <c r="A147" s="54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85"/>
    </row>
    <row r="148" spans="1:52" ht="27.6" x14ac:dyDescent="0.25">
      <c r="A148" s="37"/>
      <c r="B148" s="40" t="s">
        <v>78</v>
      </c>
      <c r="C148" s="40"/>
      <c r="D148" s="40"/>
      <c r="E148" s="40"/>
      <c r="F148" s="40"/>
      <c r="G148" s="96">
        <f>Année_Calendaire</f>
        <v>2016</v>
      </c>
      <c r="H148" s="96"/>
      <c r="I148" s="65"/>
      <c r="J148" s="47"/>
      <c r="K148" s="47"/>
      <c r="L148" s="47"/>
      <c r="M148" s="47"/>
      <c r="N148" s="47"/>
      <c r="O148" s="47"/>
      <c r="P148" s="47"/>
      <c r="Q148" s="65"/>
      <c r="R148" s="40" t="s">
        <v>78</v>
      </c>
      <c r="S148" s="40"/>
      <c r="T148" s="40"/>
      <c r="U148" s="40"/>
      <c r="V148" s="40"/>
      <c r="W148" s="96">
        <f>Année_Calendaire</f>
        <v>2016</v>
      </c>
      <c r="X148" s="96"/>
      <c r="Y148" s="65"/>
      <c r="Z148" s="47"/>
      <c r="AA148" s="47"/>
      <c r="AB148" s="47"/>
      <c r="AC148" s="47"/>
      <c r="AD148" s="47"/>
      <c r="AE148" s="47"/>
      <c r="AF148" s="47"/>
      <c r="AG148" s="65"/>
      <c r="AH148" s="40" t="s">
        <v>78</v>
      </c>
      <c r="AI148" s="40"/>
      <c r="AJ148" s="40"/>
      <c r="AK148" s="40"/>
      <c r="AL148" s="40"/>
      <c r="AM148" s="96">
        <f>Année_Calendaire</f>
        <v>2016</v>
      </c>
      <c r="AN148" s="96"/>
      <c r="AO148" s="65"/>
      <c r="AP148" s="47"/>
      <c r="AQ148" s="47"/>
      <c r="AR148" s="65"/>
    </row>
    <row r="149" spans="1:52" ht="29.25" customHeight="1" x14ac:dyDescent="0.25">
      <c r="A149" s="47"/>
      <c r="B149" s="78" t="s">
        <v>64</v>
      </c>
      <c r="C149" s="78" t="s">
        <v>65</v>
      </c>
      <c r="D149" s="78" t="s">
        <v>66</v>
      </c>
      <c r="E149" s="78" t="s">
        <v>67</v>
      </c>
      <c r="F149" s="78" t="s">
        <v>68</v>
      </c>
      <c r="G149" s="78" t="s">
        <v>69</v>
      </c>
      <c r="H149" s="78" t="s">
        <v>70</v>
      </c>
      <c r="I149" s="97" t="s">
        <v>83</v>
      </c>
      <c r="J149" s="78" t="s">
        <v>64</v>
      </c>
      <c r="K149" s="78" t="s">
        <v>65</v>
      </c>
      <c r="L149" s="78" t="s">
        <v>66</v>
      </c>
      <c r="M149" s="78" t="s">
        <v>67</v>
      </c>
      <c r="N149" s="78" t="s">
        <v>68</v>
      </c>
      <c r="O149" s="78" t="s">
        <v>69</v>
      </c>
      <c r="P149" s="78" t="s">
        <v>70</v>
      </c>
      <c r="Q149" s="97" t="s">
        <v>83</v>
      </c>
      <c r="R149" s="78" t="s">
        <v>64</v>
      </c>
      <c r="S149" s="78" t="s">
        <v>65</v>
      </c>
      <c r="T149" s="78" t="s">
        <v>66</v>
      </c>
      <c r="U149" s="78" t="s">
        <v>67</v>
      </c>
      <c r="V149" s="78" t="s">
        <v>68</v>
      </c>
      <c r="W149" s="78" t="s">
        <v>69</v>
      </c>
      <c r="X149" s="78" t="s">
        <v>70</v>
      </c>
      <c r="Y149" s="97" t="s">
        <v>83</v>
      </c>
      <c r="Z149" s="78" t="s">
        <v>64</v>
      </c>
      <c r="AA149" s="78" t="s">
        <v>65</v>
      </c>
      <c r="AB149" s="78" t="s">
        <v>66</v>
      </c>
      <c r="AC149" s="78" t="s">
        <v>67</v>
      </c>
      <c r="AD149" s="78" t="s">
        <v>68</v>
      </c>
      <c r="AE149" s="78" t="s">
        <v>69</v>
      </c>
      <c r="AF149" s="78" t="s">
        <v>70</v>
      </c>
      <c r="AG149" s="97" t="s">
        <v>83</v>
      </c>
      <c r="AH149" s="78" t="s">
        <v>64</v>
      </c>
      <c r="AI149" s="78" t="s">
        <v>65</v>
      </c>
      <c r="AJ149" s="78" t="s">
        <v>66</v>
      </c>
      <c r="AK149" s="78" t="s">
        <v>67</v>
      </c>
      <c r="AL149" s="78" t="s">
        <v>68</v>
      </c>
      <c r="AM149" s="78" t="s">
        <v>69</v>
      </c>
      <c r="AN149" s="78" t="s">
        <v>70</v>
      </c>
      <c r="AO149" s="97" t="s">
        <v>83</v>
      </c>
      <c r="AP149" s="78" t="s">
        <v>64</v>
      </c>
      <c r="AQ149" s="78" t="s">
        <v>65</v>
      </c>
      <c r="AR149" s="97" t="s">
        <v>83</v>
      </c>
      <c r="AS149" s="97" t="s">
        <v>86</v>
      </c>
      <c r="AT149" s="98">
        <f>AS156+AS157+AS158</f>
        <v>0</v>
      </c>
      <c r="AU149" s="98">
        <f>AT149+AU131</f>
        <v>85</v>
      </c>
    </row>
    <row r="150" spans="1:52" ht="15" customHeight="1" x14ac:dyDescent="0.25">
      <c r="A150" s="64"/>
      <c r="B150" s="83" t="str">
        <f>IF(DAY(Sep_Dim1)=1,"",IF(AND(YEAR(Sep_Dim1+1)=Année_Calendaire,MONTH(Sep_Dim1+1)=9),Sep_Dim1+1,""))</f>
        <v/>
      </c>
      <c r="C150" s="83" t="str">
        <f>IF(DAY(Sep_Dim1)=1,"",IF(AND(YEAR(Sep_Dim1+2)=Année_Calendaire,MONTH(Sep_Dim1+2)=9),Sep_Dim1+2,""))</f>
        <v/>
      </c>
      <c r="D150" s="83" t="str">
        <f>IF(DAY(Sep_Dim1)=1,"",IF(AND(YEAR(Sep_Dim1+3)=Année_Calendaire,MONTH(Sep_Dim1+3)=9),Sep_Dim1+3,""))</f>
        <v/>
      </c>
      <c r="E150" s="83">
        <f>IF(DAY(Sep_Dim1)=1,"",IF(AND(YEAR(Sep_Dim1+4)=Année_Calendaire,MONTH(Sep_Dim1+4)=9),Sep_Dim1+4,""))</f>
        <v>42614</v>
      </c>
      <c r="F150" s="83">
        <f>IF(DAY(Sep_Dim1)=1,"",IF(AND(YEAR(Sep_Dim1+5)=Année_Calendaire,MONTH(Sep_Dim1+5)=9),Sep_Dim1+5,""))</f>
        <v>42615</v>
      </c>
      <c r="G150" s="83">
        <f>IF(DAY(Sep_Dim1)=1,"",IF(AND(YEAR(Sep_Dim1+6)=Année_Calendaire,MONTH(Sep_Dim1+6)=9),Sep_Dim1+6,""))</f>
        <v>42616</v>
      </c>
      <c r="H150" s="83">
        <f>IF(DAY(Sep_Dim1)=1,IF(AND(YEAR(Sep_Dim1)=Année_Calendaire,MONTH(Sep_Dim1)=9),Sep_Dim1,""),IF(AND(YEAR(Sep_Dim1+7)=Année_Calendaire,MONTH(Sep_Dim1+7)=9),Sep_Dim1+7,""))</f>
        <v>42617</v>
      </c>
      <c r="I150" s="97"/>
      <c r="J150" s="83">
        <f>IF(DAY(Sep_Dim1)=1,IF(AND(YEAR(Sep_Dim1+1)=Année_Calendaire,MONTH(Sep_Dim1+1)=9),Sep_Dim1+1,""),IF(AND(YEAR(Sep_Dim1+8)=Année_Calendaire,MONTH(Sep_Dim1+8)=9),Sep_Dim1+8,""))</f>
        <v>42618</v>
      </c>
      <c r="K150" s="83">
        <f>IF(DAY(Sep_Dim1)=1,IF(AND(YEAR(Sep_Dim1+2)=Année_Calendaire,MONTH(Sep_Dim1+2)=9),Sep_Dim1+2,""),IF(AND(YEAR(Sep_Dim1+9)=Année_Calendaire,MONTH(Sep_Dim1+9)=9),Sep_Dim1+9,""))</f>
        <v>42619</v>
      </c>
      <c r="L150" s="83">
        <f>IF(DAY(Sep_Dim1)=1,IF(AND(YEAR(Sep_Dim1+3)=Année_Calendaire,MONTH(Sep_Dim1+3)=9),Sep_Dim1+3,""),IF(AND(YEAR(Sep_Dim1+10)=Année_Calendaire,MONTH(Sep_Dim1+10)=9),Sep_Dim1+10,""))</f>
        <v>42620</v>
      </c>
      <c r="M150" s="83">
        <f>IF(DAY(Sep_Dim1)=1,IF(AND(YEAR(Sep_Dim1+4)=Année_Calendaire,MONTH(Sep_Dim1+4)=9),Sep_Dim1+4,""),IF(AND(YEAR(Sep_Dim1+11)=Année_Calendaire,MONTH(Sep_Dim1+11)=9),Sep_Dim1+11,""))</f>
        <v>42621</v>
      </c>
      <c r="N150" s="83">
        <f>IF(DAY(Sep_Dim1)=1,IF(AND(YEAR(Sep_Dim1+5)=Année_Calendaire,MONTH(Sep_Dim1+5)=9),Sep_Dim1+5,""),IF(AND(YEAR(Sep_Dim1+12)=Année_Calendaire,MONTH(Sep_Dim1+12)=9),Sep_Dim1+12,""))</f>
        <v>42622</v>
      </c>
      <c r="O150" s="83">
        <f>IF(DAY(Sep_Dim1)=1,IF(AND(YEAR(Sep_Dim1+6)=Année_Calendaire,MONTH(Sep_Dim1+6)=9),Sep_Dim1+6,""),IF(AND(YEAR(Sep_Dim1+13)=Année_Calendaire,MONTH(Sep_Dim1+13)=9),Sep_Dim1+13,""))</f>
        <v>42623</v>
      </c>
      <c r="P150" s="83">
        <f>IF(DAY(Sep_Dim1)=1,IF(AND(YEAR(Sep_Dim1+7)=Année_Calendaire,MONTH(Sep_Dim1+7)=9),Sep_Dim1+7,""),IF(AND(YEAR(Sep_Dim1+14)=Année_Calendaire,MONTH(Sep_Dim1+14)=9),Sep_Dim1+14,""))</f>
        <v>42624</v>
      </c>
      <c r="Q150" s="97"/>
      <c r="R150" s="83">
        <f>IF(DAY(Sep_Dim1)=1,IF(AND(YEAR(Sep_Dim1+8)=Année_Calendaire,MONTH(Sep_Dim1+8)=9),Sep_Dim1+8,""),IF(AND(YEAR(Sep_Dim1+15)=Année_Calendaire,MONTH(Sep_Dim1+15)=9),Sep_Dim1+15,""))</f>
        <v>42625</v>
      </c>
      <c r="S150" s="83">
        <f>IF(DAY(Sep_Dim1)=1,IF(AND(YEAR(Sep_Dim1+9)=Année_Calendaire,MONTH(Sep_Dim1+9)=9),Sep_Dim1+9,""),IF(AND(YEAR(Sep_Dim1+16)=Année_Calendaire,MONTH(Sep_Dim1+16)=9),Sep_Dim1+16,""))</f>
        <v>42626</v>
      </c>
      <c r="T150" s="83">
        <f>IF(DAY(Sep_Dim1)=1,IF(AND(YEAR(Sep_Dim1+10)=Année_Calendaire,MONTH(Sep_Dim1+10)=9),Sep_Dim1+10,""),IF(AND(YEAR(Sep_Dim1+17)=Année_Calendaire,MONTH(Sep_Dim1+17)=9),Sep_Dim1+17,""))</f>
        <v>42627</v>
      </c>
      <c r="U150" s="83">
        <f>IF(DAY(Sep_Dim1)=1,IF(AND(YEAR(Sep_Dim1+11)=Année_Calendaire,MONTH(Sep_Dim1+11)=9),Sep_Dim1+11,""),IF(AND(YEAR(Sep_Dim1+18)=Année_Calendaire,MONTH(Sep_Dim1+18)=9),Sep_Dim1+18,""))</f>
        <v>42628</v>
      </c>
      <c r="V150" s="83">
        <f>IF(DAY(Sep_Dim1)=1,IF(AND(YEAR(Sep_Dim1+12)=Année_Calendaire,MONTH(Sep_Dim1+12)=9),Sep_Dim1+12,""),IF(AND(YEAR(Sep_Dim1+19)=Année_Calendaire,MONTH(Sep_Dim1+19)=9),Sep_Dim1+19,""))</f>
        <v>42629</v>
      </c>
      <c r="W150" s="83">
        <f>IF(DAY(Sep_Dim1)=1,IF(AND(YEAR(Sep_Dim1+13)=Année_Calendaire,MONTH(Sep_Dim1+13)=9),Sep_Dim1+13,""),IF(AND(YEAR(Sep_Dim1+20)=Année_Calendaire,MONTH(Sep_Dim1+20)=9),Sep_Dim1+20,""))</f>
        <v>42630</v>
      </c>
      <c r="X150" s="83">
        <f>IF(DAY(Sep_Dim1)=1,IF(AND(YEAR(Sep_Dim1+14)=Année_Calendaire,MONTH(Sep_Dim1+14)=9),Sep_Dim1+14,""),IF(AND(YEAR(Sep_Dim1+21)=Année_Calendaire,MONTH(Sep_Dim1+21)=9),Sep_Dim1+21,""))</f>
        <v>42631</v>
      </c>
      <c r="Y150" s="97"/>
      <c r="Z150" s="83">
        <f>IF(DAY(Sep_Dim1)=1,IF(AND(YEAR(Sep_Dim1+15)=Année_Calendaire,MONTH(Sep_Dim1+15)=9),Sep_Dim1+15,""),IF(AND(YEAR(Sep_Dim1+22)=Année_Calendaire,MONTH(Sep_Dim1+22)=9),Sep_Dim1+22,""))</f>
        <v>42632</v>
      </c>
      <c r="AA150" s="83">
        <f>IF(DAY(Sep_Dim1)=1,IF(AND(YEAR(Sep_Dim1+16)=Année_Calendaire,MONTH(Sep_Dim1+16)=9),Sep_Dim1+16,""),IF(AND(YEAR(Sep_Dim1+23)=Année_Calendaire,MONTH(Sep_Dim1+23)=9),Sep_Dim1+23,""))</f>
        <v>42633</v>
      </c>
      <c r="AB150" s="83">
        <f>IF(DAY(Sep_Dim1)=1,IF(AND(YEAR(Sep_Dim1+17)=Année_Calendaire,MONTH(Sep_Dim1+17)=9),Sep_Dim1+17,""),IF(AND(YEAR(Sep_Dim1+24)=Année_Calendaire,MONTH(Sep_Dim1+24)=9),Sep_Dim1+24,""))</f>
        <v>42634</v>
      </c>
      <c r="AC150" s="83">
        <f>IF(DAY(Sep_Dim1)=1,IF(AND(YEAR(Sep_Dim1+18)=Année_Calendaire,MONTH(Sep_Dim1+18)=9),Sep_Dim1+18,""),IF(AND(YEAR(Sep_Dim1+25)=Année_Calendaire,MONTH(Sep_Dim1+25)=9),Sep_Dim1+25,""))</f>
        <v>42635</v>
      </c>
      <c r="AD150" s="83">
        <f>IF(DAY(Sep_Dim1)=1,IF(AND(YEAR(Sep_Dim1+19)=Année_Calendaire,MONTH(Sep_Dim1+19)=9),Sep_Dim1+19,""),IF(AND(YEAR(Sep_Dim1+26)=Année_Calendaire,MONTH(Sep_Dim1+26)=9),Sep_Dim1+26,""))</f>
        <v>42636</v>
      </c>
      <c r="AE150" s="83">
        <f>IF(DAY(Sep_Dim1)=1,IF(AND(YEAR(Sep_Dim1+20)=Année_Calendaire,MONTH(Sep_Dim1+20)=9),Sep_Dim1+20,""),IF(AND(YEAR(Sep_Dim1+27)=Année_Calendaire,MONTH(Sep_Dim1+27)=9),Sep_Dim1+27,""))</f>
        <v>42637</v>
      </c>
      <c r="AF150" s="83">
        <f>IF(DAY(Sep_Dim1)=1,IF(AND(YEAR(Sep_Dim1+21)=Année_Calendaire,MONTH(Sep_Dim1+21)=9),Sep_Dim1+21,""),IF(AND(YEAR(Sep_Dim1+28)=Année_Calendaire,MONTH(Sep_Dim1+28)=9),Sep_Dim1+28,""))</f>
        <v>42638</v>
      </c>
      <c r="AG150" s="97"/>
      <c r="AH150" s="83">
        <f>IF(DAY(Sep_Dim1)=1,IF(AND(YEAR(Sep_Dim1+22)=Année_Calendaire,MONTH(Sep_Dim1+22)=9),Sep_Dim1+22,""),IF(AND(YEAR(Sep_Dim1+29)=Année_Calendaire,MONTH(Sep_Dim1+29)=9),Sep_Dim1+29,""))</f>
        <v>42639</v>
      </c>
      <c r="AI150" s="83">
        <f>IF(DAY(Sep_Dim1)=1,IF(AND(YEAR(Sep_Dim1+23)=Année_Calendaire,MONTH(Sep_Dim1+23)=9),Sep_Dim1+23,""),IF(AND(YEAR(Sep_Dim1+30)=Année_Calendaire,MONTH(Sep_Dim1+30)=9),Sep_Dim1+30,""))</f>
        <v>42640</v>
      </c>
      <c r="AJ150" s="83">
        <f>IF(DAY(Sep_Dim1)=1,IF(AND(YEAR(Sep_Dim1+24)=Année_Calendaire,MONTH(Sep_Dim1+24)=9),Sep_Dim1+24,""),IF(AND(YEAR(Sep_Dim1+31)=Année_Calendaire,MONTH(Sep_Dim1+31)=9),Sep_Dim1+31,""))</f>
        <v>42641</v>
      </c>
      <c r="AK150" s="83">
        <f>IF(DAY(Sep_Dim1)=1,IF(AND(YEAR(Sep_Dim1+25)=Année_Calendaire,MONTH(Sep_Dim1+25)=9),Sep_Dim1+25,""),IF(AND(YEAR(Sep_Dim1+32)=Année_Calendaire,MONTH(Sep_Dim1+32)=9),Sep_Dim1+32,""))</f>
        <v>42642</v>
      </c>
      <c r="AL150" s="83">
        <f>IF(DAY(Sep_Dim1)=1,IF(AND(YEAR(Sep_Dim1+26)=Année_Calendaire,MONTH(Sep_Dim1+26)=9),Sep_Dim1+26,""),IF(AND(YEAR(Sep_Dim1+33)=Année_Calendaire,MONTH(Sep_Dim1+33)=9),Sep_Dim1+33,""))</f>
        <v>42643</v>
      </c>
      <c r="AM150" s="83" t="str">
        <f>IF(DAY(Sep_Dim1)=1,IF(AND(YEAR(Sep_Dim1+27)=Année_Calendaire,MONTH(Sep_Dim1+27)=9),Sep_Dim1+27,""),IF(AND(YEAR(Sep_Dim1+34)=Année_Calendaire,MONTH(Sep_Dim1+34)=9),Sep_Dim1+34,""))</f>
        <v/>
      </c>
      <c r="AN150" s="83" t="str">
        <f>IF(DAY(Sep_Dim1)=1,IF(AND(YEAR(Sep_Dim1+28)=Année_Calendaire,MONTH(Sep_Dim1+28)=9),Sep_Dim1+28,""),IF(AND(YEAR(Sep_Dim1+35)=Année_Calendaire,MONTH(Sep_Dim1+35)=9),Sep_Dim1+35,""))</f>
        <v/>
      </c>
      <c r="AO150" s="97"/>
      <c r="AP150" s="77" t="str">
        <f>IF(DAY(Sep_Dim1)=1,IF(AND(YEAR(Sep_Dim1+29)=Année_Calendaire,MONTH(Sep_Dim1+29)=9),Sep_Dim1+29,""),IF(AND(YEAR(Sep_Dim1+36)=Année_Calendaire,MONTH(Sep_Dim1+36)=9),Sep_Dim1+36,""))</f>
        <v/>
      </c>
      <c r="AQ150" s="77" t="str">
        <f>IF(DAY(Sep_Dim1)=1,IF(AND(YEAR(Sep_Dim1+30)=Année_Calendaire,MONTH(Sep_Dim1+30)=9),Sep_Dim1+30,""),IF(AND(YEAR(Sep_Dim1+37)=Année_Calendaire,MONTH(Sep_Dim1+37)=9),Sep_Dim1+37,""))</f>
        <v/>
      </c>
      <c r="AR150" s="97"/>
      <c r="AS150" s="97"/>
      <c r="AT150" s="98"/>
      <c r="AU150" s="98"/>
    </row>
    <row r="151" spans="1:52" ht="15" customHeight="1" x14ac:dyDescent="0.25">
      <c r="A151" s="37" t="s">
        <v>2</v>
      </c>
      <c r="B151" s="47"/>
      <c r="C151" s="47"/>
      <c r="D151" s="47"/>
      <c r="E151" s="47" t="s">
        <v>106</v>
      </c>
      <c r="F151" s="47" t="s">
        <v>106</v>
      </c>
      <c r="G151" s="47"/>
      <c r="H151" s="47"/>
      <c r="I151" s="76"/>
      <c r="J151" s="47"/>
      <c r="K151" s="47"/>
      <c r="L151" s="47"/>
      <c r="M151" s="47"/>
      <c r="N151" s="47"/>
      <c r="O151" s="47"/>
      <c r="P151" s="47"/>
      <c r="Q151" s="76"/>
      <c r="R151" s="47"/>
      <c r="S151" s="47"/>
      <c r="T151" s="47"/>
      <c r="U151" s="47"/>
      <c r="V151" s="47"/>
      <c r="W151" s="47"/>
      <c r="X151" s="47"/>
      <c r="Y151" s="76"/>
      <c r="Z151" s="47"/>
      <c r="AA151" s="47"/>
      <c r="AB151" s="47"/>
      <c r="AC151" s="47"/>
      <c r="AD151" s="47"/>
      <c r="AE151" s="47"/>
      <c r="AF151" s="47"/>
      <c r="AG151" s="76"/>
      <c r="AH151" s="47"/>
      <c r="AI151" s="47"/>
      <c r="AJ151" s="47"/>
      <c r="AK151" s="47"/>
      <c r="AL151" s="47"/>
      <c r="AM151" s="47"/>
      <c r="AN151" s="47"/>
      <c r="AO151" s="76"/>
      <c r="AP151" s="47"/>
      <c r="AQ151" s="47"/>
      <c r="AR151" s="76"/>
      <c r="AS151" s="79"/>
    </row>
    <row r="152" spans="1:52" ht="15" customHeight="1" x14ac:dyDescent="0.25">
      <c r="A152" s="37" t="s">
        <v>63</v>
      </c>
      <c r="B152" s="76">
        <f t="shared" ref="B152:H152" si="292">IF(B151="Matin",1,IF(B151="AM",1,0))</f>
        <v>0</v>
      </c>
      <c r="C152" s="76">
        <f t="shared" si="292"/>
        <v>0</v>
      </c>
      <c r="D152" s="76">
        <f t="shared" si="292"/>
        <v>0</v>
      </c>
      <c r="E152" s="76">
        <f t="shared" si="292"/>
        <v>1</v>
      </c>
      <c r="F152" s="76">
        <f t="shared" si="292"/>
        <v>1</v>
      </c>
      <c r="G152" s="76">
        <f t="shared" si="292"/>
        <v>0</v>
      </c>
      <c r="H152" s="76">
        <f t="shared" si="292"/>
        <v>0</v>
      </c>
      <c r="I152" s="76">
        <f>SUM(B152:H152)</f>
        <v>2</v>
      </c>
      <c r="J152" s="76">
        <f t="shared" ref="J152:P152" si="293">IF(J151="Matin",1,IF(J151="AM",1,0))</f>
        <v>0</v>
      </c>
      <c r="K152" s="76">
        <f t="shared" si="293"/>
        <v>0</v>
      </c>
      <c r="L152" s="76">
        <f t="shared" si="293"/>
        <v>0</v>
      </c>
      <c r="M152" s="76">
        <f t="shared" si="293"/>
        <v>0</v>
      </c>
      <c r="N152" s="76">
        <f t="shared" si="293"/>
        <v>0</v>
      </c>
      <c r="O152" s="76">
        <f t="shared" si="293"/>
        <v>0</v>
      </c>
      <c r="P152" s="76">
        <f t="shared" si="293"/>
        <v>0</v>
      </c>
      <c r="Q152" s="76">
        <f>SUM(J152:P152)</f>
        <v>0</v>
      </c>
      <c r="R152" s="76">
        <f t="shared" ref="R152:X152" si="294">IF(R151="Matin",1,IF(R151="AM",1,0))</f>
        <v>0</v>
      </c>
      <c r="S152" s="76">
        <f t="shared" si="294"/>
        <v>0</v>
      </c>
      <c r="T152" s="76">
        <f t="shared" si="294"/>
        <v>0</v>
      </c>
      <c r="U152" s="76">
        <f t="shared" si="294"/>
        <v>0</v>
      </c>
      <c r="V152" s="76">
        <f t="shared" si="294"/>
        <v>0</v>
      </c>
      <c r="W152" s="76">
        <f t="shared" si="294"/>
        <v>0</v>
      </c>
      <c r="X152" s="76">
        <f t="shared" si="294"/>
        <v>0</v>
      </c>
      <c r="Y152" s="76">
        <f>SUM(R152:X152)</f>
        <v>0</v>
      </c>
      <c r="Z152" s="76">
        <f t="shared" ref="Z152:AF152" si="295">IF(Z151="Matin",1,IF(Z151="AM",1,0))</f>
        <v>0</v>
      </c>
      <c r="AA152" s="76">
        <f t="shared" si="295"/>
        <v>0</v>
      </c>
      <c r="AB152" s="76">
        <f t="shared" si="295"/>
        <v>0</v>
      </c>
      <c r="AC152" s="76">
        <f t="shared" si="295"/>
        <v>0</v>
      </c>
      <c r="AD152" s="76">
        <f t="shared" si="295"/>
        <v>0</v>
      </c>
      <c r="AE152" s="76">
        <f t="shared" si="295"/>
        <v>0</v>
      </c>
      <c r="AF152" s="76">
        <f t="shared" si="295"/>
        <v>0</v>
      </c>
      <c r="AG152" s="76">
        <f>SUM(Z152:AF152)</f>
        <v>0</v>
      </c>
      <c r="AH152" s="76">
        <f t="shared" ref="AH152:AN152" si="296">IF(AH151="Matin",1,IF(AH151="AM",1,0))</f>
        <v>0</v>
      </c>
      <c r="AI152" s="76">
        <f t="shared" si="296"/>
        <v>0</v>
      </c>
      <c r="AJ152" s="76">
        <f t="shared" si="296"/>
        <v>0</v>
      </c>
      <c r="AK152" s="76">
        <f t="shared" si="296"/>
        <v>0</v>
      </c>
      <c r="AL152" s="76">
        <f t="shared" si="296"/>
        <v>0</v>
      </c>
      <c r="AM152" s="76">
        <f t="shared" si="296"/>
        <v>0</v>
      </c>
      <c r="AN152" s="76">
        <f t="shared" si="296"/>
        <v>0</v>
      </c>
      <c r="AO152" s="76">
        <f>SUM(AH152:AN152)</f>
        <v>0</v>
      </c>
      <c r="AP152" s="76">
        <f t="shared" ref="AP152:AQ152" si="297">IF(AP151="Matin",1,IF(AP151="AM",1,0))</f>
        <v>0</v>
      </c>
      <c r="AQ152" s="76">
        <f t="shared" si="297"/>
        <v>0</v>
      </c>
      <c r="AR152" s="76">
        <f t="shared" ref="AR152:AR159" si="298">SUM(AP152:AQ152)</f>
        <v>0</v>
      </c>
      <c r="AS152" s="76">
        <f>I152+Q152+Y152+AG152+AO152+AR152</f>
        <v>2</v>
      </c>
    </row>
    <row r="153" spans="1:52" ht="15" customHeight="1" x14ac:dyDescent="0.25">
      <c r="A153" s="37" t="s">
        <v>4</v>
      </c>
      <c r="B153" s="76">
        <f>IF(B154&gt;=1,1,0)</f>
        <v>0</v>
      </c>
      <c r="C153" s="76">
        <f>IF(C154&gt;=1,1,0)</f>
        <v>0</v>
      </c>
      <c r="D153" s="76">
        <f t="shared" ref="D153:H153" si="299">IF(D154&gt;=1,1,0)</f>
        <v>0</v>
      </c>
      <c r="E153" s="76">
        <f t="shared" si="299"/>
        <v>0</v>
      </c>
      <c r="F153" s="76">
        <f t="shared" si="299"/>
        <v>0</v>
      </c>
      <c r="G153" s="76">
        <f t="shared" si="299"/>
        <v>0</v>
      </c>
      <c r="H153" s="76">
        <f t="shared" si="299"/>
        <v>0</v>
      </c>
      <c r="I153" s="76">
        <f t="shared" ref="I153:I163" si="300">SUM(B153:H153)</f>
        <v>0</v>
      </c>
      <c r="J153" s="76">
        <f>IF(J154&gt;=1,1,0)</f>
        <v>0</v>
      </c>
      <c r="K153" s="76">
        <f t="shared" ref="K153:P153" si="301">IF(K154&gt;=1,1,0)</f>
        <v>0</v>
      </c>
      <c r="L153" s="76">
        <f t="shared" si="301"/>
        <v>0</v>
      </c>
      <c r="M153" s="76">
        <f t="shared" si="301"/>
        <v>0</v>
      </c>
      <c r="N153" s="76">
        <f t="shared" si="301"/>
        <v>0</v>
      </c>
      <c r="O153" s="76">
        <f t="shared" si="301"/>
        <v>0</v>
      </c>
      <c r="P153" s="76">
        <f t="shared" si="301"/>
        <v>0</v>
      </c>
      <c r="Q153" s="76">
        <f t="shared" ref="Q153:Q163" si="302">SUM(J153:P153)</f>
        <v>0</v>
      </c>
      <c r="R153" s="76">
        <f>IF(R154&gt;=1,1,0)</f>
        <v>0</v>
      </c>
      <c r="S153" s="76">
        <f t="shared" ref="S153:X153" si="303">IF(S154&gt;=1,1,0)</f>
        <v>0</v>
      </c>
      <c r="T153" s="76">
        <f t="shared" si="303"/>
        <v>0</v>
      </c>
      <c r="U153" s="76">
        <f t="shared" si="303"/>
        <v>0</v>
      </c>
      <c r="V153" s="76">
        <f t="shared" si="303"/>
        <v>0</v>
      </c>
      <c r="W153" s="76">
        <f t="shared" si="303"/>
        <v>0</v>
      </c>
      <c r="X153" s="76">
        <f t="shared" si="303"/>
        <v>0</v>
      </c>
      <c r="Y153" s="76">
        <f t="shared" ref="Y153:Y163" si="304">SUM(R153:X153)</f>
        <v>0</v>
      </c>
      <c r="Z153" s="76">
        <f>IF(Z154&gt;=1,1,0)</f>
        <v>0</v>
      </c>
      <c r="AA153" s="76">
        <f t="shared" ref="AA153:AF153" si="305">IF(AA154&gt;=1,1,0)</f>
        <v>0</v>
      </c>
      <c r="AB153" s="76">
        <f t="shared" si="305"/>
        <v>0</v>
      </c>
      <c r="AC153" s="76">
        <f t="shared" si="305"/>
        <v>0</v>
      </c>
      <c r="AD153" s="76">
        <f t="shared" si="305"/>
        <v>0</v>
      </c>
      <c r="AE153" s="76">
        <f t="shared" si="305"/>
        <v>0</v>
      </c>
      <c r="AF153" s="76">
        <f t="shared" si="305"/>
        <v>0</v>
      </c>
      <c r="AG153" s="76">
        <f t="shared" ref="AG153:AG163" si="306">SUM(Z153:AF153)</f>
        <v>0</v>
      </c>
      <c r="AH153" s="76">
        <f>IF(AH154&gt;=1,1,0)</f>
        <v>0</v>
      </c>
      <c r="AI153" s="76">
        <f t="shared" ref="AI153:AN153" si="307">IF(AI154&gt;=1,1,0)</f>
        <v>0</v>
      </c>
      <c r="AJ153" s="76">
        <f t="shared" si="307"/>
        <v>0</v>
      </c>
      <c r="AK153" s="76">
        <f t="shared" si="307"/>
        <v>0</v>
      </c>
      <c r="AL153" s="76">
        <f t="shared" si="307"/>
        <v>0</v>
      </c>
      <c r="AM153" s="76">
        <f t="shared" si="307"/>
        <v>0</v>
      </c>
      <c r="AN153" s="76">
        <f t="shared" si="307"/>
        <v>0</v>
      </c>
      <c r="AO153" s="76">
        <f t="shared" ref="AO153:AO163" si="308">SUM(AH153:AN153)</f>
        <v>0</v>
      </c>
      <c r="AP153" s="76">
        <f>IF(AP154&gt;=1,1,0)</f>
        <v>0</v>
      </c>
      <c r="AQ153" s="76">
        <f t="shared" ref="AQ153" si="309">IF(AQ154&gt;=1,1,0)</f>
        <v>0</v>
      </c>
      <c r="AR153" s="76">
        <f t="shared" si="298"/>
        <v>0</v>
      </c>
      <c r="AS153" s="76">
        <f t="shared" ref="AS153:AS162" si="310">I153+Q153+Y153+AG153+AO153+AR153</f>
        <v>0</v>
      </c>
    </row>
    <row r="154" spans="1:52" ht="15" customHeight="1" x14ac:dyDescent="0.25">
      <c r="A154" s="37" t="s">
        <v>3</v>
      </c>
      <c r="B154" s="47"/>
      <c r="C154" s="47"/>
      <c r="D154" s="47"/>
      <c r="E154" s="47"/>
      <c r="F154" s="47"/>
      <c r="G154" s="47"/>
      <c r="H154" s="47"/>
      <c r="I154" s="76">
        <f t="shared" si="300"/>
        <v>0</v>
      </c>
      <c r="J154" s="47"/>
      <c r="K154" s="47"/>
      <c r="L154" s="47"/>
      <c r="M154" s="47"/>
      <c r="N154" s="47"/>
      <c r="O154" s="47"/>
      <c r="P154" s="47"/>
      <c r="Q154" s="76">
        <f t="shared" si="302"/>
        <v>0</v>
      </c>
      <c r="R154" s="47"/>
      <c r="S154" s="47"/>
      <c r="T154" s="47"/>
      <c r="U154" s="47"/>
      <c r="V154" s="47"/>
      <c r="W154" s="47"/>
      <c r="X154" s="47"/>
      <c r="Y154" s="76">
        <f t="shared" si="304"/>
        <v>0</v>
      </c>
      <c r="Z154" s="47"/>
      <c r="AA154" s="47"/>
      <c r="AB154" s="47"/>
      <c r="AC154" s="47"/>
      <c r="AD154" s="47"/>
      <c r="AE154" s="47"/>
      <c r="AF154" s="47"/>
      <c r="AG154" s="76">
        <f t="shared" si="306"/>
        <v>0</v>
      </c>
      <c r="AH154" s="47"/>
      <c r="AI154" s="47"/>
      <c r="AJ154" s="47"/>
      <c r="AK154" s="47"/>
      <c r="AL154" s="47"/>
      <c r="AM154" s="47"/>
      <c r="AN154" s="47"/>
      <c r="AO154" s="76">
        <f t="shared" si="308"/>
        <v>0</v>
      </c>
      <c r="AP154" s="47"/>
      <c r="AQ154" s="47"/>
      <c r="AR154" s="76">
        <f t="shared" si="298"/>
        <v>0</v>
      </c>
      <c r="AS154" s="76">
        <f t="shared" si="310"/>
        <v>0</v>
      </c>
    </row>
    <row r="155" spans="1:52" ht="15" customHeight="1" x14ac:dyDescent="0.25">
      <c r="A155" s="52" t="s">
        <v>71</v>
      </c>
      <c r="B155" s="82">
        <f>IF(B149&lt;&gt;"Dim",IF(B154&gt;32,MIN(B154,35)-32,0),0)</f>
        <v>0</v>
      </c>
      <c r="C155" s="82">
        <f>IF(C149&lt;&gt;"Dim",IF(SUM($B154:C154)&gt;32,MIN(SUM($B154:C154),35)-32-SUM($B155:B155),0),0)</f>
        <v>0</v>
      </c>
      <c r="D155" s="82">
        <f>IF(D149&lt;&gt;"Dim",IF(SUM($B154:D154)&gt;32,MIN(SUM($B154:D154),35)-32-SUM($B155:C155),0),0)</f>
        <v>0</v>
      </c>
      <c r="E155" s="82">
        <f>IF(E149&lt;&gt;"Dim",IF(SUM($B154:E154)&gt;32,MIN(SUM($B154:E154),35)-32-SUM($B155:D155),0),0)</f>
        <v>0</v>
      </c>
      <c r="F155" s="82">
        <f>IF(F149&lt;&gt;"Dim",IF(SUM($B154:F154)&gt;32,MIN(SUM($B154:F154),35)-32-SUM($B155:E155),0),0)</f>
        <v>0</v>
      </c>
      <c r="G155" s="82">
        <f>IF(G149&lt;&gt;"Dim",IF(SUM($B154:G154)&gt;32,MIN(SUM($B154:G154),35)-32-SUM($B155:F155),0),0)</f>
        <v>0</v>
      </c>
      <c r="H155" s="82">
        <f>IF(H149&lt;&gt;"Dim",IF(SUM($B154:H154)&gt;32,MIN(SUM($B154:H154),35)-32-SUM($B155:G155),0),0)</f>
        <v>0</v>
      </c>
      <c r="I155" s="76">
        <f t="shared" si="300"/>
        <v>0</v>
      </c>
      <c r="J155" s="82">
        <f>IF(J149&lt;&gt;"Dim",IF(J154&gt;32,MIN(J154,35)-32,0),0)</f>
        <v>0</v>
      </c>
      <c r="K155" s="82">
        <f>IF(K149&lt;&gt;"Dim",IF(SUM($J154:K154)&gt;32,MIN(SUM($J154:K154),35)-32-SUM($J155:J155),0),0)</f>
        <v>0</v>
      </c>
      <c r="L155" s="82">
        <f>IF(L149&lt;&gt;"Dim",IF(SUM($J154:L154)&gt;32,MIN(SUM($J154:L154),35)-32-SUM($J155:K155),0),0)</f>
        <v>0</v>
      </c>
      <c r="M155" s="82">
        <f>IF(M149&lt;&gt;"Dim",IF(SUM($J154:M154)&gt;32,MIN(SUM($J154:M154),35)-32-SUM($J155:L155),0),0)</f>
        <v>0</v>
      </c>
      <c r="N155" s="82">
        <f>IF(N149&lt;&gt;"Dim",IF(SUM($J154:N154)&gt;32,MIN(SUM($J154:N154),35)-32-SUM($J155:M155),0),0)</f>
        <v>0</v>
      </c>
      <c r="O155" s="82">
        <f>IF(O149&lt;&gt;"Dim",IF(SUM($J154:O154)&gt;32,MIN(SUM($J154:O154),35)-32-SUM($J155:N155),0),0)</f>
        <v>0</v>
      </c>
      <c r="P155" s="82">
        <f>IF(P149&lt;&gt;"Dim",IF(SUM($J154:P154)&gt;32,MIN(SUM($J154:P154),35)-32-SUM($J155:O155),0),0)</f>
        <v>0</v>
      </c>
      <c r="Q155" s="76">
        <f t="shared" si="302"/>
        <v>0</v>
      </c>
      <c r="R155" s="82">
        <f>IF(R149&lt;&gt;"Dim",IF(R154&gt;32,MIN(R154,35)-32,0),0)</f>
        <v>0</v>
      </c>
      <c r="S155" s="82">
        <f>IF(S149&lt;&gt;"Dim",IF(SUM($R154:S154)&gt;32,MIN(SUM($R154:S154),35)-32-SUM($R155:R155),0),0)</f>
        <v>0</v>
      </c>
      <c r="T155" s="82">
        <f>IF(T149&lt;&gt;"Dim",IF(SUM($R154:T154)&gt;32,MIN(SUM($R154:T154),35)-32-SUM($R155:S155),0),0)</f>
        <v>0</v>
      </c>
      <c r="U155" s="82">
        <f>IF(U149&lt;&gt;"Dim",IF(SUM($R154:U154)&gt;32,MIN(SUM($R154:U154),35)-32-SUM($R155:T155),0),0)</f>
        <v>0</v>
      </c>
      <c r="V155" s="82">
        <f>IF(V149&lt;&gt;"Dim",IF(SUM($R154:V154)&gt;32,MIN(SUM($R154:V154),35)-32-SUM($R155:U155),0),0)</f>
        <v>0</v>
      </c>
      <c r="W155" s="82">
        <f>IF(W149&lt;&gt;"Dim",IF(SUM($R154:W154)&gt;32,MIN(SUM($R154:W154),35)-32-SUM($R155:V155),0),0)</f>
        <v>0</v>
      </c>
      <c r="X155" s="82">
        <f>IF(X149&lt;&gt;"Dim",IF(SUM($R154:X154)&gt;32,MIN(SUM($R154:X154),35)-32-SUM($R155:W155),0),0)</f>
        <v>0</v>
      </c>
      <c r="Y155" s="76">
        <f t="shared" si="304"/>
        <v>0</v>
      </c>
      <c r="Z155" s="82">
        <f>IF(Z149&lt;&gt;"Dim",IF(Z154&gt;32,MIN(Z154,35)-32,0),0)</f>
        <v>0</v>
      </c>
      <c r="AA155" s="82">
        <f>IF(AA149&lt;&gt;"Dim",IF(SUM($Z154:AA154)&gt;32,MIN(SUM($Z154:AA154),35)-32-SUM($Z155:Z155),0),0)</f>
        <v>0</v>
      </c>
      <c r="AB155" s="82">
        <f>IF(AB149&lt;&gt;"Dim",IF(SUM($Z154:AB154)&gt;32,MIN(SUM($Z154:AB154),35)-32-SUM($Z155:AA155),0),0)</f>
        <v>0</v>
      </c>
      <c r="AC155" s="82">
        <f>IF(AC149&lt;&gt;"Dim",IF(SUM($Z154:AC154)&gt;32,MIN(SUM($Z154:AC154),35)-32-SUM($Z155:AB155),0),0)</f>
        <v>0</v>
      </c>
      <c r="AD155" s="82">
        <f>IF(AD149&lt;&gt;"Dim",IF(SUM($Z154:AD154)&gt;32,MIN(SUM($Z154:AD154),35)-32-SUM($Z155:AC155),0),0)</f>
        <v>0</v>
      </c>
      <c r="AE155" s="82">
        <f>IF(AE149&lt;&gt;"Dim",IF(SUM($Z154:AE154)&gt;32,MIN(SUM($Z154:AE154),35)-32-SUM($Z155:AD155),0),0)</f>
        <v>0</v>
      </c>
      <c r="AF155" s="82">
        <f>IF(AF149&lt;&gt;"Dim",IF(SUM($Z154:AF154)&gt;32,MIN(SUM($Z154:AF154),35)-32-SUM($Z155:AE155),0),0)</f>
        <v>0</v>
      </c>
      <c r="AG155" s="76">
        <f t="shared" si="306"/>
        <v>0</v>
      </c>
      <c r="AH155" s="82">
        <f>IF(AH149&lt;&gt;"Dim",IF(AH154&gt;32,MIN(AH154,35)-32,0),0)</f>
        <v>0</v>
      </c>
      <c r="AI155" s="82">
        <f>IF(AI149&lt;&gt;"Dim",IF(SUM($AH154:AI154)&gt;32,MIN(SUM($AH154:AI154),35)-32-SUM($AH155:AH155),0),0)</f>
        <v>0</v>
      </c>
      <c r="AJ155" s="82">
        <f>IF(AJ149&lt;&gt;"Dim",IF(SUM($AH154:AJ154)&gt;32,MIN(SUM($AH154:AJ154),35)-32-SUM($AH155:AI155),0),0)</f>
        <v>0</v>
      </c>
      <c r="AK155" s="82">
        <f>IF(AK149&lt;&gt;"Dim",IF(SUM($AH154:AK154)&gt;32,MIN(SUM($AH154:AK154),35)-32-SUM($AH155:AJ155),0),0)</f>
        <v>0</v>
      </c>
      <c r="AL155" s="82">
        <f>IF(AL149&lt;&gt;"Dim",IF(SUM($AH154:AL154)&gt;32,MIN(SUM($AH154:AL154),35)-32-SUM($AH155:AK155),0),0)</f>
        <v>0</v>
      </c>
      <c r="AM155" s="82">
        <f>IF(AM149&lt;&gt;"Dim",IF(SUM($AH154:AM154)&gt;32,MIN(SUM($AH154:AM154),35)-32-SUM($AH155:AL155),0),0)</f>
        <v>0</v>
      </c>
      <c r="AN155" s="82">
        <f>IF(AN149&lt;&gt;"Dim",IF(SUM($AH154:AN154)&gt;32,MIN(SUM($AH154:AN154),35)-32-SUM($AH155:AM155),0),0)</f>
        <v>0</v>
      </c>
      <c r="AO155" s="76">
        <f t="shared" si="308"/>
        <v>0</v>
      </c>
      <c r="AP155" s="82">
        <f>IF(AP149&lt;&gt;"Dim",IF(AP154&gt;32,MIN(AP154,35)-32,0),0)</f>
        <v>0</v>
      </c>
      <c r="AQ155" s="82">
        <f>IF(AQ149&lt;&gt;"Dim",IF(SUM($AP154:AQ154)&gt;32,MIN(SUM($AP154:AQ154),35)-32-SUM($AP155:AP155),0),0)</f>
        <v>0</v>
      </c>
      <c r="AR155" s="76">
        <f t="shared" si="298"/>
        <v>0</v>
      </c>
      <c r="AS155" s="76">
        <f t="shared" si="310"/>
        <v>0</v>
      </c>
    </row>
    <row r="156" spans="1:52" ht="15" customHeight="1" x14ac:dyDescent="0.25">
      <c r="A156" s="37" t="s">
        <v>40</v>
      </c>
      <c r="B156" s="82">
        <f>IF(B149&lt;&gt;"Dim",IF(B154&gt;35,(MIN(B154,43)-35),0),0)</f>
        <v>0</v>
      </c>
      <c r="C156" s="82">
        <f>IF(C149&lt;&gt;"Dim",IF(SUM($B154:C154)&gt;35,(MIN(SUM($B154:C154),43)-35-SUM($B156:B156)),0),0)</f>
        <v>0</v>
      </c>
      <c r="D156" s="82">
        <f>IF(D149&lt;&gt;"Dim",IF(SUM($B154:D154)&gt;35,(MIN(SUM($B154:D154),43)-35-SUM($B156:C156)),0),0)</f>
        <v>0</v>
      </c>
      <c r="E156" s="82">
        <f>IF(E149&lt;&gt;"Dim",IF(SUM($B154:E154)&gt;35,(MIN(SUM($B154:E154),43)-35-SUM($B156:D156)),0),0)</f>
        <v>0</v>
      </c>
      <c r="F156" s="82">
        <f>IF(F149&lt;&gt;"Dim",IF(SUM($B154:F154)&gt;35,(MIN(SUM($B154:F154),43)-35-SUM($B156:E156)),0),0)</f>
        <v>0</v>
      </c>
      <c r="G156" s="82">
        <f>IF(G149&lt;&gt;"Dim",IF(SUM($B154:G154)&gt;35,(MIN(SUM($B154:G154),43)-35-SUM($B156:F156)),0),0)</f>
        <v>0</v>
      </c>
      <c r="H156" s="82">
        <f>IF(H149&lt;&gt;"Dim",IF(SUM($B154:H154)&gt;35,(MIN(SUM($B154:H154),43)-35-SUM($B156:G156)),0),0)</f>
        <v>0</v>
      </c>
      <c r="I156" s="76">
        <f t="shared" si="300"/>
        <v>0</v>
      </c>
      <c r="J156" s="82">
        <f>IF(J149&lt;&gt;"Dim",IF(J154&gt;35,(MIN(J154,43)-35),0),0)</f>
        <v>0</v>
      </c>
      <c r="K156" s="82">
        <f>IF(K149&lt;&gt;"Dim",IF(SUM($J154:K154)&gt;35,(MIN(SUM($J154:K154),43)-35-SUM($J156:J156)),0),0)</f>
        <v>0</v>
      </c>
      <c r="L156" s="82">
        <f>IF(L149&lt;&gt;"Dim",IF(SUM($J154:L154)&gt;35,(MIN(SUM($J154:L154),43)-35-SUM($J156:K156)),0),0)</f>
        <v>0</v>
      </c>
      <c r="M156" s="82">
        <f>IF(M149&lt;&gt;"Dim",IF(SUM($J154:M154)&gt;35,(MIN(SUM($J154:M154),43)-35-SUM($J156:L156)),0),0)</f>
        <v>0</v>
      </c>
      <c r="N156" s="82">
        <f>IF(N149&lt;&gt;"Dim",IF(SUM($J154:N154)&gt;35,(MIN(SUM($J154:N154),43)-35-SUM($J156:M156)),0),0)</f>
        <v>0</v>
      </c>
      <c r="O156" s="82">
        <f>IF(O149&lt;&gt;"Dim",IF(SUM($J154:O154)&gt;35,(MIN(SUM($J154:O154),43)-35-SUM($J156:N156)),0),0)</f>
        <v>0</v>
      </c>
      <c r="P156" s="82">
        <f>IF(P149&lt;&gt;"Dim",IF(SUM($J154:P154)&gt;35,(MIN(SUM($J154:P154),43)-35-SUM($J156:O156)),0),0)</f>
        <v>0</v>
      </c>
      <c r="Q156" s="76">
        <f t="shared" si="302"/>
        <v>0</v>
      </c>
      <c r="R156" s="82">
        <f>IF(R149&lt;&gt;"Dim",IF(R154&gt;35,(MIN(R154,43)-35),0),0)</f>
        <v>0</v>
      </c>
      <c r="S156" s="82">
        <f>IF(S149&lt;&gt;"Dim",IF(SUM($R154:S154)&gt;35,(MIN(SUM($R154:S154),43)-35-SUM($R156:R156)),0),0)</f>
        <v>0</v>
      </c>
      <c r="T156" s="82">
        <f>IF(T149&lt;&gt;"Dim",IF(SUM($R154:T154)&gt;35,(MIN(SUM($R154:T154),43)-35-SUM($R156:S156)),0),0)</f>
        <v>0</v>
      </c>
      <c r="U156" s="82">
        <f>IF(U149&lt;&gt;"Dim",IF(SUM($R154:U154)&gt;35,(MIN(SUM($R154:U154),43)-35-SUM($R156:T156)),0),0)</f>
        <v>0</v>
      </c>
      <c r="V156" s="82">
        <f>IF(V149&lt;&gt;"Dim",IF(SUM($R154:V154)&gt;35,(MIN(SUM($R154:V154),43)-35-SUM($R156:U156)),0),0)</f>
        <v>0</v>
      </c>
      <c r="W156" s="82">
        <f>IF(W149&lt;&gt;"Dim",IF(SUM($R154:W154)&gt;35,(MIN(SUM($R154:W154),43)-35-SUM($R156:V156)),0),0)</f>
        <v>0</v>
      </c>
      <c r="X156" s="82">
        <f>IF(X149&lt;&gt;"Dim",IF(SUM($R154:X154)&gt;35,(MIN(SUM($R154:X154),43)-35-SUM($R156:W156)),0),0)</f>
        <v>0</v>
      </c>
      <c r="Y156" s="76">
        <f t="shared" si="304"/>
        <v>0</v>
      </c>
      <c r="Z156" s="82">
        <f>IF(Z149&lt;&gt;"Dim",IF(Z154&gt;35,(MIN(Z154,43)-35),0),0)</f>
        <v>0</v>
      </c>
      <c r="AA156" s="82">
        <f>IF(AA149&lt;&gt;"Dim",IF(SUM($Z154:AA154)&gt;35,(MIN(SUM($Z154:AA154),43)-35-SUM($Z156:Z156)),0),0)</f>
        <v>0</v>
      </c>
      <c r="AB156" s="82">
        <f>IF(AB149&lt;&gt;"Dim",IF(SUM($Z154:AB154)&gt;35,(MIN(SUM($Z154:AB154),43)-35-SUM($Z156:AA156)),0),0)</f>
        <v>0</v>
      </c>
      <c r="AC156" s="82">
        <f>IF(AC149&lt;&gt;"Dim",IF(SUM($Z154:AC154)&gt;35,(MIN(SUM($Z154:AC154),43)-35-SUM($Z156:AB156)),0),0)</f>
        <v>0</v>
      </c>
      <c r="AD156" s="82">
        <f>IF(AD149&lt;&gt;"Dim",IF(SUM($Z154:AD154)&gt;35,(MIN(SUM($Z154:AD154),43)-35-SUM($Z156:AC156)),0),0)</f>
        <v>0</v>
      </c>
      <c r="AE156" s="82">
        <f>IF(AE149&lt;&gt;"Dim",IF(SUM($Z154:AE154)&gt;35,(MIN(SUM($Z154:AE154),43)-35-SUM($Z156:AD156)),0),0)</f>
        <v>0</v>
      </c>
      <c r="AF156" s="82">
        <f>IF(AF149&lt;&gt;"Dim",IF(SUM($Z154:AF154)&gt;35,(MIN(SUM($Z154:AF154),43)-35-SUM($Z156:AE156)),0),0)</f>
        <v>0</v>
      </c>
      <c r="AG156" s="76">
        <f t="shared" si="306"/>
        <v>0</v>
      </c>
      <c r="AH156" s="82">
        <f>IF(AH149&lt;&gt;"Dim",IF(AH154&gt;35,(MIN(AH154,43)-35),0),0)</f>
        <v>0</v>
      </c>
      <c r="AI156" s="82">
        <f>IF(AI149&lt;&gt;"Dim",IF(SUM($AH154:AI154)&gt;35,(MIN(SUM($AH154:AI154),43)-35-SUM($AH156:AH156)),0),0)</f>
        <v>0</v>
      </c>
      <c r="AJ156" s="82">
        <f>IF(AJ149&lt;&gt;"Dim",IF(SUM($AH154:AJ154)&gt;35,(MIN(SUM($AH154:AJ154),43)-35-SUM($AH156:AI156)),0),0)</f>
        <v>0</v>
      </c>
      <c r="AK156" s="82">
        <f>IF(AK149&lt;&gt;"Dim",IF(SUM($AH154:AK154)&gt;35,(MIN(SUM($AH154:AK154),43)-35-SUM($AH156:AJ156)),0),0)</f>
        <v>0</v>
      </c>
      <c r="AL156" s="82">
        <f>IF(AL149&lt;&gt;"Dim",IF(SUM($AH154:AL154)&gt;35,(MIN(SUM($AH154:AL154),43)-35-SUM($AH156:AK156)),0),0)</f>
        <v>0</v>
      </c>
      <c r="AM156" s="82">
        <f>IF(AM149&lt;&gt;"Dim",IF(SUM($AH154:AM154)&gt;35,(MIN(SUM($AH154:AM154),43)-35-SUM($AH156:AL156)),0),0)</f>
        <v>0</v>
      </c>
      <c r="AN156" s="82">
        <f>IF(AN149&lt;&gt;"Dim",IF(SUM($AH154:AN154)&gt;35,(MIN(SUM($AH154:AN154),43)-35-SUM($AH156:AM156)),0),0)</f>
        <v>0</v>
      </c>
      <c r="AO156" s="76">
        <f t="shared" si="308"/>
        <v>0</v>
      </c>
      <c r="AP156" s="82">
        <f>IF(AP149&lt;&gt;"Dim",IF(AP154&gt;35,(MIN(AP154,43)-35),0),0)</f>
        <v>0</v>
      </c>
      <c r="AQ156" s="82">
        <f>IF(AQ149&lt;&gt;"Dim",IF(SUM($AP154:AQ154)&gt;35,(MIN(SUM($AP154:AQ154),43)-35-SUM($AP156:AP156)),0),0)</f>
        <v>0</v>
      </c>
      <c r="AR156" s="76">
        <f t="shared" si="298"/>
        <v>0</v>
      </c>
      <c r="AS156" s="76">
        <f t="shared" si="310"/>
        <v>0</v>
      </c>
    </row>
    <row r="157" spans="1:52" ht="15" customHeight="1" x14ac:dyDescent="0.25">
      <c r="A157" s="37" t="s">
        <v>39</v>
      </c>
      <c r="B157" s="82">
        <f>IF(B149&lt;&gt;"Dim",IF(B154&gt;43,(MIN(B154,48)-43),0),0)</f>
        <v>0</v>
      </c>
      <c r="C157" s="82">
        <f>IF(C149&lt;&gt;"Dim",IF(SUM($B154:C154)&gt;43,(MIN(SUM($B154:C154),48)-43-SUM($B157:B157)),0),0)</f>
        <v>0</v>
      </c>
      <c r="D157" s="82">
        <f>IF(D149&lt;&gt;"Dim",IF(SUM($B154:D154)&gt;43,(MIN(SUM($B154:D154),48)-43-SUM($B157:C157)),0),0)</f>
        <v>0</v>
      </c>
      <c r="E157" s="82">
        <f>IF(E149&lt;&gt;"Dim",IF(SUM($B154:E154)&gt;43,(MIN(SUM($B154:E154),48)-43-SUM($B157:D157)),0),0)</f>
        <v>0</v>
      </c>
      <c r="F157" s="82">
        <f>IF(F149&lt;&gt;"Dim",IF(SUM($B154:F154)&gt;43,(MIN(SUM($B154:F154),48)-43-SUM($B157:E157)),0),0)</f>
        <v>0</v>
      </c>
      <c r="G157" s="82">
        <f>IF(G149&lt;&gt;"Dim",IF(SUM($B154:G154)&gt;43,(MIN(SUM($B154:G154),48)-43-SUM($B157:F157)),0),0)</f>
        <v>0</v>
      </c>
      <c r="H157" s="82">
        <f>IF(H149&lt;&gt;"Dim",IF(SUM($B154:H154)&gt;43,(MIN(SUM($B154:H154),48)-43-SUM($B157:G157)),0),0)</f>
        <v>0</v>
      </c>
      <c r="I157" s="76">
        <f t="shared" si="300"/>
        <v>0</v>
      </c>
      <c r="J157" s="82">
        <f>IF(J149&lt;&gt;"Dim",IF(J154&gt;43,(MIN(J154,48)-43),0),0)</f>
        <v>0</v>
      </c>
      <c r="K157" s="82">
        <f>IF(K149&lt;&gt;"Dim",IF(SUM($J154:K154)&gt;43,(MIN(SUM($J154:K154),48)-43-SUM($J157:J157)),0),0)</f>
        <v>0</v>
      </c>
      <c r="L157" s="82">
        <f>IF(L149&lt;&gt;"Dim",IF(SUM($J154:L154)&gt;43,(MIN(SUM($J154:L154),48)-43-SUM($J157:K157)),0),0)</f>
        <v>0</v>
      </c>
      <c r="M157" s="82">
        <f>IF(M149&lt;&gt;"Dim",IF(SUM($J154:M154)&gt;43,(MIN(SUM($J154:M154),48)-43-SUM($J157:L157)),0),0)</f>
        <v>0</v>
      </c>
      <c r="N157" s="82">
        <f>IF(N149&lt;&gt;"Dim",IF(SUM($J154:N154)&gt;43,(MIN(SUM($J154:N154),48)-43-SUM($J157:M157)),0),0)</f>
        <v>0</v>
      </c>
      <c r="O157" s="82">
        <f>IF(O149&lt;&gt;"Dim",IF(SUM($J154:O154)&gt;43,(MIN(SUM($J154:O154),48)-43-SUM($J157:N157)),0),0)</f>
        <v>0</v>
      </c>
      <c r="P157" s="82">
        <f>IF(P149&lt;&gt;"Dim",IF(SUM($J154:P154)&gt;43,(MIN(SUM($J154:P154),48)-43-SUM($J157:O157)),0),0)</f>
        <v>0</v>
      </c>
      <c r="Q157" s="76">
        <f t="shared" si="302"/>
        <v>0</v>
      </c>
      <c r="R157" s="82">
        <f>IF(R149&lt;&gt;"Dim",IF(R154&gt;43,(MIN(R154,48)-43),0),0)</f>
        <v>0</v>
      </c>
      <c r="S157" s="82">
        <f>IF(S149&lt;&gt;"Dim",IF(SUM($R154:S154)&gt;43,(MIN(SUM($R154:S154),48)-43-SUM($R157:R157)),0),0)</f>
        <v>0</v>
      </c>
      <c r="T157" s="82">
        <f>IF(T149&lt;&gt;"Dim",IF(SUM($R154:T154)&gt;43,(MIN(SUM($R154:T154),48)-43-SUM($R157:S157)),0),0)</f>
        <v>0</v>
      </c>
      <c r="U157" s="82">
        <f>IF(U149&lt;&gt;"Dim",IF(SUM($R154:U154)&gt;43,(MIN(SUM($R154:U154),48)-43-SUM($R157:T157)),0),0)</f>
        <v>0</v>
      </c>
      <c r="V157" s="82">
        <f>IF(V149&lt;&gt;"Dim",IF(SUM($R154:V154)&gt;43,(MIN(SUM($R154:V154),48)-43-SUM($R157:U157)),0),0)</f>
        <v>0</v>
      </c>
      <c r="W157" s="82">
        <f>IF(W149&lt;&gt;"Dim",IF(SUM($R154:W154)&gt;43,(MIN(SUM($R154:W154),48)-43-SUM($R157:V157)),0),0)</f>
        <v>0</v>
      </c>
      <c r="X157" s="82">
        <f>IF(X149&lt;&gt;"Dim",IF(SUM($R154:X154)&gt;43,(MIN(SUM($R154:X154),48)-43-SUM($R157:W157)),0),0)</f>
        <v>0</v>
      </c>
      <c r="Y157" s="76">
        <f t="shared" si="304"/>
        <v>0</v>
      </c>
      <c r="Z157" s="82">
        <f>IF(Z149&lt;&gt;"Dim",IF(Z154&gt;43,(MIN(Z154,48)-43),0),0)</f>
        <v>0</v>
      </c>
      <c r="AA157" s="82">
        <f>IF(AA149&lt;&gt;"Dim",IF(SUM($Z154:AA154)&gt;43,(MIN(SUM($Z154:AA154),48)-43-SUM($Z157:Z157)),0),0)</f>
        <v>0</v>
      </c>
      <c r="AB157" s="82">
        <f>IF(AB149&lt;&gt;"Dim",IF(SUM($Z154:AB154)&gt;43,(MIN(SUM($Z154:AB154),48)-43-SUM($Z157:AA157)),0),0)</f>
        <v>0</v>
      </c>
      <c r="AC157" s="82">
        <f>IF(AC149&lt;&gt;"Dim",IF(SUM($Z154:AC154)&gt;43,(MIN(SUM($Z154:AC154),48)-43-SUM($Z157:AB157)),0),0)</f>
        <v>0</v>
      </c>
      <c r="AD157" s="82">
        <f>IF(AD149&lt;&gt;"Dim",IF(SUM($Z154:AD154)&gt;43,(MIN(SUM($Z154:AD154),48)-43-SUM($Z157:AC157)),0),0)</f>
        <v>0</v>
      </c>
      <c r="AE157" s="82">
        <f>IF(AE149&lt;&gt;"Dim",IF(SUM($Z154:AE154)&gt;43,(MIN(SUM($Z154:AE154),48)-43-SUM($Z157:AD157)),0),0)</f>
        <v>0</v>
      </c>
      <c r="AF157" s="82">
        <f>IF(AF149&lt;&gt;"Dim",IF(SUM($Z154:AF154)&gt;43,(MIN(SUM($Z154:AF154),48)-43-SUM($Z157:AE157)),0),0)</f>
        <v>0</v>
      </c>
      <c r="AG157" s="76">
        <f t="shared" si="306"/>
        <v>0</v>
      </c>
      <c r="AH157" s="82">
        <f>IF(AH149&lt;&gt;"Dim",IF(AH154&gt;43,(MIN(AH154,48)-43),0),0)</f>
        <v>0</v>
      </c>
      <c r="AI157" s="82">
        <f>IF(AI149&lt;&gt;"Dim",IF(SUM($AH154:AI154)&gt;43,(MIN(SUM($AH154:AI154),48)-43-SUM($AH157:AH157)),0),0)</f>
        <v>0</v>
      </c>
      <c r="AJ157" s="82">
        <f>IF(AJ149&lt;&gt;"Dim",IF(SUM($AH154:AJ154)&gt;43,(MIN(SUM($AH154:AJ154),48)-43-SUM($AH157:AI157)),0),0)</f>
        <v>0</v>
      </c>
      <c r="AK157" s="82">
        <f>IF(AK149&lt;&gt;"Dim",IF(SUM($AH154:AK154)&gt;43,(MIN(SUM($AH154:AK154),48)-43-SUM($AH157:AJ157)),0),0)</f>
        <v>0</v>
      </c>
      <c r="AL157" s="82">
        <f>IF(AL149&lt;&gt;"Dim",IF(SUM($AH154:AL154)&gt;43,(MIN(SUM($AH154:AL154),48)-43-SUM($AH157:AK157)),0),0)</f>
        <v>0</v>
      </c>
      <c r="AM157" s="82">
        <f>IF(AM149&lt;&gt;"Dim",IF(SUM($AH154:AM154)&gt;43,(MIN(SUM($AH154:AM154),48)-43-SUM($AH157:AL157)),0),0)</f>
        <v>0</v>
      </c>
      <c r="AN157" s="82">
        <f>IF(AN149&lt;&gt;"Dim",IF(SUM($AH154:AN154)&gt;43,(MIN(SUM($AH154:AN154),48)-43-SUM($AH157:AM157)),0),0)</f>
        <v>0</v>
      </c>
      <c r="AO157" s="76">
        <f t="shared" si="308"/>
        <v>0</v>
      </c>
      <c r="AP157" s="82">
        <f>IF(AP149&lt;&gt;"Dim",IF(AP154&gt;43,(MIN(AP154,48)-43),0),0)</f>
        <v>0</v>
      </c>
      <c r="AQ157" s="82">
        <f>IF(AQ149&lt;&gt;"Dim",IF(SUM($AP154:AQ154)&gt;43,(MIN(SUM($AP154:AQ154),48)-43-SUM($AP157:AP157)),0),0)</f>
        <v>0</v>
      </c>
      <c r="AR157" s="76">
        <f t="shared" si="298"/>
        <v>0</v>
      </c>
      <c r="AS157" s="76">
        <f t="shared" si="310"/>
        <v>0</v>
      </c>
    </row>
    <row r="158" spans="1:52" ht="15" customHeight="1" x14ac:dyDescent="0.25">
      <c r="A158" s="37" t="s">
        <v>41</v>
      </c>
      <c r="B158" s="82">
        <f>IF(B149="Dim",B154,IF(B164="ferie",B154,0))</f>
        <v>0</v>
      </c>
      <c r="C158" s="82">
        <f t="shared" ref="C158:H158" si="311">IF(C149="Dim",C154,IF(C164="ferie",C154,0))</f>
        <v>0</v>
      </c>
      <c r="D158" s="82">
        <f t="shared" si="311"/>
        <v>0</v>
      </c>
      <c r="E158" s="82">
        <f t="shared" si="311"/>
        <v>0</v>
      </c>
      <c r="F158" s="82">
        <f t="shared" si="311"/>
        <v>0</v>
      </c>
      <c r="G158" s="82">
        <f t="shared" si="311"/>
        <v>0</v>
      </c>
      <c r="H158" s="82">
        <f t="shared" si="311"/>
        <v>0</v>
      </c>
      <c r="I158" s="76">
        <f t="shared" si="300"/>
        <v>0</v>
      </c>
      <c r="J158" s="82">
        <f>IF(J149="Dim",J154,IF(J164="ferie",J154,0))</f>
        <v>0</v>
      </c>
      <c r="K158" s="82">
        <f t="shared" ref="K158:P158" si="312">IF(K149="Dim",K154,IF(K164="ferie",K154,0))</f>
        <v>0</v>
      </c>
      <c r="L158" s="82">
        <f t="shared" si="312"/>
        <v>0</v>
      </c>
      <c r="M158" s="82">
        <f t="shared" si="312"/>
        <v>0</v>
      </c>
      <c r="N158" s="82">
        <f t="shared" si="312"/>
        <v>0</v>
      </c>
      <c r="O158" s="82">
        <f>IF(O149="Dim",O154,IF(O164="ferie",O154,0))</f>
        <v>0</v>
      </c>
      <c r="P158" s="82">
        <f t="shared" si="312"/>
        <v>0</v>
      </c>
      <c r="Q158" s="76">
        <f t="shared" si="302"/>
        <v>0</v>
      </c>
      <c r="R158" s="82">
        <f>IF(R149="Dim",R154,IF(R164="ferie",R154,0))</f>
        <v>0</v>
      </c>
      <c r="S158" s="82">
        <f t="shared" ref="S158:X158" si="313">IF(S149="Dim",S154,IF(S164="ferie",S154,0))</f>
        <v>0</v>
      </c>
      <c r="T158" s="82">
        <f t="shared" si="313"/>
        <v>0</v>
      </c>
      <c r="U158" s="82">
        <f t="shared" si="313"/>
        <v>0</v>
      </c>
      <c r="V158" s="82">
        <f t="shared" si="313"/>
        <v>0</v>
      </c>
      <c r="W158" s="82">
        <f t="shared" si="313"/>
        <v>0</v>
      </c>
      <c r="X158" s="82">
        <f t="shared" si="313"/>
        <v>0</v>
      </c>
      <c r="Y158" s="76">
        <f t="shared" si="304"/>
        <v>0</v>
      </c>
      <c r="Z158" s="82">
        <f>IF(Z149="Dim",Z154,IF(Z164="ferie",Z154,0))</f>
        <v>0</v>
      </c>
      <c r="AA158" s="82">
        <f t="shared" ref="AA158:AF158" si="314">IF(AA149="Dim",AA154,IF(AA164="ferie",AA154,0))</f>
        <v>0</v>
      </c>
      <c r="AB158" s="82">
        <f t="shared" si="314"/>
        <v>0</v>
      </c>
      <c r="AC158" s="82">
        <f t="shared" si="314"/>
        <v>0</v>
      </c>
      <c r="AD158" s="82">
        <f t="shared" si="314"/>
        <v>0</v>
      </c>
      <c r="AE158" s="82">
        <f t="shared" si="314"/>
        <v>0</v>
      </c>
      <c r="AF158" s="82">
        <f t="shared" si="314"/>
        <v>0</v>
      </c>
      <c r="AG158" s="76">
        <f t="shared" si="306"/>
        <v>0</v>
      </c>
      <c r="AH158" s="82">
        <f>IF(AH149="Dim",AH154,IF(AH164="ferie",AH154,0))</f>
        <v>0</v>
      </c>
      <c r="AI158" s="82">
        <f t="shared" ref="AI158:AQ158" si="315">IF(AI149="Dim",AI154,IF(AI164="ferie",AI154,0))</f>
        <v>0</v>
      </c>
      <c r="AJ158" s="82">
        <f t="shared" si="315"/>
        <v>0</v>
      </c>
      <c r="AK158" s="82">
        <f t="shared" si="315"/>
        <v>0</v>
      </c>
      <c r="AL158" s="82">
        <f t="shared" si="315"/>
        <v>0</v>
      </c>
      <c r="AM158" s="82">
        <f t="shared" si="315"/>
        <v>0</v>
      </c>
      <c r="AN158" s="82">
        <f t="shared" si="315"/>
        <v>0</v>
      </c>
      <c r="AO158" s="76">
        <f>SUM(AH158:AN158)</f>
        <v>0</v>
      </c>
      <c r="AP158" s="82">
        <f>IF(AP149="Dim",AP154,IF(AP164="ferie",AP154,0))</f>
        <v>0</v>
      </c>
      <c r="AQ158" s="82">
        <f t="shared" si="315"/>
        <v>0</v>
      </c>
      <c r="AR158" s="76">
        <f t="shared" si="298"/>
        <v>0</v>
      </c>
      <c r="AS158" s="76">
        <f t="shared" si="310"/>
        <v>0</v>
      </c>
    </row>
    <row r="159" spans="1:52" ht="15" customHeight="1" x14ac:dyDescent="0.25">
      <c r="A159" s="37" t="s">
        <v>59</v>
      </c>
      <c r="B159" s="47"/>
      <c r="C159" s="47"/>
      <c r="D159" s="47"/>
      <c r="E159" s="47"/>
      <c r="F159" s="47"/>
      <c r="G159" s="47"/>
      <c r="H159" s="47"/>
      <c r="I159" s="76">
        <f t="shared" si="300"/>
        <v>0</v>
      </c>
      <c r="J159" s="47"/>
      <c r="K159" s="47"/>
      <c r="L159" s="47"/>
      <c r="M159" s="47"/>
      <c r="N159" s="47"/>
      <c r="O159" s="47"/>
      <c r="P159" s="47"/>
      <c r="Q159" s="76">
        <f t="shared" si="302"/>
        <v>0</v>
      </c>
      <c r="R159" s="47"/>
      <c r="S159" s="47"/>
      <c r="T159" s="47"/>
      <c r="U159" s="47"/>
      <c r="V159" s="47"/>
      <c r="W159" s="47"/>
      <c r="X159" s="47"/>
      <c r="Y159" s="76">
        <f t="shared" si="304"/>
        <v>0</v>
      </c>
      <c r="Z159" s="47"/>
      <c r="AA159" s="47"/>
      <c r="AB159" s="47"/>
      <c r="AC159" s="47"/>
      <c r="AD159" s="47"/>
      <c r="AE159" s="47"/>
      <c r="AF159" s="47"/>
      <c r="AG159" s="76">
        <f t="shared" si="306"/>
        <v>0</v>
      </c>
      <c r="AH159" s="47"/>
      <c r="AI159" s="47"/>
      <c r="AJ159" s="47"/>
      <c r="AK159" s="47"/>
      <c r="AL159" s="47"/>
      <c r="AM159" s="47"/>
      <c r="AN159" s="47"/>
      <c r="AO159" s="76">
        <f t="shared" si="308"/>
        <v>0</v>
      </c>
      <c r="AP159" s="47"/>
      <c r="AQ159" s="47"/>
      <c r="AR159" s="76">
        <f t="shared" si="298"/>
        <v>0</v>
      </c>
      <c r="AS159" s="76">
        <f t="shared" si="310"/>
        <v>0</v>
      </c>
    </row>
    <row r="160" spans="1:52" ht="15" customHeight="1" x14ac:dyDescent="0.25">
      <c r="A160" s="52" t="s">
        <v>60</v>
      </c>
      <c r="B160" s="47"/>
      <c r="C160" s="47"/>
      <c r="D160" s="47"/>
      <c r="E160" s="47"/>
      <c r="F160" s="47"/>
      <c r="G160" s="47"/>
      <c r="H160" s="47"/>
      <c r="I160" s="76">
        <f t="shared" si="300"/>
        <v>0</v>
      </c>
      <c r="J160" s="47"/>
      <c r="K160" s="47"/>
      <c r="L160" s="47"/>
      <c r="M160" s="47"/>
      <c r="N160" s="47"/>
      <c r="O160" s="47"/>
      <c r="P160" s="47"/>
      <c r="Q160" s="76">
        <f t="shared" si="302"/>
        <v>0</v>
      </c>
      <c r="R160" s="47"/>
      <c r="S160" s="47"/>
      <c r="T160" s="47"/>
      <c r="U160" s="47"/>
      <c r="V160" s="47"/>
      <c r="W160" s="47"/>
      <c r="X160" s="47"/>
      <c r="Y160" s="76">
        <f t="shared" si="304"/>
        <v>0</v>
      </c>
      <c r="Z160" s="47"/>
      <c r="AA160" s="47"/>
      <c r="AB160" s="47"/>
      <c r="AC160" s="47"/>
      <c r="AD160" s="47"/>
      <c r="AE160" s="47"/>
      <c r="AF160" s="47"/>
      <c r="AG160" s="76">
        <f t="shared" si="306"/>
        <v>0</v>
      </c>
      <c r="AH160" s="47"/>
      <c r="AI160" s="47"/>
      <c r="AJ160" s="47"/>
      <c r="AK160" s="47"/>
      <c r="AL160" s="47"/>
      <c r="AM160" s="47"/>
      <c r="AN160" s="47"/>
      <c r="AO160" s="76">
        <f t="shared" si="308"/>
        <v>0</v>
      </c>
      <c r="AP160" s="47"/>
      <c r="AQ160" s="47"/>
      <c r="AR160" s="76">
        <f t="shared" ref="AR160:AR162" si="316">SUM(AP160:AQ160)</f>
        <v>0</v>
      </c>
      <c r="AS160" s="76">
        <f t="shared" si="310"/>
        <v>0</v>
      </c>
    </row>
    <row r="161" spans="1:52" ht="15" customHeight="1" x14ac:dyDescent="0.25">
      <c r="A161" s="37" t="s">
        <v>62</v>
      </c>
      <c r="B161" s="47"/>
      <c r="C161" s="47"/>
      <c r="D161" s="47"/>
      <c r="E161" s="47"/>
      <c r="F161" s="47"/>
      <c r="G161" s="47"/>
      <c r="H161" s="47"/>
      <c r="I161" s="76">
        <f t="shared" si="300"/>
        <v>0</v>
      </c>
      <c r="J161" s="47"/>
      <c r="K161" s="47"/>
      <c r="L161" s="47"/>
      <c r="M161" s="47"/>
      <c r="N161" s="47"/>
      <c r="O161" s="47"/>
      <c r="P161" s="47"/>
      <c r="Q161" s="76">
        <f t="shared" si="302"/>
        <v>0</v>
      </c>
      <c r="R161" s="47"/>
      <c r="S161" s="47"/>
      <c r="T161" s="47"/>
      <c r="U161" s="47"/>
      <c r="V161" s="47"/>
      <c r="W161" s="47"/>
      <c r="X161" s="47"/>
      <c r="Y161" s="76">
        <f t="shared" si="304"/>
        <v>0</v>
      </c>
      <c r="Z161" s="47"/>
      <c r="AA161" s="47"/>
      <c r="AB161" s="47"/>
      <c r="AC161" s="47"/>
      <c r="AD161" s="47"/>
      <c r="AE161" s="47"/>
      <c r="AF161" s="47"/>
      <c r="AG161" s="76">
        <f t="shared" si="306"/>
        <v>0</v>
      </c>
      <c r="AH161" s="47"/>
      <c r="AI161" s="47"/>
      <c r="AJ161" s="47"/>
      <c r="AK161" s="47"/>
      <c r="AL161" s="47"/>
      <c r="AM161" s="47"/>
      <c r="AN161" s="47"/>
      <c r="AO161" s="76">
        <f t="shared" si="308"/>
        <v>0</v>
      </c>
      <c r="AP161" s="47"/>
      <c r="AQ161" s="47"/>
      <c r="AR161" s="76">
        <f t="shared" si="316"/>
        <v>0</v>
      </c>
      <c r="AS161" s="76">
        <f t="shared" si="310"/>
        <v>0</v>
      </c>
    </row>
    <row r="162" spans="1:52" ht="15" customHeight="1" x14ac:dyDescent="0.25">
      <c r="A162" s="52" t="s">
        <v>61</v>
      </c>
      <c r="B162" s="47"/>
      <c r="C162" s="47"/>
      <c r="D162" s="47"/>
      <c r="E162" s="47"/>
      <c r="F162" s="47"/>
      <c r="G162" s="47"/>
      <c r="H162" s="47"/>
      <c r="I162" s="76">
        <f t="shared" si="300"/>
        <v>0</v>
      </c>
      <c r="J162" s="47"/>
      <c r="K162" s="47"/>
      <c r="L162" s="47"/>
      <c r="M162" s="47"/>
      <c r="N162" s="47"/>
      <c r="O162" s="47"/>
      <c r="P162" s="47"/>
      <c r="Q162" s="76">
        <f t="shared" si="302"/>
        <v>0</v>
      </c>
      <c r="R162" s="47"/>
      <c r="S162" s="47"/>
      <c r="T162" s="47"/>
      <c r="U162" s="47"/>
      <c r="V162" s="47"/>
      <c r="W162" s="47"/>
      <c r="X162" s="47"/>
      <c r="Y162" s="76">
        <f t="shared" si="304"/>
        <v>0</v>
      </c>
      <c r="Z162" s="47"/>
      <c r="AA162" s="47"/>
      <c r="AB162" s="47"/>
      <c r="AC162" s="47"/>
      <c r="AD162" s="47"/>
      <c r="AE162" s="47"/>
      <c r="AF162" s="47"/>
      <c r="AG162" s="76">
        <f t="shared" si="306"/>
        <v>0</v>
      </c>
      <c r="AH162" s="47"/>
      <c r="AI162" s="47"/>
      <c r="AJ162" s="47"/>
      <c r="AK162" s="47"/>
      <c r="AL162" s="47"/>
      <c r="AM162" s="47"/>
      <c r="AN162" s="47"/>
      <c r="AO162" s="76">
        <f t="shared" si="308"/>
        <v>0</v>
      </c>
      <c r="AP162" s="47"/>
      <c r="AQ162" s="47"/>
      <c r="AR162" s="76">
        <f t="shared" si="316"/>
        <v>0</v>
      </c>
      <c r="AS162" s="76">
        <f t="shared" si="310"/>
        <v>0</v>
      </c>
    </row>
    <row r="163" spans="1:52" s="49" customFormat="1" ht="15" customHeight="1" x14ac:dyDescent="0.25">
      <c r="A163" s="52" t="s">
        <v>95</v>
      </c>
      <c r="B163" s="76">
        <f>IF(B151="nuit",B154*0.02,0)</f>
        <v>0</v>
      </c>
      <c r="C163" s="76">
        <f>IF(C151="nuit",C154*0.02,0)</f>
        <v>0</v>
      </c>
      <c r="D163" s="76">
        <f t="shared" ref="D163:H163" si="317">IF(D151="nuit",D154*0.02,0)</f>
        <v>0</v>
      </c>
      <c r="E163" s="76">
        <f t="shared" si="317"/>
        <v>0</v>
      </c>
      <c r="F163" s="76">
        <f>IF(F151="nuit",F154*0.02,0)</f>
        <v>0</v>
      </c>
      <c r="G163" s="76">
        <f t="shared" si="317"/>
        <v>0</v>
      </c>
      <c r="H163" s="76">
        <f t="shared" si="317"/>
        <v>0</v>
      </c>
      <c r="I163" s="76">
        <f t="shared" si="300"/>
        <v>0</v>
      </c>
      <c r="J163" s="76">
        <f>IF(J151="nuit",J154*0.02,0)</f>
        <v>0</v>
      </c>
      <c r="K163" s="76">
        <f>IF(K151="nuit",K154*0.02,0)</f>
        <v>0</v>
      </c>
      <c r="L163" s="76">
        <f t="shared" ref="L163:P163" si="318">IF(L151="nuit",L154*0.02,0)</f>
        <v>0</v>
      </c>
      <c r="M163" s="76">
        <f t="shared" si="318"/>
        <v>0</v>
      </c>
      <c r="N163" s="76">
        <f>IF(N151="nuit",N154*0.02,0)</f>
        <v>0</v>
      </c>
      <c r="O163" s="76">
        <f t="shared" si="318"/>
        <v>0</v>
      </c>
      <c r="P163" s="76">
        <f t="shared" si="318"/>
        <v>0</v>
      </c>
      <c r="Q163" s="76">
        <f t="shared" si="302"/>
        <v>0</v>
      </c>
      <c r="R163" s="76">
        <f>IF(R151="nuit",R154*0.02,0)</f>
        <v>0</v>
      </c>
      <c r="S163" s="76">
        <f>IF(S151="nuit",S154*0.02,0)</f>
        <v>0</v>
      </c>
      <c r="T163" s="76">
        <f t="shared" ref="T163:X163" si="319">IF(T151="nuit",T154*0.02,0)</f>
        <v>0</v>
      </c>
      <c r="U163" s="76">
        <f t="shared" si="319"/>
        <v>0</v>
      </c>
      <c r="V163" s="76">
        <f>IF(V151="nuit",V154*0.02,0)</f>
        <v>0</v>
      </c>
      <c r="W163" s="76">
        <f t="shared" si="319"/>
        <v>0</v>
      </c>
      <c r="X163" s="76">
        <f t="shared" si="319"/>
        <v>0</v>
      </c>
      <c r="Y163" s="76">
        <f t="shared" si="304"/>
        <v>0</v>
      </c>
      <c r="Z163" s="76">
        <f>IF(Z151="nuit",Z154*0.02,0)</f>
        <v>0</v>
      </c>
      <c r="AA163" s="76">
        <f>IF(AA151="nuit",AA154*0.02,0)</f>
        <v>0</v>
      </c>
      <c r="AB163" s="76">
        <f t="shared" ref="AB163:AF163" si="320">IF(AB151="nuit",AB154*0.02,0)</f>
        <v>0</v>
      </c>
      <c r="AC163" s="76">
        <f t="shared" si="320"/>
        <v>0</v>
      </c>
      <c r="AD163" s="76">
        <f>IF(AD151="nuit",AD154*0.02,0)</f>
        <v>0</v>
      </c>
      <c r="AE163" s="76">
        <f t="shared" si="320"/>
        <v>0</v>
      </c>
      <c r="AF163" s="76">
        <f t="shared" si="320"/>
        <v>0</v>
      </c>
      <c r="AG163" s="76">
        <f t="shared" si="306"/>
        <v>0</v>
      </c>
      <c r="AH163" s="76">
        <f>IF(AH151="nuit",AH154*0.02,0)</f>
        <v>0</v>
      </c>
      <c r="AI163" s="76">
        <f>IF(AI151="nuit",AI154*0.02,0)</f>
        <v>0</v>
      </c>
      <c r="AJ163" s="76">
        <f t="shared" ref="AJ163:AN163" si="321">IF(AJ151="nuit",AJ154*0.02,0)</f>
        <v>0</v>
      </c>
      <c r="AK163" s="76">
        <f t="shared" si="321"/>
        <v>0</v>
      </c>
      <c r="AL163" s="76">
        <f>IF(AL151="nuit",AL154*0.02,0)</f>
        <v>0</v>
      </c>
      <c r="AM163" s="76">
        <f t="shared" si="321"/>
        <v>0</v>
      </c>
      <c r="AN163" s="76">
        <f t="shared" si="321"/>
        <v>0</v>
      </c>
      <c r="AO163" s="76">
        <f t="shared" si="308"/>
        <v>0</v>
      </c>
      <c r="AP163" s="76">
        <f>IF(AP151="nuit",AP154*0.02,0)</f>
        <v>0</v>
      </c>
      <c r="AQ163" s="76">
        <f>IF(AQ151="nuit",AQ154*0.02,0)</f>
        <v>0</v>
      </c>
      <c r="AR163" s="76">
        <f>SUM(AP163:AQ163)</f>
        <v>0</v>
      </c>
      <c r="AS163" s="76">
        <f>I163+Q163+Y163+AG163+AO163+AR163</f>
        <v>0</v>
      </c>
      <c r="AT163" s="68"/>
      <c r="AU163" s="68"/>
      <c r="AV163" s="68"/>
      <c r="AW163" s="68"/>
      <c r="AX163" s="68"/>
      <c r="AY163" s="68"/>
      <c r="AZ163" s="51"/>
    </row>
    <row r="164" spans="1:52" ht="15" customHeight="1" x14ac:dyDescent="0.25">
      <c r="A164" s="37" t="s">
        <v>82</v>
      </c>
      <c r="B164" s="47"/>
      <c r="C164" s="47"/>
      <c r="D164" s="47"/>
      <c r="E164" s="47"/>
      <c r="F164" s="47"/>
      <c r="G164" s="53"/>
      <c r="H164" s="53"/>
      <c r="I164" s="80"/>
      <c r="J164" s="53"/>
      <c r="K164" s="53"/>
      <c r="L164" s="53"/>
      <c r="M164" s="53"/>
      <c r="N164" s="53"/>
      <c r="O164" s="53"/>
      <c r="P164" s="53"/>
      <c r="Q164" s="80"/>
      <c r="R164" s="53"/>
      <c r="S164" s="53"/>
      <c r="T164" s="53"/>
      <c r="U164" s="53"/>
      <c r="V164" s="53"/>
      <c r="W164" s="53"/>
      <c r="X164" s="53"/>
      <c r="Y164" s="80"/>
      <c r="Z164" s="53"/>
      <c r="AA164" s="53"/>
      <c r="AB164" s="53"/>
      <c r="AC164" s="53"/>
      <c r="AD164" s="53"/>
      <c r="AE164" s="53"/>
      <c r="AF164" s="53"/>
      <c r="AG164" s="80"/>
      <c r="AH164" s="53"/>
      <c r="AI164" s="53"/>
      <c r="AJ164" s="53"/>
      <c r="AK164" s="53"/>
      <c r="AL164" s="53"/>
      <c r="AM164" s="53"/>
      <c r="AN164" s="53"/>
      <c r="AO164" s="80"/>
      <c r="AP164" s="53"/>
      <c r="AQ164" s="53"/>
      <c r="AR164" s="80"/>
      <c r="AS164" s="81"/>
    </row>
    <row r="165" spans="1:52" ht="15" customHeight="1" x14ac:dyDescent="0.25">
      <c r="A165" s="54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  <c r="AQ165" s="55"/>
      <c r="AR165" s="55"/>
      <c r="AS165" s="85"/>
    </row>
    <row r="166" spans="1:52" ht="27.6" x14ac:dyDescent="0.25">
      <c r="A166" s="37"/>
      <c r="B166" s="40" t="s">
        <v>79</v>
      </c>
      <c r="C166" s="40"/>
      <c r="D166" s="40"/>
      <c r="E166" s="40"/>
      <c r="F166" s="40"/>
      <c r="G166" s="96">
        <f>Année_Calendaire</f>
        <v>2016</v>
      </c>
      <c r="H166" s="96"/>
      <c r="I166" s="65"/>
      <c r="J166" s="47"/>
      <c r="K166" s="47"/>
      <c r="L166" s="47"/>
      <c r="M166" s="47"/>
      <c r="N166" s="47"/>
      <c r="O166" s="47"/>
      <c r="P166" s="47"/>
      <c r="Q166" s="65"/>
      <c r="R166" s="40" t="s">
        <v>79</v>
      </c>
      <c r="S166" s="40"/>
      <c r="T166" s="40"/>
      <c r="U166" s="40"/>
      <c r="V166" s="40"/>
      <c r="W166" s="96">
        <f>Année_Calendaire</f>
        <v>2016</v>
      </c>
      <c r="X166" s="96"/>
      <c r="Y166" s="65"/>
      <c r="Z166" s="47"/>
      <c r="AA166" s="47"/>
      <c r="AB166" s="47"/>
      <c r="AC166" s="47"/>
      <c r="AD166" s="47"/>
      <c r="AE166" s="47"/>
      <c r="AF166" s="47"/>
      <c r="AG166" s="65"/>
      <c r="AH166" s="40" t="s">
        <v>79</v>
      </c>
      <c r="AI166" s="40"/>
      <c r="AJ166" s="40"/>
      <c r="AK166" s="40"/>
      <c r="AL166" s="40"/>
      <c r="AM166" s="96">
        <f>Année_Calendaire</f>
        <v>2016</v>
      </c>
      <c r="AN166" s="96"/>
      <c r="AO166" s="65"/>
      <c r="AP166" s="47"/>
      <c r="AQ166" s="47"/>
      <c r="AR166" s="65"/>
    </row>
    <row r="167" spans="1:52" ht="29.25" customHeight="1" x14ac:dyDescent="0.25">
      <c r="A167" s="47"/>
      <c r="B167" s="78" t="s">
        <v>64</v>
      </c>
      <c r="C167" s="78" t="s">
        <v>65</v>
      </c>
      <c r="D167" s="78" t="s">
        <v>66</v>
      </c>
      <c r="E167" s="78" t="s">
        <v>67</v>
      </c>
      <c r="F167" s="78" t="s">
        <v>68</v>
      </c>
      <c r="G167" s="78" t="s">
        <v>69</v>
      </c>
      <c r="H167" s="78" t="s">
        <v>70</v>
      </c>
      <c r="I167" s="97" t="s">
        <v>83</v>
      </c>
      <c r="J167" s="78" t="s">
        <v>64</v>
      </c>
      <c r="K167" s="78" t="s">
        <v>65</v>
      </c>
      <c r="L167" s="78" t="s">
        <v>66</v>
      </c>
      <c r="M167" s="78" t="s">
        <v>67</v>
      </c>
      <c r="N167" s="78" t="s">
        <v>68</v>
      </c>
      <c r="O167" s="78" t="s">
        <v>69</v>
      </c>
      <c r="P167" s="78" t="s">
        <v>70</v>
      </c>
      <c r="Q167" s="97" t="s">
        <v>83</v>
      </c>
      <c r="R167" s="78" t="s">
        <v>64</v>
      </c>
      <c r="S167" s="78" t="s">
        <v>65</v>
      </c>
      <c r="T167" s="78" t="s">
        <v>66</v>
      </c>
      <c r="U167" s="78" t="s">
        <v>67</v>
      </c>
      <c r="V167" s="78" t="s">
        <v>68</v>
      </c>
      <c r="W167" s="78" t="s">
        <v>69</v>
      </c>
      <c r="X167" s="78" t="s">
        <v>70</v>
      </c>
      <c r="Y167" s="97" t="s">
        <v>83</v>
      </c>
      <c r="Z167" s="78" t="s">
        <v>64</v>
      </c>
      <c r="AA167" s="78" t="s">
        <v>65</v>
      </c>
      <c r="AB167" s="78" t="s">
        <v>66</v>
      </c>
      <c r="AC167" s="78" t="s">
        <v>67</v>
      </c>
      <c r="AD167" s="78" t="s">
        <v>68</v>
      </c>
      <c r="AE167" s="78" t="s">
        <v>69</v>
      </c>
      <c r="AF167" s="78" t="s">
        <v>70</v>
      </c>
      <c r="AG167" s="97" t="s">
        <v>83</v>
      </c>
      <c r="AH167" s="78" t="s">
        <v>64</v>
      </c>
      <c r="AI167" s="78" t="s">
        <v>65</v>
      </c>
      <c r="AJ167" s="78" t="s">
        <v>66</v>
      </c>
      <c r="AK167" s="78" t="s">
        <v>67</v>
      </c>
      <c r="AL167" s="78" t="s">
        <v>68</v>
      </c>
      <c r="AM167" s="78" t="s">
        <v>69</v>
      </c>
      <c r="AN167" s="78" t="s">
        <v>70</v>
      </c>
      <c r="AO167" s="97" t="s">
        <v>83</v>
      </c>
      <c r="AP167" s="78" t="s">
        <v>64</v>
      </c>
      <c r="AQ167" s="78" t="s">
        <v>65</v>
      </c>
      <c r="AR167" s="97" t="s">
        <v>83</v>
      </c>
      <c r="AS167" s="97" t="s">
        <v>86</v>
      </c>
      <c r="AT167" s="98">
        <f>AS174+AS175+AS176</f>
        <v>0</v>
      </c>
      <c r="AU167" s="98">
        <f>AT167+AU149</f>
        <v>85</v>
      </c>
    </row>
    <row r="168" spans="1:52" ht="15" customHeight="1" x14ac:dyDescent="0.25">
      <c r="A168" s="61"/>
      <c r="B168" s="83" t="str">
        <f>IF(DAY(Oct_Dim1)=1,"",IF(AND(YEAR(Oct_Dim1+1)=Année_Calendaire,MONTH(Oct_Dim1+1)=10),Oct_Dim1+1,""))</f>
        <v/>
      </c>
      <c r="C168" s="83" t="str">
        <f>IF(DAY(Oct_Dim1)=1,"",IF(AND(YEAR(Oct_Dim1+2)=Année_Calendaire,MONTH(Oct_Dim1+2)=10),Oct_Dim1+2,""))</f>
        <v/>
      </c>
      <c r="D168" s="83" t="str">
        <f>IF(DAY(Oct_Dim1)=1,"",IF(AND(YEAR(Oct_Dim1+3)=Année_Calendaire,MONTH(Oct_Dim1+3)=10),Oct_Dim1+3,""))</f>
        <v/>
      </c>
      <c r="E168" s="83" t="str">
        <f>IF(DAY(Oct_Dim1)=1,"",IF(AND(YEAR(Oct_Dim1+4)=Année_Calendaire,MONTH(Oct_Dim1+4)=10),Oct_Dim1+4,""))</f>
        <v/>
      </c>
      <c r="F168" s="83" t="str">
        <f>IF(DAY(Oct_Dim1)=1,"",IF(AND(YEAR(Oct_Dim1+5)=Année_Calendaire,MONTH(Oct_Dim1+5)=10),Oct_Dim1+5,""))</f>
        <v/>
      </c>
      <c r="G168" s="83">
        <f>IF(DAY(Oct_Dim1)=1,"",IF(AND(YEAR(Oct_Dim1+6)=Année_Calendaire,MONTH(Oct_Dim1+6)=10),Oct_Dim1+6,""))</f>
        <v>42644</v>
      </c>
      <c r="H168" s="83">
        <f>IF(DAY(Oct_Dim1)=1,IF(AND(YEAR(Oct_Dim1)=Année_Calendaire,MONTH(Oct_Dim1)=10),Oct_Dim1,""),IF(AND(YEAR(Oct_Dim1+7)=Année_Calendaire,MONTH(Oct_Dim1+7)=10),Oct_Dim1+7,""))</f>
        <v>42645</v>
      </c>
      <c r="I168" s="97"/>
      <c r="J168" s="83">
        <f>IF(DAY(Oct_Dim1)=1,IF(AND(YEAR(Oct_Dim1+1)=Année_Calendaire,MONTH(Oct_Dim1+1)=10),Oct_Dim1+1,""),IF(AND(YEAR(Oct_Dim1+8)=Année_Calendaire,MONTH(Oct_Dim1+8)=10),Oct_Dim1+8,""))</f>
        <v>42646</v>
      </c>
      <c r="K168" s="83">
        <f>IF(DAY(Oct_Dim1)=1,IF(AND(YEAR(Oct_Dim1+2)=Année_Calendaire,MONTH(Oct_Dim1+2)=10),Oct_Dim1+2,""),IF(AND(YEAR(Oct_Dim1+9)=Année_Calendaire,MONTH(Oct_Dim1+9)=10),Oct_Dim1+9,""))</f>
        <v>42647</v>
      </c>
      <c r="L168" s="83">
        <f>IF(DAY(Oct_Dim1)=1,IF(AND(YEAR(Oct_Dim1+3)=Année_Calendaire,MONTH(Oct_Dim1+3)=10),Oct_Dim1+3,""),IF(AND(YEAR(Oct_Dim1+10)=Année_Calendaire,MONTH(Oct_Dim1+10)=10),Oct_Dim1+10,""))</f>
        <v>42648</v>
      </c>
      <c r="M168" s="83">
        <f>IF(DAY(Oct_Dim1)=1,IF(AND(YEAR(Oct_Dim1+4)=Année_Calendaire,MONTH(Oct_Dim1+4)=10),Oct_Dim1+4,""),IF(AND(YEAR(Oct_Dim1+11)=Année_Calendaire,MONTH(Oct_Dim1+11)=10),Oct_Dim1+11,""))</f>
        <v>42649</v>
      </c>
      <c r="N168" s="83">
        <f>IF(DAY(Oct_Dim1)=1,IF(AND(YEAR(Oct_Dim1+5)=Année_Calendaire,MONTH(Oct_Dim1+5)=10),Oct_Dim1+5,""),IF(AND(YEAR(Oct_Dim1+12)=Année_Calendaire,MONTH(Oct_Dim1+12)=10),Oct_Dim1+12,""))</f>
        <v>42650</v>
      </c>
      <c r="O168" s="83">
        <f>IF(DAY(Oct_Dim1)=1,IF(AND(YEAR(Oct_Dim1+6)=Année_Calendaire,MONTH(Oct_Dim1+6)=10),Oct_Dim1+6,""),IF(AND(YEAR(Oct_Dim1+13)=Année_Calendaire,MONTH(Oct_Dim1+13)=10),Oct_Dim1+13,""))</f>
        <v>42651</v>
      </c>
      <c r="P168" s="83">
        <f>IF(DAY(Oct_Dim1)=1,IF(AND(YEAR(Oct_Dim1+7)=Année_Calendaire,MONTH(Oct_Dim1+7)=10),Oct_Dim1+7,""),IF(AND(YEAR(Oct_Dim1+14)=Année_Calendaire,MONTH(Oct_Dim1+14)=10),Oct_Dim1+14,""))</f>
        <v>42652</v>
      </c>
      <c r="Q168" s="97"/>
      <c r="R168" s="83">
        <f>IF(DAY(Oct_Dim1)=1,IF(AND(YEAR(Oct_Dim1+8)=Année_Calendaire,MONTH(Oct_Dim1+8)=10),Oct_Dim1+8,""),IF(AND(YEAR(Oct_Dim1+15)=Année_Calendaire,MONTH(Oct_Dim1+15)=10),Oct_Dim1+15,""))</f>
        <v>42653</v>
      </c>
      <c r="S168" s="83">
        <f>IF(DAY(Oct_Dim1)=1,IF(AND(YEAR(Oct_Dim1+9)=Année_Calendaire,MONTH(Oct_Dim1+9)=10),Oct_Dim1+9,""),IF(AND(YEAR(Oct_Dim1+16)=Année_Calendaire,MONTH(Oct_Dim1+16)=10),Oct_Dim1+16,""))</f>
        <v>42654</v>
      </c>
      <c r="T168" s="83">
        <f>IF(DAY(Oct_Dim1)=1,IF(AND(YEAR(Oct_Dim1+10)=Année_Calendaire,MONTH(Oct_Dim1+10)=10),Oct_Dim1+10,""),IF(AND(YEAR(Oct_Dim1+17)=Année_Calendaire,MONTH(Oct_Dim1+17)=10),Oct_Dim1+17,""))</f>
        <v>42655</v>
      </c>
      <c r="U168" s="83">
        <f>IF(DAY(Oct_Dim1)=1,IF(AND(YEAR(Oct_Dim1+11)=Année_Calendaire,MONTH(Oct_Dim1+11)=10),Oct_Dim1+11,""),IF(AND(YEAR(Oct_Dim1+18)=Année_Calendaire,MONTH(Oct_Dim1+18)=10),Oct_Dim1+18,""))</f>
        <v>42656</v>
      </c>
      <c r="V168" s="83">
        <f>IF(DAY(Oct_Dim1)=1,IF(AND(YEAR(Oct_Dim1+12)=Année_Calendaire,MONTH(Oct_Dim1+12)=10),Oct_Dim1+12,""),IF(AND(YEAR(Oct_Dim1+19)=Année_Calendaire,MONTH(Oct_Dim1+19)=10),Oct_Dim1+19,""))</f>
        <v>42657</v>
      </c>
      <c r="W168" s="83">
        <f>IF(DAY(Oct_Dim1)=1,IF(AND(YEAR(Oct_Dim1+13)=Année_Calendaire,MONTH(Oct_Dim1+13)=10),Oct_Dim1+13,""),IF(AND(YEAR(Oct_Dim1+20)=Année_Calendaire,MONTH(Oct_Dim1+20)=10),Oct_Dim1+20,""))</f>
        <v>42658</v>
      </c>
      <c r="X168" s="83">
        <f>IF(DAY(Oct_Dim1)=1,IF(AND(YEAR(Oct_Dim1+14)=Année_Calendaire,MONTH(Oct_Dim1+14)=10),Oct_Dim1+14,""),IF(AND(YEAR(Oct_Dim1+21)=Année_Calendaire,MONTH(Oct_Dim1+21)=10),Oct_Dim1+21,""))</f>
        <v>42659</v>
      </c>
      <c r="Y168" s="97"/>
      <c r="Z168" s="83">
        <f>IF(DAY(Oct_Dim1)=1,IF(AND(YEAR(Oct_Dim1+15)=Année_Calendaire,MONTH(Oct_Dim1+15)=10),Oct_Dim1+15,""),IF(AND(YEAR(Oct_Dim1+22)=Année_Calendaire,MONTH(Oct_Dim1+22)=10),Oct_Dim1+22,""))</f>
        <v>42660</v>
      </c>
      <c r="AA168" s="83">
        <f>IF(DAY(Oct_Dim1)=1,IF(AND(YEAR(Oct_Dim1+16)=Année_Calendaire,MONTH(Oct_Dim1+16)=10),Oct_Dim1+16,""),IF(AND(YEAR(Oct_Dim1+23)=Année_Calendaire,MONTH(Oct_Dim1+23)=10),Oct_Dim1+23,""))</f>
        <v>42661</v>
      </c>
      <c r="AB168" s="83">
        <f>IF(DAY(Oct_Dim1)=1,IF(AND(YEAR(Oct_Dim1+17)=Année_Calendaire,MONTH(Oct_Dim1+17)=10),Oct_Dim1+17,""),IF(AND(YEAR(Oct_Dim1+24)=Année_Calendaire,MONTH(Oct_Dim1+24)=10),Oct_Dim1+24,""))</f>
        <v>42662</v>
      </c>
      <c r="AC168" s="83">
        <f>IF(DAY(Oct_Dim1)=1,IF(AND(YEAR(Oct_Dim1+18)=Année_Calendaire,MONTH(Oct_Dim1+18)=10),Oct_Dim1+18,""),IF(AND(YEAR(Oct_Dim1+25)=Année_Calendaire,MONTH(Oct_Dim1+25)=10),Oct_Dim1+25,""))</f>
        <v>42663</v>
      </c>
      <c r="AD168" s="83">
        <f>IF(DAY(Oct_Dim1)=1,IF(AND(YEAR(Oct_Dim1+19)=Année_Calendaire,MONTH(Oct_Dim1+19)=10),Oct_Dim1+19,""),IF(AND(YEAR(Oct_Dim1+26)=Année_Calendaire,MONTH(Oct_Dim1+26)=10),Oct_Dim1+26,""))</f>
        <v>42664</v>
      </c>
      <c r="AE168" s="83">
        <f>IF(DAY(Oct_Dim1)=1,IF(AND(YEAR(Oct_Dim1+20)=Année_Calendaire,MONTH(Oct_Dim1+20)=10),Oct_Dim1+20,""),IF(AND(YEAR(Oct_Dim1+27)=Année_Calendaire,MONTH(Oct_Dim1+27)=10),Oct_Dim1+27,""))</f>
        <v>42665</v>
      </c>
      <c r="AF168" s="83">
        <f>IF(DAY(Oct_Dim1)=1,IF(AND(YEAR(Oct_Dim1+21)=Année_Calendaire,MONTH(Oct_Dim1+21)=10),Oct_Dim1+21,""),IF(AND(YEAR(Oct_Dim1+28)=Année_Calendaire,MONTH(Oct_Dim1+28)=10),Oct_Dim1+28,""))</f>
        <v>42666</v>
      </c>
      <c r="AG168" s="97"/>
      <c r="AH168" s="83">
        <f>IF(DAY(Oct_Dim1)=1,IF(AND(YEAR(Oct_Dim1+22)=Année_Calendaire,MONTH(Oct_Dim1+22)=10),Oct_Dim1+22,""),IF(AND(YEAR(Oct_Dim1+29)=Année_Calendaire,MONTH(Oct_Dim1+29)=10),Oct_Dim1+29,""))</f>
        <v>42667</v>
      </c>
      <c r="AI168" s="83">
        <f>IF(DAY(Oct_Dim1)=1,IF(AND(YEAR(Oct_Dim1+23)=Année_Calendaire,MONTH(Oct_Dim1+23)=10),Oct_Dim1+23,""),IF(AND(YEAR(Oct_Dim1+30)=Année_Calendaire,MONTH(Oct_Dim1+30)=10),Oct_Dim1+30,""))</f>
        <v>42668</v>
      </c>
      <c r="AJ168" s="83">
        <f>IF(DAY(Oct_Dim1)=1,IF(AND(YEAR(Oct_Dim1+24)=Année_Calendaire,MONTH(Oct_Dim1+24)=10),Oct_Dim1+24,""),IF(AND(YEAR(Oct_Dim1+31)=Année_Calendaire,MONTH(Oct_Dim1+31)=10),Oct_Dim1+31,""))</f>
        <v>42669</v>
      </c>
      <c r="AK168" s="83">
        <f>IF(DAY(Oct_Dim1)=1,IF(AND(YEAR(Oct_Dim1+25)=Année_Calendaire,MONTH(Oct_Dim1+25)=10),Oct_Dim1+25,""),IF(AND(YEAR(Oct_Dim1+32)=Année_Calendaire,MONTH(Oct_Dim1+32)=10),Oct_Dim1+32,""))</f>
        <v>42670</v>
      </c>
      <c r="AL168" s="83">
        <f>IF(DAY(Oct_Dim1)=1,IF(AND(YEAR(Oct_Dim1+26)=Année_Calendaire,MONTH(Oct_Dim1+26)=10),Oct_Dim1+26,""),IF(AND(YEAR(Oct_Dim1+33)=Année_Calendaire,MONTH(Oct_Dim1+33)=10),Oct_Dim1+33,""))</f>
        <v>42671</v>
      </c>
      <c r="AM168" s="83">
        <f>IF(DAY(Oct_Dim1)=1,IF(AND(YEAR(Oct_Dim1+27)=Année_Calendaire,MONTH(Oct_Dim1+27)=10),Oct_Dim1+27,""),IF(AND(YEAR(Oct_Dim1+34)=Année_Calendaire,MONTH(Oct_Dim1+34)=10),Oct_Dim1+34,""))</f>
        <v>42672</v>
      </c>
      <c r="AN168" s="83">
        <f>IF(DAY(Oct_Dim1)=1,IF(AND(YEAR(Oct_Dim1+28)=Année_Calendaire,MONTH(Oct_Dim1+28)=10),Oct_Dim1+28,""),IF(AND(YEAR(Oct_Dim1+35)=Année_Calendaire,MONTH(Oct_Dim1+35)=10),Oct_Dim1+35,""))</f>
        <v>42673</v>
      </c>
      <c r="AO168" s="97"/>
      <c r="AP168" s="77">
        <f>IF(DAY(Oct_Dim1)=1,IF(AND(YEAR(Oct_Dim1+29)=Année_Calendaire,MONTH(Oct_Dim1+29)=10),Oct_Dim1+29,""),IF(AND(YEAR(Oct_Dim1+36)=Année_Calendaire,MONTH(Oct_Dim1+36)=10),Oct_Dim1+36,""))</f>
        <v>42674</v>
      </c>
      <c r="AQ168" s="77" t="str">
        <f>IF(DAY(Oct_Dim1)=1,IF(AND(YEAR(Oct_Dim1+30)=Année_Calendaire,MONTH(Oct_Dim1+30)=10),Oct_Dim1+30,""),IF(AND(YEAR(Oct_Dim1+37)=Année_Calendaire,MONTH(Oct_Dim1+37)=10),Oct_Dim1+37,""))</f>
        <v/>
      </c>
      <c r="AR168" s="97"/>
      <c r="AS168" s="97"/>
      <c r="AT168" s="98"/>
      <c r="AU168" s="98"/>
    </row>
    <row r="169" spans="1:52" ht="15" customHeight="1" x14ac:dyDescent="0.25">
      <c r="A169" s="37" t="s">
        <v>2</v>
      </c>
      <c r="B169" s="47"/>
      <c r="C169" s="47"/>
      <c r="D169" s="47"/>
      <c r="E169" s="47"/>
      <c r="F169" s="47"/>
      <c r="G169" s="47"/>
      <c r="H169" s="47"/>
      <c r="I169" s="76"/>
      <c r="J169" s="47"/>
      <c r="K169" s="47"/>
      <c r="L169" s="47"/>
      <c r="M169" s="47"/>
      <c r="N169" s="47"/>
      <c r="O169" s="47"/>
      <c r="P169" s="47"/>
      <c r="Q169" s="76"/>
      <c r="R169" s="47"/>
      <c r="S169" s="47"/>
      <c r="T169" s="47"/>
      <c r="U169" s="47"/>
      <c r="V169" s="47"/>
      <c r="W169" s="47"/>
      <c r="X169" s="47"/>
      <c r="Y169" s="76"/>
      <c r="Z169" s="47"/>
      <c r="AA169" s="47"/>
      <c r="AB169" s="47"/>
      <c r="AC169" s="47"/>
      <c r="AD169" s="47"/>
      <c r="AE169" s="47"/>
      <c r="AF169" s="47"/>
      <c r="AG169" s="76"/>
      <c r="AH169" s="47"/>
      <c r="AI169" s="47"/>
      <c r="AJ169" s="47"/>
      <c r="AK169" s="47"/>
      <c r="AL169" s="47"/>
      <c r="AM169" s="47"/>
      <c r="AN169" s="47"/>
      <c r="AO169" s="76"/>
      <c r="AP169" s="47"/>
      <c r="AQ169" s="47"/>
      <c r="AR169" s="76"/>
      <c r="AS169" s="79"/>
    </row>
    <row r="170" spans="1:52" ht="15" customHeight="1" x14ac:dyDescent="0.25">
      <c r="A170" s="37" t="s">
        <v>63</v>
      </c>
      <c r="B170" s="76">
        <f t="shared" ref="B170:H170" si="322">IF(B169="Matin",1,IF(B169="AM",1,0))</f>
        <v>0</v>
      </c>
      <c r="C170" s="76">
        <f t="shared" si="322"/>
        <v>0</v>
      </c>
      <c r="D170" s="76">
        <f t="shared" si="322"/>
        <v>0</v>
      </c>
      <c r="E170" s="76">
        <f t="shared" si="322"/>
        <v>0</v>
      </c>
      <c r="F170" s="76">
        <f t="shared" si="322"/>
        <v>0</v>
      </c>
      <c r="G170" s="76">
        <f t="shared" si="322"/>
        <v>0</v>
      </c>
      <c r="H170" s="76">
        <f t="shared" si="322"/>
        <v>0</v>
      </c>
      <c r="I170" s="76">
        <f>SUM(B170:H170)</f>
        <v>0</v>
      </c>
      <c r="J170" s="76">
        <f t="shared" ref="J170:P170" si="323">IF(J169="Matin",1,IF(J169="AM",1,0))</f>
        <v>0</v>
      </c>
      <c r="K170" s="76">
        <f t="shared" si="323"/>
        <v>0</v>
      </c>
      <c r="L170" s="76">
        <f t="shared" si="323"/>
        <v>0</v>
      </c>
      <c r="M170" s="76">
        <f t="shared" si="323"/>
        <v>0</v>
      </c>
      <c r="N170" s="76">
        <f t="shared" si="323"/>
        <v>0</v>
      </c>
      <c r="O170" s="76">
        <f t="shared" si="323"/>
        <v>0</v>
      </c>
      <c r="P170" s="76">
        <f t="shared" si="323"/>
        <v>0</v>
      </c>
      <c r="Q170" s="76">
        <f>SUM(J170:P170)</f>
        <v>0</v>
      </c>
      <c r="R170" s="76">
        <f t="shared" ref="R170:X170" si="324">IF(R169="Matin",1,IF(R169="AM",1,0))</f>
        <v>0</v>
      </c>
      <c r="S170" s="76">
        <f t="shared" si="324"/>
        <v>0</v>
      </c>
      <c r="T170" s="76">
        <f t="shared" si="324"/>
        <v>0</v>
      </c>
      <c r="U170" s="76">
        <f t="shared" si="324"/>
        <v>0</v>
      </c>
      <c r="V170" s="76">
        <f t="shared" si="324"/>
        <v>0</v>
      </c>
      <c r="W170" s="76">
        <f t="shared" si="324"/>
        <v>0</v>
      </c>
      <c r="X170" s="76">
        <f t="shared" si="324"/>
        <v>0</v>
      </c>
      <c r="Y170" s="76">
        <f>SUM(R170:X170)</f>
        <v>0</v>
      </c>
      <c r="Z170" s="76">
        <f t="shared" ref="Z170:AF170" si="325">IF(Z169="Matin",1,IF(Z169="AM",1,0))</f>
        <v>0</v>
      </c>
      <c r="AA170" s="76">
        <f t="shared" si="325"/>
        <v>0</v>
      </c>
      <c r="AB170" s="76">
        <f t="shared" si="325"/>
        <v>0</v>
      </c>
      <c r="AC170" s="76">
        <f t="shared" si="325"/>
        <v>0</v>
      </c>
      <c r="AD170" s="76">
        <f t="shared" si="325"/>
        <v>0</v>
      </c>
      <c r="AE170" s="76">
        <f t="shared" si="325"/>
        <v>0</v>
      </c>
      <c r="AF170" s="76">
        <f t="shared" si="325"/>
        <v>0</v>
      </c>
      <c r="AG170" s="76">
        <f>SUM(Z170:AF170)</f>
        <v>0</v>
      </c>
      <c r="AH170" s="76">
        <f t="shared" ref="AH170:AN170" si="326">IF(AH169="Matin",1,IF(AH169="AM",1,0))</f>
        <v>0</v>
      </c>
      <c r="AI170" s="76">
        <f t="shared" si="326"/>
        <v>0</v>
      </c>
      <c r="AJ170" s="76">
        <f t="shared" si="326"/>
        <v>0</v>
      </c>
      <c r="AK170" s="76">
        <f t="shared" si="326"/>
        <v>0</v>
      </c>
      <c r="AL170" s="76">
        <f t="shared" si="326"/>
        <v>0</v>
      </c>
      <c r="AM170" s="76">
        <f t="shared" si="326"/>
        <v>0</v>
      </c>
      <c r="AN170" s="76">
        <f t="shared" si="326"/>
        <v>0</v>
      </c>
      <c r="AO170" s="76">
        <f>SUM(AH170:AN170)</f>
        <v>0</v>
      </c>
      <c r="AP170" s="76">
        <f t="shared" ref="AP170:AQ170" si="327">IF(AP169="Matin",1,IF(AP169="AM",1,0))</f>
        <v>0</v>
      </c>
      <c r="AQ170" s="76">
        <f t="shared" si="327"/>
        <v>0</v>
      </c>
      <c r="AR170" s="76">
        <f t="shared" ref="AR170:AR177" si="328">SUM(AP170:AQ170)</f>
        <v>0</v>
      </c>
      <c r="AS170" s="76">
        <f>I170+Q170+Y170+AG170+AO170+AR170</f>
        <v>0</v>
      </c>
    </row>
    <row r="171" spans="1:52" ht="15" customHeight="1" x14ac:dyDescent="0.25">
      <c r="A171" s="37" t="s">
        <v>4</v>
      </c>
      <c r="B171" s="76">
        <f>IF(B172&gt;=1,1,0)</f>
        <v>0</v>
      </c>
      <c r="C171" s="76">
        <f>IF(C172&gt;=1,1,0)</f>
        <v>0</v>
      </c>
      <c r="D171" s="76">
        <f t="shared" ref="D171:H171" si="329">IF(D172&gt;=1,1,0)</f>
        <v>0</v>
      </c>
      <c r="E171" s="76">
        <f t="shared" si="329"/>
        <v>0</v>
      </c>
      <c r="F171" s="76">
        <f t="shared" si="329"/>
        <v>0</v>
      </c>
      <c r="G171" s="76">
        <f t="shared" si="329"/>
        <v>0</v>
      </c>
      <c r="H171" s="76">
        <f t="shared" si="329"/>
        <v>0</v>
      </c>
      <c r="I171" s="76">
        <f t="shared" ref="I171:I181" si="330">SUM(B171:H171)</f>
        <v>0</v>
      </c>
      <c r="J171" s="76">
        <f>IF(J172&gt;=1,1,0)</f>
        <v>0</v>
      </c>
      <c r="K171" s="76">
        <f t="shared" ref="K171:P171" si="331">IF(K172&gt;=1,1,0)</f>
        <v>0</v>
      </c>
      <c r="L171" s="76">
        <f t="shared" si="331"/>
        <v>0</v>
      </c>
      <c r="M171" s="76">
        <f t="shared" si="331"/>
        <v>0</v>
      </c>
      <c r="N171" s="76">
        <f t="shared" si="331"/>
        <v>0</v>
      </c>
      <c r="O171" s="76">
        <f t="shared" si="331"/>
        <v>0</v>
      </c>
      <c r="P171" s="76">
        <f t="shared" si="331"/>
        <v>0</v>
      </c>
      <c r="Q171" s="76">
        <f t="shared" ref="Q171:Q181" si="332">SUM(J171:P171)</f>
        <v>0</v>
      </c>
      <c r="R171" s="76">
        <f>IF(R172&gt;=1,1,0)</f>
        <v>0</v>
      </c>
      <c r="S171" s="76">
        <f t="shared" ref="S171:X171" si="333">IF(S172&gt;=1,1,0)</f>
        <v>0</v>
      </c>
      <c r="T171" s="76">
        <f t="shared" si="333"/>
        <v>0</v>
      </c>
      <c r="U171" s="76">
        <f t="shared" si="333"/>
        <v>0</v>
      </c>
      <c r="V171" s="76">
        <f t="shared" si="333"/>
        <v>0</v>
      </c>
      <c r="W171" s="76">
        <f t="shared" si="333"/>
        <v>0</v>
      </c>
      <c r="X171" s="76">
        <f t="shared" si="333"/>
        <v>0</v>
      </c>
      <c r="Y171" s="76">
        <f t="shared" ref="Y171:Y181" si="334">SUM(R171:X171)</f>
        <v>0</v>
      </c>
      <c r="Z171" s="76">
        <f>IF(Z172&gt;=1,1,0)</f>
        <v>0</v>
      </c>
      <c r="AA171" s="76">
        <f t="shared" ref="AA171:AF171" si="335">IF(AA172&gt;=1,1,0)</f>
        <v>0</v>
      </c>
      <c r="AB171" s="76">
        <f t="shared" si="335"/>
        <v>0</v>
      </c>
      <c r="AC171" s="76">
        <f t="shared" si="335"/>
        <v>0</v>
      </c>
      <c r="AD171" s="76">
        <f t="shared" si="335"/>
        <v>0</v>
      </c>
      <c r="AE171" s="76">
        <f t="shared" si="335"/>
        <v>0</v>
      </c>
      <c r="AF171" s="76">
        <f t="shared" si="335"/>
        <v>0</v>
      </c>
      <c r="AG171" s="76">
        <f t="shared" ref="AG171:AG181" si="336">SUM(Z171:AF171)</f>
        <v>0</v>
      </c>
      <c r="AH171" s="76">
        <f>IF(AH172&gt;=1,1,0)</f>
        <v>0</v>
      </c>
      <c r="AI171" s="76">
        <f t="shared" ref="AI171:AN171" si="337">IF(AI172&gt;=1,1,0)</f>
        <v>0</v>
      </c>
      <c r="AJ171" s="76">
        <f t="shared" si="337"/>
        <v>0</v>
      </c>
      <c r="AK171" s="76">
        <f t="shared" si="337"/>
        <v>0</v>
      </c>
      <c r="AL171" s="76">
        <f t="shared" si="337"/>
        <v>0</v>
      </c>
      <c r="AM171" s="76">
        <f t="shared" si="337"/>
        <v>0</v>
      </c>
      <c r="AN171" s="76">
        <f t="shared" si="337"/>
        <v>0</v>
      </c>
      <c r="AO171" s="76">
        <f t="shared" ref="AO171:AO181" si="338">SUM(AH171:AN171)</f>
        <v>0</v>
      </c>
      <c r="AP171" s="76">
        <f>IF(AP172&gt;=1,1,0)</f>
        <v>0</v>
      </c>
      <c r="AQ171" s="76">
        <f t="shared" ref="AQ171" si="339">IF(AQ172&gt;=1,1,0)</f>
        <v>0</v>
      </c>
      <c r="AR171" s="76">
        <f t="shared" si="328"/>
        <v>0</v>
      </c>
      <c r="AS171" s="76">
        <f t="shared" ref="AS171:AS180" si="340">I171+Q171+Y171+AG171+AO171+AR171</f>
        <v>0</v>
      </c>
    </row>
    <row r="172" spans="1:52" ht="15" customHeight="1" x14ac:dyDescent="0.25">
      <c r="A172" s="37" t="s">
        <v>3</v>
      </c>
      <c r="B172" s="47"/>
      <c r="C172" s="47"/>
      <c r="D172" s="47"/>
      <c r="E172" s="47"/>
      <c r="F172" s="47"/>
      <c r="G172" s="47"/>
      <c r="H172" s="47"/>
      <c r="I172" s="76">
        <f t="shared" si="330"/>
        <v>0</v>
      </c>
      <c r="J172" s="47"/>
      <c r="K172" s="47"/>
      <c r="L172" s="47"/>
      <c r="M172" s="47"/>
      <c r="N172" s="47"/>
      <c r="O172" s="47"/>
      <c r="P172" s="47"/>
      <c r="Q172" s="76">
        <f t="shared" si="332"/>
        <v>0</v>
      </c>
      <c r="R172" s="47"/>
      <c r="S172" s="47"/>
      <c r="T172" s="47"/>
      <c r="U172" s="47"/>
      <c r="V172" s="47"/>
      <c r="W172" s="47"/>
      <c r="X172" s="47"/>
      <c r="Y172" s="76">
        <f t="shared" si="334"/>
        <v>0</v>
      </c>
      <c r="Z172" s="47"/>
      <c r="AA172" s="47"/>
      <c r="AB172" s="47"/>
      <c r="AC172" s="47"/>
      <c r="AD172" s="47"/>
      <c r="AE172" s="47"/>
      <c r="AF172" s="47"/>
      <c r="AG172" s="76">
        <f t="shared" si="336"/>
        <v>0</v>
      </c>
      <c r="AH172" s="47"/>
      <c r="AI172" s="47"/>
      <c r="AJ172" s="47"/>
      <c r="AK172" s="47"/>
      <c r="AL172" s="47"/>
      <c r="AM172" s="47"/>
      <c r="AN172" s="47"/>
      <c r="AO172" s="76">
        <f t="shared" si="338"/>
        <v>0</v>
      </c>
      <c r="AP172" s="47"/>
      <c r="AQ172" s="47"/>
      <c r="AR172" s="76">
        <f t="shared" si="328"/>
        <v>0</v>
      </c>
      <c r="AS172" s="76">
        <f t="shared" si="340"/>
        <v>0</v>
      </c>
    </row>
    <row r="173" spans="1:52" ht="15" customHeight="1" x14ac:dyDescent="0.25">
      <c r="A173" s="52" t="s">
        <v>71</v>
      </c>
      <c r="B173" s="82">
        <f>IF(B167&lt;&gt;"Dim",IF(B172&gt;32,MIN(B172,35)-32,0),0)</f>
        <v>0</v>
      </c>
      <c r="C173" s="82">
        <f>IF(C167&lt;&gt;"Dim",IF(SUM($B172:C172)&gt;32,MIN(SUM($B172:C172),35)-32-SUM($B173:B173),0),0)</f>
        <v>0</v>
      </c>
      <c r="D173" s="82">
        <f>IF(D167&lt;&gt;"Dim",IF(SUM($B172:D172)&gt;32,MIN(SUM($B172:D172),35)-32-SUM($B173:C173),0),0)</f>
        <v>0</v>
      </c>
      <c r="E173" s="82">
        <f>IF(E167&lt;&gt;"Dim",IF(SUM($B172:E172)&gt;32,MIN(SUM($B172:E172),35)-32-SUM($B173:D173),0),0)</f>
        <v>0</v>
      </c>
      <c r="F173" s="82">
        <f>IF(F167&lt;&gt;"Dim",IF(SUM($B172:F172)&gt;32,MIN(SUM($B172:F172),35)-32-SUM($B173:E173),0),0)</f>
        <v>0</v>
      </c>
      <c r="G173" s="82">
        <f>IF(G167&lt;&gt;"Dim",IF(SUM($B172:G172)&gt;32,MIN(SUM($B172:G172),35)-32-SUM($B173:F173),0),0)</f>
        <v>0</v>
      </c>
      <c r="H173" s="82">
        <f>IF(H167&lt;&gt;"Dim",IF(SUM($B172:H172)&gt;32,MIN(SUM($B172:H172),35)-32-SUM($B173:G173),0),0)</f>
        <v>0</v>
      </c>
      <c r="I173" s="76">
        <f t="shared" si="330"/>
        <v>0</v>
      </c>
      <c r="J173" s="82">
        <f>IF(J167&lt;&gt;"Dim",IF(J172&gt;32,MIN(J172,35)-32,0),0)</f>
        <v>0</v>
      </c>
      <c r="K173" s="82">
        <f>IF(K167&lt;&gt;"Dim",IF(SUM($J172:K172)&gt;32,MIN(SUM($J172:K172),35)-32-SUM($J173:J173),0),0)</f>
        <v>0</v>
      </c>
      <c r="L173" s="82">
        <f>IF(L167&lt;&gt;"Dim",IF(SUM($J172:L172)&gt;32,MIN(SUM($J172:L172),35)-32-SUM($J173:K173),0),0)</f>
        <v>0</v>
      </c>
      <c r="M173" s="82">
        <f>IF(M167&lt;&gt;"Dim",IF(SUM($J172:M172)&gt;32,MIN(SUM($J172:M172),35)-32-SUM($J173:L173),0),0)</f>
        <v>0</v>
      </c>
      <c r="N173" s="82">
        <f>IF(N167&lt;&gt;"Dim",IF(SUM($J172:N172)&gt;32,MIN(SUM($J172:N172),35)-32-SUM($J173:M173),0),0)</f>
        <v>0</v>
      </c>
      <c r="O173" s="82">
        <f>IF(O167&lt;&gt;"Dim",IF(SUM($J172:O172)&gt;32,MIN(SUM($J172:O172),35)-32-SUM($J173:N173),0),0)</f>
        <v>0</v>
      </c>
      <c r="P173" s="82">
        <f>IF(P167&lt;&gt;"Dim",IF(SUM($J172:P172)&gt;32,MIN(SUM($J172:P172),35)-32-SUM($J173:O173),0),0)</f>
        <v>0</v>
      </c>
      <c r="Q173" s="76">
        <f t="shared" si="332"/>
        <v>0</v>
      </c>
      <c r="R173" s="82">
        <f>IF(R167&lt;&gt;"Dim",IF(R172&gt;32,MIN(R172,35)-32,0),0)</f>
        <v>0</v>
      </c>
      <c r="S173" s="82">
        <f>IF(S167&lt;&gt;"Dim",IF(SUM($R172:S172)&gt;32,MIN(SUM($R172:S172),35)-32-SUM($R173:R173),0),0)</f>
        <v>0</v>
      </c>
      <c r="T173" s="82">
        <f>IF(T167&lt;&gt;"Dim",IF(SUM($R172:T172)&gt;32,MIN(SUM($R172:T172),35)-32-SUM($R173:S173),0),0)</f>
        <v>0</v>
      </c>
      <c r="U173" s="82">
        <f>IF(U167&lt;&gt;"Dim",IF(SUM($R172:U172)&gt;32,MIN(SUM($R172:U172),35)-32-SUM($R173:T173),0),0)</f>
        <v>0</v>
      </c>
      <c r="V173" s="82">
        <f>IF(V167&lt;&gt;"Dim",IF(SUM($R172:V172)&gt;32,MIN(SUM($R172:V172),35)-32-SUM($R173:U173),0),0)</f>
        <v>0</v>
      </c>
      <c r="W173" s="82">
        <f>IF(W167&lt;&gt;"Dim",IF(SUM($R172:W172)&gt;32,MIN(SUM($R172:W172),35)-32-SUM($R173:V173),0),0)</f>
        <v>0</v>
      </c>
      <c r="X173" s="82">
        <f>IF(X167&lt;&gt;"Dim",IF(SUM($R172:X172)&gt;32,MIN(SUM($R172:X172),35)-32-SUM($R173:W173),0),0)</f>
        <v>0</v>
      </c>
      <c r="Y173" s="76">
        <f t="shared" si="334"/>
        <v>0</v>
      </c>
      <c r="Z173" s="82">
        <f>IF(Z167&lt;&gt;"Dim",IF(Z172&gt;32,MIN(Z172,35)-32,0),0)</f>
        <v>0</v>
      </c>
      <c r="AA173" s="82">
        <f>IF(AA167&lt;&gt;"Dim",IF(SUM($Z172:AA172)&gt;32,MIN(SUM($Z172:AA172),35)-32-SUM($Z173:Z173),0),0)</f>
        <v>0</v>
      </c>
      <c r="AB173" s="82">
        <f>IF(AB167&lt;&gt;"Dim",IF(SUM($Z172:AB172)&gt;32,MIN(SUM($Z172:AB172),35)-32-SUM($Z173:AA173),0),0)</f>
        <v>0</v>
      </c>
      <c r="AC173" s="82">
        <f>IF(AC167&lt;&gt;"Dim",IF(SUM($Z172:AC172)&gt;32,MIN(SUM($Z172:AC172),35)-32-SUM($Z173:AB173),0),0)</f>
        <v>0</v>
      </c>
      <c r="AD173" s="82">
        <f>IF(AD167&lt;&gt;"Dim",IF(SUM($Z172:AD172)&gt;32,MIN(SUM($Z172:AD172),35)-32-SUM($Z173:AC173),0),0)</f>
        <v>0</v>
      </c>
      <c r="AE173" s="82">
        <f>IF(AE167&lt;&gt;"Dim",IF(SUM($Z172:AE172)&gt;32,MIN(SUM($Z172:AE172),35)-32-SUM($Z173:AD173),0),0)</f>
        <v>0</v>
      </c>
      <c r="AF173" s="82">
        <f>IF(AF167&lt;&gt;"Dim",IF(SUM($Z172:AF172)&gt;32,MIN(SUM($Z172:AF172),35)-32-SUM($Z173:AE173),0),0)</f>
        <v>0</v>
      </c>
      <c r="AG173" s="76">
        <f t="shared" si="336"/>
        <v>0</v>
      </c>
      <c r="AH173" s="82">
        <f>IF(AH167&lt;&gt;"Dim",IF(AH172&gt;32,MIN(AH172,35)-32,0),0)</f>
        <v>0</v>
      </c>
      <c r="AI173" s="82">
        <f>IF(AI167&lt;&gt;"Dim",IF(SUM($AH172:AI172)&gt;32,MIN(SUM($AH172:AI172),35)-32-SUM($AH173:AH173),0),0)</f>
        <v>0</v>
      </c>
      <c r="AJ173" s="82">
        <f>IF(AJ167&lt;&gt;"Dim",IF(SUM($AH172:AJ172)&gt;32,MIN(SUM($AH172:AJ172),35)-32-SUM($AH173:AI173),0),0)</f>
        <v>0</v>
      </c>
      <c r="AK173" s="82">
        <f>IF(AK167&lt;&gt;"Dim",IF(SUM($AH172:AK172)&gt;32,MIN(SUM($AH172:AK172),35)-32-SUM($AH173:AJ173),0),0)</f>
        <v>0</v>
      </c>
      <c r="AL173" s="82">
        <f>IF(AL167&lt;&gt;"Dim",IF(SUM($AH172:AL172)&gt;32,MIN(SUM($AH172:AL172),35)-32-SUM($AH173:AK173),0),0)</f>
        <v>0</v>
      </c>
      <c r="AM173" s="82">
        <f>IF(AM167&lt;&gt;"Dim",IF(SUM($AH172:AM172)&gt;32,MIN(SUM($AH172:AM172),35)-32-SUM($AH173:AL173),0),0)</f>
        <v>0</v>
      </c>
      <c r="AN173" s="82">
        <f>IF(AN167&lt;&gt;"Dim",IF(SUM($AH172:AN172)&gt;32,MIN(SUM($AH172:AN172),35)-32-SUM($AH173:AM173),0),0)</f>
        <v>0</v>
      </c>
      <c r="AO173" s="76">
        <f t="shared" si="338"/>
        <v>0</v>
      </c>
      <c r="AP173" s="82">
        <f>IF(AP167&lt;&gt;"Dim",IF(AP172&gt;32,MIN(AP172,35)-32,0),0)</f>
        <v>0</v>
      </c>
      <c r="AQ173" s="82">
        <f>IF(AQ167&lt;&gt;"Dim",IF(SUM($AP172:AQ172)&gt;32,MIN(SUM($AP172:AQ172),35)-32-SUM($AP173:AP173),0),0)</f>
        <v>0</v>
      </c>
      <c r="AR173" s="76">
        <f t="shared" si="328"/>
        <v>0</v>
      </c>
      <c r="AS173" s="76">
        <f t="shared" si="340"/>
        <v>0</v>
      </c>
    </row>
    <row r="174" spans="1:52" ht="15" customHeight="1" x14ac:dyDescent="0.25">
      <c r="A174" s="37" t="s">
        <v>40</v>
      </c>
      <c r="B174" s="82">
        <f>IF(B167&lt;&gt;"Dim",IF(B172&gt;35,(MIN(B172,43)-35),0),0)</f>
        <v>0</v>
      </c>
      <c r="C174" s="82">
        <f>IF(C167&lt;&gt;"Dim",IF(SUM($B172:C172)&gt;35,(MIN(SUM($B172:C172),43)-35-SUM($B174:B174)),0),0)</f>
        <v>0</v>
      </c>
      <c r="D174" s="82">
        <f>IF(D167&lt;&gt;"Dim",IF(SUM($B172:D172)&gt;35,(MIN(SUM($B172:D172),43)-35-SUM($B174:C174)),0),0)</f>
        <v>0</v>
      </c>
      <c r="E174" s="82">
        <f>IF(E167&lt;&gt;"Dim",IF(SUM($B172:E172)&gt;35,(MIN(SUM($B172:E172),43)-35-SUM($B174:D174)),0),0)</f>
        <v>0</v>
      </c>
      <c r="F174" s="82">
        <f>IF(F167&lt;&gt;"Dim",IF(SUM($B172:F172)&gt;35,(MIN(SUM($B172:F172),43)-35-SUM($B174:E174)),0),0)</f>
        <v>0</v>
      </c>
      <c r="G174" s="82">
        <f>IF(G167&lt;&gt;"Dim",IF(SUM($B172:G172)&gt;35,(MIN(SUM($B172:G172),43)-35-SUM($B174:F174)),0),0)</f>
        <v>0</v>
      </c>
      <c r="H174" s="82">
        <f>IF(H167&lt;&gt;"Dim",IF(SUM($B172:H172)&gt;35,(MIN(SUM($B172:H172),43)-35-SUM($B174:G174)),0),0)</f>
        <v>0</v>
      </c>
      <c r="I174" s="76">
        <f t="shared" si="330"/>
        <v>0</v>
      </c>
      <c r="J174" s="82">
        <f>IF(J167&lt;&gt;"Dim",IF(J172&gt;35,(MIN(J172,43)-35),0),0)</f>
        <v>0</v>
      </c>
      <c r="K174" s="82">
        <f>IF(K167&lt;&gt;"Dim",IF(SUM($J172:K172)&gt;35,(MIN(SUM($J172:K172),43)-35-SUM($J174:J174)),0),0)</f>
        <v>0</v>
      </c>
      <c r="L174" s="82">
        <f>IF(L167&lt;&gt;"Dim",IF(SUM($J172:L172)&gt;35,(MIN(SUM($J172:L172),43)-35-SUM($J174:K174)),0),0)</f>
        <v>0</v>
      </c>
      <c r="M174" s="82">
        <f>IF(M167&lt;&gt;"Dim",IF(SUM($J172:M172)&gt;35,(MIN(SUM($J172:M172),43)-35-SUM($J174:L174)),0),0)</f>
        <v>0</v>
      </c>
      <c r="N174" s="82">
        <f>IF(N167&lt;&gt;"Dim",IF(SUM($J172:N172)&gt;35,(MIN(SUM($J172:N172),43)-35-SUM($J174:M174)),0),0)</f>
        <v>0</v>
      </c>
      <c r="O174" s="82">
        <f>IF(O167&lt;&gt;"Dim",IF(SUM($J172:O172)&gt;35,(MIN(SUM($J172:O172),43)-35-SUM($J174:N174)),0),0)</f>
        <v>0</v>
      </c>
      <c r="P174" s="82">
        <f>IF(P167&lt;&gt;"Dim",IF(SUM($J172:P172)&gt;35,(MIN(SUM($J172:P172),43)-35-SUM($J174:O174)),0),0)</f>
        <v>0</v>
      </c>
      <c r="Q174" s="76">
        <f t="shared" si="332"/>
        <v>0</v>
      </c>
      <c r="R174" s="82">
        <f>IF(R167&lt;&gt;"Dim",IF(R172&gt;35,(MIN(R172,43)-35),0),0)</f>
        <v>0</v>
      </c>
      <c r="S174" s="82">
        <f>IF(S167&lt;&gt;"Dim",IF(SUM($R172:S172)&gt;35,(MIN(SUM($R172:S172),43)-35-SUM($R174:R174)),0),0)</f>
        <v>0</v>
      </c>
      <c r="T174" s="82">
        <f>IF(T167&lt;&gt;"Dim",IF(SUM($R172:T172)&gt;35,(MIN(SUM($R172:T172),43)-35-SUM($R174:S174)),0),0)</f>
        <v>0</v>
      </c>
      <c r="U174" s="82">
        <f>IF(U167&lt;&gt;"Dim",IF(SUM($R172:U172)&gt;35,(MIN(SUM($R172:U172),43)-35-SUM($R174:T174)),0),0)</f>
        <v>0</v>
      </c>
      <c r="V174" s="82">
        <f>IF(V167&lt;&gt;"Dim",IF(SUM($R172:V172)&gt;35,(MIN(SUM($R172:V172),43)-35-SUM($R174:U174)),0),0)</f>
        <v>0</v>
      </c>
      <c r="W174" s="82">
        <f>IF(W167&lt;&gt;"Dim",IF(SUM($R172:W172)&gt;35,(MIN(SUM($R172:W172),43)-35-SUM($R174:V174)),0),0)</f>
        <v>0</v>
      </c>
      <c r="X174" s="82">
        <f>IF(X167&lt;&gt;"Dim",IF(SUM($R172:X172)&gt;35,(MIN(SUM($R172:X172),43)-35-SUM($R174:W174)),0),0)</f>
        <v>0</v>
      </c>
      <c r="Y174" s="76">
        <f t="shared" si="334"/>
        <v>0</v>
      </c>
      <c r="Z174" s="82">
        <f>IF(Z167&lt;&gt;"Dim",IF(Z172&gt;35,(MIN(Z172,43)-35),0),0)</f>
        <v>0</v>
      </c>
      <c r="AA174" s="82">
        <f>IF(AA167&lt;&gt;"Dim",IF(SUM($Z172:AA172)&gt;35,(MIN(SUM($Z172:AA172),43)-35-SUM($Z174:Z174)),0),0)</f>
        <v>0</v>
      </c>
      <c r="AB174" s="82">
        <f>IF(AB167&lt;&gt;"Dim",IF(SUM($Z172:AB172)&gt;35,(MIN(SUM($Z172:AB172),43)-35-SUM($Z174:AA174)),0),0)</f>
        <v>0</v>
      </c>
      <c r="AC174" s="82">
        <f>IF(AC167&lt;&gt;"Dim",IF(SUM($Z172:AC172)&gt;35,(MIN(SUM($Z172:AC172),43)-35-SUM($Z174:AB174)),0),0)</f>
        <v>0</v>
      </c>
      <c r="AD174" s="82">
        <f>IF(AD167&lt;&gt;"Dim",IF(SUM($Z172:AD172)&gt;35,(MIN(SUM($Z172:AD172),43)-35-SUM($Z174:AC174)),0),0)</f>
        <v>0</v>
      </c>
      <c r="AE174" s="82">
        <f>IF(AE167&lt;&gt;"Dim",IF(SUM($Z172:AE172)&gt;35,(MIN(SUM($Z172:AE172),43)-35-SUM($Z174:AD174)),0),0)</f>
        <v>0</v>
      </c>
      <c r="AF174" s="82">
        <f>IF(AF167&lt;&gt;"Dim",IF(SUM($Z172:AF172)&gt;35,(MIN(SUM($Z172:AF172),43)-35-SUM($Z174:AE174)),0),0)</f>
        <v>0</v>
      </c>
      <c r="AG174" s="76">
        <f t="shared" si="336"/>
        <v>0</v>
      </c>
      <c r="AH174" s="82">
        <f>IF(AH167&lt;&gt;"Dim",IF(AH172&gt;35,(MIN(AH172,43)-35),0),0)</f>
        <v>0</v>
      </c>
      <c r="AI174" s="82">
        <f>IF(AI167&lt;&gt;"Dim",IF(SUM($AH172:AI172)&gt;35,(MIN(SUM($AH172:AI172),43)-35-SUM($AH174:AH174)),0),0)</f>
        <v>0</v>
      </c>
      <c r="AJ174" s="82">
        <f>IF(AJ167&lt;&gt;"Dim",IF(SUM($AH172:AJ172)&gt;35,(MIN(SUM($AH172:AJ172),43)-35-SUM($AH174:AI174)),0),0)</f>
        <v>0</v>
      </c>
      <c r="AK174" s="82">
        <f>IF(AK167&lt;&gt;"Dim",IF(SUM($AH172:AK172)&gt;35,(MIN(SUM($AH172:AK172),43)-35-SUM($AH174:AJ174)),0),0)</f>
        <v>0</v>
      </c>
      <c r="AL174" s="82">
        <f>IF(AL167&lt;&gt;"Dim",IF(SUM($AH172:AL172)&gt;35,(MIN(SUM($AH172:AL172),43)-35-SUM($AH174:AK174)),0),0)</f>
        <v>0</v>
      </c>
      <c r="AM174" s="82">
        <f>IF(AM167&lt;&gt;"Dim",IF(SUM($AH172:AM172)&gt;35,(MIN(SUM($AH172:AM172),43)-35-SUM($AH174:AL174)),0),0)</f>
        <v>0</v>
      </c>
      <c r="AN174" s="82">
        <f>IF(AN167&lt;&gt;"Dim",IF(SUM($AH172:AN172)&gt;35,(MIN(SUM($AH172:AN172),43)-35-SUM($AH174:AM174)),0),0)</f>
        <v>0</v>
      </c>
      <c r="AO174" s="76">
        <f t="shared" si="338"/>
        <v>0</v>
      </c>
      <c r="AP174" s="82">
        <f>IF(AP167&lt;&gt;"Dim",IF(AP172&gt;35,(MIN(AP172,43)-35),0),0)</f>
        <v>0</v>
      </c>
      <c r="AQ174" s="82">
        <f>IF(AQ167&lt;&gt;"Dim",IF(SUM($AP172:AQ172)&gt;35,(MIN(SUM($AP172:AQ172),43)-35-SUM($AP174:AP174)),0),0)</f>
        <v>0</v>
      </c>
      <c r="AR174" s="76">
        <f t="shared" si="328"/>
        <v>0</v>
      </c>
      <c r="AS174" s="76">
        <f t="shared" si="340"/>
        <v>0</v>
      </c>
    </row>
    <row r="175" spans="1:52" ht="15" customHeight="1" x14ac:dyDescent="0.25">
      <c r="A175" s="37" t="s">
        <v>39</v>
      </c>
      <c r="B175" s="82">
        <f>IF(B167&lt;&gt;"Dim",IF(B172&gt;43,(MIN(B172,48)-43),0),0)</f>
        <v>0</v>
      </c>
      <c r="C175" s="82">
        <f>IF(C167&lt;&gt;"Dim",IF(SUM($B172:C172)&gt;43,(MIN(SUM($B172:C172),48)-43-SUM($B175:B175)),0),0)</f>
        <v>0</v>
      </c>
      <c r="D175" s="82">
        <f>IF(D167&lt;&gt;"Dim",IF(SUM($B172:D172)&gt;43,(MIN(SUM($B172:D172),48)-43-SUM($B175:C175)),0),0)</f>
        <v>0</v>
      </c>
      <c r="E175" s="82">
        <f>IF(E167&lt;&gt;"Dim",IF(SUM($B172:E172)&gt;43,(MIN(SUM($B172:E172),48)-43-SUM($B175:D175)),0),0)</f>
        <v>0</v>
      </c>
      <c r="F175" s="82">
        <f>IF(F167&lt;&gt;"Dim",IF(SUM($B172:F172)&gt;43,(MIN(SUM($B172:F172),48)-43-SUM($B175:E175)),0),0)</f>
        <v>0</v>
      </c>
      <c r="G175" s="82">
        <f>IF(G167&lt;&gt;"Dim",IF(SUM($B172:G172)&gt;43,(MIN(SUM($B172:G172),48)-43-SUM($B175:F175)),0),0)</f>
        <v>0</v>
      </c>
      <c r="H175" s="82">
        <f>IF(H167&lt;&gt;"Dim",IF(SUM($B172:H172)&gt;43,(MIN(SUM($B172:H172),48)-43-SUM($B175:G175)),0),0)</f>
        <v>0</v>
      </c>
      <c r="I175" s="76">
        <f t="shared" si="330"/>
        <v>0</v>
      </c>
      <c r="J175" s="82">
        <f>IF(J167&lt;&gt;"Dim",IF(J172&gt;43,(MIN(J172,48)-43),0),0)</f>
        <v>0</v>
      </c>
      <c r="K175" s="82">
        <f>IF(K167&lt;&gt;"Dim",IF(SUM($J172:K172)&gt;43,(MIN(SUM($J172:K172),48)-43-SUM($J175:J175)),0),0)</f>
        <v>0</v>
      </c>
      <c r="L175" s="82">
        <f>IF(L167&lt;&gt;"Dim",IF(SUM($J172:L172)&gt;43,(MIN(SUM($J172:L172),48)-43-SUM($J175:K175)),0),0)</f>
        <v>0</v>
      </c>
      <c r="M175" s="82">
        <f>IF(M167&lt;&gt;"Dim",IF(SUM($J172:M172)&gt;43,(MIN(SUM($J172:M172),48)-43-SUM($J175:L175)),0),0)</f>
        <v>0</v>
      </c>
      <c r="N175" s="82">
        <f>IF(N167&lt;&gt;"Dim",IF(SUM($J172:N172)&gt;43,(MIN(SUM($J172:N172),48)-43-SUM($J175:M175)),0),0)</f>
        <v>0</v>
      </c>
      <c r="O175" s="82">
        <f>IF(O167&lt;&gt;"Dim",IF(SUM($J172:O172)&gt;43,(MIN(SUM($J172:O172),48)-43-SUM($J175:N175)),0),0)</f>
        <v>0</v>
      </c>
      <c r="P175" s="82">
        <f>IF(P167&lt;&gt;"Dim",IF(SUM($J172:P172)&gt;43,(MIN(SUM($J172:P172),48)-43-SUM($J175:O175)),0),0)</f>
        <v>0</v>
      </c>
      <c r="Q175" s="76">
        <f t="shared" si="332"/>
        <v>0</v>
      </c>
      <c r="R175" s="82">
        <f>IF(R167&lt;&gt;"Dim",IF(R172&gt;43,(MIN(R172,48)-43),0),0)</f>
        <v>0</v>
      </c>
      <c r="S175" s="82">
        <f>IF(S167&lt;&gt;"Dim",IF(SUM($R172:S172)&gt;43,(MIN(SUM($R172:S172),48)-43-SUM($R175:R175)),0),0)</f>
        <v>0</v>
      </c>
      <c r="T175" s="82">
        <f>IF(T167&lt;&gt;"Dim",IF(SUM($R172:T172)&gt;43,(MIN(SUM($R172:T172),48)-43-SUM($R175:S175)),0),0)</f>
        <v>0</v>
      </c>
      <c r="U175" s="82">
        <f>IF(U167&lt;&gt;"Dim",IF(SUM($R172:U172)&gt;43,(MIN(SUM($R172:U172),48)-43-SUM($R175:T175)),0),0)</f>
        <v>0</v>
      </c>
      <c r="V175" s="82">
        <f>IF(V167&lt;&gt;"Dim",IF(SUM($R172:V172)&gt;43,(MIN(SUM($R172:V172),48)-43-SUM($R175:U175)),0),0)</f>
        <v>0</v>
      </c>
      <c r="W175" s="82">
        <f>IF(W167&lt;&gt;"Dim",IF(SUM($R172:W172)&gt;43,(MIN(SUM($R172:W172),48)-43-SUM($R175:V175)),0),0)</f>
        <v>0</v>
      </c>
      <c r="X175" s="82">
        <f>IF(X167&lt;&gt;"Dim",IF(SUM($R172:X172)&gt;43,(MIN(SUM($R172:X172),48)-43-SUM($R175:W175)),0),0)</f>
        <v>0</v>
      </c>
      <c r="Y175" s="76">
        <f t="shared" si="334"/>
        <v>0</v>
      </c>
      <c r="Z175" s="82">
        <f>IF(Z167&lt;&gt;"Dim",IF(Z172&gt;43,(MIN(Z172,48)-43),0),0)</f>
        <v>0</v>
      </c>
      <c r="AA175" s="82">
        <f>IF(AA167&lt;&gt;"Dim",IF(SUM($Z172:AA172)&gt;43,(MIN(SUM($Z172:AA172),48)-43-SUM($Z175:Z175)),0),0)</f>
        <v>0</v>
      </c>
      <c r="AB175" s="82">
        <f>IF(AB167&lt;&gt;"Dim",IF(SUM($Z172:AB172)&gt;43,(MIN(SUM($Z172:AB172),48)-43-SUM($Z175:AA175)),0),0)</f>
        <v>0</v>
      </c>
      <c r="AC175" s="82">
        <f>IF(AC167&lt;&gt;"Dim",IF(SUM($Z172:AC172)&gt;43,(MIN(SUM($Z172:AC172),48)-43-SUM($Z175:AB175)),0),0)</f>
        <v>0</v>
      </c>
      <c r="AD175" s="82">
        <f>IF(AD167&lt;&gt;"Dim",IF(SUM($Z172:AD172)&gt;43,(MIN(SUM($Z172:AD172),48)-43-SUM($Z175:AC175)),0),0)</f>
        <v>0</v>
      </c>
      <c r="AE175" s="82">
        <f>IF(AE167&lt;&gt;"Dim",IF(SUM($Z172:AE172)&gt;43,(MIN(SUM($Z172:AE172),48)-43-SUM($Z175:AD175)),0),0)</f>
        <v>0</v>
      </c>
      <c r="AF175" s="82">
        <f>IF(AF167&lt;&gt;"Dim",IF(SUM($Z172:AF172)&gt;43,(MIN(SUM($Z172:AF172),48)-43-SUM($Z175:AE175)),0),0)</f>
        <v>0</v>
      </c>
      <c r="AG175" s="76">
        <f t="shared" si="336"/>
        <v>0</v>
      </c>
      <c r="AH175" s="82">
        <f>IF(AH167&lt;&gt;"Dim",IF(AH172&gt;43,(MIN(AH172,48)-43),0),0)</f>
        <v>0</v>
      </c>
      <c r="AI175" s="82">
        <f>IF(AI167&lt;&gt;"Dim",IF(SUM($AH172:AI172)&gt;43,(MIN(SUM($AH172:AI172),48)-43-SUM($AH175:AH175)),0),0)</f>
        <v>0</v>
      </c>
      <c r="AJ175" s="82">
        <f>IF(AJ167&lt;&gt;"Dim",IF(SUM($AH172:AJ172)&gt;43,(MIN(SUM($AH172:AJ172),48)-43-SUM($AH175:AI175)),0),0)</f>
        <v>0</v>
      </c>
      <c r="AK175" s="82">
        <f>IF(AK167&lt;&gt;"Dim",IF(SUM($AH172:AK172)&gt;43,(MIN(SUM($AH172:AK172),48)-43-SUM($AH175:AJ175)),0),0)</f>
        <v>0</v>
      </c>
      <c r="AL175" s="82">
        <f>IF(AL167&lt;&gt;"Dim",IF(SUM($AH172:AL172)&gt;43,(MIN(SUM($AH172:AL172),48)-43-SUM($AH175:AK175)),0),0)</f>
        <v>0</v>
      </c>
      <c r="AM175" s="82">
        <f>IF(AM167&lt;&gt;"Dim",IF(SUM($AH172:AM172)&gt;43,(MIN(SUM($AH172:AM172),48)-43-SUM($AH175:AL175)),0),0)</f>
        <v>0</v>
      </c>
      <c r="AN175" s="82">
        <f>IF(AN167&lt;&gt;"Dim",IF(SUM($AH172:AN172)&gt;43,(MIN(SUM($AH172:AN172),48)-43-SUM($AH175:AM175)),0),0)</f>
        <v>0</v>
      </c>
      <c r="AO175" s="76">
        <f t="shared" si="338"/>
        <v>0</v>
      </c>
      <c r="AP175" s="82">
        <f>IF(AP167&lt;&gt;"Dim",IF(AP172&gt;43,(MIN(AP172,48)-43),0),0)</f>
        <v>0</v>
      </c>
      <c r="AQ175" s="82">
        <f>IF(AQ167&lt;&gt;"Dim",IF(SUM($AP172:AQ172)&gt;43,(MIN(SUM($AP172:AQ172),48)-43-SUM($AP175:AP175)),0),0)</f>
        <v>0</v>
      </c>
      <c r="AR175" s="76">
        <f t="shared" si="328"/>
        <v>0</v>
      </c>
      <c r="AS175" s="76">
        <f t="shared" si="340"/>
        <v>0</v>
      </c>
    </row>
    <row r="176" spans="1:52" ht="15" customHeight="1" x14ac:dyDescent="0.25">
      <c r="A176" s="37" t="s">
        <v>41</v>
      </c>
      <c r="B176" s="82">
        <f>IF(B167="Dim",B172,IF(B182="ferie",B172,0))</f>
        <v>0</v>
      </c>
      <c r="C176" s="82">
        <f t="shared" ref="C176:H176" si="341">IF(C167="Dim",C172,IF(C182="ferie",C172,0))</f>
        <v>0</v>
      </c>
      <c r="D176" s="82">
        <f t="shared" si="341"/>
        <v>0</v>
      </c>
      <c r="E176" s="82">
        <f t="shared" si="341"/>
        <v>0</v>
      </c>
      <c r="F176" s="82">
        <f t="shared" si="341"/>
        <v>0</v>
      </c>
      <c r="G176" s="82">
        <f t="shared" si="341"/>
        <v>0</v>
      </c>
      <c r="H176" s="82">
        <f t="shared" si="341"/>
        <v>0</v>
      </c>
      <c r="I176" s="76">
        <f t="shared" si="330"/>
        <v>0</v>
      </c>
      <c r="J176" s="82">
        <f>IF(J167="Dim",J172,IF(J182="ferie",J172,0))</f>
        <v>0</v>
      </c>
      <c r="K176" s="82">
        <f t="shared" ref="K176:P176" si="342">IF(K167="Dim",K172,IF(K182="ferie",K172,0))</f>
        <v>0</v>
      </c>
      <c r="L176" s="82">
        <f t="shared" si="342"/>
        <v>0</v>
      </c>
      <c r="M176" s="82">
        <f t="shared" si="342"/>
        <v>0</v>
      </c>
      <c r="N176" s="82">
        <f t="shared" si="342"/>
        <v>0</v>
      </c>
      <c r="O176" s="82">
        <f>IF(O167="Dim",O172,IF(O182="ferie",O172,0))</f>
        <v>0</v>
      </c>
      <c r="P176" s="82">
        <f t="shared" si="342"/>
        <v>0</v>
      </c>
      <c r="Q176" s="76">
        <f t="shared" ref="Q176" si="343">SUM(J176:P176)</f>
        <v>0</v>
      </c>
      <c r="R176" s="82">
        <f>IF(R167="Dim",R172,IF(R182="ferie",R172,0))</f>
        <v>0</v>
      </c>
      <c r="S176" s="82">
        <f t="shared" ref="S176:X176" si="344">IF(S167="Dim",S172,IF(S182="ferie",S172,0))</f>
        <v>0</v>
      </c>
      <c r="T176" s="82">
        <f t="shared" si="344"/>
        <v>0</v>
      </c>
      <c r="U176" s="82">
        <f t="shared" si="344"/>
        <v>0</v>
      </c>
      <c r="V176" s="82">
        <f t="shared" si="344"/>
        <v>0</v>
      </c>
      <c r="W176" s="82">
        <f t="shared" si="344"/>
        <v>0</v>
      </c>
      <c r="X176" s="82">
        <f t="shared" si="344"/>
        <v>0</v>
      </c>
      <c r="Y176" s="76">
        <f t="shared" si="334"/>
        <v>0</v>
      </c>
      <c r="Z176" s="82">
        <f>IF(Z167="Dim",Z172,IF(Z182="ferie",Z172,0))</f>
        <v>0</v>
      </c>
      <c r="AA176" s="82">
        <f t="shared" ref="AA176:AF176" si="345">IF(AA167="Dim",AA172,IF(AA182="ferie",AA172,0))</f>
        <v>0</v>
      </c>
      <c r="AB176" s="82">
        <f t="shared" si="345"/>
        <v>0</v>
      </c>
      <c r="AC176" s="82">
        <f t="shared" si="345"/>
        <v>0</v>
      </c>
      <c r="AD176" s="82">
        <f t="shared" si="345"/>
        <v>0</v>
      </c>
      <c r="AE176" s="82">
        <f t="shared" si="345"/>
        <v>0</v>
      </c>
      <c r="AF176" s="82">
        <f t="shared" si="345"/>
        <v>0</v>
      </c>
      <c r="AG176" s="76">
        <f t="shared" si="336"/>
        <v>0</v>
      </c>
      <c r="AH176" s="82">
        <f>IF(AH167="Dim",AH172,IF(AH182="ferie",AH172,0))</f>
        <v>0</v>
      </c>
      <c r="AI176" s="82">
        <f t="shared" ref="AI176:AQ176" si="346">IF(AI167="Dim",AI172,IF(AI182="ferie",AI172,0))</f>
        <v>0</v>
      </c>
      <c r="AJ176" s="82">
        <f t="shared" si="346"/>
        <v>0</v>
      </c>
      <c r="AK176" s="82">
        <f t="shared" si="346"/>
        <v>0</v>
      </c>
      <c r="AL176" s="82">
        <f t="shared" si="346"/>
        <v>0</v>
      </c>
      <c r="AM176" s="82">
        <f t="shared" si="346"/>
        <v>0</v>
      </c>
      <c r="AN176" s="82">
        <f t="shared" si="346"/>
        <v>0</v>
      </c>
      <c r="AO176" s="76">
        <f>SUM(AH176:AN176)</f>
        <v>0</v>
      </c>
      <c r="AP176" s="82">
        <f>IF(AP167="Dim",AP172,IF(AP182="ferie",AP172,0))</f>
        <v>0</v>
      </c>
      <c r="AQ176" s="82">
        <f t="shared" si="346"/>
        <v>0</v>
      </c>
      <c r="AR176" s="76">
        <f t="shared" si="328"/>
        <v>0</v>
      </c>
      <c r="AS176" s="76">
        <f t="shared" si="340"/>
        <v>0</v>
      </c>
    </row>
    <row r="177" spans="1:52" ht="15" customHeight="1" x14ac:dyDescent="0.25">
      <c r="A177" s="37" t="s">
        <v>59</v>
      </c>
      <c r="B177" s="47"/>
      <c r="C177" s="47"/>
      <c r="D177" s="47"/>
      <c r="E177" s="47"/>
      <c r="F177" s="47"/>
      <c r="G177" s="47"/>
      <c r="H177" s="47"/>
      <c r="I177" s="76">
        <f t="shared" si="330"/>
        <v>0</v>
      </c>
      <c r="J177" s="47"/>
      <c r="K177" s="47"/>
      <c r="L177" s="47"/>
      <c r="M177" s="47"/>
      <c r="N177" s="47"/>
      <c r="O177" s="47"/>
      <c r="P177" s="47"/>
      <c r="Q177" s="76">
        <f t="shared" si="332"/>
        <v>0</v>
      </c>
      <c r="R177" s="47"/>
      <c r="S177" s="47"/>
      <c r="T177" s="47"/>
      <c r="U177" s="47"/>
      <c r="V177" s="47"/>
      <c r="W177" s="47"/>
      <c r="X177" s="47"/>
      <c r="Y177" s="76">
        <f t="shared" si="334"/>
        <v>0</v>
      </c>
      <c r="Z177" s="47"/>
      <c r="AA177" s="47"/>
      <c r="AB177" s="47"/>
      <c r="AC177" s="47"/>
      <c r="AD177" s="47"/>
      <c r="AE177" s="47"/>
      <c r="AF177" s="47"/>
      <c r="AG177" s="76">
        <f t="shared" si="336"/>
        <v>0</v>
      </c>
      <c r="AH177" s="47"/>
      <c r="AI177" s="47"/>
      <c r="AJ177" s="47"/>
      <c r="AK177" s="47"/>
      <c r="AL177" s="47"/>
      <c r="AM177" s="47"/>
      <c r="AN177" s="47"/>
      <c r="AO177" s="76">
        <f t="shared" si="338"/>
        <v>0</v>
      </c>
      <c r="AP177" s="47"/>
      <c r="AQ177" s="47"/>
      <c r="AR177" s="76">
        <f t="shared" si="328"/>
        <v>0</v>
      </c>
      <c r="AS177" s="76">
        <f t="shared" si="340"/>
        <v>0</v>
      </c>
    </row>
    <row r="178" spans="1:52" ht="15" customHeight="1" x14ac:dyDescent="0.25">
      <c r="A178" s="52" t="s">
        <v>60</v>
      </c>
      <c r="B178" s="47"/>
      <c r="C178" s="47"/>
      <c r="D178" s="47"/>
      <c r="E178" s="47"/>
      <c r="F178" s="47"/>
      <c r="G178" s="47"/>
      <c r="H178" s="47"/>
      <c r="I178" s="76">
        <f t="shared" si="330"/>
        <v>0</v>
      </c>
      <c r="J178" s="47"/>
      <c r="K178" s="47"/>
      <c r="L178" s="47"/>
      <c r="M178" s="47"/>
      <c r="N178" s="47"/>
      <c r="O178" s="47"/>
      <c r="P178" s="47"/>
      <c r="Q178" s="76">
        <f t="shared" si="332"/>
        <v>0</v>
      </c>
      <c r="R178" s="47"/>
      <c r="S178" s="47"/>
      <c r="T178" s="47"/>
      <c r="U178" s="47"/>
      <c r="V178" s="47"/>
      <c r="W178" s="47"/>
      <c r="X178" s="47"/>
      <c r="Y178" s="76">
        <f t="shared" si="334"/>
        <v>0</v>
      </c>
      <c r="Z178" s="47"/>
      <c r="AA178" s="47"/>
      <c r="AB178" s="47"/>
      <c r="AC178" s="47"/>
      <c r="AD178" s="47"/>
      <c r="AE178" s="47"/>
      <c r="AF178" s="47"/>
      <c r="AG178" s="76">
        <f t="shared" si="336"/>
        <v>0</v>
      </c>
      <c r="AH178" s="47"/>
      <c r="AI178" s="47"/>
      <c r="AJ178" s="47"/>
      <c r="AK178" s="47"/>
      <c r="AL178" s="47"/>
      <c r="AM178" s="47"/>
      <c r="AN178" s="47"/>
      <c r="AO178" s="76">
        <f t="shared" si="338"/>
        <v>0</v>
      </c>
      <c r="AP178" s="47"/>
      <c r="AQ178" s="47"/>
      <c r="AR178" s="76">
        <f t="shared" ref="AR178:AR180" si="347">SUM(AP178:AQ178)</f>
        <v>0</v>
      </c>
      <c r="AS178" s="76">
        <f t="shared" si="340"/>
        <v>0</v>
      </c>
    </row>
    <row r="179" spans="1:52" ht="15" customHeight="1" x14ac:dyDescent="0.25">
      <c r="A179" s="37" t="s">
        <v>62</v>
      </c>
      <c r="B179" s="47"/>
      <c r="C179" s="47"/>
      <c r="D179" s="47"/>
      <c r="E179" s="47"/>
      <c r="F179" s="47"/>
      <c r="G179" s="47"/>
      <c r="H179" s="47"/>
      <c r="I179" s="76">
        <f t="shared" si="330"/>
        <v>0</v>
      </c>
      <c r="J179" s="47"/>
      <c r="K179" s="47"/>
      <c r="L179" s="47"/>
      <c r="M179" s="47"/>
      <c r="N179" s="47"/>
      <c r="O179" s="47"/>
      <c r="P179" s="47"/>
      <c r="Q179" s="76">
        <f t="shared" si="332"/>
        <v>0</v>
      </c>
      <c r="R179" s="47"/>
      <c r="S179" s="47"/>
      <c r="T179" s="47"/>
      <c r="U179" s="47"/>
      <c r="V179" s="47"/>
      <c r="W179" s="47"/>
      <c r="X179" s="47"/>
      <c r="Y179" s="76">
        <f t="shared" si="334"/>
        <v>0</v>
      </c>
      <c r="Z179" s="47"/>
      <c r="AA179" s="47"/>
      <c r="AB179" s="47"/>
      <c r="AC179" s="47"/>
      <c r="AD179" s="47"/>
      <c r="AE179" s="47"/>
      <c r="AF179" s="47"/>
      <c r="AG179" s="76">
        <f t="shared" si="336"/>
        <v>0</v>
      </c>
      <c r="AH179" s="47"/>
      <c r="AI179" s="47"/>
      <c r="AJ179" s="47"/>
      <c r="AK179" s="47"/>
      <c r="AL179" s="47"/>
      <c r="AM179" s="47"/>
      <c r="AN179" s="47"/>
      <c r="AO179" s="76">
        <f t="shared" si="338"/>
        <v>0</v>
      </c>
      <c r="AP179" s="47"/>
      <c r="AQ179" s="47"/>
      <c r="AR179" s="76">
        <f t="shared" si="347"/>
        <v>0</v>
      </c>
      <c r="AS179" s="76">
        <f t="shared" si="340"/>
        <v>0</v>
      </c>
    </row>
    <row r="180" spans="1:52" ht="15" customHeight="1" x14ac:dyDescent="0.25">
      <c r="A180" s="52" t="s">
        <v>61</v>
      </c>
      <c r="B180" s="47"/>
      <c r="C180" s="47"/>
      <c r="D180" s="47"/>
      <c r="E180" s="47"/>
      <c r="F180" s="47"/>
      <c r="G180" s="47"/>
      <c r="H180" s="47"/>
      <c r="I180" s="76">
        <f t="shared" si="330"/>
        <v>0</v>
      </c>
      <c r="J180" s="47"/>
      <c r="K180" s="47"/>
      <c r="L180" s="47"/>
      <c r="M180" s="47"/>
      <c r="N180" s="47"/>
      <c r="O180" s="47"/>
      <c r="P180" s="47"/>
      <c r="Q180" s="76">
        <f t="shared" si="332"/>
        <v>0</v>
      </c>
      <c r="R180" s="47"/>
      <c r="S180" s="47"/>
      <c r="T180" s="47"/>
      <c r="U180" s="47"/>
      <c r="V180" s="47"/>
      <c r="W180" s="47"/>
      <c r="X180" s="47"/>
      <c r="Y180" s="76">
        <f t="shared" si="334"/>
        <v>0</v>
      </c>
      <c r="Z180" s="47"/>
      <c r="AA180" s="47"/>
      <c r="AB180" s="47"/>
      <c r="AC180" s="47"/>
      <c r="AD180" s="47"/>
      <c r="AE180" s="47"/>
      <c r="AF180" s="47"/>
      <c r="AG180" s="76">
        <f t="shared" si="336"/>
        <v>0</v>
      </c>
      <c r="AH180" s="47"/>
      <c r="AI180" s="47"/>
      <c r="AJ180" s="47"/>
      <c r="AK180" s="47"/>
      <c r="AL180" s="47"/>
      <c r="AM180" s="47"/>
      <c r="AN180" s="47"/>
      <c r="AO180" s="76">
        <f t="shared" si="338"/>
        <v>0</v>
      </c>
      <c r="AP180" s="47"/>
      <c r="AQ180" s="47"/>
      <c r="AR180" s="76">
        <f t="shared" si="347"/>
        <v>0</v>
      </c>
      <c r="AS180" s="76">
        <f t="shared" si="340"/>
        <v>0</v>
      </c>
    </row>
    <row r="181" spans="1:52" s="49" customFormat="1" ht="15" customHeight="1" x14ac:dyDescent="0.25">
      <c r="A181" s="52" t="s">
        <v>95</v>
      </c>
      <c r="B181" s="76">
        <f>IF(B169="nuit",B172*0.02,0)</f>
        <v>0</v>
      </c>
      <c r="C181" s="76">
        <f>IF(C169="nuit",C172*0.02,0)</f>
        <v>0</v>
      </c>
      <c r="D181" s="76">
        <f t="shared" ref="D181:H181" si="348">IF(D169="nuit",D172*0.02,0)</f>
        <v>0</v>
      </c>
      <c r="E181" s="76">
        <f t="shared" si="348"/>
        <v>0</v>
      </c>
      <c r="F181" s="76">
        <f>IF(F169="nuit",F172*0.02,0)</f>
        <v>0</v>
      </c>
      <c r="G181" s="76">
        <f t="shared" si="348"/>
        <v>0</v>
      </c>
      <c r="H181" s="76">
        <f t="shared" si="348"/>
        <v>0</v>
      </c>
      <c r="I181" s="76">
        <f t="shared" si="330"/>
        <v>0</v>
      </c>
      <c r="J181" s="76">
        <f>IF(J169="nuit",J172*0.02,0)</f>
        <v>0</v>
      </c>
      <c r="K181" s="76">
        <f>IF(K169="nuit",K172*0.02,0)</f>
        <v>0</v>
      </c>
      <c r="L181" s="76">
        <f t="shared" ref="L181:P181" si="349">IF(L169="nuit",L172*0.02,0)</f>
        <v>0</v>
      </c>
      <c r="M181" s="76">
        <f t="shared" si="349"/>
        <v>0</v>
      </c>
      <c r="N181" s="76">
        <f>IF(N169="nuit",N172*0.02,0)</f>
        <v>0</v>
      </c>
      <c r="O181" s="76">
        <f t="shared" si="349"/>
        <v>0</v>
      </c>
      <c r="P181" s="76">
        <f t="shared" si="349"/>
        <v>0</v>
      </c>
      <c r="Q181" s="76">
        <f t="shared" si="332"/>
        <v>0</v>
      </c>
      <c r="R181" s="76">
        <f>IF(R169="nuit",R172*0.02,0)</f>
        <v>0</v>
      </c>
      <c r="S181" s="76">
        <f>IF(S169="nuit",S172*0.02,0)</f>
        <v>0</v>
      </c>
      <c r="T181" s="76">
        <f t="shared" ref="T181:X181" si="350">IF(T169="nuit",T172*0.02,0)</f>
        <v>0</v>
      </c>
      <c r="U181" s="76">
        <f t="shared" si="350"/>
        <v>0</v>
      </c>
      <c r="V181" s="76">
        <f>IF(V169="nuit",V172*0.02,0)</f>
        <v>0</v>
      </c>
      <c r="W181" s="76">
        <f t="shared" si="350"/>
        <v>0</v>
      </c>
      <c r="X181" s="76">
        <f t="shared" si="350"/>
        <v>0</v>
      </c>
      <c r="Y181" s="76">
        <f t="shared" si="334"/>
        <v>0</v>
      </c>
      <c r="Z181" s="76">
        <f>IF(Z169="nuit",Z172*0.02,0)</f>
        <v>0</v>
      </c>
      <c r="AA181" s="76">
        <f>IF(AA169="nuit",AA172*0.02,0)</f>
        <v>0</v>
      </c>
      <c r="AB181" s="76">
        <f t="shared" ref="AB181:AF181" si="351">IF(AB169="nuit",AB172*0.02,0)</f>
        <v>0</v>
      </c>
      <c r="AC181" s="76">
        <f t="shared" si="351"/>
        <v>0</v>
      </c>
      <c r="AD181" s="76">
        <f>IF(AD169="nuit",AD172*0.02,0)</f>
        <v>0</v>
      </c>
      <c r="AE181" s="76">
        <f t="shared" si="351"/>
        <v>0</v>
      </c>
      <c r="AF181" s="76">
        <f t="shared" si="351"/>
        <v>0</v>
      </c>
      <c r="AG181" s="76">
        <f t="shared" si="336"/>
        <v>0</v>
      </c>
      <c r="AH181" s="76">
        <f>IF(AH169="nuit",AH172*0.02,0)</f>
        <v>0</v>
      </c>
      <c r="AI181" s="76">
        <f>IF(AI169="nuit",AI172*0.02,0)</f>
        <v>0</v>
      </c>
      <c r="AJ181" s="76">
        <f t="shared" ref="AJ181:AN181" si="352">IF(AJ169="nuit",AJ172*0.02,0)</f>
        <v>0</v>
      </c>
      <c r="AK181" s="76">
        <f t="shared" si="352"/>
        <v>0</v>
      </c>
      <c r="AL181" s="76">
        <f>IF(AL169="nuit",AL172*0.02,0)</f>
        <v>0</v>
      </c>
      <c r="AM181" s="76">
        <f t="shared" si="352"/>
        <v>0</v>
      </c>
      <c r="AN181" s="76">
        <f t="shared" si="352"/>
        <v>0</v>
      </c>
      <c r="AO181" s="76">
        <f t="shared" si="338"/>
        <v>0</v>
      </c>
      <c r="AP181" s="76">
        <f>IF(AP169="nuit",AP172*0.02,0)</f>
        <v>0</v>
      </c>
      <c r="AQ181" s="76">
        <f>IF(AQ169="nuit",AQ172*0.02,0)</f>
        <v>0</v>
      </c>
      <c r="AR181" s="76">
        <f>SUM(AP181:AQ181)</f>
        <v>0</v>
      </c>
      <c r="AS181" s="76">
        <f>I181+Q181+Y181+AG181+AO181+AR181</f>
        <v>0</v>
      </c>
      <c r="AT181" s="68"/>
      <c r="AU181" s="68"/>
      <c r="AV181" s="68"/>
      <c r="AW181" s="68"/>
      <c r="AX181" s="68"/>
      <c r="AY181" s="68"/>
      <c r="AZ181" s="51"/>
    </row>
    <row r="182" spans="1:52" ht="15" customHeight="1" x14ac:dyDescent="0.25">
      <c r="A182" s="37" t="s">
        <v>82</v>
      </c>
      <c r="B182" s="47"/>
      <c r="C182" s="47"/>
      <c r="D182" s="47"/>
      <c r="E182" s="47"/>
      <c r="F182" s="47"/>
      <c r="G182" s="53"/>
      <c r="H182" s="53"/>
      <c r="I182" s="80"/>
      <c r="J182" s="53"/>
      <c r="K182" s="53"/>
      <c r="L182" s="53"/>
      <c r="M182" s="53"/>
      <c r="N182" s="53"/>
      <c r="O182" s="53"/>
      <c r="P182" s="53"/>
      <c r="Q182" s="80"/>
      <c r="R182" s="53"/>
      <c r="S182" s="53"/>
      <c r="T182" s="53"/>
      <c r="U182" s="53"/>
      <c r="V182" s="53"/>
      <c r="W182" s="53"/>
      <c r="X182" s="53"/>
      <c r="Y182" s="80"/>
      <c r="Z182" s="53"/>
      <c r="AA182" s="53"/>
      <c r="AB182" s="53"/>
      <c r="AC182" s="53"/>
      <c r="AD182" s="53"/>
      <c r="AE182" s="53"/>
      <c r="AF182" s="53"/>
      <c r="AG182" s="80"/>
      <c r="AH182" s="53"/>
      <c r="AI182" s="53"/>
      <c r="AJ182" s="53"/>
      <c r="AK182" s="53"/>
      <c r="AL182" s="53"/>
      <c r="AM182" s="53"/>
      <c r="AN182" s="53"/>
      <c r="AO182" s="80"/>
      <c r="AP182" s="53"/>
      <c r="AQ182" s="53"/>
      <c r="AR182" s="80"/>
      <c r="AS182" s="81"/>
    </row>
    <row r="183" spans="1:52" ht="15" customHeight="1" x14ac:dyDescent="0.25">
      <c r="A183" s="54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85"/>
    </row>
    <row r="184" spans="1:52" ht="27.6" x14ac:dyDescent="0.25">
      <c r="A184" s="37"/>
      <c r="B184" s="40" t="s">
        <v>80</v>
      </c>
      <c r="C184" s="40"/>
      <c r="D184" s="40"/>
      <c r="E184" s="40"/>
      <c r="F184" s="40"/>
      <c r="G184" s="96">
        <f>Année_Calendaire</f>
        <v>2016</v>
      </c>
      <c r="H184" s="96"/>
      <c r="I184" s="65"/>
      <c r="J184" s="47"/>
      <c r="K184" s="47"/>
      <c r="L184" s="47"/>
      <c r="M184" s="47"/>
      <c r="N184" s="47"/>
      <c r="O184" s="47"/>
      <c r="P184" s="47"/>
      <c r="Q184" s="65"/>
      <c r="R184" s="40" t="s">
        <v>80</v>
      </c>
      <c r="S184" s="40"/>
      <c r="T184" s="40"/>
      <c r="U184" s="40"/>
      <c r="V184" s="40"/>
      <c r="W184" s="96">
        <f>Année_Calendaire</f>
        <v>2016</v>
      </c>
      <c r="X184" s="96"/>
      <c r="Y184" s="65"/>
      <c r="Z184" s="47"/>
      <c r="AA184" s="47"/>
      <c r="AB184" s="47"/>
      <c r="AC184" s="47"/>
      <c r="AD184" s="47"/>
      <c r="AE184" s="47"/>
      <c r="AF184" s="47"/>
      <c r="AG184" s="65"/>
      <c r="AH184" s="40" t="s">
        <v>80</v>
      </c>
      <c r="AI184" s="40"/>
      <c r="AJ184" s="40"/>
      <c r="AK184" s="40"/>
      <c r="AL184" s="40"/>
      <c r="AM184" s="96">
        <f>Année_Calendaire</f>
        <v>2016</v>
      </c>
      <c r="AN184" s="96"/>
      <c r="AO184" s="65"/>
      <c r="AP184" s="47"/>
      <c r="AQ184" s="47"/>
      <c r="AR184" s="65"/>
    </row>
    <row r="185" spans="1:52" ht="29.25" customHeight="1" x14ac:dyDescent="0.25">
      <c r="A185" s="47"/>
      <c r="B185" s="78" t="s">
        <v>64</v>
      </c>
      <c r="C185" s="78" t="s">
        <v>65</v>
      </c>
      <c r="D185" s="78" t="s">
        <v>66</v>
      </c>
      <c r="E185" s="78" t="s">
        <v>67</v>
      </c>
      <c r="F185" s="78" t="s">
        <v>68</v>
      </c>
      <c r="G185" s="78" t="s">
        <v>69</v>
      </c>
      <c r="H185" s="78" t="s">
        <v>70</v>
      </c>
      <c r="I185" s="97" t="s">
        <v>83</v>
      </c>
      <c r="J185" s="78" t="s">
        <v>64</v>
      </c>
      <c r="K185" s="78" t="s">
        <v>65</v>
      </c>
      <c r="L185" s="78" t="s">
        <v>66</v>
      </c>
      <c r="M185" s="78" t="s">
        <v>67</v>
      </c>
      <c r="N185" s="78" t="s">
        <v>68</v>
      </c>
      <c r="O185" s="78" t="s">
        <v>69</v>
      </c>
      <c r="P185" s="78" t="s">
        <v>70</v>
      </c>
      <c r="Q185" s="97" t="s">
        <v>83</v>
      </c>
      <c r="R185" s="78" t="s">
        <v>64</v>
      </c>
      <c r="S185" s="78" t="s">
        <v>65</v>
      </c>
      <c r="T185" s="78" t="s">
        <v>66</v>
      </c>
      <c r="U185" s="78" t="s">
        <v>67</v>
      </c>
      <c r="V185" s="78" t="s">
        <v>68</v>
      </c>
      <c r="W185" s="78" t="s">
        <v>69</v>
      </c>
      <c r="X185" s="78" t="s">
        <v>70</v>
      </c>
      <c r="Y185" s="97" t="s">
        <v>83</v>
      </c>
      <c r="Z185" s="78" t="s">
        <v>64</v>
      </c>
      <c r="AA185" s="78" t="s">
        <v>65</v>
      </c>
      <c r="AB185" s="78" t="s">
        <v>66</v>
      </c>
      <c r="AC185" s="78" t="s">
        <v>67</v>
      </c>
      <c r="AD185" s="78" t="s">
        <v>68</v>
      </c>
      <c r="AE185" s="78" t="s">
        <v>69</v>
      </c>
      <c r="AF185" s="78" t="s">
        <v>70</v>
      </c>
      <c r="AG185" s="97" t="s">
        <v>83</v>
      </c>
      <c r="AH185" s="78" t="s">
        <v>64</v>
      </c>
      <c r="AI185" s="78" t="s">
        <v>65</v>
      </c>
      <c r="AJ185" s="78" t="s">
        <v>66</v>
      </c>
      <c r="AK185" s="78" t="s">
        <v>67</v>
      </c>
      <c r="AL185" s="78" t="s">
        <v>68</v>
      </c>
      <c r="AM185" s="78" t="s">
        <v>69</v>
      </c>
      <c r="AN185" s="78" t="s">
        <v>70</v>
      </c>
      <c r="AO185" s="97" t="s">
        <v>83</v>
      </c>
      <c r="AP185" s="78" t="s">
        <v>64</v>
      </c>
      <c r="AQ185" s="78" t="s">
        <v>65</v>
      </c>
      <c r="AR185" s="97" t="s">
        <v>83</v>
      </c>
      <c r="AS185" s="97" t="s">
        <v>86</v>
      </c>
      <c r="AT185" s="98">
        <f>AS192+AS193+AS194</f>
        <v>0</v>
      </c>
      <c r="AU185" s="98">
        <f>AT185+AU167</f>
        <v>85</v>
      </c>
    </row>
    <row r="186" spans="1:52" ht="15" customHeight="1" x14ac:dyDescent="0.25">
      <c r="A186" s="61"/>
      <c r="B186" s="83" t="str">
        <f>IF(DAY(Nov_Dim1)=1,"",IF(AND(YEAR(Nov_Dim1+1)=Année_Calendaire,MONTH(Nov_Dim1+1)=11),Nov_Dim1+1,""))</f>
        <v/>
      </c>
      <c r="C186" s="83">
        <f>IF(DAY(Nov_Dim1)=1,"",IF(AND(YEAR(Nov_Dim1+2)=Année_Calendaire,MONTH(Nov_Dim1+2)=11),Nov_Dim1+2,""))</f>
        <v>42675</v>
      </c>
      <c r="D186" s="83">
        <f>IF(DAY(Nov_Dim1)=1,"",IF(AND(YEAR(Nov_Dim1+3)=Année_Calendaire,MONTH(Nov_Dim1+3)=11),Nov_Dim1+3,""))</f>
        <v>42676</v>
      </c>
      <c r="E186" s="83">
        <f>IF(DAY(Nov_Dim1)=1,"",IF(AND(YEAR(Nov_Dim1+4)=Année_Calendaire,MONTH(Nov_Dim1+4)=11),Nov_Dim1+4,""))</f>
        <v>42677</v>
      </c>
      <c r="F186" s="83">
        <f>IF(DAY(Nov_Dim1)=1,"",IF(AND(YEAR(Nov_Dim1+5)=Année_Calendaire,MONTH(Nov_Dim1+5)=11),Nov_Dim1+5,""))</f>
        <v>42678</v>
      </c>
      <c r="G186" s="83">
        <f>IF(DAY(Nov_Dim1)=1,"",IF(AND(YEAR(Nov_Dim1+6)=Année_Calendaire,MONTH(Nov_Dim1+6)=11),Nov_Dim1+6,""))</f>
        <v>42679</v>
      </c>
      <c r="H186" s="83">
        <f>IF(DAY(Nov_Dim1)=1,IF(AND(YEAR(Nov_Dim1)=Année_Calendaire,MONTH(Nov_Dim1)=11),Nov_Dim1,""),IF(AND(YEAR(Nov_Dim1+7)=Année_Calendaire,MONTH(Nov_Dim1+7)=11),Nov_Dim1+7,""))</f>
        <v>42680</v>
      </c>
      <c r="I186" s="97"/>
      <c r="J186" s="83">
        <f>IF(DAY(Nov_Dim1)=1,IF(AND(YEAR(Nov_Dim1+1)=Année_Calendaire,MONTH(Nov_Dim1+1)=11),Nov_Dim1+1,""),IF(AND(YEAR(Nov_Dim1+8)=Année_Calendaire,MONTH(Nov_Dim1+8)=11),Nov_Dim1+8,""))</f>
        <v>42681</v>
      </c>
      <c r="K186" s="83">
        <f>IF(DAY(Nov_Dim1)=1,IF(AND(YEAR(Nov_Dim1+2)=Année_Calendaire,MONTH(Nov_Dim1+2)=11),Nov_Dim1+2,""),IF(AND(YEAR(Nov_Dim1+9)=Année_Calendaire,MONTH(Nov_Dim1+9)=11),Nov_Dim1+9,""))</f>
        <v>42682</v>
      </c>
      <c r="L186" s="83">
        <f>IF(DAY(Nov_Dim1)=1,IF(AND(YEAR(Nov_Dim1+3)=Année_Calendaire,MONTH(Nov_Dim1+3)=11),Nov_Dim1+3,""),IF(AND(YEAR(Nov_Dim1+10)=Année_Calendaire,MONTH(Nov_Dim1+10)=11),Nov_Dim1+10,""))</f>
        <v>42683</v>
      </c>
      <c r="M186" s="83">
        <f>IF(DAY(Nov_Dim1)=1,IF(AND(YEAR(Nov_Dim1+4)=Année_Calendaire,MONTH(Nov_Dim1+4)=11),Nov_Dim1+4,""),IF(AND(YEAR(Nov_Dim1+11)=Année_Calendaire,MONTH(Nov_Dim1+11)=11),Nov_Dim1+11,""))</f>
        <v>42684</v>
      </c>
      <c r="N186" s="83">
        <f>IF(DAY(Nov_Dim1)=1,IF(AND(YEAR(Nov_Dim1+5)=Année_Calendaire,MONTH(Nov_Dim1+5)=11),Nov_Dim1+5,""),IF(AND(YEAR(Nov_Dim1+12)=Année_Calendaire,MONTH(Nov_Dim1+12)=11),Nov_Dim1+12,""))</f>
        <v>42685</v>
      </c>
      <c r="O186" s="83">
        <f>IF(DAY(Nov_Dim1)=1,IF(AND(YEAR(Nov_Dim1+6)=Année_Calendaire,MONTH(Nov_Dim1+6)=11),Nov_Dim1+6,""),IF(AND(YEAR(Nov_Dim1+13)=Année_Calendaire,MONTH(Nov_Dim1+13)=11),Nov_Dim1+13,""))</f>
        <v>42686</v>
      </c>
      <c r="P186" s="83">
        <f>IF(DAY(Nov_Dim1)=1,IF(AND(YEAR(Nov_Dim1+7)=Année_Calendaire,MONTH(Nov_Dim1+7)=11),Nov_Dim1+7,""),IF(AND(YEAR(Nov_Dim1+14)=Année_Calendaire,MONTH(Nov_Dim1+14)=11),Nov_Dim1+14,""))</f>
        <v>42687</v>
      </c>
      <c r="Q186" s="97"/>
      <c r="R186" s="83">
        <f>IF(DAY(Nov_Dim1)=1,IF(AND(YEAR(Nov_Dim1+8)=Année_Calendaire,MONTH(Nov_Dim1+8)=11),Nov_Dim1+8,""),IF(AND(YEAR(Nov_Dim1+15)=Année_Calendaire,MONTH(Nov_Dim1+15)=11),Nov_Dim1+15,""))</f>
        <v>42688</v>
      </c>
      <c r="S186" s="83">
        <f>IF(DAY(Nov_Dim1)=1,IF(AND(YEAR(Nov_Dim1+9)=Année_Calendaire,MONTH(Nov_Dim1+9)=11),Nov_Dim1+9,""),IF(AND(YEAR(Nov_Dim1+16)=Année_Calendaire,MONTH(Nov_Dim1+16)=11),Nov_Dim1+16,""))</f>
        <v>42689</v>
      </c>
      <c r="T186" s="83">
        <f>IF(DAY(Nov_Dim1)=1,IF(AND(YEAR(Nov_Dim1+10)=Année_Calendaire,MONTH(Nov_Dim1+10)=11),Nov_Dim1+10,""),IF(AND(YEAR(Nov_Dim1+17)=Année_Calendaire,MONTH(Nov_Dim1+17)=11),Nov_Dim1+17,""))</f>
        <v>42690</v>
      </c>
      <c r="U186" s="83">
        <f>IF(DAY(Nov_Dim1)=1,IF(AND(YEAR(Nov_Dim1+11)=Année_Calendaire,MONTH(Nov_Dim1+11)=11),Nov_Dim1+11,""),IF(AND(YEAR(Nov_Dim1+18)=Année_Calendaire,MONTH(Nov_Dim1+18)=11),Nov_Dim1+18,""))</f>
        <v>42691</v>
      </c>
      <c r="V186" s="83">
        <f>IF(DAY(Nov_Dim1)=1,IF(AND(YEAR(Nov_Dim1+12)=Année_Calendaire,MONTH(Nov_Dim1+12)=11),Nov_Dim1+12,""),IF(AND(YEAR(Nov_Dim1+19)=Année_Calendaire,MONTH(Nov_Dim1+19)=11),Nov_Dim1+19,""))</f>
        <v>42692</v>
      </c>
      <c r="W186" s="83">
        <f>IF(DAY(Nov_Dim1)=1,IF(AND(YEAR(Nov_Dim1+13)=Année_Calendaire,MONTH(Nov_Dim1+13)=11),Nov_Dim1+13,""),IF(AND(YEAR(Nov_Dim1+20)=Année_Calendaire,MONTH(Nov_Dim1+20)=11),Nov_Dim1+20,""))</f>
        <v>42693</v>
      </c>
      <c r="X186" s="83">
        <f>IF(DAY(Nov_Dim1)=1,IF(AND(YEAR(Nov_Dim1+14)=Année_Calendaire,MONTH(Nov_Dim1+14)=11),Nov_Dim1+14,""),IF(AND(YEAR(Nov_Dim1+21)=Année_Calendaire,MONTH(Nov_Dim1+21)=11),Nov_Dim1+21,""))</f>
        <v>42694</v>
      </c>
      <c r="Y186" s="97"/>
      <c r="Z186" s="83">
        <f>IF(DAY(Nov_Dim1)=1,IF(AND(YEAR(Nov_Dim1+15)=Année_Calendaire,MONTH(Nov_Dim1+15)=11),Nov_Dim1+15,""),IF(AND(YEAR(Nov_Dim1+22)=Année_Calendaire,MONTH(Nov_Dim1+22)=11),Nov_Dim1+22,""))</f>
        <v>42695</v>
      </c>
      <c r="AA186" s="83">
        <f>IF(DAY(Nov_Dim1)=1,IF(AND(YEAR(Nov_Dim1+16)=Année_Calendaire,MONTH(Nov_Dim1+16)=11),Nov_Dim1+16,""),IF(AND(YEAR(Nov_Dim1+23)=Année_Calendaire,MONTH(Nov_Dim1+23)=11),Nov_Dim1+23,""))</f>
        <v>42696</v>
      </c>
      <c r="AB186" s="83">
        <f>IF(DAY(Nov_Dim1)=1,IF(AND(YEAR(Nov_Dim1+17)=Année_Calendaire,MONTH(Nov_Dim1+17)=11),Nov_Dim1+17,""),IF(AND(YEAR(Nov_Dim1+24)=Année_Calendaire,MONTH(Nov_Dim1+24)=11),Nov_Dim1+24,""))</f>
        <v>42697</v>
      </c>
      <c r="AC186" s="83">
        <f>IF(DAY(Nov_Dim1)=1,IF(AND(YEAR(Nov_Dim1+18)=Année_Calendaire,MONTH(Nov_Dim1+18)=11),Nov_Dim1+18,""),IF(AND(YEAR(Nov_Dim1+25)=Année_Calendaire,MONTH(Nov_Dim1+25)=11),Nov_Dim1+25,""))</f>
        <v>42698</v>
      </c>
      <c r="AD186" s="83">
        <f>IF(DAY(Nov_Dim1)=1,IF(AND(YEAR(Nov_Dim1+19)=Année_Calendaire,MONTH(Nov_Dim1+19)=11),Nov_Dim1+19,""),IF(AND(YEAR(Nov_Dim1+26)=Année_Calendaire,MONTH(Nov_Dim1+26)=11),Nov_Dim1+26,""))</f>
        <v>42699</v>
      </c>
      <c r="AE186" s="83">
        <f>IF(DAY(Nov_Dim1)=1,IF(AND(YEAR(Nov_Dim1+20)=Année_Calendaire,MONTH(Nov_Dim1+20)=11),Nov_Dim1+20,""),IF(AND(YEAR(Nov_Dim1+27)=Année_Calendaire,MONTH(Nov_Dim1+27)=11),Nov_Dim1+27,""))</f>
        <v>42700</v>
      </c>
      <c r="AF186" s="83">
        <f>IF(DAY(Nov_Dim1)=1,IF(AND(YEAR(Nov_Dim1+21)=Année_Calendaire,MONTH(Nov_Dim1+21)=11),Nov_Dim1+21,""),IF(AND(YEAR(Nov_Dim1+28)=Année_Calendaire,MONTH(Nov_Dim1+28)=11),Nov_Dim1+28,""))</f>
        <v>42701</v>
      </c>
      <c r="AG186" s="97"/>
      <c r="AH186" s="83">
        <f>IF(DAY(Nov_Dim1)=1,IF(AND(YEAR(Nov_Dim1+22)=Année_Calendaire,MONTH(Nov_Dim1+22)=11),Nov_Dim1+22,""),IF(AND(YEAR(Nov_Dim1+29)=Année_Calendaire,MONTH(Nov_Dim1+29)=11),Nov_Dim1+29,""))</f>
        <v>42702</v>
      </c>
      <c r="AI186" s="83">
        <f>IF(DAY(Nov_Dim1)=1,IF(AND(YEAR(Nov_Dim1+23)=Année_Calendaire,MONTH(Nov_Dim1+23)=11),Nov_Dim1+23,""),IF(AND(YEAR(Nov_Dim1+30)=Année_Calendaire,MONTH(Nov_Dim1+30)=11),Nov_Dim1+30,""))</f>
        <v>42703</v>
      </c>
      <c r="AJ186" s="83">
        <f>IF(DAY(Nov_Dim1)=1,IF(AND(YEAR(Nov_Dim1+24)=Année_Calendaire,MONTH(Nov_Dim1+24)=11),Nov_Dim1+24,""),IF(AND(YEAR(Nov_Dim1+31)=Année_Calendaire,MONTH(Nov_Dim1+31)=11),Nov_Dim1+31,""))</f>
        <v>42704</v>
      </c>
      <c r="AK186" s="83" t="str">
        <f>IF(DAY(Nov_Dim1)=1,IF(AND(YEAR(Nov_Dim1+25)=Année_Calendaire,MONTH(Nov_Dim1+25)=11),Nov_Dim1+25,""),IF(AND(YEAR(Nov_Dim1+32)=Année_Calendaire,MONTH(Nov_Dim1+32)=11),Nov_Dim1+32,""))</f>
        <v/>
      </c>
      <c r="AL186" s="83" t="str">
        <f>IF(DAY(Nov_Dim1)=1,IF(AND(YEAR(Nov_Dim1+26)=Année_Calendaire,MONTH(Nov_Dim1+26)=11),Nov_Dim1+26,""),IF(AND(YEAR(Nov_Dim1+33)=Année_Calendaire,MONTH(Nov_Dim1+33)=11),Nov_Dim1+33,""))</f>
        <v/>
      </c>
      <c r="AM186" s="83" t="str">
        <f>IF(DAY(Nov_Dim1)=1,IF(AND(YEAR(Nov_Dim1+27)=Année_Calendaire,MONTH(Nov_Dim1+27)=11),Nov_Dim1+27,""),IF(AND(YEAR(Nov_Dim1+34)=Année_Calendaire,MONTH(Nov_Dim1+34)=11),Nov_Dim1+34,""))</f>
        <v/>
      </c>
      <c r="AN186" s="83" t="str">
        <f>IF(DAY(Nov_Dim1)=1,IF(AND(YEAR(Nov_Dim1+28)=Année_Calendaire,MONTH(Nov_Dim1+28)=11),Nov_Dim1+28,""),IF(AND(YEAR(Nov_Dim1+35)=Année_Calendaire,MONTH(Nov_Dim1+35)=11),Nov_Dim1+35,""))</f>
        <v/>
      </c>
      <c r="AO186" s="97"/>
      <c r="AP186" s="77" t="str">
        <f>IF(DAY(Nov_Dim1)=1,IF(AND(YEAR(Nov_Dim1+29)=Année_Calendaire,MONTH(Nov_Dim1+29)=11),Nov_Dim1+29,""),IF(AND(YEAR(Nov_Dim1+36)=Année_Calendaire,MONTH(Nov_Dim1+36)=11),Nov_Dim1+36,""))</f>
        <v/>
      </c>
      <c r="AQ186" s="77" t="str">
        <f>IF(DAY(Nov_Dim1)=1,IF(AND(YEAR(Nov_Dim1+30)=Année_Calendaire,MONTH(Nov_Dim1+30)=11),Nov_Dim1+30,""),IF(AND(YEAR(Nov_Dim1+37)=Année_Calendaire,MONTH(Nov_Dim1+37)=11),Nov_Dim1+37,""))</f>
        <v/>
      </c>
      <c r="AR186" s="97"/>
      <c r="AS186" s="97"/>
      <c r="AT186" s="98"/>
      <c r="AU186" s="98"/>
    </row>
    <row r="187" spans="1:52" ht="15" customHeight="1" x14ac:dyDescent="0.25">
      <c r="A187" s="37" t="s">
        <v>2</v>
      </c>
      <c r="B187" s="47"/>
      <c r="C187" s="47"/>
      <c r="D187" s="47"/>
      <c r="E187" s="47"/>
      <c r="F187" s="47"/>
      <c r="G187" s="47"/>
      <c r="H187" s="47"/>
      <c r="I187" s="76"/>
      <c r="J187" s="47"/>
      <c r="K187" s="47"/>
      <c r="L187" s="47"/>
      <c r="M187" s="47"/>
      <c r="N187" s="47"/>
      <c r="O187" s="47"/>
      <c r="P187" s="47"/>
      <c r="Q187" s="76"/>
      <c r="R187" s="47"/>
      <c r="S187" s="47"/>
      <c r="T187" s="47"/>
      <c r="U187" s="47"/>
      <c r="V187" s="47"/>
      <c r="W187" s="47"/>
      <c r="X187" s="47"/>
      <c r="Y187" s="76"/>
      <c r="Z187" s="47"/>
      <c r="AA187" s="47"/>
      <c r="AB187" s="47"/>
      <c r="AC187" s="47"/>
      <c r="AD187" s="47"/>
      <c r="AE187" s="47"/>
      <c r="AF187" s="47"/>
      <c r="AG187" s="76"/>
      <c r="AH187" s="47"/>
      <c r="AI187" s="47"/>
      <c r="AJ187" s="47"/>
      <c r="AK187" s="47"/>
      <c r="AL187" s="47"/>
      <c r="AM187" s="47"/>
      <c r="AN187" s="47"/>
      <c r="AO187" s="76"/>
      <c r="AP187" s="47"/>
      <c r="AQ187" s="47"/>
      <c r="AR187" s="76"/>
      <c r="AS187" s="79"/>
    </row>
    <row r="188" spans="1:52" ht="15" customHeight="1" x14ac:dyDescent="0.25">
      <c r="A188" s="37" t="s">
        <v>63</v>
      </c>
      <c r="B188" s="76">
        <f t="shared" ref="B188:H188" si="353">IF(B187="Matin",1,IF(B187="AM",1,0))</f>
        <v>0</v>
      </c>
      <c r="C188" s="76">
        <f t="shared" si="353"/>
        <v>0</v>
      </c>
      <c r="D188" s="76">
        <f t="shared" si="353"/>
        <v>0</v>
      </c>
      <c r="E188" s="76">
        <f t="shared" si="353"/>
        <v>0</v>
      </c>
      <c r="F188" s="76">
        <f t="shared" si="353"/>
        <v>0</v>
      </c>
      <c r="G188" s="76">
        <f t="shared" si="353"/>
        <v>0</v>
      </c>
      <c r="H188" s="76">
        <f t="shared" si="353"/>
        <v>0</v>
      </c>
      <c r="I188" s="76">
        <f>SUM(B188:H188)</f>
        <v>0</v>
      </c>
      <c r="J188" s="76">
        <f t="shared" ref="J188:P188" si="354">IF(J187="Matin",1,IF(J187="AM",1,0))</f>
        <v>0</v>
      </c>
      <c r="K188" s="76">
        <f t="shared" si="354"/>
        <v>0</v>
      </c>
      <c r="L188" s="76">
        <f t="shared" si="354"/>
        <v>0</v>
      </c>
      <c r="M188" s="76">
        <f t="shared" si="354"/>
        <v>0</v>
      </c>
      <c r="N188" s="76">
        <f t="shared" si="354"/>
        <v>0</v>
      </c>
      <c r="O188" s="76">
        <f t="shared" si="354"/>
        <v>0</v>
      </c>
      <c r="P188" s="76">
        <f t="shared" si="354"/>
        <v>0</v>
      </c>
      <c r="Q188" s="76">
        <f>SUM(J188:P188)</f>
        <v>0</v>
      </c>
      <c r="R188" s="76">
        <f t="shared" ref="R188:X188" si="355">IF(R187="Matin",1,IF(R187="AM",1,0))</f>
        <v>0</v>
      </c>
      <c r="S188" s="76">
        <f t="shared" si="355"/>
        <v>0</v>
      </c>
      <c r="T188" s="76">
        <f t="shared" si="355"/>
        <v>0</v>
      </c>
      <c r="U188" s="76">
        <f t="shared" si="355"/>
        <v>0</v>
      </c>
      <c r="V188" s="76">
        <f t="shared" si="355"/>
        <v>0</v>
      </c>
      <c r="W188" s="76">
        <f t="shared" si="355"/>
        <v>0</v>
      </c>
      <c r="X188" s="76">
        <f t="shared" si="355"/>
        <v>0</v>
      </c>
      <c r="Y188" s="76">
        <f>SUM(R188:X188)</f>
        <v>0</v>
      </c>
      <c r="Z188" s="76">
        <f t="shared" ref="Z188:AF188" si="356">IF(Z187="Matin",1,IF(Z187="AM",1,0))</f>
        <v>0</v>
      </c>
      <c r="AA188" s="76">
        <f t="shared" si="356"/>
        <v>0</v>
      </c>
      <c r="AB188" s="76">
        <f t="shared" si="356"/>
        <v>0</v>
      </c>
      <c r="AC188" s="76">
        <f t="shared" si="356"/>
        <v>0</v>
      </c>
      <c r="AD188" s="76">
        <f t="shared" si="356"/>
        <v>0</v>
      </c>
      <c r="AE188" s="76">
        <f t="shared" si="356"/>
        <v>0</v>
      </c>
      <c r="AF188" s="76">
        <f t="shared" si="356"/>
        <v>0</v>
      </c>
      <c r="AG188" s="76">
        <f>SUM(Z188:AF188)</f>
        <v>0</v>
      </c>
      <c r="AH188" s="76">
        <f t="shared" ref="AH188:AN188" si="357">IF(AH187="Matin",1,IF(AH187="AM",1,0))</f>
        <v>0</v>
      </c>
      <c r="AI188" s="76">
        <f t="shared" si="357"/>
        <v>0</v>
      </c>
      <c r="AJ188" s="76">
        <f t="shared" si="357"/>
        <v>0</v>
      </c>
      <c r="AK188" s="76">
        <f t="shared" si="357"/>
        <v>0</v>
      </c>
      <c r="AL188" s="76">
        <f t="shared" si="357"/>
        <v>0</v>
      </c>
      <c r="AM188" s="76">
        <f t="shared" si="357"/>
        <v>0</v>
      </c>
      <c r="AN188" s="76">
        <f t="shared" si="357"/>
        <v>0</v>
      </c>
      <c r="AO188" s="76">
        <f>SUM(AH188:AN188)</f>
        <v>0</v>
      </c>
      <c r="AP188" s="76">
        <f t="shared" ref="AP188:AQ188" si="358">IF(AP187="Matin",1,IF(AP187="AM",1,0))</f>
        <v>0</v>
      </c>
      <c r="AQ188" s="76">
        <f t="shared" si="358"/>
        <v>0</v>
      </c>
      <c r="AR188" s="76">
        <f t="shared" ref="AR188:AR195" si="359">SUM(AP188:AQ188)</f>
        <v>0</v>
      </c>
      <c r="AS188" s="76">
        <f>I188+Q188+Y188+AG188+AO188+AR188</f>
        <v>0</v>
      </c>
    </row>
    <row r="189" spans="1:52" ht="15" customHeight="1" x14ac:dyDescent="0.25">
      <c r="A189" s="37" t="s">
        <v>4</v>
      </c>
      <c r="B189" s="76">
        <f>IF(B190&gt;=1,1,0)</f>
        <v>0</v>
      </c>
      <c r="C189" s="76">
        <f>IF(C190&gt;=1,1,0)</f>
        <v>0</v>
      </c>
      <c r="D189" s="76">
        <f t="shared" ref="D189:H189" si="360">IF(D190&gt;=1,1,0)</f>
        <v>0</v>
      </c>
      <c r="E189" s="76">
        <f t="shared" si="360"/>
        <v>0</v>
      </c>
      <c r="F189" s="76">
        <f t="shared" si="360"/>
        <v>0</v>
      </c>
      <c r="G189" s="76">
        <f t="shared" si="360"/>
        <v>0</v>
      </c>
      <c r="H189" s="76">
        <f t="shared" si="360"/>
        <v>0</v>
      </c>
      <c r="I189" s="76">
        <f t="shared" ref="I189:I199" si="361">SUM(B189:H189)</f>
        <v>0</v>
      </c>
      <c r="J189" s="76">
        <f>IF(J190&gt;=1,1,0)</f>
        <v>0</v>
      </c>
      <c r="K189" s="76">
        <f t="shared" ref="K189:P189" si="362">IF(K190&gt;=1,1,0)</f>
        <v>0</v>
      </c>
      <c r="L189" s="76">
        <f t="shared" si="362"/>
        <v>0</v>
      </c>
      <c r="M189" s="76">
        <f t="shared" si="362"/>
        <v>0</v>
      </c>
      <c r="N189" s="76">
        <f t="shared" si="362"/>
        <v>0</v>
      </c>
      <c r="O189" s="76">
        <f t="shared" si="362"/>
        <v>0</v>
      </c>
      <c r="P189" s="76">
        <f t="shared" si="362"/>
        <v>0</v>
      </c>
      <c r="Q189" s="76">
        <f t="shared" ref="Q189:Q199" si="363">SUM(J189:P189)</f>
        <v>0</v>
      </c>
      <c r="R189" s="76">
        <f>IF(R190&gt;=1,1,0)</f>
        <v>0</v>
      </c>
      <c r="S189" s="76">
        <f t="shared" ref="S189:X189" si="364">IF(S190&gt;=1,1,0)</f>
        <v>0</v>
      </c>
      <c r="T189" s="76">
        <f t="shared" si="364"/>
        <v>0</v>
      </c>
      <c r="U189" s="76">
        <f t="shared" si="364"/>
        <v>0</v>
      </c>
      <c r="V189" s="76">
        <f t="shared" si="364"/>
        <v>0</v>
      </c>
      <c r="W189" s="76">
        <f t="shared" si="364"/>
        <v>0</v>
      </c>
      <c r="X189" s="76">
        <f t="shared" si="364"/>
        <v>0</v>
      </c>
      <c r="Y189" s="76">
        <f t="shared" ref="Y189:Y199" si="365">SUM(R189:X189)</f>
        <v>0</v>
      </c>
      <c r="Z189" s="76">
        <f>IF(Z190&gt;=1,1,0)</f>
        <v>0</v>
      </c>
      <c r="AA189" s="76">
        <f t="shared" ref="AA189:AF189" si="366">IF(AA190&gt;=1,1,0)</f>
        <v>0</v>
      </c>
      <c r="AB189" s="76">
        <f t="shared" si="366"/>
        <v>0</v>
      </c>
      <c r="AC189" s="76">
        <f t="shared" si="366"/>
        <v>0</v>
      </c>
      <c r="AD189" s="76">
        <f t="shared" si="366"/>
        <v>0</v>
      </c>
      <c r="AE189" s="76">
        <f t="shared" si="366"/>
        <v>0</v>
      </c>
      <c r="AF189" s="76">
        <f t="shared" si="366"/>
        <v>0</v>
      </c>
      <c r="AG189" s="76">
        <f t="shared" ref="AG189:AG199" si="367">SUM(Z189:AF189)</f>
        <v>0</v>
      </c>
      <c r="AH189" s="76">
        <f>IF(AH190&gt;=1,1,0)</f>
        <v>0</v>
      </c>
      <c r="AI189" s="76">
        <f t="shared" ref="AI189:AN189" si="368">IF(AI190&gt;=1,1,0)</f>
        <v>0</v>
      </c>
      <c r="AJ189" s="76">
        <f t="shared" si="368"/>
        <v>0</v>
      </c>
      <c r="AK189" s="76">
        <f t="shared" si="368"/>
        <v>0</v>
      </c>
      <c r="AL189" s="76">
        <f t="shared" si="368"/>
        <v>0</v>
      </c>
      <c r="AM189" s="76">
        <f t="shared" si="368"/>
        <v>0</v>
      </c>
      <c r="AN189" s="76">
        <f t="shared" si="368"/>
        <v>0</v>
      </c>
      <c r="AO189" s="76">
        <f t="shared" ref="AO189:AO199" si="369">SUM(AH189:AN189)</f>
        <v>0</v>
      </c>
      <c r="AP189" s="76">
        <f>IF(AP190&gt;=1,1,0)</f>
        <v>0</v>
      </c>
      <c r="AQ189" s="76">
        <f t="shared" ref="AQ189" si="370">IF(AQ190&gt;=1,1,0)</f>
        <v>0</v>
      </c>
      <c r="AR189" s="76">
        <f t="shared" si="359"/>
        <v>0</v>
      </c>
      <c r="AS189" s="76">
        <f t="shared" ref="AS189:AS198" si="371">I189+Q189+Y189+AG189+AO189+AR189</f>
        <v>0</v>
      </c>
    </row>
    <row r="190" spans="1:52" x14ac:dyDescent="0.25">
      <c r="A190" s="37" t="s">
        <v>3</v>
      </c>
      <c r="B190" s="47"/>
      <c r="C190" s="47"/>
      <c r="D190" s="47"/>
      <c r="E190" s="47"/>
      <c r="F190" s="47"/>
      <c r="G190" s="47"/>
      <c r="H190" s="47"/>
      <c r="I190" s="76">
        <f t="shared" si="361"/>
        <v>0</v>
      </c>
      <c r="J190" s="47"/>
      <c r="K190" s="47"/>
      <c r="L190" s="47"/>
      <c r="M190" s="47"/>
      <c r="N190" s="47"/>
      <c r="O190" s="47"/>
      <c r="P190" s="47"/>
      <c r="Q190" s="76">
        <f t="shared" si="363"/>
        <v>0</v>
      </c>
      <c r="R190" s="47"/>
      <c r="S190" s="47"/>
      <c r="T190" s="47"/>
      <c r="U190" s="47"/>
      <c r="V190" s="47"/>
      <c r="W190" s="47"/>
      <c r="X190" s="47"/>
      <c r="Y190" s="76">
        <f t="shared" si="365"/>
        <v>0</v>
      </c>
      <c r="Z190" s="47"/>
      <c r="AA190" s="47"/>
      <c r="AB190" s="47"/>
      <c r="AC190" s="47"/>
      <c r="AD190" s="47"/>
      <c r="AE190" s="47"/>
      <c r="AF190" s="47"/>
      <c r="AG190" s="76">
        <f t="shared" si="367"/>
        <v>0</v>
      </c>
      <c r="AH190" s="47"/>
      <c r="AI190" s="47"/>
      <c r="AJ190" s="47"/>
      <c r="AK190" s="47"/>
      <c r="AL190" s="47"/>
      <c r="AM190" s="47"/>
      <c r="AN190" s="47"/>
      <c r="AO190" s="76">
        <f t="shared" si="369"/>
        <v>0</v>
      </c>
      <c r="AP190" s="47"/>
      <c r="AQ190" s="47"/>
      <c r="AR190" s="76">
        <f t="shared" si="359"/>
        <v>0</v>
      </c>
      <c r="AS190" s="76">
        <f t="shared" si="371"/>
        <v>0</v>
      </c>
    </row>
    <row r="191" spans="1:52" x14ac:dyDescent="0.25">
      <c r="A191" s="52" t="s">
        <v>71</v>
      </c>
      <c r="B191" s="82">
        <f>IF(B185&lt;&gt;"Dim",IF(B190&gt;32,MIN(B190,35)-32,0),0)</f>
        <v>0</v>
      </c>
      <c r="C191" s="82">
        <f>IF(C185&lt;&gt;"Dim",IF(SUM($B190:C190)&gt;32,MIN(SUM($B190:C190),35)-32-SUM($B191:B191),0),0)</f>
        <v>0</v>
      </c>
      <c r="D191" s="82">
        <f>IF(D185&lt;&gt;"Dim",IF(SUM($B190:D190)&gt;32,MIN(SUM($B190:D190),35)-32-SUM($B191:C191),0),0)</f>
        <v>0</v>
      </c>
      <c r="E191" s="82">
        <f>IF(E185&lt;&gt;"Dim",IF(SUM($B190:E190)&gt;32,MIN(SUM($B190:E190),35)-32-SUM($B191:D191),0),0)</f>
        <v>0</v>
      </c>
      <c r="F191" s="82">
        <f>IF(F185&lt;&gt;"Dim",IF(SUM($B190:F190)&gt;32,MIN(SUM($B190:F190),35)-32-SUM($B191:E191),0),0)</f>
        <v>0</v>
      </c>
      <c r="G191" s="82">
        <f>IF(G185&lt;&gt;"Dim",IF(SUM($B190:G190)&gt;32,MIN(SUM($B190:G190),35)-32-SUM($B191:F191),0),0)</f>
        <v>0</v>
      </c>
      <c r="H191" s="82">
        <f>IF(H185&lt;&gt;"Dim",IF(SUM($B190:H190)&gt;32,MIN(SUM($B190:H190),35)-32-SUM($B191:G191),0),0)</f>
        <v>0</v>
      </c>
      <c r="I191" s="76">
        <f t="shared" si="361"/>
        <v>0</v>
      </c>
      <c r="J191" s="82">
        <f>IF(J185&lt;&gt;"Dim",IF(J190&gt;32,MIN(J190,35)-32,0),0)</f>
        <v>0</v>
      </c>
      <c r="K191" s="82">
        <f>IF(K185&lt;&gt;"Dim",IF(SUM($J190:K190)&gt;32,MIN(SUM($J190:K190),35)-32-SUM($J191:J191),0),0)</f>
        <v>0</v>
      </c>
      <c r="L191" s="82">
        <f>IF(L185&lt;&gt;"Dim",IF(SUM($J190:L190)&gt;32,MIN(SUM($J190:L190),35)-32-SUM($J191:K191),0),0)</f>
        <v>0</v>
      </c>
      <c r="M191" s="82">
        <f>IF(M185&lt;&gt;"Dim",IF(SUM($J190:M190)&gt;32,MIN(SUM($J190:M190),35)-32-SUM($J191:L191),0),0)</f>
        <v>0</v>
      </c>
      <c r="N191" s="82">
        <f>IF(N185&lt;&gt;"Dim",IF(SUM($J190:N190)&gt;32,MIN(SUM($J190:N190),35)-32-SUM($J191:M191),0),0)</f>
        <v>0</v>
      </c>
      <c r="O191" s="82">
        <f>IF(O185&lt;&gt;"Dim",IF(SUM($J190:O190)&gt;32,MIN(SUM($J190:O190),35)-32-SUM($J191:N191),0),0)</f>
        <v>0</v>
      </c>
      <c r="P191" s="82">
        <f>IF(P185&lt;&gt;"Dim",IF(SUM($J190:P190)&gt;32,MIN(SUM($J190:P190),35)-32-SUM($J191:O191),0),0)</f>
        <v>0</v>
      </c>
      <c r="Q191" s="76">
        <f t="shared" si="363"/>
        <v>0</v>
      </c>
      <c r="R191" s="82">
        <f>IF(R185&lt;&gt;"Dim",IF(R190&gt;32,MIN(R190,35)-32,0),0)</f>
        <v>0</v>
      </c>
      <c r="S191" s="82">
        <f>IF(S185&lt;&gt;"Dim",IF(SUM($R190:S190)&gt;32,MIN(SUM($R190:S190),35)-32-SUM($R191:R191),0),0)</f>
        <v>0</v>
      </c>
      <c r="T191" s="82">
        <f>IF(T185&lt;&gt;"Dim",IF(SUM($R190:T190)&gt;32,MIN(SUM($R190:T190),35)-32-SUM($R191:S191),0),0)</f>
        <v>0</v>
      </c>
      <c r="U191" s="82">
        <f>IF(U185&lt;&gt;"Dim",IF(SUM($R190:U190)&gt;32,MIN(SUM($R190:U190),35)-32-SUM($R191:T191),0),0)</f>
        <v>0</v>
      </c>
      <c r="V191" s="82">
        <f>IF(V185&lt;&gt;"Dim",IF(SUM($R190:V190)&gt;32,MIN(SUM($R190:V190),35)-32-SUM($R191:U191),0),0)</f>
        <v>0</v>
      </c>
      <c r="W191" s="82">
        <f>IF(W185&lt;&gt;"Dim",IF(SUM($R190:W190)&gt;32,MIN(SUM($R190:W190),35)-32-SUM($R191:V191),0),0)</f>
        <v>0</v>
      </c>
      <c r="X191" s="82">
        <f>IF(X185&lt;&gt;"Dim",IF(SUM($R190:X190)&gt;32,MIN(SUM($R190:X190),35)-32-SUM($R191:W191),0),0)</f>
        <v>0</v>
      </c>
      <c r="Y191" s="76">
        <f t="shared" si="365"/>
        <v>0</v>
      </c>
      <c r="Z191" s="82">
        <f>IF(Z185&lt;&gt;"Dim",IF(Z190&gt;32,MIN(Z190,35)-32,0),0)</f>
        <v>0</v>
      </c>
      <c r="AA191" s="82">
        <f>IF(AA185&lt;&gt;"Dim",IF(SUM($Z190:AA190)&gt;32,MIN(SUM($Z190:AA190),35)-32-SUM($Z191:Z191),0),0)</f>
        <v>0</v>
      </c>
      <c r="AB191" s="82">
        <f>IF(AB185&lt;&gt;"Dim",IF(SUM($Z190:AB190)&gt;32,MIN(SUM($Z190:AB190),35)-32-SUM($Z191:AA191),0),0)</f>
        <v>0</v>
      </c>
      <c r="AC191" s="82">
        <f>IF(AC185&lt;&gt;"Dim",IF(SUM($Z190:AC190)&gt;32,MIN(SUM($Z190:AC190),35)-32-SUM($Z191:AB191),0),0)</f>
        <v>0</v>
      </c>
      <c r="AD191" s="82">
        <f>IF(AD185&lt;&gt;"Dim",IF(SUM($Z190:AD190)&gt;32,MIN(SUM($Z190:AD190),35)-32-SUM($Z191:AC191),0),0)</f>
        <v>0</v>
      </c>
      <c r="AE191" s="82">
        <f>IF(AE185&lt;&gt;"Dim",IF(SUM($Z190:AE190)&gt;32,MIN(SUM($Z190:AE190),35)-32-SUM($Z191:AD191),0),0)</f>
        <v>0</v>
      </c>
      <c r="AF191" s="82">
        <f>IF(AF185&lt;&gt;"Dim",IF(SUM($Z190:AF190)&gt;32,MIN(SUM($Z190:AF190),35)-32-SUM($Z191:AE191),0),0)</f>
        <v>0</v>
      </c>
      <c r="AG191" s="76">
        <f t="shared" si="367"/>
        <v>0</v>
      </c>
      <c r="AH191" s="82">
        <f>IF(AH185&lt;&gt;"Dim",IF(AH190&gt;32,MIN(AH190,35)-32,0),0)</f>
        <v>0</v>
      </c>
      <c r="AI191" s="82">
        <f>IF(AI185&lt;&gt;"Dim",IF(SUM($AH190:AI190)&gt;32,MIN(SUM($AH190:AI190),35)-32-SUM($AH191:AH191),0),0)</f>
        <v>0</v>
      </c>
      <c r="AJ191" s="82">
        <f>IF(AJ185&lt;&gt;"Dim",IF(SUM($AH190:AJ190)&gt;32,MIN(SUM($AH190:AJ190),35)-32-SUM($AH191:AI191),0),0)</f>
        <v>0</v>
      </c>
      <c r="AK191" s="82">
        <f>IF(AK185&lt;&gt;"Dim",IF(SUM($AH190:AK190)&gt;32,MIN(SUM($AH190:AK190),35)-32-SUM($AH191:AJ191),0),0)</f>
        <v>0</v>
      </c>
      <c r="AL191" s="82">
        <f>IF(AL185&lt;&gt;"Dim",IF(SUM($AH190:AL190)&gt;32,MIN(SUM($AH190:AL190),35)-32-SUM($AH191:AK191),0),0)</f>
        <v>0</v>
      </c>
      <c r="AM191" s="82">
        <f>IF(AM185&lt;&gt;"Dim",IF(SUM($AH190:AM190)&gt;32,MIN(SUM($AH190:AM190),35)-32-SUM($AH191:AL191),0),0)</f>
        <v>0</v>
      </c>
      <c r="AN191" s="82">
        <f>IF(AN185&lt;&gt;"Dim",IF(SUM($AH190:AN190)&gt;32,MIN(SUM($AH190:AN190),35)-32-SUM($AH191:AM191),0),0)</f>
        <v>0</v>
      </c>
      <c r="AO191" s="76">
        <f t="shared" si="369"/>
        <v>0</v>
      </c>
      <c r="AP191" s="82">
        <f>IF(AP185&lt;&gt;"Dim",IF(AP190&gt;32,MIN(AP190,35)-32,0),0)</f>
        <v>0</v>
      </c>
      <c r="AQ191" s="82">
        <f>IF(AQ185&lt;&gt;"Dim",IF(SUM($AP190:AQ190)&gt;32,MIN(SUM($AP190:AQ190),35)-32-SUM($AP191:AP191),0),0)</f>
        <v>0</v>
      </c>
      <c r="AR191" s="76">
        <f t="shared" si="359"/>
        <v>0</v>
      </c>
      <c r="AS191" s="76">
        <f t="shared" si="371"/>
        <v>0</v>
      </c>
    </row>
    <row r="192" spans="1:52" x14ac:dyDescent="0.25">
      <c r="A192" s="37" t="s">
        <v>40</v>
      </c>
      <c r="B192" s="82">
        <f>IF(B185&lt;&gt;"Dim",IF(B190&gt;35,(MIN(B190,43)-35),0),0)</f>
        <v>0</v>
      </c>
      <c r="C192" s="82">
        <f>IF(C185&lt;&gt;"Dim",IF(SUM($B190:C190)&gt;35,(MIN(SUM($B190:C190),43)-35-SUM($B192:B192)),0),0)</f>
        <v>0</v>
      </c>
      <c r="D192" s="82">
        <f>IF(D185&lt;&gt;"Dim",IF(SUM($B190:D190)&gt;35,(MIN(SUM($B190:D190),43)-35-SUM($B192:C192)),0),0)</f>
        <v>0</v>
      </c>
      <c r="E192" s="82">
        <f>IF(E185&lt;&gt;"Dim",IF(SUM($B190:E190)&gt;35,(MIN(SUM($B190:E190),43)-35-SUM($B192:D192)),0),0)</f>
        <v>0</v>
      </c>
      <c r="F192" s="82">
        <f>IF(F185&lt;&gt;"Dim",IF(SUM($B190:F190)&gt;35,(MIN(SUM($B190:F190),43)-35-SUM($B192:E192)),0),0)</f>
        <v>0</v>
      </c>
      <c r="G192" s="82">
        <f>IF(G185&lt;&gt;"Dim",IF(SUM($B190:G190)&gt;35,(MIN(SUM($B190:G190),43)-35-SUM($B192:F192)),0),0)</f>
        <v>0</v>
      </c>
      <c r="H192" s="82">
        <f>IF(H185&lt;&gt;"Dim",IF(SUM($B190:H190)&gt;35,(MIN(SUM($B190:H190),43)-35-SUM($B192:G192)),0),0)</f>
        <v>0</v>
      </c>
      <c r="I192" s="76">
        <f t="shared" si="361"/>
        <v>0</v>
      </c>
      <c r="J192" s="82">
        <f>IF(J185&lt;&gt;"Dim",IF(J190&gt;35,(MIN(J190,43)-35),0),0)</f>
        <v>0</v>
      </c>
      <c r="K192" s="82">
        <f>IF(K185&lt;&gt;"Dim",IF(SUM($J190:K190)&gt;35,(MIN(SUM($J190:K190),43)-35-SUM($J192:J192)),0),0)</f>
        <v>0</v>
      </c>
      <c r="L192" s="82">
        <f>IF(L185&lt;&gt;"Dim",IF(SUM($J190:L190)&gt;35,(MIN(SUM($J190:L190),43)-35-SUM($J192:K192)),0),0)</f>
        <v>0</v>
      </c>
      <c r="M192" s="82">
        <f>IF(M185&lt;&gt;"Dim",IF(SUM($J190:M190)&gt;35,(MIN(SUM($J190:M190),43)-35-SUM($J192:L192)),0),0)</f>
        <v>0</v>
      </c>
      <c r="N192" s="82">
        <f>IF(N185&lt;&gt;"Dim",IF(SUM($J190:N190)&gt;35,(MIN(SUM($J190:N190),43)-35-SUM($J192:M192)),0),0)</f>
        <v>0</v>
      </c>
      <c r="O192" s="82">
        <f>IF(O185&lt;&gt;"Dim",IF(SUM($J190:O190)&gt;35,(MIN(SUM($J190:O190),43)-35-SUM($J192:N192)),0),0)</f>
        <v>0</v>
      </c>
      <c r="P192" s="82">
        <f>IF(P185&lt;&gt;"Dim",IF(SUM($J190:P190)&gt;35,(MIN(SUM($J190:P190),43)-35-SUM($J192:O192)),0),0)</f>
        <v>0</v>
      </c>
      <c r="Q192" s="76">
        <f t="shared" si="363"/>
        <v>0</v>
      </c>
      <c r="R192" s="82">
        <f>IF(R185&lt;&gt;"Dim",IF(R190&gt;35,(MIN(R190,43)-35),0),0)</f>
        <v>0</v>
      </c>
      <c r="S192" s="82">
        <f>IF(S185&lt;&gt;"Dim",IF(SUM($R190:S190)&gt;35,(MIN(SUM($R190:S190),43)-35-SUM($R192:R192)),0),0)</f>
        <v>0</v>
      </c>
      <c r="T192" s="82">
        <f>IF(T185&lt;&gt;"Dim",IF(SUM($R190:T190)&gt;35,(MIN(SUM($R190:T190),43)-35-SUM($R192:S192)),0),0)</f>
        <v>0</v>
      </c>
      <c r="U192" s="82">
        <f>IF(U185&lt;&gt;"Dim",IF(SUM($R190:U190)&gt;35,(MIN(SUM($R190:U190),43)-35-SUM($R192:T192)),0),0)</f>
        <v>0</v>
      </c>
      <c r="V192" s="82">
        <f>IF(V185&lt;&gt;"Dim",IF(SUM($R190:V190)&gt;35,(MIN(SUM($R190:V190),43)-35-SUM($R192:U192)),0),0)</f>
        <v>0</v>
      </c>
      <c r="W192" s="82">
        <f>IF(W185&lt;&gt;"Dim",IF(SUM($R190:W190)&gt;35,(MIN(SUM($R190:W190),43)-35-SUM($R192:V192)),0),0)</f>
        <v>0</v>
      </c>
      <c r="X192" s="82">
        <f>IF(X185&lt;&gt;"Dim",IF(SUM($R190:X190)&gt;35,(MIN(SUM($R190:X190),43)-35-SUM($R192:W192)),0),0)</f>
        <v>0</v>
      </c>
      <c r="Y192" s="76">
        <f t="shared" si="365"/>
        <v>0</v>
      </c>
      <c r="Z192" s="82">
        <f>IF(Z185&lt;&gt;"Dim",IF(Z190&gt;35,(MIN(Z190,43)-35),0),0)</f>
        <v>0</v>
      </c>
      <c r="AA192" s="82">
        <f>IF(AA185&lt;&gt;"Dim",IF(SUM($Z190:AA190)&gt;35,(MIN(SUM($Z190:AA190),43)-35-SUM($Z192:Z192)),0),0)</f>
        <v>0</v>
      </c>
      <c r="AB192" s="82">
        <f>IF(AB185&lt;&gt;"Dim",IF(SUM($Z190:AB190)&gt;35,(MIN(SUM($Z190:AB190),43)-35-SUM($Z192:AA192)),0),0)</f>
        <v>0</v>
      </c>
      <c r="AC192" s="82">
        <f>IF(AC185&lt;&gt;"Dim",IF(SUM($Z190:AC190)&gt;35,(MIN(SUM($Z190:AC190),43)-35-SUM($Z192:AB192)),0),0)</f>
        <v>0</v>
      </c>
      <c r="AD192" s="82">
        <f>IF(AD185&lt;&gt;"Dim",IF(SUM($Z190:AD190)&gt;35,(MIN(SUM($Z190:AD190),43)-35-SUM($Z192:AC192)),0),0)</f>
        <v>0</v>
      </c>
      <c r="AE192" s="82">
        <f>IF(AE185&lt;&gt;"Dim",IF(SUM($Z190:AE190)&gt;35,(MIN(SUM($Z190:AE190),43)-35-SUM($Z192:AD192)),0),0)</f>
        <v>0</v>
      </c>
      <c r="AF192" s="82">
        <f>IF(AF185&lt;&gt;"Dim",IF(SUM($Z190:AF190)&gt;35,(MIN(SUM($Z190:AF190),43)-35-SUM($Z192:AE192)),0),0)</f>
        <v>0</v>
      </c>
      <c r="AG192" s="76">
        <f t="shared" si="367"/>
        <v>0</v>
      </c>
      <c r="AH192" s="82">
        <f>IF(AH185&lt;&gt;"Dim",IF(AH190&gt;35,(MIN(AH190,43)-35),0),0)</f>
        <v>0</v>
      </c>
      <c r="AI192" s="82">
        <f>IF(AI185&lt;&gt;"Dim",IF(SUM($AH190:AI190)&gt;35,(MIN(SUM($AH190:AI190),43)-35-SUM($AH192:AH192)),0),0)</f>
        <v>0</v>
      </c>
      <c r="AJ192" s="82">
        <f>IF(AJ185&lt;&gt;"Dim",IF(SUM($AH190:AJ190)&gt;35,(MIN(SUM($AH190:AJ190),43)-35-SUM($AH192:AI192)),0),0)</f>
        <v>0</v>
      </c>
      <c r="AK192" s="82">
        <f>IF(AK185&lt;&gt;"Dim",IF(SUM($AH190:AK190)&gt;35,(MIN(SUM($AH190:AK190),43)-35-SUM($AH192:AJ192)),0),0)</f>
        <v>0</v>
      </c>
      <c r="AL192" s="82">
        <f>IF(AL185&lt;&gt;"Dim",IF(SUM($AH190:AL190)&gt;35,(MIN(SUM($AH190:AL190),43)-35-SUM($AH192:AK192)),0),0)</f>
        <v>0</v>
      </c>
      <c r="AM192" s="82">
        <f>IF(AM185&lt;&gt;"Dim",IF(SUM($AH190:AM190)&gt;35,(MIN(SUM($AH190:AM190),43)-35-SUM($AH192:AL192)),0),0)</f>
        <v>0</v>
      </c>
      <c r="AN192" s="82">
        <f>IF(AN185&lt;&gt;"Dim",IF(SUM($AH190:AN190)&gt;35,(MIN(SUM($AH190:AN190),43)-35-SUM($AH192:AM192)),0),0)</f>
        <v>0</v>
      </c>
      <c r="AO192" s="76">
        <f t="shared" si="369"/>
        <v>0</v>
      </c>
      <c r="AP192" s="82">
        <f>IF(AP185&lt;&gt;"Dim",IF(AP190&gt;35,(MIN(AP190,43)-35),0),0)</f>
        <v>0</v>
      </c>
      <c r="AQ192" s="82">
        <f>IF(AQ185&lt;&gt;"Dim",IF(SUM($AP190:AQ190)&gt;35,(MIN(SUM($AP190:AQ190),43)-35-SUM($AP192:AP192)),0),0)</f>
        <v>0</v>
      </c>
      <c r="AR192" s="76">
        <f t="shared" si="359"/>
        <v>0</v>
      </c>
      <c r="AS192" s="76">
        <f t="shared" si="371"/>
        <v>0</v>
      </c>
    </row>
    <row r="193" spans="1:52" x14ac:dyDescent="0.25">
      <c r="A193" s="37" t="s">
        <v>39</v>
      </c>
      <c r="B193" s="82">
        <f>IF(B185&lt;&gt;"Dim",IF(B190&gt;43,(MIN(B190,48)-43),0),0)</f>
        <v>0</v>
      </c>
      <c r="C193" s="82">
        <f>IF(C185&lt;&gt;"Dim",IF(SUM($B190:C190)&gt;43,(MIN(SUM($B190:C190),48)-43-SUM($B193:B193)),0),0)</f>
        <v>0</v>
      </c>
      <c r="D193" s="82">
        <f>IF(D185&lt;&gt;"Dim",IF(SUM($B190:D190)&gt;43,(MIN(SUM($B190:D190),48)-43-SUM($B193:C193)),0),0)</f>
        <v>0</v>
      </c>
      <c r="E193" s="82">
        <f>IF(E185&lt;&gt;"Dim",IF(SUM($B190:E190)&gt;43,(MIN(SUM($B190:E190),48)-43-SUM($B193:D193)),0),0)</f>
        <v>0</v>
      </c>
      <c r="F193" s="82">
        <f>IF(F185&lt;&gt;"Dim",IF(SUM($B190:F190)&gt;43,(MIN(SUM($B190:F190),48)-43-SUM($B193:E193)),0),0)</f>
        <v>0</v>
      </c>
      <c r="G193" s="82">
        <f>IF(G185&lt;&gt;"Dim",IF(SUM($B190:G190)&gt;43,(MIN(SUM($B190:G190),48)-43-SUM($B193:F193)),0),0)</f>
        <v>0</v>
      </c>
      <c r="H193" s="82">
        <f>IF(H185&lt;&gt;"Dim",IF(SUM($B190:H190)&gt;43,(MIN(SUM($B190:H190),48)-43-SUM($B193:G193)),0),0)</f>
        <v>0</v>
      </c>
      <c r="I193" s="76">
        <f t="shared" si="361"/>
        <v>0</v>
      </c>
      <c r="J193" s="82">
        <f>IF(J185&lt;&gt;"Dim",IF(J190&gt;43,(MIN(J190,48)-43),0),0)</f>
        <v>0</v>
      </c>
      <c r="K193" s="82">
        <f>IF(K185&lt;&gt;"Dim",IF(SUM($J190:K190)&gt;43,(MIN(SUM($J190:K190),48)-43-SUM($J193:J193)),0),0)</f>
        <v>0</v>
      </c>
      <c r="L193" s="82">
        <f>IF(L185&lt;&gt;"Dim",IF(SUM($J190:L190)&gt;43,(MIN(SUM($J190:L190),48)-43-SUM($J193:K193)),0),0)</f>
        <v>0</v>
      </c>
      <c r="M193" s="82">
        <f>IF(M185&lt;&gt;"Dim",IF(SUM($J190:M190)&gt;43,(MIN(SUM($J190:M190),48)-43-SUM($J193:L193)),0),0)</f>
        <v>0</v>
      </c>
      <c r="N193" s="82">
        <f>IF(N185&lt;&gt;"Dim",IF(SUM($J190:N190)&gt;43,(MIN(SUM($J190:N190),48)-43-SUM($J193:M193)),0),0)</f>
        <v>0</v>
      </c>
      <c r="O193" s="82">
        <f>IF(O185&lt;&gt;"Dim",IF(SUM($J190:O190)&gt;43,(MIN(SUM($J190:O190),48)-43-SUM($J193:N193)),0),0)</f>
        <v>0</v>
      </c>
      <c r="P193" s="82">
        <f>IF(P185&lt;&gt;"Dim",IF(SUM($J190:P190)&gt;43,(MIN(SUM($J190:P190),48)-43-SUM($J193:O193)),0),0)</f>
        <v>0</v>
      </c>
      <c r="Q193" s="76">
        <f t="shared" si="363"/>
        <v>0</v>
      </c>
      <c r="R193" s="82">
        <f>IF(R185&lt;&gt;"Dim",IF(R190&gt;43,(MIN(R190,48)-43),0),0)</f>
        <v>0</v>
      </c>
      <c r="S193" s="82">
        <f>IF(S185&lt;&gt;"Dim",IF(SUM($R190:S190)&gt;43,(MIN(SUM($R190:S190),48)-43-SUM($R193:R193)),0),0)</f>
        <v>0</v>
      </c>
      <c r="T193" s="82">
        <f>IF(T185&lt;&gt;"Dim",IF(SUM($R190:T190)&gt;43,(MIN(SUM($R190:T190),48)-43-SUM($R193:S193)),0),0)</f>
        <v>0</v>
      </c>
      <c r="U193" s="82">
        <f>IF(U185&lt;&gt;"Dim",IF(SUM($R190:U190)&gt;43,(MIN(SUM($R190:U190),48)-43-SUM($R193:T193)),0),0)</f>
        <v>0</v>
      </c>
      <c r="V193" s="82">
        <f>IF(V185&lt;&gt;"Dim",IF(SUM($R190:V190)&gt;43,(MIN(SUM($R190:V190),48)-43-SUM($R193:U193)),0),0)</f>
        <v>0</v>
      </c>
      <c r="W193" s="82">
        <f>IF(W185&lt;&gt;"Dim",IF(SUM($R190:W190)&gt;43,(MIN(SUM($R190:W190),48)-43-SUM($R193:V193)),0),0)</f>
        <v>0</v>
      </c>
      <c r="X193" s="82">
        <f>IF(X185&lt;&gt;"Dim",IF(SUM($R190:X190)&gt;43,(MIN(SUM($R190:X190),48)-43-SUM($R193:W193)),0),0)</f>
        <v>0</v>
      </c>
      <c r="Y193" s="76">
        <f t="shared" si="365"/>
        <v>0</v>
      </c>
      <c r="Z193" s="82">
        <f>IF(Z185&lt;&gt;"Dim",IF(Z190&gt;43,(MIN(Z190,48)-43),0),0)</f>
        <v>0</v>
      </c>
      <c r="AA193" s="82">
        <f>IF(AA185&lt;&gt;"Dim",IF(SUM($Z190:AA190)&gt;43,(MIN(SUM($Z190:AA190),48)-43-SUM($Z193:Z193)),0),0)</f>
        <v>0</v>
      </c>
      <c r="AB193" s="82">
        <f>IF(AB185&lt;&gt;"Dim",IF(SUM($Z190:AB190)&gt;43,(MIN(SUM($Z190:AB190),48)-43-SUM($Z193:AA193)),0),0)</f>
        <v>0</v>
      </c>
      <c r="AC193" s="82">
        <f>IF(AC185&lt;&gt;"Dim",IF(SUM($Z190:AC190)&gt;43,(MIN(SUM($Z190:AC190),48)-43-SUM($Z193:AB193)),0),0)</f>
        <v>0</v>
      </c>
      <c r="AD193" s="82">
        <f>IF(AD185&lt;&gt;"Dim",IF(SUM($Z190:AD190)&gt;43,(MIN(SUM($Z190:AD190),48)-43-SUM($Z193:AC193)),0),0)</f>
        <v>0</v>
      </c>
      <c r="AE193" s="82">
        <f>IF(AE185&lt;&gt;"Dim",IF(SUM($Z190:AE190)&gt;43,(MIN(SUM($Z190:AE190),48)-43-SUM($Z193:AD193)),0),0)</f>
        <v>0</v>
      </c>
      <c r="AF193" s="82">
        <f>IF(AF185&lt;&gt;"Dim",IF(SUM($Z190:AF190)&gt;43,(MIN(SUM($Z190:AF190),48)-43-SUM($Z193:AE193)),0),0)</f>
        <v>0</v>
      </c>
      <c r="AG193" s="76">
        <f t="shared" si="367"/>
        <v>0</v>
      </c>
      <c r="AH193" s="82">
        <f>IF(AH185&lt;&gt;"Dim",IF(AH190&gt;43,(MIN(AH190,48)-43),0),0)</f>
        <v>0</v>
      </c>
      <c r="AI193" s="82">
        <f>IF(AI185&lt;&gt;"Dim",IF(SUM($AH190:AI190)&gt;43,(MIN(SUM($AH190:AI190),48)-43-SUM($AH193:AH193)),0),0)</f>
        <v>0</v>
      </c>
      <c r="AJ193" s="82">
        <f>IF(AJ185&lt;&gt;"Dim",IF(SUM($AH190:AJ190)&gt;43,(MIN(SUM($AH190:AJ190),48)-43-SUM($AH193:AI193)),0),0)</f>
        <v>0</v>
      </c>
      <c r="AK193" s="82">
        <f>IF(AK185&lt;&gt;"Dim",IF(SUM($AH190:AK190)&gt;43,(MIN(SUM($AH190:AK190),48)-43-SUM($AH193:AJ193)),0),0)</f>
        <v>0</v>
      </c>
      <c r="AL193" s="82">
        <f>IF(AL185&lt;&gt;"Dim",IF(SUM($AH190:AL190)&gt;43,(MIN(SUM($AH190:AL190),48)-43-SUM($AH193:AK193)),0),0)</f>
        <v>0</v>
      </c>
      <c r="AM193" s="82">
        <f>IF(AM185&lt;&gt;"Dim",IF(SUM($AH190:AM190)&gt;43,(MIN(SUM($AH190:AM190),48)-43-SUM($AH193:AL193)),0),0)</f>
        <v>0</v>
      </c>
      <c r="AN193" s="82">
        <f>IF(AN185&lt;&gt;"Dim",IF(SUM($AH190:AN190)&gt;43,(MIN(SUM($AH190:AN190),48)-43-SUM($AH193:AM193)),0),0)</f>
        <v>0</v>
      </c>
      <c r="AO193" s="76">
        <f t="shared" si="369"/>
        <v>0</v>
      </c>
      <c r="AP193" s="82">
        <f>IF(AP185&lt;&gt;"Dim",IF(AP190&gt;43,(MIN(AP190,48)-43),0),0)</f>
        <v>0</v>
      </c>
      <c r="AQ193" s="82">
        <f>IF(AQ185&lt;&gt;"Dim",IF(SUM($AP190:AQ190)&gt;43,(MIN(SUM($AP190:AQ190),48)-43-SUM($AP193:AP193)),0),0)</f>
        <v>0</v>
      </c>
      <c r="AR193" s="76">
        <f t="shared" si="359"/>
        <v>0</v>
      </c>
      <c r="AS193" s="76">
        <f t="shared" si="371"/>
        <v>0</v>
      </c>
    </row>
    <row r="194" spans="1:52" x14ac:dyDescent="0.25">
      <c r="A194" s="37" t="s">
        <v>41</v>
      </c>
      <c r="B194" s="82">
        <f>IF(B185="Dim",B190,IF(B200="ferie",B190,0))</f>
        <v>0</v>
      </c>
      <c r="C194" s="82">
        <f t="shared" ref="C194:H194" si="372">IF(C185="Dim",C190,IF(C200="ferie",C190,0))</f>
        <v>0</v>
      </c>
      <c r="D194" s="82">
        <f t="shared" si="372"/>
        <v>0</v>
      </c>
      <c r="E194" s="82">
        <f t="shared" si="372"/>
        <v>0</v>
      </c>
      <c r="F194" s="82">
        <f t="shared" si="372"/>
        <v>0</v>
      </c>
      <c r="G194" s="82">
        <f t="shared" si="372"/>
        <v>0</v>
      </c>
      <c r="H194" s="82">
        <f t="shared" si="372"/>
        <v>0</v>
      </c>
      <c r="I194" s="76">
        <f t="shared" si="361"/>
        <v>0</v>
      </c>
      <c r="J194" s="82">
        <f>IF(J185="Dim",J190,IF(J200="ferie",J190,0))</f>
        <v>0</v>
      </c>
      <c r="K194" s="82">
        <f t="shared" ref="K194:P194" si="373">IF(K185="Dim",K190,IF(K200="ferie",K190,0))</f>
        <v>0</v>
      </c>
      <c r="L194" s="82">
        <f t="shared" si="373"/>
        <v>0</v>
      </c>
      <c r="M194" s="82">
        <f t="shared" si="373"/>
        <v>0</v>
      </c>
      <c r="N194" s="82">
        <f t="shared" si="373"/>
        <v>0</v>
      </c>
      <c r="O194" s="82">
        <f>IF(O185="Dim",O190,IF(O200="ferie",O190,0))</f>
        <v>0</v>
      </c>
      <c r="P194" s="82">
        <f t="shared" si="373"/>
        <v>0</v>
      </c>
      <c r="Q194" s="76">
        <f t="shared" si="363"/>
        <v>0</v>
      </c>
      <c r="R194" s="82">
        <f>IF(R185="Dim",R190,IF(R200="ferie",R190,0))</f>
        <v>0</v>
      </c>
      <c r="S194" s="82">
        <f t="shared" ref="S194:X194" si="374">IF(S185="Dim",S190,IF(S200="ferie",S190,0))</f>
        <v>0</v>
      </c>
      <c r="T194" s="82">
        <f t="shared" si="374"/>
        <v>0</v>
      </c>
      <c r="U194" s="82">
        <f t="shared" si="374"/>
        <v>0</v>
      </c>
      <c r="V194" s="82">
        <f t="shared" si="374"/>
        <v>0</v>
      </c>
      <c r="W194" s="82">
        <f t="shared" si="374"/>
        <v>0</v>
      </c>
      <c r="X194" s="82">
        <f t="shared" si="374"/>
        <v>0</v>
      </c>
      <c r="Y194" s="76">
        <f t="shared" si="365"/>
        <v>0</v>
      </c>
      <c r="Z194" s="82">
        <f>IF(Z185="Dim",Z190,IF(Z200="ferie",Z190,0))</f>
        <v>0</v>
      </c>
      <c r="AA194" s="82">
        <f t="shared" ref="AA194:AF194" si="375">IF(AA185="Dim",AA190,IF(AA200="ferie",AA190,0))</f>
        <v>0</v>
      </c>
      <c r="AB194" s="82">
        <f t="shared" si="375"/>
        <v>0</v>
      </c>
      <c r="AC194" s="82">
        <f t="shared" si="375"/>
        <v>0</v>
      </c>
      <c r="AD194" s="82">
        <f t="shared" si="375"/>
        <v>0</v>
      </c>
      <c r="AE194" s="82">
        <f t="shared" si="375"/>
        <v>0</v>
      </c>
      <c r="AF194" s="82">
        <f t="shared" si="375"/>
        <v>0</v>
      </c>
      <c r="AG194" s="76">
        <f t="shared" si="367"/>
        <v>0</v>
      </c>
      <c r="AH194" s="82">
        <f>IF(AH185="Dim",AH190,IF(AH200="ferie",AH190,0))</f>
        <v>0</v>
      </c>
      <c r="AI194" s="82">
        <f t="shared" ref="AI194:AQ194" si="376">IF(AI185="Dim",AI190,IF(AI200="ferie",AI190,0))</f>
        <v>0</v>
      </c>
      <c r="AJ194" s="82">
        <f t="shared" si="376"/>
        <v>0</v>
      </c>
      <c r="AK194" s="82">
        <f t="shared" si="376"/>
        <v>0</v>
      </c>
      <c r="AL194" s="82">
        <f t="shared" si="376"/>
        <v>0</v>
      </c>
      <c r="AM194" s="82">
        <f t="shared" si="376"/>
        <v>0</v>
      </c>
      <c r="AN194" s="82">
        <f t="shared" si="376"/>
        <v>0</v>
      </c>
      <c r="AO194" s="76">
        <f>SUM(AH194:AN194)</f>
        <v>0</v>
      </c>
      <c r="AP194" s="82">
        <f>IF(AP185="Dim",AP190,IF(AP200="ferie",AP190,0))</f>
        <v>0</v>
      </c>
      <c r="AQ194" s="82">
        <f t="shared" si="376"/>
        <v>0</v>
      </c>
      <c r="AR194" s="76">
        <f t="shared" si="359"/>
        <v>0</v>
      </c>
      <c r="AS194" s="76">
        <f t="shared" si="371"/>
        <v>0</v>
      </c>
    </row>
    <row r="195" spans="1:52" x14ac:dyDescent="0.25">
      <c r="A195" s="37" t="s">
        <v>59</v>
      </c>
      <c r="B195" s="47"/>
      <c r="C195" s="47"/>
      <c r="D195" s="47"/>
      <c r="E195" s="47"/>
      <c r="F195" s="47"/>
      <c r="G195" s="47"/>
      <c r="H195" s="47"/>
      <c r="I195" s="76">
        <f t="shared" si="361"/>
        <v>0</v>
      </c>
      <c r="J195" s="47"/>
      <c r="K195" s="47"/>
      <c r="L195" s="47"/>
      <c r="M195" s="47"/>
      <c r="N195" s="47"/>
      <c r="O195" s="47"/>
      <c r="P195" s="47"/>
      <c r="Q195" s="76">
        <f t="shared" si="363"/>
        <v>0</v>
      </c>
      <c r="R195" s="47"/>
      <c r="S195" s="47"/>
      <c r="T195" s="47"/>
      <c r="U195" s="47"/>
      <c r="V195" s="47"/>
      <c r="W195" s="47"/>
      <c r="X195" s="47"/>
      <c r="Y195" s="76">
        <f t="shared" si="365"/>
        <v>0</v>
      </c>
      <c r="Z195" s="47"/>
      <c r="AA195" s="47"/>
      <c r="AB195" s="47"/>
      <c r="AC195" s="47"/>
      <c r="AD195" s="47"/>
      <c r="AE195" s="47"/>
      <c r="AF195" s="47"/>
      <c r="AG195" s="76">
        <f t="shared" si="367"/>
        <v>0</v>
      </c>
      <c r="AH195" s="47"/>
      <c r="AI195" s="47"/>
      <c r="AJ195" s="47"/>
      <c r="AK195" s="47"/>
      <c r="AL195" s="47"/>
      <c r="AM195" s="47"/>
      <c r="AN195" s="47"/>
      <c r="AO195" s="76">
        <f t="shared" si="369"/>
        <v>0</v>
      </c>
      <c r="AP195" s="47"/>
      <c r="AQ195" s="47"/>
      <c r="AR195" s="76">
        <f t="shared" si="359"/>
        <v>0</v>
      </c>
      <c r="AS195" s="76">
        <f t="shared" si="371"/>
        <v>0</v>
      </c>
    </row>
    <row r="196" spans="1:52" x14ac:dyDescent="0.25">
      <c r="A196" s="52" t="s">
        <v>60</v>
      </c>
      <c r="B196" s="47"/>
      <c r="C196" s="47"/>
      <c r="D196" s="47"/>
      <c r="E196" s="47"/>
      <c r="F196" s="47"/>
      <c r="G196" s="47"/>
      <c r="H196" s="47"/>
      <c r="I196" s="76">
        <f t="shared" si="361"/>
        <v>0</v>
      </c>
      <c r="J196" s="47"/>
      <c r="K196" s="47"/>
      <c r="L196" s="47"/>
      <c r="M196" s="47"/>
      <c r="N196" s="47"/>
      <c r="O196" s="47"/>
      <c r="P196" s="47"/>
      <c r="Q196" s="76">
        <f t="shared" si="363"/>
        <v>0</v>
      </c>
      <c r="R196" s="47"/>
      <c r="S196" s="47"/>
      <c r="T196" s="47"/>
      <c r="U196" s="47"/>
      <c r="V196" s="47"/>
      <c r="W196" s="47"/>
      <c r="X196" s="47"/>
      <c r="Y196" s="76">
        <f t="shared" si="365"/>
        <v>0</v>
      </c>
      <c r="Z196" s="47"/>
      <c r="AA196" s="47"/>
      <c r="AB196" s="47"/>
      <c r="AC196" s="47"/>
      <c r="AD196" s="47"/>
      <c r="AE196" s="47"/>
      <c r="AF196" s="47"/>
      <c r="AG196" s="76">
        <f t="shared" si="367"/>
        <v>0</v>
      </c>
      <c r="AH196" s="47"/>
      <c r="AI196" s="47"/>
      <c r="AJ196" s="47"/>
      <c r="AK196" s="47"/>
      <c r="AL196" s="47"/>
      <c r="AM196" s="47"/>
      <c r="AN196" s="47"/>
      <c r="AO196" s="76">
        <f t="shared" si="369"/>
        <v>0</v>
      </c>
      <c r="AP196" s="47"/>
      <c r="AQ196" s="47"/>
      <c r="AR196" s="76">
        <f t="shared" ref="AR196:AR198" si="377">SUM(AP196:AQ196)</f>
        <v>0</v>
      </c>
      <c r="AS196" s="76">
        <f t="shared" si="371"/>
        <v>0</v>
      </c>
    </row>
    <row r="197" spans="1:52" x14ac:dyDescent="0.25">
      <c r="A197" s="37" t="s">
        <v>62</v>
      </c>
      <c r="B197" s="47"/>
      <c r="C197" s="47"/>
      <c r="D197" s="47"/>
      <c r="E197" s="47"/>
      <c r="F197" s="47"/>
      <c r="G197" s="47"/>
      <c r="H197" s="47"/>
      <c r="I197" s="76">
        <f t="shared" si="361"/>
        <v>0</v>
      </c>
      <c r="J197" s="47"/>
      <c r="K197" s="47"/>
      <c r="L197" s="47"/>
      <c r="M197" s="47"/>
      <c r="N197" s="47"/>
      <c r="O197" s="47"/>
      <c r="P197" s="47"/>
      <c r="Q197" s="76">
        <f t="shared" si="363"/>
        <v>0</v>
      </c>
      <c r="R197" s="47"/>
      <c r="S197" s="47"/>
      <c r="T197" s="47"/>
      <c r="U197" s="47"/>
      <c r="V197" s="47"/>
      <c r="W197" s="47"/>
      <c r="X197" s="47"/>
      <c r="Y197" s="76">
        <f t="shared" si="365"/>
        <v>0</v>
      </c>
      <c r="Z197" s="47"/>
      <c r="AA197" s="47"/>
      <c r="AB197" s="47"/>
      <c r="AC197" s="47"/>
      <c r="AD197" s="47"/>
      <c r="AE197" s="47"/>
      <c r="AF197" s="47"/>
      <c r="AG197" s="76">
        <f t="shared" si="367"/>
        <v>0</v>
      </c>
      <c r="AH197" s="47"/>
      <c r="AI197" s="47"/>
      <c r="AJ197" s="47"/>
      <c r="AK197" s="47"/>
      <c r="AL197" s="47"/>
      <c r="AM197" s="47"/>
      <c r="AN197" s="47"/>
      <c r="AO197" s="76">
        <f t="shared" si="369"/>
        <v>0</v>
      </c>
      <c r="AP197" s="47"/>
      <c r="AQ197" s="47"/>
      <c r="AR197" s="76">
        <f t="shared" si="377"/>
        <v>0</v>
      </c>
      <c r="AS197" s="76">
        <f t="shared" si="371"/>
        <v>0</v>
      </c>
    </row>
    <row r="198" spans="1:52" x14ac:dyDescent="0.25">
      <c r="A198" s="52" t="s">
        <v>61</v>
      </c>
      <c r="B198" s="47"/>
      <c r="C198" s="47"/>
      <c r="D198" s="47"/>
      <c r="E198" s="47"/>
      <c r="F198" s="47"/>
      <c r="G198" s="47"/>
      <c r="H198" s="47"/>
      <c r="I198" s="76">
        <f t="shared" si="361"/>
        <v>0</v>
      </c>
      <c r="J198" s="47"/>
      <c r="K198" s="47"/>
      <c r="L198" s="47"/>
      <c r="M198" s="47"/>
      <c r="N198" s="47"/>
      <c r="O198" s="47"/>
      <c r="P198" s="47"/>
      <c r="Q198" s="76">
        <f t="shared" si="363"/>
        <v>0</v>
      </c>
      <c r="R198" s="47"/>
      <c r="S198" s="47"/>
      <c r="T198" s="47"/>
      <c r="U198" s="47"/>
      <c r="V198" s="47"/>
      <c r="W198" s="47"/>
      <c r="X198" s="47"/>
      <c r="Y198" s="76">
        <f t="shared" si="365"/>
        <v>0</v>
      </c>
      <c r="Z198" s="47"/>
      <c r="AA198" s="47"/>
      <c r="AB198" s="47"/>
      <c r="AC198" s="47"/>
      <c r="AD198" s="47"/>
      <c r="AE198" s="47"/>
      <c r="AF198" s="47"/>
      <c r="AG198" s="76">
        <f t="shared" si="367"/>
        <v>0</v>
      </c>
      <c r="AH198" s="47"/>
      <c r="AI198" s="47"/>
      <c r="AJ198" s="47"/>
      <c r="AK198" s="47"/>
      <c r="AL198" s="47"/>
      <c r="AM198" s="47"/>
      <c r="AN198" s="47"/>
      <c r="AO198" s="76">
        <f t="shared" si="369"/>
        <v>0</v>
      </c>
      <c r="AP198" s="47"/>
      <c r="AQ198" s="47"/>
      <c r="AR198" s="76">
        <f t="shared" si="377"/>
        <v>0</v>
      </c>
      <c r="AS198" s="76">
        <f t="shared" si="371"/>
        <v>0</v>
      </c>
    </row>
    <row r="199" spans="1:52" s="49" customFormat="1" ht="15" customHeight="1" x14ac:dyDescent="0.25">
      <c r="A199" s="52" t="s">
        <v>95</v>
      </c>
      <c r="B199" s="76">
        <f>IF(B187="nuit",B190*0.02,0)</f>
        <v>0</v>
      </c>
      <c r="C199" s="76">
        <f>IF(C187="nuit",C190*0.02,0)</f>
        <v>0</v>
      </c>
      <c r="D199" s="76">
        <f t="shared" ref="D199:H199" si="378">IF(D187="nuit",D190*0.02,0)</f>
        <v>0</v>
      </c>
      <c r="E199" s="76">
        <f t="shared" si="378"/>
        <v>0</v>
      </c>
      <c r="F199" s="76">
        <f>IF(F187="nuit",F190*0.02,0)</f>
        <v>0</v>
      </c>
      <c r="G199" s="76">
        <f t="shared" si="378"/>
        <v>0</v>
      </c>
      <c r="H199" s="76">
        <f t="shared" si="378"/>
        <v>0</v>
      </c>
      <c r="I199" s="76">
        <f t="shared" si="361"/>
        <v>0</v>
      </c>
      <c r="J199" s="76">
        <f>IF(J187="nuit",J190*0.02,0)</f>
        <v>0</v>
      </c>
      <c r="K199" s="76">
        <f>IF(K187="nuit",K190*0.02,0)</f>
        <v>0</v>
      </c>
      <c r="L199" s="76">
        <f t="shared" ref="L199:P199" si="379">IF(L187="nuit",L190*0.02,0)</f>
        <v>0</v>
      </c>
      <c r="M199" s="76">
        <f t="shared" si="379"/>
        <v>0</v>
      </c>
      <c r="N199" s="76">
        <f>IF(N187="nuit",N190*0.02,0)</f>
        <v>0</v>
      </c>
      <c r="O199" s="76">
        <f t="shared" si="379"/>
        <v>0</v>
      </c>
      <c r="P199" s="76">
        <f t="shared" si="379"/>
        <v>0</v>
      </c>
      <c r="Q199" s="76">
        <f t="shared" si="363"/>
        <v>0</v>
      </c>
      <c r="R199" s="76">
        <f>IF(R187="nuit",R190*0.02,0)</f>
        <v>0</v>
      </c>
      <c r="S199" s="76">
        <f>IF(S187="nuit",S190*0.02,0)</f>
        <v>0</v>
      </c>
      <c r="T199" s="76">
        <f t="shared" ref="T199:X199" si="380">IF(T187="nuit",T190*0.02,0)</f>
        <v>0</v>
      </c>
      <c r="U199" s="76">
        <f t="shared" si="380"/>
        <v>0</v>
      </c>
      <c r="V199" s="76">
        <f>IF(V187="nuit",V190*0.02,0)</f>
        <v>0</v>
      </c>
      <c r="W199" s="76">
        <f t="shared" si="380"/>
        <v>0</v>
      </c>
      <c r="X199" s="76">
        <f t="shared" si="380"/>
        <v>0</v>
      </c>
      <c r="Y199" s="76">
        <f t="shared" si="365"/>
        <v>0</v>
      </c>
      <c r="Z199" s="76">
        <f>IF(Z187="nuit",Z190*0.02,0)</f>
        <v>0</v>
      </c>
      <c r="AA199" s="76">
        <f>IF(AA187="nuit",AA190*0.02,0)</f>
        <v>0</v>
      </c>
      <c r="AB199" s="76">
        <f t="shared" ref="AB199:AF199" si="381">IF(AB187="nuit",AB190*0.02,0)</f>
        <v>0</v>
      </c>
      <c r="AC199" s="76">
        <f t="shared" si="381"/>
        <v>0</v>
      </c>
      <c r="AD199" s="76">
        <f>IF(AD187="nuit",AD190*0.02,0)</f>
        <v>0</v>
      </c>
      <c r="AE199" s="76">
        <f t="shared" si="381"/>
        <v>0</v>
      </c>
      <c r="AF199" s="76">
        <f t="shared" si="381"/>
        <v>0</v>
      </c>
      <c r="AG199" s="76">
        <f t="shared" si="367"/>
        <v>0</v>
      </c>
      <c r="AH199" s="76">
        <f>IF(AH187="nuit",AH190*0.02,0)</f>
        <v>0</v>
      </c>
      <c r="AI199" s="76">
        <f>IF(AI187="nuit",AI190*0.02,0)</f>
        <v>0</v>
      </c>
      <c r="AJ199" s="76">
        <f t="shared" ref="AJ199:AN199" si="382">IF(AJ187="nuit",AJ190*0.02,0)</f>
        <v>0</v>
      </c>
      <c r="AK199" s="76">
        <f t="shared" si="382"/>
        <v>0</v>
      </c>
      <c r="AL199" s="76">
        <f>IF(AL187="nuit",AL190*0.02,0)</f>
        <v>0</v>
      </c>
      <c r="AM199" s="76">
        <f t="shared" si="382"/>
        <v>0</v>
      </c>
      <c r="AN199" s="76">
        <f t="shared" si="382"/>
        <v>0</v>
      </c>
      <c r="AO199" s="76">
        <f t="shared" si="369"/>
        <v>0</v>
      </c>
      <c r="AP199" s="76">
        <f>IF(AP187="nuit",AP190*0.02,0)</f>
        <v>0</v>
      </c>
      <c r="AQ199" s="76">
        <f>IF(AQ187="nuit",AQ190*0.02,0)</f>
        <v>0</v>
      </c>
      <c r="AR199" s="76">
        <f>SUM(AP199:AQ199)</f>
        <v>0</v>
      </c>
      <c r="AS199" s="76">
        <f>I199+Q199+Y199+AG199+AO199+AR199</f>
        <v>0</v>
      </c>
      <c r="AT199" s="68"/>
      <c r="AU199" s="68"/>
      <c r="AV199" s="68"/>
      <c r="AW199" s="68"/>
      <c r="AX199" s="68"/>
      <c r="AY199" s="68"/>
      <c r="AZ199" s="51"/>
    </row>
    <row r="200" spans="1:52" ht="14.25" customHeight="1" x14ac:dyDescent="0.25">
      <c r="A200" s="37" t="s">
        <v>82</v>
      </c>
      <c r="B200" s="47"/>
      <c r="C200" s="47"/>
      <c r="D200" s="47"/>
      <c r="E200" s="47"/>
      <c r="F200" s="47"/>
      <c r="G200" s="53"/>
      <c r="H200" s="53"/>
      <c r="I200" s="80"/>
      <c r="J200" s="53"/>
      <c r="K200" s="53"/>
      <c r="L200" s="53"/>
      <c r="M200" s="53"/>
      <c r="N200" s="53"/>
      <c r="O200" s="53"/>
      <c r="P200" s="53"/>
      <c r="Q200" s="80"/>
      <c r="R200" s="53"/>
      <c r="S200" s="53"/>
      <c r="T200" s="53"/>
      <c r="U200" s="53"/>
      <c r="V200" s="53"/>
      <c r="W200" s="53"/>
      <c r="X200" s="53"/>
      <c r="Y200" s="80"/>
      <c r="Z200" s="53"/>
      <c r="AA200" s="53"/>
      <c r="AB200" s="53"/>
      <c r="AC200" s="53"/>
      <c r="AD200" s="53"/>
      <c r="AE200" s="53"/>
      <c r="AF200" s="53"/>
      <c r="AG200" s="80"/>
      <c r="AH200" s="53"/>
      <c r="AI200" s="53"/>
      <c r="AJ200" s="53"/>
      <c r="AK200" s="53"/>
      <c r="AL200" s="53"/>
      <c r="AM200" s="53"/>
      <c r="AN200" s="53"/>
      <c r="AO200" s="80"/>
      <c r="AP200" s="53"/>
      <c r="AQ200" s="53"/>
      <c r="AR200" s="80"/>
      <c r="AS200" s="81"/>
    </row>
    <row r="201" spans="1:52" x14ac:dyDescent="0.25">
      <c r="A201" s="54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55"/>
      <c r="AO201" s="55"/>
      <c r="AP201" s="55"/>
      <c r="AQ201" s="55"/>
      <c r="AR201" s="55"/>
      <c r="AS201" s="85"/>
    </row>
    <row r="202" spans="1:52" ht="27.6" x14ac:dyDescent="0.25">
      <c r="A202" s="37"/>
      <c r="B202" s="40" t="s">
        <v>81</v>
      </c>
      <c r="C202" s="40"/>
      <c r="D202" s="40"/>
      <c r="E202" s="40"/>
      <c r="F202" s="40"/>
      <c r="G202" s="96">
        <f>Année_Calendaire</f>
        <v>2016</v>
      </c>
      <c r="H202" s="96"/>
      <c r="I202" s="65"/>
      <c r="J202" s="47"/>
      <c r="K202" s="47"/>
      <c r="L202" s="47"/>
      <c r="M202" s="47"/>
      <c r="N202" s="47"/>
      <c r="O202" s="47"/>
      <c r="P202" s="47"/>
      <c r="Q202" s="65"/>
      <c r="R202" s="40" t="s">
        <v>81</v>
      </c>
      <c r="S202" s="40"/>
      <c r="T202" s="40"/>
      <c r="U202" s="40"/>
      <c r="V202" s="40"/>
      <c r="W202" s="96">
        <f>Année_Calendaire</f>
        <v>2016</v>
      </c>
      <c r="X202" s="96"/>
      <c r="Y202" s="65"/>
      <c r="Z202" s="47"/>
      <c r="AA202" s="47"/>
      <c r="AB202" s="47"/>
      <c r="AC202" s="47"/>
      <c r="AD202" s="47"/>
      <c r="AE202" s="47"/>
      <c r="AF202" s="47"/>
      <c r="AG202" s="65"/>
      <c r="AH202" s="40" t="s">
        <v>81</v>
      </c>
      <c r="AI202" s="40"/>
      <c r="AJ202" s="40"/>
      <c r="AK202" s="40"/>
      <c r="AL202" s="40"/>
      <c r="AM202" s="96">
        <f>Année_Calendaire</f>
        <v>2016</v>
      </c>
      <c r="AN202" s="96"/>
      <c r="AO202" s="65"/>
      <c r="AP202" s="47"/>
      <c r="AQ202" s="47"/>
      <c r="AR202" s="65"/>
    </row>
    <row r="203" spans="1:52" ht="29.25" customHeight="1" x14ac:dyDescent="0.25">
      <c r="A203" s="47"/>
      <c r="B203" s="78" t="s">
        <v>64</v>
      </c>
      <c r="C203" s="78" t="s">
        <v>65</v>
      </c>
      <c r="D203" s="78" t="s">
        <v>66</v>
      </c>
      <c r="E203" s="78" t="s">
        <v>67</v>
      </c>
      <c r="F203" s="78" t="s">
        <v>68</v>
      </c>
      <c r="G203" s="78" t="s">
        <v>69</v>
      </c>
      <c r="H203" s="78" t="s">
        <v>70</v>
      </c>
      <c r="I203" s="97" t="s">
        <v>83</v>
      </c>
      <c r="J203" s="78" t="s">
        <v>64</v>
      </c>
      <c r="K203" s="78" t="s">
        <v>65</v>
      </c>
      <c r="L203" s="78" t="s">
        <v>66</v>
      </c>
      <c r="M203" s="78" t="s">
        <v>67</v>
      </c>
      <c r="N203" s="78" t="s">
        <v>68</v>
      </c>
      <c r="O203" s="78" t="s">
        <v>69</v>
      </c>
      <c r="P203" s="78" t="s">
        <v>70</v>
      </c>
      <c r="Q203" s="97" t="s">
        <v>83</v>
      </c>
      <c r="R203" s="78" t="s">
        <v>64</v>
      </c>
      <c r="S203" s="78" t="s">
        <v>65</v>
      </c>
      <c r="T203" s="78" t="s">
        <v>66</v>
      </c>
      <c r="U203" s="78" t="s">
        <v>67</v>
      </c>
      <c r="V203" s="78" t="s">
        <v>68</v>
      </c>
      <c r="W203" s="78" t="s">
        <v>69</v>
      </c>
      <c r="X203" s="78" t="s">
        <v>70</v>
      </c>
      <c r="Y203" s="97" t="s">
        <v>83</v>
      </c>
      <c r="Z203" s="78" t="s">
        <v>64</v>
      </c>
      <c r="AA203" s="78" t="s">
        <v>65</v>
      </c>
      <c r="AB203" s="78" t="s">
        <v>66</v>
      </c>
      <c r="AC203" s="78" t="s">
        <v>67</v>
      </c>
      <c r="AD203" s="78" t="s">
        <v>68</v>
      </c>
      <c r="AE203" s="78" t="s">
        <v>69</v>
      </c>
      <c r="AF203" s="78" t="s">
        <v>70</v>
      </c>
      <c r="AG203" s="97" t="s">
        <v>83</v>
      </c>
      <c r="AH203" s="78" t="s">
        <v>64</v>
      </c>
      <c r="AI203" s="78" t="s">
        <v>65</v>
      </c>
      <c r="AJ203" s="78" t="s">
        <v>66</v>
      </c>
      <c r="AK203" s="78" t="s">
        <v>67</v>
      </c>
      <c r="AL203" s="78" t="s">
        <v>68</v>
      </c>
      <c r="AM203" s="78" t="s">
        <v>69</v>
      </c>
      <c r="AN203" s="78" t="s">
        <v>70</v>
      </c>
      <c r="AO203" s="97" t="s">
        <v>83</v>
      </c>
      <c r="AP203" s="78" t="s">
        <v>64</v>
      </c>
      <c r="AQ203" s="78" t="s">
        <v>65</v>
      </c>
      <c r="AR203" s="97" t="s">
        <v>83</v>
      </c>
      <c r="AS203" s="97" t="s">
        <v>86</v>
      </c>
      <c r="AT203" s="98">
        <f>AS210+AS211+AS212</f>
        <v>0</v>
      </c>
      <c r="AU203" s="98">
        <f>AT203+AU185</f>
        <v>85</v>
      </c>
    </row>
    <row r="204" spans="1:52" x14ac:dyDescent="0.25">
      <c r="A204" s="61"/>
      <c r="B204" s="83" t="str">
        <f>IF(DAY(Déc_Dim1)=1,"",IF(AND(YEAR(Déc_Dim1+1)=Année_Calendaire,MONTH(Déc_Dim1+1)=12),Déc_Dim1+1,""))</f>
        <v/>
      </c>
      <c r="C204" s="83" t="str">
        <f>IF(DAY(Déc_Dim1)=1,"",IF(AND(YEAR(Déc_Dim1+2)=Année_Calendaire,MONTH(Déc_Dim1+2)=12),Déc_Dim1+2,""))</f>
        <v/>
      </c>
      <c r="D204" s="83" t="str">
        <f>IF(DAY(Déc_Dim1)=1,"",IF(AND(YEAR(Déc_Dim1+3)=Année_Calendaire,MONTH(Déc_Dim1+3)=12),Déc_Dim1+3,""))</f>
        <v/>
      </c>
      <c r="E204" s="83">
        <f>IF(DAY(Déc_Dim1)=1,"",IF(AND(YEAR(Déc_Dim1+4)=Année_Calendaire,MONTH(Déc_Dim1+4)=12),Déc_Dim1+4,""))</f>
        <v>42705</v>
      </c>
      <c r="F204" s="83">
        <f>IF(DAY(Déc_Dim1)=1,"",IF(AND(YEAR(Déc_Dim1+5)=Année_Calendaire,MONTH(Déc_Dim1+5)=12),Déc_Dim1+5,""))</f>
        <v>42706</v>
      </c>
      <c r="G204" s="83">
        <f>IF(DAY(Déc_Dim1)=1,"",IF(AND(YEAR(Déc_Dim1+6)=Année_Calendaire,MONTH(Déc_Dim1+6)=12),Déc_Dim1+6,""))</f>
        <v>42707</v>
      </c>
      <c r="H204" s="83">
        <f>IF(DAY(Déc_Dim1)=1,IF(AND(YEAR(Déc_Dim1)=Année_Calendaire,MONTH(Déc_Dim1)=12),Déc_Dim1,""),IF(AND(YEAR(Déc_Dim1+7)=Année_Calendaire,MONTH(Déc_Dim1+7)=12),Déc_Dim1+7,""))</f>
        <v>42708</v>
      </c>
      <c r="I204" s="97"/>
      <c r="J204" s="83">
        <f>IF(DAY(Déc_Dim1)=1,IF(AND(YEAR(Déc_Dim1+1)=Année_Calendaire,MONTH(Déc_Dim1+1)=12),Déc_Dim1+1,""),IF(AND(YEAR(Déc_Dim1+8)=Année_Calendaire,MONTH(Déc_Dim1+8)=12),Déc_Dim1+8,""))</f>
        <v>42709</v>
      </c>
      <c r="K204" s="83">
        <f>IF(DAY(Déc_Dim1)=1,IF(AND(YEAR(Déc_Dim1+2)=Année_Calendaire,MONTH(Déc_Dim1+2)=12),Déc_Dim1+2,""),IF(AND(YEAR(Déc_Dim1+9)=Année_Calendaire,MONTH(Déc_Dim1+9)=12),Déc_Dim1+9,""))</f>
        <v>42710</v>
      </c>
      <c r="L204" s="83">
        <f>IF(DAY(Déc_Dim1)=1,IF(AND(YEAR(Déc_Dim1+3)=Année_Calendaire,MONTH(Déc_Dim1+3)=12),Déc_Dim1+3,""),IF(AND(YEAR(Déc_Dim1+10)=Année_Calendaire,MONTH(Déc_Dim1+10)=12),Déc_Dim1+10,""))</f>
        <v>42711</v>
      </c>
      <c r="M204" s="83">
        <f>IF(DAY(Déc_Dim1)=1,IF(AND(YEAR(Déc_Dim1+4)=Année_Calendaire,MONTH(Déc_Dim1+4)=12),Déc_Dim1+4,""),IF(AND(YEAR(Déc_Dim1+11)=Année_Calendaire,MONTH(Déc_Dim1+11)=12),Déc_Dim1+11,""))</f>
        <v>42712</v>
      </c>
      <c r="N204" s="83">
        <f>IF(DAY(Déc_Dim1)=1,IF(AND(YEAR(Déc_Dim1+5)=Année_Calendaire,MONTH(Déc_Dim1+5)=12),Déc_Dim1+5,""),IF(AND(YEAR(Déc_Dim1+12)=Année_Calendaire,MONTH(Déc_Dim1+12)=12),Déc_Dim1+12,""))</f>
        <v>42713</v>
      </c>
      <c r="O204" s="83">
        <f>IF(DAY(Déc_Dim1)=1,IF(AND(YEAR(Déc_Dim1+6)=Année_Calendaire,MONTH(Déc_Dim1+6)=12),Déc_Dim1+6,""),IF(AND(YEAR(Déc_Dim1+13)=Année_Calendaire,MONTH(Déc_Dim1+13)=12),Déc_Dim1+13,""))</f>
        <v>42714</v>
      </c>
      <c r="P204" s="83">
        <f>IF(DAY(Déc_Dim1)=1,IF(AND(YEAR(Déc_Dim1+7)=Année_Calendaire,MONTH(Déc_Dim1+7)=12),Déc_Dim1+7,""),IF(AND(YEAR(Déc_Dim1+14)=Année_Calendaire,MONTH(Déc_Dim1+14)=12),Déc_Dim1+14,""))</f>
        <v>42715</v>
      </c>
      <c r="Q204" s="97"/>
      <c r="R204" s="83">
        <f>IF(DAY(Déc_Dim1)=1,IF(AND(YEAR(Déc_Dim1+8)=Année_Calendaire,MONTH(Déc_Dim1+8)=12),Déc_Dim1+8,""),IF(AND(YEAR(Déc_Dim1+15)=Année_Calendaire,MONTH(Déc_Dim1+15)=12),Déc_Dim1+15,""))</f>
        <v>42716</v>
      </c>
      <c r="S204" s="83">
        <f>IF(DAY(Déc_Dim1)=1,IF(AND(YEAR(Déc_Dim1+9)=Année_Calendaire,MONTH(Déc_Dim1+9)=12),Déc_Dim1+9,""),IF(AND(YEAR(Déc_Dim1+16)=Année_Calendaire,MONTH(Déc_Dim1+16)=12),Déc_Dim1+16,""))</f>
        <v>42717</v>
      </c>
      <c r="T204" s="83">
        <f>IF(DAY(Déc_Dim1)=1,IF(AND(YEAR(Déc_Dim1+10)=Année_Calendaire,MONTH(Déc_Dim1+10)=12),Déc_Dim1+10,""),IF(AND(YEAR(Déc_Dim1+17)=Année_Calendaire,MONTH(Déc_Dim1+17)=12),Déc_Dim1+17,""))</f>
        <v>42718</v>
      </c>
      <c r="U204" s="83">
        <f>IF(DAY(Déc_Dim1)=1,IF(AND(YEAR(Déc_Dim1+11)=Année_Calendaire,MONTH(Déc_Dim1+11)=12),Déc_Dim1+11,""),IF(AND(YEAR(Déc_Dim1+18)=Année_Calendaire,MONTH(Déc_Dim1+18)=12),Déc_Dim1+18,""))</f>
        <v>42719</v>
      </c>
      <c r="V204" s="83">
        <f>IF(DAY(Déc_Dim1)=1,IF(AND(YEAR(Déc_Dim1+12)=Année_Calendaire,MONTH(Déc_Dim1+12)=12),Déc_Dim1+12,""),IF(AND(YEAR(Déc_Dim1+19)=Année_Calendaire,MONTH(Déc_Dim1+19)=12),Déc_Dim1+19,""))</f>
        <v>42720</v>
      </c>
      <c r="W204" s="83">
        <f>IF(DAY(Déc_Dim1)=1,IF(AND(YEAR(Déc_Dim1+13)=Année_Calendaire,MONTH(Déc_Dim1+13)=12),Déc_Dim1+13,""),IF(AND(YEAR(Déc_Dim1+20)=Année_Calendaire,MONTH(Déc_Dim1+20)=12),Déc_Dim1+20,""))</f>
        <v>42721</v>
      </c>
      <c r="X204" s="83">
        <f>IF(DAY(Déc_Dim1)=1,IF(AND(YEAR(Déc_Dim1+14)=Année_Calendaire,MONTH(Déc_Dim1+14)=12),Déc_Dim1+14,""),IF(AND(YEAR(Déc_Dim1+21)=Année_Calendaire,MONTH(Déc_Dim1+21)=12),Déc_Dim1+21,""))</f>
        <v>42722</v>
      </c>
      <c r="Y204" s="97"/>
      <c r="Z204" s="83">
        <f>IF(DAY(Déc_Dim1)=1,IF(AND(YEAR(Déc_Dim1+15)=Année_Calendaire,MONTH(Déc_Dim1+15)=12),Déc_Dim1+15,""),IF(AND(YEAR(Déc_Dim1+22)=Année_Calendaire,MONTH(Déc_Dim1+22)=12),Déc_Dim1+22,""))</f>
        <v>42723</v>
      </c>
      <c r="AA204" s="83">
        <f>IF(DAY(Déc_Dim1)=1,IF(AND(YEAR(Déc_Dim1+16)=Année_Calendaire,MONTH(Déc_Dim1+16)=12),Déc_Dim1+16,""),IF(AND(YEAR(Déc_Dim1+23)=Année_Calendaire,MONTH(Déc_Dim1+23)=12),Déc_Dim1+23,""))</f>
        <v>42724</v>
      </c>
      <c r="AB204" s="83">
        <f>IF(DAY(Déc_Dim1)=1,IF(AND(YEAR(Déc_Dim1+17)=Année_Calendaire,MONTH(Déc_Dim1+17)=12),Déc_Dim1+17,""),IF(AND(YEAR(Déc_Dim1+24)=Année_Calendaire,MONTH(Déc_Dim1+24)=12),Déc_Dim1+24,""))</f>
        <v>42725</v>
      </c>
      <c r="AC204" s="83">
        <f>IF(DAY(Déc_Dim1)=1,IF(AND(YEAR(Déc_Dim1+18)=Année_Calendaire,MONTH(Déc_Dim1+18)=12),Déc_Dim1+18,""),IF(AND(YEAR(Déc_Dim1+25)=Année_Calendaire,MONTH(Déc_Dim1+25)=12),Déc_Dim1+25,""))</f>
        <v>42726</v>
      </c>
      <c r="AD204" s="83">
        <f>IF(DAY(Déc_Dim1)=1,IF(AND(YEAR(Déc_Dim1+19)=Année_Calendaire,MONTH(Déc_Dim1+19)=12),Déc_Dim1+19,""),IF(AND(YEAR(Déc_Dim1+26)=Année_Calendaire,MONTH(Déc_Dim1+26)=12),Déc_Dim1+26,""))</f>
        <v>42727</v>
      </c>
      <c r="AE204" s="83">
        <f>IF(DAY(Déc_Dim1)=1,IF(AND(YEAR(Déc_Dim1+20)=Année_Calendaire,MONTH(Déc_Dim1+20)=12),Déc_Dim1+20,""),IF(AND(YEAR(Déc_Dim1+27)=Année_Calendaire,MONTH(Déc_Dim1+27)=12),Déc_Dim1+27,""))</f>
        <v>42728</v>
      </c>
      <c r="AF204" s="83">
        <f>IF(DAY(Déc_Dim1)=1,IF(AND(YEAR(Déc_Dim1+21)=Année_Calendaire,MONTH(Déc_Dim1+21)=12),Déc_Dim1+21,""),IF(AND(YEAR(Déc_Dim1+28)=Année_Calendaire,MONTH(Déc_Dim1+28)=12),Déc_Dim1+28,""))</f>
        <v>42729</v>
      </c>
      <c r="AG204" s="97"/>
      <c r="AH204" s="83">
        <f>IF(DAY(Déc_Dim1)=1,IF(AND(YEAR(Déc_Dim1+22)=Année_Calendaire,MONTH(Déc_Dim1+22)=12),Déc_Dim1+22,""),IF(AND(YEAR(Déc_Dim1+29)=Année_Calendaire,MONTH(Déc_Dim1+29)=12),Déc_Dim1+29,""))</f>
        <v>42730</v>
      </c>
      <c r="AI204" s="83">
        <f>IF(DAY(Déc_Dim1)=1,IF(AND(YEAR(Déc_Dim1+23)=Année_Calendaire,MONTH(Déc_Dim1+23)=12),Déc_Dim1+23,""),IF(AND(YEAR(Déc_Dim1+30)=Année_Calendaire,MONTH(Déc_Dim1+30)=12),Déc_Dim1+30,""))</f>
        <v>42731</v>
      </c>
      <c r="AJ204" s="83">
        <f>IF(DAY(Déc_Dim1)=1,IF(AND(YEAR(Déc_Dim1+24)=Année_Calendaire,MONTH(Déc_Dim1+24)=12),Déc_Dim1+24,""),IF(AND(YEAR(Déc_Dim1+31)=Année_Calendaire,MONTH(Déc_Dim1+31)=12),Déc_Dim1+31,""))</f>
        <v>42732</v>
      </c>
      <c r="AK204" s="83">
        <f>IF(DAY(Déc_Dim1)=1,IF(AND(YEAR(Déc_Dim1+25)=Année_Calendaire,MONTH(Déc_Dim1+25)=12),Déc_Dim1+25,""),IF(AND(YEAR(Déc_Dim1+32)=Année_Calendaire,MONTH(Déc_Dim1+32)=12),Déc_Dim1+32,""))</f>
        <v>42733</v>
      </c>
      <c r="AL204" s="83">
        <f>IF(DAY(Déc_Dim1)=1,IF(AND(YEAR(Déc_Dim1+26)=Année_Calendaire,MONTH(Déc_Dim1+26)=12),Déc_Dim1+26,""),IF(AND(YEAR(Déc_Dim1+33)=Année_Calendaire,MONTH(Déc_Dim1+33)=12),Déc_Dim1+33,""))</f>
        <v>42734</v>
      </c>
      <c r="AM204" s="83">
        <f>IF(DAY(Déc_Dim1)=1,IF(AND(YEAR(Déc_Dim1+27)=Année_Calendaire,MONTH(Déc_Dim1+27)=12),Déc_Dim1+27,""),IF(AND(YEAR(Déc_Dim1+34)=Année_Calendaire,MONTH(Déc_Dim1+34)=12),Déc_Dim1+34,""))</f>
        <v>42735</v>
      </c>
      <c r="AN204" s="83" t="str">
        <f>IF(DAY(Déc_Dim1)=1,IF(AND(YEAR(Déc_Dim1+28)=Année_Calendaire,MONTH(Déc_Dim1+28)=12),Déc_Dim1+28,""),IF(AND(YEAR(Déc_Dim1+35)=Année_Calendaire,MONTH(Déc_Dim1+35)=12),Déc_Dim1+35,""))</f>
        <v/>
      </c>
      <c r="AO204" s="97"/>
      <c r="AP204" s="77" t="str">
        <f>IF(DAY(Déc_Dim1)=1,IF(AND(YEAR(Déc_Dim1+29)=Année_Calendaire,MONTH(Déc_Dim1+29)=12),Déc_Dim1+29,""),IF(AND(YEAR(Déc_Dim1+36)=Année_Calendaire,MONTH(Déc_Dim1+36)=12),Déc_Dim1+36,""))</f>
        <v/>
      </c>
      <c r="AQ204" s="77" t="str">
        <f>IF(DAY(Déc_Dim1)=1,IF(AND(YEAR(Déc_Dim1+30)=Année_Calendaire,MONTH(Déc_Dim1+30)=12),Déc_Dim1+30,""),IF(AND(YEAR(Déc_Dim1+37)=Année_Calendaire,MONTH(Déc_Dim1+37)=12),Déc_Dim1+37,""))</f>
        <v/>
      </c>
      <c r="AR204" s="97"/>
      <c r="AS204" s="97"/>
      <c r="AT204" s="98"/>
      <c r="AU204" s="98"/>
    </row>
    <row r="205" spans="1:52" x14ac:dyDescent="0.25">
      <c r="A205" s="37" t="s">
        <v>2</v>
      </c>
      <c r="B205" s="47"/>
      <c r="C205" s="47"/>
      <c r="D205" s="47"/>
      <c r="E205" s="47"/>
      <c r="F205" s="47"/>
      <c r="G205" s="47"/>
      <c r="H205" s="47"/>
      <c r="I205" s="76"/>
      <c r="J205" s="47"/>
      <c r="K205" s="47"/>
      <c r="L205" s="47"/>
      <c r="M205" s="47"/>
      <c r="N205" s="47"/>
      <c r="O205" s="47"/>
      <c r="P205" s="47"/>
      <c r="Q205" s="76"/>
      <c r="R205" s="47"/>
      <c r="S205" s="47"/>
      <c r="T205" s="47"/>
      <c r="U205" s="47"/>
      <c r="V205" s="47"/>
      <c r="W205" s="47"/>
      <c r="X205" s="47"/>
      <c r="Y205" s="76"/>
      <c r="Z205" s="47"/>
      <c r="AA205" s="47"/>
      <c r="AB205" s="47"/>
      <c r="AC205" s="47"/>
      <c r="AD205" s="47"/>
      <c r="AE205" s="47"/>
      <c r="AF205" s="47"/>
      <c r="AG205" s="76"/>
      <c r="AH205" s="47"/>
      <c r="AI205" s="47"/>
      <c r="AJ205" s="47"/>
      <c r="AK205" s="47"/>
      <c r="AL205" s="47"/>
      <c r="AM205" s="47"/>
      <c r="AN205" s="47"/>
      <c r="AO205" s="76"/>
      <c r="AP205" s="47"/>
      <c r="AQ205" s="47"/>
      <c r="AR205" s="76"/>
      <c r="AS205" s="79"/>
    </row>
    <row r="206" spans="1:52" x14ac:dyDescent="0.25">
      <c r="A206" s="37" t="s">
        <v>63</v>
      </c>
      <c r="B206" s="76">
        <f t="shared" ref="B206:H206" si="383">IF(B205="Matin",1,IF(B205="AM",1,0))</f>
        <v>0</v>
      </c>
      <c r="C206" s="76">
        <f t="shared" si="383"/>
        <v>0</v>
      </c>
      <c r="D206" s="76">
        <f t="shared" si="383"/>
        <v>0</v>
      </c>
      <c r="E206" s="76">
        <f t="shared" si="383"/>
        <v>0</v>
      </c>
      <c r="F206" s="76">
        <f t="shared" si="383"/>
        <v>0</v>
      </c>
      <c r="G206" s="76">
        <f t="shared" si="383"/>
        <v>0</v>
      </c>
      <c r="H206" s="76">
        <f t="shared" si="383"/>
        <v>0</v>
      </c>
      <c r="I206" s="76">
        <f>SUM(B206:H206)</f>
        <v>0</v>
      </c>
      <c r="J206" s="76">
        <f t="shared" ref="J206:P206" si="384">IF(J205="Matin",1,IF(J205="AM",1,0))</f>
        <v>0</v>
      </c>
      <c r="K206" s="76">
        <f t="shared" si="384"/>
        <v>0</v>
      </c>
      <c r="L206" s="76">
        <f t="shared" si="384"/>
        <v>0</v>
      </c>
      <c r="M206" s="76">
        <f t="shared" si="384"/>
        <v>0</v>
      </c>
      <c r="N206" s="76">
        <f t="shared" si="384"/>
        <v>0</v>
      </c>
      <c r="O206" s="76">
        <f t="shared" si="384"/>
        <v>0</v>
      </c>
      <c r="P206" s="76">
        <f t="shared" si="384"/>
        <v>0</v>
      </c>
      <c r="Q206" s="76">
        <f>SUM(J206:P206)</f>
        <v>0</v>
      </c>
      <c r="R206" s="76">
        <f t="shared" ref="R206:X206" si="385">IF(R205="Matin",1,IF(R205="AM",1,0))</f>
        <v>0</v>
      </c>
      <c r="S206" s="76">
        <f t="shared" si="385"/>
        <v>0</v>
      </c>
      <c r="T206" s="76">
        <f t="shared" si="385"/>
        <v>0</v>
      </c>
      <c r="U206" s="76">
        <f t="shared" si="385"/>
        <v>0</v>
      </c>
      <c r="V206" s="76">
        <f t="shared" si="385"/>
        <v>0</v>
      </c>
      <c r="W206" s="76">
        <f t="shared" si="385"/>
        <v>0</v>
      </c>
      <c r="X206" s="76">
        <f t="shared" si="385"/>
        <v>0</v>
      </c>
      <c r="Y206" s="76">
        <f>SUM(R206:X206)</f>
        <v>0</v>
      </c>
      <c r="Z206" s="76">
        <f t="shared" ref="Z206:AF206" si="386">IF(Z205="Matin",1,IF(Z205="AM",1,0))</f>
        <v>0</v>
      </c>
      <c r="AA206" s="76">
        <f t="shared" si="386"/>
        <v>0</v>
      </c>
      <c r="AB206" s="76">
        <f t="shared" si="386"/>
        <v>0</v>
      </c>
      <c r="AC206" s="76">
        <f t="shared" si="386"/>
        <v>0</v>
      </c>
      <c r="AD206" s="76">
        <f t="shared" si="386"/>
        <v>0</v>
      </c>
      <c r="AE206" s="76">
        <f t="shared" si="386"/>
        <v>0</v>
      </c>
      <c r="AF206" s="76">
        <f t="shared" si="386"/>
        <v>0</v>
      </c>
      <c r="AG206" s="76">
        <f>SUM(Z206:AF206)</f>
        <v>0</v>
      </c>
      <c r="AH206" s="76">
        <f t="shared" ref="AH206:AN206" si="387">IF(AH205="Matin",1,IF(AH205="AM",1,0))</f>
        <v>0</v>
      </c>
      <c r="AI206" s="76">
        <f t="shared" si="387"/>
        <v>0</v>
      </c>
      <c r="AJ206" s="76">
        <f t="shared" si="387"/>
        <v>0</v>
      </c>
      <c r="AK206" s="76">
        <f t="shared" si="387"/>
        <v>0</v>
      </c>
      <c r="AL206" s="76">
        <f t="shared" si="387"/>
        <v>0</v>
      </c>
      <c r="AM206" s="76">
        <f t="shared" si="387"/>
        <v>0</v>
      </c>
      <c r="AN206" s="76">
        <f t="shared" si="387"/>
        <v>0</v>
      </c>
      <c r="AO206" s="76">
        <f>SUM(AH206:AN206)</f>
        <v>0</v>
      </c>
      <c r="AP206" s="76">
        <f t="shared" ref="AP206:AQ206" si="388">IF(AP205="Matin",1,IF(AP205="AM",1,0))</f>
        <v>0</v>
      </c>
      <c r="AQ206" s="76">
        <f t="shared" si="388"/>
        <v>0</v>
      </c>
      <c r="AR206" s="76">
        <f t="shared" ref="AR206:AR213" si="389">SUM(AP206:AQ206)</f>
        <v>0</v>
      </c>
      <c r="AS206" s="76">
        <f>I206+Q206+Y206+AG206+AO206+AR206</f>
        <v>0</v>
      </c>
    </row>
    <row r="207" spans="1:52" x14ac:dyDescent="0.25">
      <c r="A207" s="37" t="s">
        <v>4</v>
      </c>
      <c r="B207" s="76">
        <f>IF(B208&gt;=1,1,0)</f>
        <v>0</v>
      </c>
      <c r="C207" s="76">
        <f>IF(C208&gt;=1,1,0)</f>
        <v>0</v>
      </c>
      <c r="D207" s="76">
        <f t="shared" ref="D207:H207" si="390">IF(D208&gt;=1,1,0)</f>
        <v>0</v>
      </c>
      <c r="E207" s="76">
        <f t="shared" si="390"/>
        <v>0</v>
      </c>
      <c r="F207" s="76">
        <f t="shared" si="390"/>
        <v>0</v>
      </c>
      <c r="G207" s="76">
        <f t="shared" si="390"/>
        <v>0</v>
      </c>
      <c r="H207" s="76">
        <f t="shared" si="390"/>
        <v>0</v>
      </c>
      <c r="I207" s="76">
        <f t="shared" ref="I207:I217" si="391">SUM(B207:H207)</f>
        <v>0</v>
      </c>
      <c r="J207" s="76">
        <f>IF(J208&gt;=1,1,0)</f>
        <v>0</v>
      </c>
      <c r="K207" s="76">
        <f t="shared" ref="K207:P207" si="392">IF(K208&gt;=1,1,0)</f>
        <v>0</v>
      </c>
      <c r="L207" s="76">
        <f t="shared" si="392"/>
        <v>0</v>
      </c>
      <c r="M207" s="76">
        <f t="shared" si="392"/>
        <v>0</v>
      </c>
      <c r="N207" s="76">
        <f t="shared" si="392"/>
        <v>0</v>
      </c>
      <c r="O207" s="76">
        <f t="shared" si="392"/>
        <v>0</v>
      </c>
      <c r="P207" s="76">
        <f t="shared" si="392"/>
        <v>0</v>
      </c>
      <c r="Q207" s="76">
        <f t="shared" ref="Q207:Q217" si="393">SUM(J207:P207)</f>
        <v>0</v>
      </c>
      <c r="R207" s="76">
        <f>IF(R208&gt;=1,1,0)</f>
        <v>0</v>
      </c>
      <c r="S207" s="76">
        <f t="shared" ref="S207:X207" si="394">IF(S208&gt;=1,1,0)</f>
        <v>0</v>
      </c>
      <c r="T207" s="76">
        <f t="shared" si="394"/>
        <v>0</v>
      </c>
      <c r="U207" s="76">
        <f t="shared" si="394"/>
        <v>0</v>
      </c>
      <c r="V207" s="76">
        <f t="shared" si="394"/>
        <v>0</v>
      </c>
      <c r="W207" s="76">
        <f t="shared" si="394"/>
        <v>0</v>
      </c>
      <c r="X207" s="76">
        <f t="shared" si="394"/>
        <v>0</v>
      </c>
      <c r="Y207" s="76">
        <f t="shared" ref="Y207:Y217" si="395">SUM(R207:X207)</f>
        <v>0</v>
      </c>
      <c r="Z207" s="76">
        <f>IF(Z208&gt;=1,1,0)</f>
        <v>0</v>
      </c>
      <c r="AA207" s="76">
        <f t="shared" ref="AA207:AF207" si="396">IF(AA208&gt;=1,1,0)</f>
        <v>0</v>
      </c>
      <c r="AB207" s="76">
        <f t="shared" si="396"/>
        <v>0</v>
      </c>
      <c r="AC207" s="76">
        <f t="shared" si="396"/>
        <v>0</v>
      </c>
      <c r="AD207" s="76">
        <f t="shared" si="396"/>
        <v>0</v>
      </c>
      <c r="AE207" s="76">
        <f t="shared" si="396"/>
        <v>0</v>
      </c>
      <c r="AF207" s="76">
        <f t="shared" si="396"/>
        <v>0</v>
      </c>
      <c r="AG207" s="76">
        <f t="shared" ref="AG207:AG217" si="397">SUM(Z207:AF207)</f>
        <v>0</v>
      </c>
      <c r="AH207" s="76">
        <f>IF(AH208&gt;=1,1,0)</f>
        <v>0</v>
      </c>
      <c r="AI207" s="76">
        <f t="shared" ref="AI207:AN207" si="398">IF(AI208&gt;=1,1,0)</f>
        <v>0</v>
      </c>
      <c r="AJ207" s="76">
        <f t="shared" si="398"/>
        <v>0</v>
      </c>
      <c r="AK207" s="76">
        <f t="shared" si="398"/>
        <v>0</v>
      </c>
      <c r="AL207" s="76">
        <f t="shared" si="398"/>
        <v>0</v>
      </c>
      <c r="AM207" s="76">
        <f t="shared" si="398"/>
        <v>0</v>
      </c>
      <c r="AN207" s="76">
        <f t="shared" si="398"/>
        <v>0</v>
      </c>
      <c r="AO207" s="76">
        <f t="shared" ref="AO207:AO217" si="399">SUM(AH207:AN207)</f>
        <v>0</v>
      </c>
      <c r="AP207" s="76">
        <f>IF(AP208&gt;=1,1,0)</f>
        <v>0</v>
      </c>
      <c r="AQ207" s="76">
        <f t="shared" ref="AQ207" si="400">IF(AQ208&gt;=1,1,0)</f>
        <v>0</v>
      </c>
      <c r="AR207" s="76">
        <f t="shared" si="389"/>
        <v>0</v>
      </c>
      <c r="AS207" s="76">
        <f t="shared" ref="AS207:AS216" si="401">I207+Q207+Y207+AG207+AO207+AR207</f>
        <v>0</v>
      </c>
    </row>
    <row r="208" spans="1:52" x14ac:dyDescent="0.25">
      <c r="A208" s="37" t="s">
        <v>3</v>
      </c>
      <c r="B208" s="47"/>
      <c r="C208" s="47"/>
      <c r="D208" s="47"/>
      <c r="E208" s="47"/>
      <c r="F208" s="47"/>
      <c r="G208" s="47"/>
      <c r="H208" s="47"/>
      <c r="I208" s="76">
        <f t="shared" si="391"/>
        <v>0</v>
      </c>
      <c r="J208" s="47"/>
      <c r="K208" s="47"/>
      <c r="L208" s="47"/>
      <c r="M208" s="47"/>
      <c r="N208" s="47"/>
      <c r="O208" s="47"/>
      <c r="P208" s="47"/>
      <c r="Q208" s="76">
        <f t="shared" si="393"/>
        <v>0</v>
      </c>
      <c r="R208" s="47"/>
      <c r="S208" s="47"/>
      <c r="T208" s="47"/>
      <c r="U208" s="47"/>
      <c r="V208" s="47"/>
      <c r="W208" s="47"/>
      <c r="X208" s="47"/>
      <c r="Y208" s="76">
        <f t="shared" si="395"/>
        <v>0</v>
      </c>
      <c r="Z208" s="47"/>
      <c r="AA208" s="47"/>
      <c r="AB208" s="47"/>
      <c r="AC208" s="47"/>
      <c r="AD208" s="47"/>
      <c r="AE208" s="47"/>
      <c r="AF208" s="47"/>
      <c r="AG208" s="76">
        <f t="shared" si="397"/>
        <v>0</v>
      </c>
      <c r="AH208" s="47"/>
      <c r="AI208" s="47"/>
      <c r="AJ208" s="47"/>
      <c r="AK208" s="47"/>
      <c r="AL208" s="47"/>
      <c r="AM208" s="47"/>
      <c r="AN208" s="47"/>
      <c r="AO208" s="76">
        <f t="shared" si="399"/>
        <v>0</v>
      </c>
      <c r="AP208" s="47"/>
      <c r="AQ208" s="47"/>
      <c r="AR208" s="76">
        <f t="shared" si="389"/>
        <v>0</v>
      </c>
      <c r="AS208" s="76">
        <f t="shared" si="401"/>
        <v>0</v>
      </c>
    </row>
    <row r="209" spans="1:52" x14ac:dyDescent="0.25">
      <c r="A209" s="52" t="s">
        <v>71</v>
      </c>
      <c r="B209" s="82">
        <f>IF(B203&lt;&gt;"Dim",IF(B208&gt;32,MIN(B208,35)-32,0),0)</f>
        <v>0</v>
      </c>
      <c r="C209" s="82">
        <f>IF(C203&lt;&gt;"Dim",IF(SUM($B208:C208)&gt;32,MIN(SUM($B208:C208),35)-32-SUM($B209:B209),0),0)</f>
        <v>0</v>
      </c>
      <c r="D209" s="82">
        <f>IF(D203&lt;&gt;"Dim",IF(SUM($B208:D208)&gt;32,MIN(SUM($B208:D208),35)-32-SUM($B209:C209),0),0)</f>
        <v>0</v>
      </c>
      <c r="E209" s="82">
        <f>IF(E203&lt;&gt;"Dim",IF(SUM($B208:E208)&gt;32,MIN(SUM($B208:E208),35)-32-SUM($B209:D209),0),0)</f>
        <v>0</v>
      </c>
      <c r="F209" s="82">
        <f>IF(F203&lt;&gt;"Dim",IF(SUM($B208:F208)&gt;32,MIN(SUM($B208:F208),35)-32-SUM($B209:E209),0),0)</f>
        <v>0</v>
      </c>
      <c r="G209" s="82">
        <f>IF(G203&lt;&gt;"Dim",IF(SUM($B208:G208)&gt;32,MIN(SUM($B208:G208),35)-32-SUM($B209:F209),0),0)</f>
        <v>0</v>
      </c>
      <c r="H209" s="82">
        <f>IF(H203&lt;&gt;"Dim",IF(SUM($B208:H208)&gt;32,MIN(SUM($B208:H208),35)-32-SUM($B209:G209),0),0)</f>
        <v>0</v>
      </c>
      <c r="I209" s="76">
        <f t="shared" si="391"/>
        <v>0</v>
      </c>
      <c r="J209" s="82">
        <f>IF(J203&lt;&gt;"Dim",IF(J208&gt;32,MIN(J208,35)-32,0),0)</f>
        <v>0</v>
      </c>
      <c r="K209" s="82">
        <f>IF(K203&lt;&gt;"Dim",IF(SUM($J208:K208)&gt;32,MIN(SUM($J208:K208),35)-32-SUM($J209:J209),0),0)</f>
        <v>0</v>
      </c>
      <c r="L209" s="82">
        <f>IF(L203&lt;&gt;"Dim",IF(SUM($J208:L208)&gt;32,MIN(SUM($J208:L208),35)-32-SUM($J209:K209),0),0)</f>
        <v>0</v>
      </c>
      <c r="M209" s="82">
        <f>IF(M203&lt;&gt;"Dim",IF(SUM($J208:M208)&gt;32,MIN(SUM($J208:M208),35)-32-SUM($J209:L209),0),0)</f>
        <v>0</v>
      </c>
      <c r="N209" s="82">
        <f>IF(N203&lt;&gt;"Dim",IF(SUM($J208:N208)&gt;32,MIN(SUM($J208:N208),35)-32-SUM($J209:M209),0),0)</f>
        <v>0</v>
      </c>
      <c r="O209" s="82">
        <f>IF(O203&lt;&gt;"Dim",IF(SUM($J208:O208)&gt;32,MIN(SUM($J208:O208),35)-32-SUM($J209:N209),0),0)</f>
        <v>0</v>
      </c>
      <c r="P209" s="82">
        <f>IF(P203&lt;&gt;"Dim",IF(SUM($J208:P208)&gt;32,MIN(SUM($J208:P208),35)-32-SUM($J209:O209),0),0)</f>
        <v>0</v>
      </c>
      <c r="Q209" s="76">
        <f t="shared" si="393"/>
        <v>0</v>
      </c>
      <c r="R209" s="82">
        <f>IF(R203&lt;&gt;"Dim",IF(R208&gt;32,MIN(R208,35)-32,0),0)</f>
        <v>0</v>
      </c>
      <c r="S209" s="82">
        <f>IF(S203&lt;&gt;"Dim",IF(SUM($R208:S208)&gt;32,MIN(SUM($R208:S208),35)-32-SUM($R209:R209),0),0)</f>
        <v>0</v>
      </c>
      <c r="T209" s="82">
        <f>IF(T203&lt;&gt;"Dim",IF(SUM($R208:T208)&gt;32,MIN(SUM($R208:T208),35)-32-SUM($R209:S209),0),0)</f>
        <v>0</v>
      </c>
      <c r="U209" s="82">
        <f>IF(U203&lt;&gt;"Dim",IF(SUM($R208:U208)&gt;32,MIN(SUM($R208:U208),35)-32-SUM($R209:T209),0),0)</f>
        <v>0</v>
      </c>
      <c r="V209" s="82">
        <f>IF(V203&lt;&gt;"Dim",IF(SUM($R208:V208)&gt;32,MIN(SUM($R208:V208),35)-32-SUM($R209:U209),0),0)</f>
        <v>0</v>
      </c>
      <c r="W209" s="82">
        <f>IF(W203&lt;&gt;"Dim",IF(SUM($R208:W208)&gt;32,MIN(SUM($R208:W208),35)-32-SUM($R209:V209),0),0)</f>
        <v>0</v>
      </c>
      <c r="X209" s="82">
        <f>IF(X203&lt;&gt;"Dim",IF(SUM($R208:X208)&gt;32,MIN(SUM($R208:X208),35)-32-SUM($R209:W209),0),0)</f>
        <v>0</v>
      </c>
      <c r="Y209" s="76">
        <f t="shared" si="395"/>
        <v>0</v>
      </c>
      <c r="Z209" s="82">
        <f>IF(Z203&lt;&gt;"Dim",IF(Z208&gt;32,MIN(Z208,35)-32,0),0)</f>
        <v>0</v>
      </c>
      <c r="AA209" s="82">
        <f>IF(AA203&lt;&gt;"Dim",IF(SUM($Z208:AA208)&gt;32,MIN(SUM($Z208:AA208),35)-32-SUM($Z209:Z209),0),0)</f>
        <v>0</v>
      </c>
      <c r="AB209" s="82">
        <f>IF(AB203&lt;&gt;"Dim",IF(SUM($Z208:AB208)&gt;32,MIN(SUM($Z208:AB208),35)-32-SUM($Z209:AA209),0),0)</f>
        <v>0</v>
      </c>
      <c r="AC209" s="82">
        <f>IF(AC203&lt;&gt;"Dim",IF(SUM($Z208:AC208)&gt;32,MIN(SUM($Z208:AC208),35)-32-SUM($Z209:AB209),0),0)</f>
        <v>0</v>
      </c>
      <c r="AD209" s="82">
        <f>IF(AD203&lt;&gt;"Dim",IF(SUM($Z208:AD208)&gt;32,MIN(SUM($Z208:AD208),35)-32-SUM($Z209:AC209),0),0)</f>
        <v>0</v>
      </c>
      <c r="AE209" s="82">
        <f>IF(AE203&lt;&gt;"Dim",IF(SUM($Z208:AE208)&gt;32,MIN(SUM($Z208:AE208),35)-32-SUM($Z209:AD209),0),0)</f>
        <v>0</v>
      </c>
      <c r="AF209" s="82">
        <f>IF(AF203&lt;&gt;"Dim",IF(SUM($Z208:AF208)&gt;32,MIN(SUM($Z208:AF208),35)-32-SUM($Z209:AE209),0),0)</f>
        <v>0</v>
      </c>
      <c r="AG209" s="76">
        <f t="shared" si="397"/>
        <v>0</v>
      </c>
      <c r="AH209" s="82">
        <f>IF(AH203&lt;&gt;"Dim",IF(AH208&gt;32,MIN(AH208,35)-32,0),0)</f>
        <v>0</v>
      </c>
      <c r="AI209" s="82">
        <f>IF(AI203&lt;&gt;"Dim",IF(SUM($AH208:AI208)&gt;32,MIN(SUM($AH208:AI208),35)-32-SUM($AH209:AH209),0),0)</f>
        <v>0</v>
      </c>
      <c r="AJ209" s="82">
        <f>IF(AJ203&lt;&gt;"Dim",IF(SUM($AH208:AJ208)&gt;32,MIN(SUM($AH208:AJ208),35)-32-SUM($AH209:AI209),0),0)</f>
        <v>0</v>
      </c>
      <c r="AK209" s="82">
        <f>IF(AK203&lt;&gt;"Dim",IF(SUM($AH208:AK208)&gt;32,MIN(SUM($AH208:AK208),35)-32-SUM($AH209:AJ209),0),0)</f>
        <v>0</v>
      </c>
      <c r="AL209" s="82">
        <f>IF(AL203&lt;&gt;"Dim",IF(SUM($AH208:AL208)&gt;32,MIN(SUM($AH208:AL208),35)-32-SUM($AH209:AK209),0),0)</f>
        <v>0</v>
      </c>
      <c r="AM209" s="82">
        <f>IF(AM203&lt;&gt;"Dim",IF(SUM($AH208:AM208)&gt;32,MIN(SUM($AH208:AM208),35)-32-SUM($AH209:AL209),0),0)</f>
        <v>0</v>
      </c>
      <c r="AN209" s="82">
        <f>IF(AN203&lt;&gt;"Dim",IF(SUM($AH208:AN208)&gt;32,MIN(SUM($AH208:AN208),35)-32-SUM($AH209:AM209),0),0)</f>
        <v>0</v>
      </c>
      <c r="AO209" s="76">
        <f t="shared" si="399"/>
        <v>0</v>
      </c>
      <c r="AP209" s="82">
        <f>IF(AP203&lt;&gt;"Dim",IF(AP208&gt;32,MIN(AP208,35)-32,0),0)</f>
        <v>0</v>
      </c>
      <c r="AQ209" s="82">
        <f>IF(AQ203&lt;&gt;"Dim",IF(SUM($AP208:AQ208)&gt;32,MIN(SUM($AP208:AQ208),35)-32-SUM($AP209:AP209),0),0)</f>
        <v>0</v>
      </c>
      <c r="AR209" s="76">
        <f t="shared" si="389"/>
        <v>0</v>
      </c>
      <c r="AS209" s="76">
        <f t="shared" si="401"/>
        <v>0</v>
      </c>
    </row>
    <row r="210" spans="1:52" x14ac:dyDescent="0.25">
      <c r="A210" s="37" t="s">
        <v>40</v>
      </c>
      <c r="B210" s="82">
        <f>IF(B203&lt;&gt;"Dim",IF(B208&gt;35,(MIN(B208,43)-35),0),0)</f>
        <v>0</v>
      </c>
      <c r="C210" s="82">
        <f>IF(C203&lt;&gt;"Dim",IF(SUM($B208:C208)&gt;35,(MIN(SUM($B208:C208),43)-35-SUM($B210:B210)),0),0)</f>
        <v>0</v>
      </c>
      <c r="D210" s="82">
        <f>IF(D203&lt;&gt;"Dim",IF(SUM($B208:D208)&gt;35,(MIN(SUM($B208:D208),43)-35-SUM($B210:C210)),0),0)</f>
        <v>0</v>
      </c>
      <c r="E210" s="82">
        <f>IF(E203&lt;&gt;"Dim",IF(SUM($B208:E208)&gt;35,(MIN(SUM($B208:E208),43)-35-SUM($B210:D210)),0),0)</f>
        <v>0</v>
      </c>
      <c r="F210" s="82">
        <f>IF(F203&lt;&gt;"Dim",IF(SUM($B208:F208)&gt;35,(MIN(SUM($B208:F208),43)-35-SUM($B210:E210)),0),0)</f>
        <v>0</v>
      </c>
      <c r="G210" s="82">
        <f>IF(G203&lt;&gt;"Dim",IF(SUM($B208:G208)&gt;35,(MIN(SUM($B208:G208),43)-35-SUM($B210:F210)),0),0)</f>
        <v>0</v>
      </c>
      <c r="H210" s="82">
        <f>IF(H203&lt;&gt;"Dim",IF(SUM($B208:H208)&gt;35,(MIN(SUM($B208:H208),43)-35-SUM($B210:G210)),0),0)</f>
        <v>0</v>
      </c>
      <c r="I210" s="76">
        <f t="shared" si="391"/>
        <v>0</v>
      </c>
      <c r="J210" s="82">
        <f>IF(J203&lt;&gt;"Dim",IF(J208&gt;35,(MIN(J208,43)-35),0),0)</f>
        <v>0</v>
      </c>
      <c r="K210" s="82">
        <f>IF(K203&lt;&gt;"Dim",IF(SUM($J208:K208)&gt;35,(MIN(SUM($J208:K208),43)-35-SUM($J210:J210)),0),0)</f>
        <v>0</v>
      </c>
      <c r="L210" s="82">
        <f>IF(L203&lt;&gt;"Dim",IF(SUM($J208:L208)&gt;35,(MIN(SUM($J208:L208),43)-35-SUM($J210:K210)),0),0)</f>
        <v>0</v>
      </c>
      <c r="M210" s="82">
        <f>IF(M203&lt;&gt;"Dim",IF(SUM($J208:M208)&gt;35,(MIN(SUM($J208:M208),43)-35-SUM($J210:L210)),0),0)</f>
        <v>0</v>
      </c>
      <c r="N210" s="82">
        <f>IF(N203&lt;&gt;"Dim",IF(SUM($J208:N208)&gt;35,(MIN(SUM($J208:N208),43)-35-SUM($J210:M210)),0),0)</f>
        <v>0</v>
      </c>
      <c r="O210" s="82">
        <f>IF(O203&lt;&gt;"Dim",IF(SUM($J208:O208)&gt;35,(MIN(SUM($J208:O208),43)-35-SUM($J210:N210)),0),0)</f>
        <v>0</v>
      </c>
      <c r="P210" s="82">
        <f>IF(P203&lt;&gt;"Dim",IF(SUM($J208:P208)&gt;35,(MIN(SUM($J208:P208),43)-35-SUM($J210:O210)),0),0)</f>
        <v>0</v>
      </c>
      <c r="Q210" s="76">
        <f t="shared" si="393"/>
        <v>0</v>
      </c>
      <c r="R210" s="82">
        <f>IF(R203&lt;&gt;"Dim",IF(R208&gt;35,(MIN(R208,43)-35),0),0)</f>
        <v>0</v>
      </c>
      <c r="S210" s="82">
        <f>IF(S203&lt;&gt;"Dim",IF(SUM($R208:S208)&gt;35,(MIN(SUM($R208:S208),43)-35-SUM($R210:R210)),0),0)</f>
        <v>0</v>
      </c>
      <c r="T210" s="82">
        <f>IF(T203&lt;&gt;"Dim",IF(SUM($R208:T208)&gt;35,(MIN(SUM($R208:T208),43)-35-SUM($R210:S210)),0),0)</f>
        <v>0</v>
      </c>
      <c r="U210" s="82">
        <f>IF(U203&lt;&gt;"Dim",IF(SUM($R208:U208)&gt;35,(MIN(SUM($R208:U208),43)-35-SUM($R210:T210)),0),0)</f>
        <v>0</v>
      </c>
      <c r="V210" s="82">
        <f>IF(V203&lt;&gt;"Dim",IF(SUM($R208:V208)&gt;35,(MIN(SUM($R208:V208),43)-35-SUM($R210:U210)),0),0)</f>
        <v>0</v>
      </c>
      <c r="W210" s="82">
        <f>IF(W203&lt;&gt;"Dim",IF(SUM($R208:W208)&gt;35,(MIN(SUM($R208:W208),43)-35-SUM($R210:V210)),0),0)</f>
        <v>0</v>
      </c>
      <c r="X210" s="82">
        <f>IF(X203&lt;&gt;"Dim",IF(SUM($R208:X208)&gt;35,(MIN(SUM($R208:X208),43)-35-SUM($R210:W210)),0),0)</f>
        <v>0</v>
      </c>
      <c r="Y210" s="76">
        <f t="shared" si="395"/>
        <v>0</v>
      </c>
      <c r="Z210" s="82">
        <f>IF(Z203&lt;&gt;"Dim",IF(Z208&gt;35,(MIN(Z208,43)-35),0),0)</f>
        <v>0</v>
      </c>
      <c r="AA210" s="82">
        <f>IF(AA203&lt;&gt;"Dim",IF(SUM($Z208:AA208)&gt;35,(MIN(SUM($Z208:AA208),43)-35-SUM($Z210:Z210)),0),0)</f>
        <v>0</v>
      </c>
      <c r="AB210" s="82">
        <f>IF(AB203&lt;&gt;"Dim",IF(SUM($Z208:AB208)&gt;35,(MIN(SUM($Z208:AB208),43)-35-SUM($Z210:AA210)),0),0)</f>
        <v>0</v>
      </c>
      <c r="AC210" s="82">
        <f>IF(AC203&lt;&gt;"Dim",IF(SUM($Z208:AC208)&gt;35,(MIN(SUM($Z208:AC208),43)-35-SUM($Z210:AB210)),0),0)</f>
        <v>0</v>
      </c>
      <c r="AD210" s="82">
        <f>IF(AD203&lt;&gt;"Dim",IF(SUM($Z208:AD208)&gt;35,(MIN(SUM($Z208:AD208),43)-35-SUM($Z210:AC210)),0),0)</f>
        <v>0</v>
      </c>
      <c r="AE210" s="82">
        <f>IF(AE203&lt;&gt;"Dim",IF(SUM($Z208:AE208)&gt;35,(MIN(SUM($Z208:AE208),43)-35-SUM($Z210:AD210)),0),0)</f>
        <v>0</v>
      </c>
      <c r="AF210" s="82">
        <f>IF(AF203&lt;&gt;"Dim",IF(SUM($Z208:AF208)&gt;35,(MIN(SUM($Z208:AF208),43)-35-SUM($Z210:AE210)),0),0)</f>
        <v>0</v>
      </c>
      <c r="AG210" s="76">
        <f t="shared" si="397"/>
        <v>0</v>
      </c>
      <c r="AH210" s="82">
        <f>IF(AH203&lt;&gt;"Dim",IF(AH208&gt;35,(MIN(AH208,43)-35),0),0)</f>
        <v>0</v>
      </c>
      <c r="AI210" s="82">
        <f>IF(AI203&lt;&gt;"Dim",IF(SUM($AH208:AI208)&gt;35,(MIN(SUM($AH208:AI208),43)-35-SUM($AH210:AH210)),0),0)</f>
        <v>0</v>
      </c>
      <c r="AJ210" s="82">
        <f>IF(AJ203&lt;&gt;"Dim",IF(SUM($AH208:AJ208)&gt;35,(MIN(SUM($AH208:AJ208),43)-35-SUM($AH210:AI210)),0),0)</f>
        <v>0</v>
      </c>
      <c r="AK210" s="82">
        <f>IF(AK203&lt;&gt;"Dim",IF(SUM($AH208:AK208)&gt;35,(MIN(SUM($AH208:AK208),43)-35-SUM($AH210:AJ210)),0),0)</f>
        <v>0</v>
      </c>
      <c r="AL210" s="82">
        <f>IF(AL203&lt;&gt;"Dim",IF(SUM($AH208:AL208)&gt;35,(MIN(SUM($AH208:AL208),43)-35-SUM($AH210:AK210)),0),0)</f>
        <v>0</v>
      </c>
      <c r="AM210" s="82">
        <f>IF(AM203&lt;&gt;"Dim",IF(SUM($AH208:AM208)&gt;35,(MIN(SUM($AH208:AM208),43)-35-SUM($AH210:AL210)),0),0)</f>
        <v>0</v>
      </c>
      <c r="AN210" s="82">
        <f>IF(AN203&lt;&gt;"Dim",IF(SUM($AH208:AN208)&gt;35,(MIN(SUM($AH208:AN208),43)-35-SUM($AH210:AM210)),0),0)</f>
        <v>0</v>
      </c>
      <c r="AO210" s="76">
        <f t="shared" si="399"/>
        <v>0</v>
      </c>
      <c r="AP210" s="82">
        <f>IF(AP203&lt;&gt;"Dim",IF(AP208&gt;35,(MIN(AP208,43)-35),0),0)</f>
        <v>0</v>
      </c>
      <c r="AQ210" s="82">
        <f>IF(AQ203&lt;&gt;"Dim",IF(SUM($AP208:AQ208)&gt;35,(MIN(SUM($AP208:AQ208),43)-35-SUM($AP210:AP210)),0),0)</f>
        <v>0</v>
      </c>
      <c r="AR210" s="76">
        <f t="shared" si="389"/>
        <v>0</v>
      </c>
      <c r="AS210" s="76">
        <f t="shared" si="401"/>
        <v>0</v>
      </c>
    </row>
    <row r="211" spans="1:52" x14ac:dyDescent="0.25">
      <c r="A211" s="37" t="s">
        <v>39</v>
      </c>
      <c r="B211" s="82">
        <f>IF(B203&lt;&gt;"Dim",IF(B208&gt;43,(MIN(B208,48)-43),0),0)</f>
        <v>0</v>
      </c>
      <c r="C211" s="82">
        <f>IF(C203&lt;&gt;"Dim",IF(SUM($B208:C208)&gt;43,(MIN(SUM($B208:C208),48)-43-SUM($B211:B211)),0),0)</f>
        <v>0</v>
      </c>
      <c r="D211" s="82">
        <f>IF(D203&lt;&gt;"Dim",IF(SUM($B208:D208)&gt;43,(MIN(SUM($B208:D208),48)-43-SUM($B211:C211)),0),0)</f>
        <v>0</v>
      </c>
      <c r="E211" s="82">
        <f>IF(E203&lt;&gt;"Dim",IF(SUM($B208:E208)&gt;43,(MIN(SUM($B208:E208),48)-43-SUM($B211:D211)),0),0)</f>
        <v>0</v>
      </c>
      <c r="F211" s="82">
        <f>IF(F203&lt;&gt;"Dim",IF(SUM($B208:F208)&gt;43,(MIN(SUM($B208:F208),48)-43-SUM($B211:E211)),0),0)</f>
        <v>0</v>
      </c>
      <c r="G211" s="82">
        <f>IF(G203&lt;&gt;"Dim",IF(SUM($B208:G208)&gt;43,(MIN(SUM($B208:G208),48)-43-SUM($B211:F211)),0),0)</f>
        <v>0</v>
      </c>
      <c r="H211" s="82">
        <f>IF(H203&lt;&gt;"Dim",IF(SUM($B208:H208)&gt;43,(MIN(SUM($B208:H208),48)-43-SUM($B211:G211)),0),0)</f>
        <v>0</v>
      </c>
      <c r="I211" s="76">
        <f t="shared" si="391"/>
        <v>0</v>
      </c>
      <c r="J211" s="82">
        <f>IF(J203&lt;&gt;"Dim",IF(J208&gt;43,(MIN(J208,48)-43),0),0)</f>
        <v>0</v>
      </c>
      <c r="K211" s="82">
        <f>IF(K203&lt;&gt;"Dim",IF(SUM($J208:K208)&gt;43,(MIN(SUM($J208:K208),48)-43-SUM($J211:J211)),0),0)</f>
        <v>0</v>
      </c>
      <c r="L211" s="82">
        <f>IF(L203&lt;&gt;"Dim",IF(SUM($J208:L208)&gt;43,(MIN(SUM($J208:L208),48)-43-SUM($J211:K211)),0),0)</f>
        <v>0</v>
      </c>
      <c r="M211" s="82">
        <f>IF(M203&lt;&gt;"Dim",IF(SUM($J208:M208)&gt;43,(MIN(SUM($J208:M208),48)-43-SUM($J211:L211)),0),0)</f>
        <v>0</v>
      </c>
      <c r="N211" s="82">
        <f>IF(N203&lt;&gt;"Dim",IF(SUM($J208:N208)&gt;43,(MIN(SUM($J208:N208),48)-43-SUM($J211:M211)),0),0)</f>
        <v>0</v>
      </c>
      <c r="O211" s="82">
        <f>IF(O203&lt;&gt;"Dim",IF(SUM($J208:O208)&gt;43,(MIN(SUM($J208:O208),48)-43-SUM($J211:N211)),0),0)</f>
        <v>0</v>
      </c>
      <c r="P211" s="82">
        <f>IF(P203&lt;&gt;"Dim",IF(SUM($J208:P208)&gt;43,(MIN(SUM($J208:P208),48)-43-SUM($J211:O211)),0),0)</f>
        <v>0</v>
      </c>
      <c r="Q211" s="76">
        <f t="shared" si="393"/>
        <v>0</v>
      </c>
      <c r="R211" s="82">
        <f>IF(R203&lt;&gt;"Dim",IF(R208&gt;43,(MIN(R208,48)-43),0),0)</f>
        <v>0</v>
      </c>
      <c r="S211" s="82">
        <f>IF(S203&lt;&gt;"Dim",IF(SUM($R208:S208)&gt;43,(MIN(SUM($R208:S208),48)-43-SUM($R211:R211)),0),0)</f>
        <v>0</v>
      </c>
      <c r="T211" s="82">
        <f>IF(T203&lt;&gt;"Dim",IF(SUM($R208:T208)&gt;43,(MIN(SUM($R208:T208),48)-43-SUM($R211:S211)),0),0)</f>
        <v>0</v>
      </c>
      <c r="U211" s="82">
        <f>IF(U203&lt;&gt;"Dim",IF(SUM($R208:U208)&gt;43,(MIN(SUM($R208:U208),48)-43-SUM($R211:T211)),0),0)</f>
        <v>0</v>
      </c>
      <c r="V211" s="82">
        <f>IF(V203&lt;&gt;"Dim",IF(SUM($R208:V208)&gt;43,(MIN(SUM($R208:V208),48)-43-SUM($R211:U211)),0),0)</f>
        <v>0</v>
      </c>
      <c r="W211" s="82">
        <f>IF(W203&lt;&gt;"Dim",IF(SUM($R208:W208)&gt;43,(MIN(SUM($R208:W208),48)-43-SUM($R211:V211)),0),0)</f>
        <v>0</v>
      </c>
      <c r="X211" s="82">
        <f>IF(X203&lt;&gt;"Dim",IF(SUM($R208:X208)&gt;43,(MIN(SUM($R208:X208),48)-43-SUM($R211:W211)),0),0)</f>
        <v>0</v>
      </c>
      <c r="Y211" s="76">
        <f t="shared" si="395"/>
        <v>0</v>
      </c>
      <c r="Z211" s="82">
        <f>IF(Z203&lt;&gt;"Dim",IF(Z208&gt;43,(MIN(Z208,48)-43),0),0)</f>
        <v>0</v>
      </c>
      <c r="AA211" s="82">
        <f>IF(AA203&lt;&gt;"Dim",IF(SUM($Z208:AA208)&gt;43,(MIN(SUM($Z208:AA208),48)-43-SUM($Z211:Z211)),0),0)</f>
        <v>0</v>
      </c>
      <c r="AB211" s="82">
        <f>IF(AB203&lt;&gt;"Dim",IF(SUM($Z208:AB208)&gt;43,(MIN(SUM($Z208:AB208),48)-43-SUM($Z211:AA211)),0),0)</f>
        <v>0</v>
      </c>
      <c r="AC211" s="82">
        <f>IF(AC203&lt;&gt;"Dim",IF(SUM($Z208:AC208)&gt;43,(MIN(SUM($Z208:AC208),48)-43-SUM($Z211:AB211)),0),0)</f>
        <v>0</v>
      </c>
      <c r="AD211" s="82">
        <f>IF(AD203&lt;&gt;"Dim",IF(SUM($Z208:AD208)&gt;43,(MIN(SUM($Z208:AD208),48)-43-SUM($Z211:AC211)),0),0)</f>
        <v>0</v>
      </c>
      <c r="AE211" s="82">
        <f>IF(AE203&lt;&gt;"Dim",IF(SUM($Z208:AE208)&gt;43,(MIN(SUM($Z208:AE208),48)-43-SUM($Z211:AD211)),0),0)</f>
        <v>0</v>
      </c>
      <c r="AF211" s="82">
        <f>IF(AF203&lt;&gt;"Dim",IF(SUM($Z208:AF208)&gt;43,(MIN(SUM($Z208:AF208),48)-43-SUM($Z211:AE211)),0),0)</f>
        <v>0</v>
      </c>
      <c r="AG211" s="76">
        <f t="shared" si="397"/>
        <v>0</v>
      </c>
      <c r="AH211" s="82">
        <f>IF(AH203&lt;&gt;"Dim",IF(AH208&gt;43,(MIN(AH208,48)-43),0),0)</f>
        <v>0</v>
      </c>
      <c r="AI211" s="82">
        <f>IF(AI203&lt;&gt;"Dim",IF(SUM($AH208:AI208)&gt;43,(MIN(SUM($AH208:AI208),48)-43-SUM($AH211:AH211)),0),0)</f>
        <v>0</v>
      </c>
      <c r="AJ211" s="82">
        <f>IF(AJ203&lt;&gt;"Dim",IF(SUM($AH208:AJ208)&gt;43,(MIN(SUM($AH208:AJ208),48)-43-SUM($AH211:AI211)),0),0)</f>
        <v>0</v>
      </c>
      <c r="AK211" s="82">
        <f>IF(AK203&lt;&gt;"Dim",IF(SUM($AH208:AK208)&gt;43,(MIN(SUM($AH208:AK208),48)-43-SUM($AH211:AJ211)),0),0)</f>
        <v>0</v>
      </c>
      <c r="AL211" s="82">
        <f>IF(AL203&lt;&gt;"Dim",IF(SUM($AH208:AL208)&gt;43,(MIN(SUM($AH208:AL208),48)-43-SUM($AH211:AK211)),0),0)</f>
        <v>0</v>
      </c>
      <c r="AM211" s="82">
        <f>IF(AM203&lt;&gt;"Dim",IF(SUM($AH208:AM208)&gt;43,(MIN(SUM($AH208:AM208),48)-43-SUM($AH211:AL211)),0),0)</f>
        <v>0</v>
      </c>
      <c r="AN211" s="82">
        <f>IF(AN203&lt;&gt;"Dim",IF(SUM($AH208:AN208)&gt;43,(MIN(SUM($AH208:AN208),48)-43-SUM($AH211:AM211)),0),0)</f>
        <v>0</v>
      </c>
      <c r="AO211" s="76">
        <f t="shared" si="399"/>
        <v>0</v>
      </c>
      <c r="AP211" s="82">
        <f>IF(AP203&lt;&gt;"Dim",IF(AP208&gt;43,(MIN(AP208,48)-43),0),0)</f>
        <v>0</v>
      </c>
      <c r="AQ211" s="82">
        <f>IF(AQ203&lt;&gt;"Dim",IF(SUM($AP208:AQ208)&gt;43,(MIN(SUM($AP208:AQ208),48)-43-SUM($AP211:AP211)),0),0)</f>
        <v>0</v>
      </c>
      <c r="AR211" s="76">
        <f t="shared" si="389"/>
        <v>0</v>
      </c>
      <c r="AS211" s="76">
        <f t="shared" si="401"/>
        <v>0</v>
      </c>
    </row>
    <row r="212" spans="1:52" x14ac:dyDescent="0.25">
      <c r="A212" s="37" t="s">
        <v>41</v>
      </c>
      <c r="B212" s="82">
        <f>IF(B203="Dim",B208,IF(B218="ferie",B208,0))</f>
        <v>0</v>
      </c>
      <c r="C212" s="82">
        <f t="shared" ref="C212:H212" si="402">IF(C203="Dim",C208,IF(C218="ferie",C208,0))</f>
        <v>0</v>
      </c>
      <c r="D212" s="82">
        <f t="shared" si="402"/>
        <v>0</v>
      </c>
      <c r="E212" s="82">
        <f t="shared" si="402"/>
        <v>0</v>
      </c>
      <c r="F212" s="82">
        <f t="shared" si="402"/>
        <v>0</v>
      </c>
      <c r="G212" s="82">
        <f t="shared" si="402"/>
        <v>0</v>
      </c>
      <c r="H212" s="82">
        <f t="shared" si="402"/>
        <v>0</v>
      </c>
      <c r="I212" s="76">
        <f t="shared" si="391"/>
        <v>0</v>
      </c>
      <c r="J212" s="82">
        <f>IF(J203="Dim",J208,IF(J218="ferie",J208,0))</f>
        <v>0</v>
      </c>
      <c r="K212" s="82">
        <f t="shared" ref="K212:P212" si="403">IF(K203="Dim",K208,IF(K218="ferie",K208,0))</f>
        <v>0</v>
      </c>
      <c r="L212" s="82">
        <f t="shared" si="403"/>
        <v>0</v>
      </c>
      <c r="M212" s="82">
        <f t="shared" si="403"/>
        <v>0</v>
      </c>
      <c r="N212" s="82">
        <f t="shared" si="403"/>
        <v>0</v>
      </c>
      <c r="O212" s="82">
        <f>IF(O203="Dim",O208,IF(O218="ferie",O208,0))</f>
        <v>0</v>
      </c>
      <c r="P212" s="82">
        <f t="shared" si="403"/>
        <v>0</v>
      </c>
      <c r="Q212" s="76">
        <f t="shared" si="393"/>
        <v>0</v>
      </c>
      <c r="R212" s="82">
        <f>IF(R203="Dim",R208,IF(R218="ferie",R208,0))</f>
        <v>0</v>
      </c>
      <c r="S212" s="82">
        <f t="shared" ref="S212:X212" si="404">IF(S203="Dim",S208,IF(S218="ferie",S208,0))</f>
        <v>0</v>
      </c>
      <c r="T212" s="82">
        <f t="shared" si="404"/>
        <v>0</v>
      </c>
      <c r="U212" s="82">
        <f t="shared" si="404"/>
        <v>0</v>
      </c>
      <c r="V212" s="82">
        <f t="shared" si="404"/>
        <v>0</v>
      </c>
      <c r="W212" s="82">
        <f t="shared" si="404"/>
        <v>0</v>
      </c>
      <c r="X212" s="82">
        <f t="shared" si="404"/>
        <v>0</v>
      </c>
      <c r="Y212" s="76">
        <f t="shared" si="395"/>
        <v>0</v>
      </c>
      <c r="Z212" s="82">
        <f>IF(Z203="Dim",Z208,IF(Z218="ferie",Z208,0))</f>
        <v>0</v>
      </c>
      <c r="AA212" s="82">
        <f t="shared" ref="AA212:AF212" si="405">IF(AA203="Dim",AA208,IF(AA218="ferie",AA208,0))</f>
        <v>0</v>
      </c>
      <c r="AB212" s="82">
        <f t="shared" si="405"/>
        <v>0</v>
      </c>
      <c r="AC212" s="82">
        <f t="shared" si="405"/>
        <v>0</v>
      </c>
      <c r="AD212" s="82">
        <f t="shared" si="405"/>
        <v>0</v>
      </c>
      <c r="AE212" s="82">
        <f t="shared" si="405"/>
        <v>0</v>
      </c>
      <c r="AF212" s="82">
        <f t="shared" si="405"/>
        <v>0</v>
      </c>
      <c r="AG212" s="76">
        <f t="shared" si="397"/>
        <v>0</v>
      </c>
      <c r="AH212" s="82">
        <f>IF(AH203="Dim",AH208,IF(AH218="ferie",AH208,0))</f>
        <v>0</v>
      </c>
      <c r="AI212" s="82">
        <f t="shared" ref="AI212:AQ212" si="406">IF(AI203="Dim",AI208,IF(AI218="ferie",AI208,0))</f>
        <v>0</v>
      </c>
      <c r="AJ212" s="82">
        <f t="shared" si="406"/>
        <v>0</v>
      </c>
      <c r="AK212" s="82">
        <f t="shared" si="406"/>
        <v>0</v>
      </c>
      <c r="AL212" s="82">
        <f t="shared" si="406"/>
        <v>0</v>
      </c>
      <c r="AM212" s="82">
        <f t="shared" si="406"/>
        <v>0</v>
      </c>
      <c r="AN212" s="82">
        <f t="shared" si="406"/>
        <v>0</v>
      </c>
      <c r="AO212" s="76">
        <f>SUM(AH212:AN212)</f>
        <v>0</v>
      </c>
      <c r="AP212" s="82">
        <f>IF(AP203="Dim",AP208,IF(AP218="ferie",AP208,0))</f>
        <v>0</v>
      </c>
      <c r="AQ212" s="82">
        <f t="shared" si="406"/>
        <v>0</v>
      </c>
      <c r="AR212" s="76">
        <f t="shared" si="389"/>
        <v>0</v>
      </c>
      <c r="AS212" s="76">
        <f t="shared" si="401"/>
        <v>0</v>
      </c>
    </row>
    <row r="213" spans="1:52" x14ac:dyDescent="0.25">
      <c r="A213" s="37" t="s">
        <v>59</v>
      </c>
      <c r="B213" s="47"/>
      <c r="C213" s="47"/>
      <c r="D213" s="47"/>
      <c r="E213" s="47"/>
      <c r="F213" s="47"/>
      <c r="G213" s="47"/>
      <c r="H213" s="47"/>
      <c r="I213" s="76">
        <f t="shared" si="391"/>
        <v>0</v>
      </c>
      <c r="J213" s="47"/>
      <c r="K213" s="47"/>
      <c r="L213" s="47"/>
      <c r="M213" s="47"/>
      <c r="N213" s="47"/>
      <c r="O213" s="47"/>
      <c r="P213" s="47"/>
      <c r="Q213" s="76">
        <f t="shared" si="393"/>
        <v>0</v>
      </c>
      <c r="R213" s="47"/>
      <c r="S213" s="47"/>
      <c r="T213" s="47"/>
      <c r="U213" s="47"/>
      <c r="V213" s="47"/>
      <c r="W213" s="47"/>
      <c r="X213" s="47"/>
      <c r="Y213" s="76">
        <f t="shared" si="395"/>
        <v>0</v>
      </c>
      <c r="Z213" s="47"/>
      <c r="AA213" s="47"/>
      <c r="AB213" s="47"/>
      <c r="AC213" s="47"/>
      <c r="AD213" s="47"/>
      <c r="AE213" s="47"/>
      <c r="AF213" s="47"/>
      <c r="AG213" s="76">
        <f t="shared" si="397"/>
        <v>0</v>
      </c>
      <c r="AH213" s="47"/>
      <c r="AI213" s="47"/>
      <c r="AJ213" s="47"/>
      <c r="AK213" s="47"/>
      <c r="AL213" s="47"/>
      <c r="AM213" s="47"/>
      <c r="AN213" s="47"/>
      <c r="AO213" s="76">
        <f t="shared" si="399"/>
        <v>0</v>
      </c>
      <c r="AP213" s="47"/>
      <c r="AQ213" s="47"/>
      <c r="AR213" s="76">
        <f t="shared" si="389"/>
        <v>0</v>
      </c>
      <c r="AS213" s="76">
        <f t="shared" si="401"/>
        <v>0</v>
      </c>
    </row>
    <row r="214" spans="1:52" x14ac:dyDescent="0.25">
      <c r="A214" s="52" t="s">
        <v>60</v>
      </c>
      <c r="B214" s="47"/>
      <c r="C214" s="47"/>
      <c r="D214" s="47"/>
      <c r="E214" s="47"/>
      <c r="F214" s="47"/>
      <c r="G214" s="47"/>
      <c r="H214" s="47"/>
      <c r="I214" s="76">
        <f t="shared" si="391"/>
        <v>0</v>
      </c>
      <c r="J214" s="47"/>
      <c r="K214" s="47"/>
      <c r="L214" s="47"/>
      <c r="M214" s="47"/>
      <c r="N214" s="47"/>
      <c r="O214" s="47"/>
      <c r="P214" s="47"/>
      <c r="Q214" s="76">
        <f t="shared" si="393"/>
        <v>0</v>
      </c>
      <c r="R214" s="47"/>
      <c r="S214" s="47"/>
      <c r="T214" s="47"/>
      <c r="U214" s="47"/>
      <c r="V214" s="47"/>
      <c r="W214" s="47"/>
      <c r="X214" s="47"/>
      <c r="Y214" s="76">
        <f t="shared" si="395"/>
        <v>0</v>
      </c>
      <c r="Z214" s="47"/>
      <c r="AA214" s="47"/>
      <c r="AB214" s="47"/>
      <c r="AC214" s="47"/>
      <c r="AD214" s="47"/>
      <c r="AE214" s="47"/>
      <c r="AF214" s="47"/>
      <c r="AG214" s="76">
        <f t="shared" si="397"/>
        <v>0</v>
      </c>
      <c r="AH214" s="47"/>
      <c r="AI214" s="47"/>
      <c r="AJ214" s="47"/>
      <c r="AK214" s="47"/>
      <c r="AL214" s="47"/>
      <c r="AM214" s="47"/>
      <c r="AN214" s="47"/>
      <c r="AO214" s="76">
        <f t="shared" si="399"/>
        <v>0</v>
      </c>
      <c r="AP214" s="47"/>
      <c r="AQ214" s="47"/>
      <c r="AR214" s="76">
        <f t="shared" ref="AR214:AR216" si="407">SUM(AP214:AQ214)</f>
        <v>0</v>
      </c>
      <c r="AS214" s="76">
        <f t="shared" si="401"/>
        <v>0</v>
      </c>
    </row>
    <row r="215" spans="1:52" x14ac:dyDescent="0.25">
      <c r="A215" s="37" t="s">
        <v>62</v>
      </c>
      <c r="B215" s="47"/>
      <c r="C215" s="47"/>
      <c r="D215" s="47"/>
      <c r="E215" s="47"/>
      <c r="F215" s="47"/>
      <c r="G215" s="47"/>
      <c r="H215" s="47"/>
      <c r="I215" s="76">
        <f t="shared" si="391"/>
        <v>0</v>
      </c>
      <c r="J215" s="47"/>
      <c r="K215" s="47"/>
      <c r="L215" s="47"/>
      <c r="M215" s="47"/>
      <c r="N215" s="47"/>
      <c r="O215" s="47"/>
      <c r="P215" s="47"/>
      <c r="Q215" s="76">
        <f t="shared" si="393"/>
        <v>0</v>
      </c>
      <c r="R215" s="47"/>
      <c r="S215" s="47"/>
      <c r="T215" s="47"/>
      <c r="U215" s="47"/>
      <c r="V215" s="47"/>
      <c r="W215" s="47"/>
      <c r="X215" s="47"/>
      <c r="Y215" s="76">
        <f t="shared" si="395"/>
        <v>0</v>
      </c>
      <c r="Z215" s="47"/>
      <c r="AA215" s="47"/>
      <c r="AB215" s="47"/>
      <c r="AC215" s="47"/>
      <c r="AD215" s="47"/>
      <c r="AE215" s="47"/>
      <c r="AF215" s="47"/>
      <c r="AG215" s="76">
        <f t="shared" si="397"/>
        <v>0</v>
      </c>
      <c r="AH215" s="47"/>
      <c r="AI215" s="47"/>
      <c r="AJ215" s="47"/>
      <c r="AK215" s="47"/>
      <c r="AL215" s="47"/>
      <c r="AM215" s="47"/>
      <c r="AN215" s="47"/>
      <c r="AO215" s="76">
        <f t="shared" si="399"/>
        <v>0</v>
      </c>
      <c r="AP215" s="47"/>
      <c r="AQ215" s="47"/>
      <c r="AR215" s="76">
        <f t="shared" si="407"/>
        <v>0</v>
      </c>
      <c r="AS215" s="76">
        <f t="shared" si="401"/>
        <v>0</v>
      </c>
    </row>
    <row r="216" spans="1:52" x14ac:dyDescent="0.25">
      <c r="A216" s="52" t="s">
        <v>61</v>
      </c>
      <c r="B216" s="47"/>
      <c r="C216" s="47"/>
      <c r="D216" s="47"/>
      <c r="E216" s="47"/>
      <c r="F216" s="47"/>
      <c r="G216" s="47"/>
      <c r="H216" s="47"/>
      <c r="I216" s="76">
        <f t="shared" si="391"/>
        <v>0</v>
      </c>
      <c r="J216" s="47"/>
      <c r="K216" s="47"/>
      <c r="L216" s="47"/>
      <c r="M216" s="47"/>
      <c r="N216" s="47"/>
      <c r="O216" s="47"/>
      <c r="P216" s="47"/>
      <c r="Q216" s="76">
        <f t="shared" si="393"/>
        <v>0</v>
      </c>
      <c r="R216" s="47"/>
      <c r="S216" s="47"/>
      <c r="T216" s="47"/>
      <c r="U216" s="47"/>
      <c r="V216" s="47"/>
      <c r="W216" s="47"/>
      <c r="X216" s="47"/>
      <c r="Y216" s="76">
        <f t="shared" si="395"/>
        <v>0</v>
      </c>
      <c r="Z216" s="47"/>
      <c r="AA216" s="47"/>
      <c r="AB216" s="47"/>
      <c r="AC216" s="47"/>
      <c r="AD216" s="47"/>
      <c r="AE216" s="47"/>
      <c r="AF216" s="47"/>
      <c r="AG216" s="76">
        <f t="shared" si="397"/>
        <v>0</v>
      </c>
      <c r="AH216" s="47"/>
      <c r="AI216" s="47"/>
      <c r="AJ216" s="47"/>
      <c r="AK216" s="47"/>
      <c r="AL216" s="47"/>
      <c r="AM216" s="47"/>
      <c r="AN216" s="47"/>
      <c r="AO216" s="76">
        <f t="shared" si="399"/>
        <v>0</v>
      </c>
      <c r="AP216" s="47"/>
      <c r="AQ216" s="47"/>
      <c r="AR216" s="76">
        <f t="shared" si="407"/>
        <v>0</v>
      </c>
      <c r="AS216" s="76">
        <f t="shared" si="401"/>
        <v>0</v>
      </c>
    </row>
    <row r="217" spans="1:52" s="49" customFormat="1" ht="15" customHeight="1" x14ac:dyDescent="0.25">
      <c r="A217" s="52" t="s">
        <v>95</v>
      </c>
      <c r="B217" s="76">
        <f>IF(B205="nuit",B208*0.02,0)</f>
        <v>0</v>
      </c>
      <c r="C217" s="76">
        <f>IF(C205="nuit",C208*0.02,0)</f>
        <v>0</v>
      </c>
      <c r="D217" s="76">
        <f t="shared" ref="D217:H217" si="408">IF(D205="nuit",D208*0.02,0)</f>
        <v>0</v>
      </c>
      <c r="E217" s="76">
        <f t="shared" si="408"/>
        <v>0</v>
      </c>
      <c r="F217" s="76">
        <f>IF(F205="nuit",F208*0.02,0)</f>
        <v>0</v>
      </c>
      <c r="G217" s="76">
        <f t="shared" si="408"/>
        <v>0</v>
      </c>
      <c r="H217" s="76">
        <f t="shared" si="408"/>
        <v>0</v>
      </c>
      <c r="I217" s="76">
        <f t="shared" si="391"/>
        <v>0</v>
      </c>
      <c r="J217" s="76">
        <f>IF(J205="nuit",J208*0.02,0)</f>
        <v>0</v>
      </c>
      <c r="K217" s="76">
        <f>IF(K205="nuit",K208*0.02,0)</f>
        <v>0</v>
      </c>
      <c r="L217" s="76">
        <f t="shared" ref="L217:P217" si="409">IF(L205="nuit",L208*0.02,0)</f>
        <v>0</v>
      </c>
      <c r="M217" s="76">
        <f t="shared" si="409"/>
        <v>0</v>
      </c>
      <c r="N217" s="76">
        <f>IF(N205="nuit",N208*0.02,0)</f>
        <v>0</v>
      </c>
      <c r="O217" s="76">
        <f t="shared" si="409"/>
        <v>0</v>
      </c>
      <c r="P217" s="76">
        <f t="shared" si="409"/>
        <v>0</v>
      </c>
      <c r="Q217" s="76">
        <f t="shared" si="393"/>
        <v>0</v>
      </c>
      <c r="R217" s="76">
        <f>IF(R205="nuit",R208*0.02,0)</f>
        <v>0</v>
      </c>
      <c r="S217" s="76">
        <f>IF(S205="nuit",S208*0.02,0)</f>
        <v>0</v>
      </c>
      <c r="T217" s="76">
        <f t="shared" ref="T217:X217" si="410">IF(T205="nuit",T208*0.02,0)</f>
        <v>0</v>
      </c>
      <c r="U217" s="76">
        <f t="shared" si="410"/>
        <v>0</v>
      </c>
      <c r="V217" s="76">
        <f>IF(V205="nuit",V208*0.02,0)</f>
        <v>0</v>
      </c>
      <c r="W217" s="76">
        <f t="shared" si="410"/>
        <v>0</v>
      </c>
      <c r="X217" s="76">
        <f t="shared" si="410"/>
        <v>0</v>
      </c>
      <c r="Y217" s="76">
        <f t="shared" si="395"/>
        <v>0</v>
      </c>
      <c r="Z217" s="76">
        <f>IF(Z205="nuit",Z208*0.02,0)</f>
        <v>0</v>
      </c>
      <c r="AA217" s="76">
        <f>IF(AA205="nuit",AA208*0.02,0)</f>
        <v>0</v>
      </c>
      <c r="AB217" s="76">
        <f t="shared" ref="AB217:AF217" si="411">IF(AB205="nuit",AB208*0.02,0)</f>
        <v>0</v>
      </c>
      <c r="AC217" s="76">
        <f t="shared" si="411"/>
        <v>0</v>
      </c>
      <c r="AD217" s="76">
        <f>IF(AD205="nuit",AD208*0.02,0)</f>
        <v>0</v>
      </c>
      <c r="AE217" s="76">
        <f t="shared" si="411"/>
        <v>0</v>
      </c>
      <c r="AF217" s="76">
        <f t="shared" si="411"/>
        <v>0</v>
      </c>
      <c r="AG217" s="76">
        <f t="shared" si="397"/>
        <v>0</v>
      </c>
      <c r="AH217" s="76">
        <f>IF(AH205="nuit",AH208*0.02,0)</f>
        <v>0</v>
      </c>
      <c r="AI217" s="76">
        <f>IF(AI205="nuit",AI208*0.02,0)</f>
        <v>0</v>
      </c>
      <c r="AJ217" s="76">
        <f t="shared" ref="AJ217:AN217" si="412">IF(AJ205="nuit",AJ208*0.02,0)</f>
        <v>0</v>
      </c>
      <c r="AK217" s="76">
        <f t="shared" si="412"/>
        <v>0</v>
      </c>
      <c r="AL217" s="76">
        <f>IF(AL205="nuit",AL208*0.02,0)</f>
        <v>0</v>
      </c>
      <c r="AM217" s="76">
        <f t="shared" si="412"/>
        <v>0</v>
      </c>
      <c r="AN217" s="76">
        <f t="shared" si="412"/>
        <v>0</v>
      </c>
      <c r="AO217" s="76">
        <f t="shared" si="399"/>
        <v>0</v>
      </c>
      <c r="AP217" s="76">
        <f>IF(AP205="nuit",AP208*0.02,0)</f>
        <v>0</v>
      </c>
      <c r="AQ217" s="76">
        <f>IF(AQ205="nuit",AQ208*0.02,0)</f>
        <v>0</v>
      </c>
      <c r="AR217" s="76">
        <f>SUM(AP217:AQ217)</f>
        <v>0</v>
      </c>
      <c r="AS217" s="76">
        <f>I217+Q217+Y217+AG217+AO217+AR217</f>
        <v>0</v>
      </c>
      <c r="AT217" s="68"/>
      <c r="AU217" s="68"/>
      <c r="AV217" s="68"/>
      <c r="AW217" s="68"/>
      <c r="AX217" s="68"/>
      <c r="AY217" s="68"/>
      <c r="AZ217" s="51"/>
    </row>
    <row r="218" spans="1:52" ht="14.25" customHeight="1" x14ac:dyDescent="0.25">
      <c r="A218" s="37" t="s">
        <v>82</v>
      </c>
      <c r="B218" s="47"/>
      <c r="C218" s="47"/>
      <c r="D218" s="47"/>
      <c r="E218" s="47"/>
      <c r="F218" s="47"/>
      <c r="G218" s="53"/>
      <c r="H218" s="53"/>
      <c r="I218" s="80"/>
      <c r="J218" s="53"/>
      <c r="K218" s="53"/>
      <c r="L218" s="53"/>
      <c r="M218" s="53"/>
      <c r="N218" s="53"/>
      <c r="O218" s="53"/>
      <c r="P218" s="53"/>
      <c r="Q218" s="80"/>
      <c r="R218" s="53"/>
      <c r="S218" s="53"/>
      <c r="T218" s="53"/>
      <c r="U218" s="53"/>
      <c r="V218" s="53"/>
      <c r="W218" s="53"/>
      <c r="X218" s="53"/>
      <c r="Y218" s="80"/>
      <c r="Z218" s="53"/>
      <c r="AA218" s="53"/>
      <c r="AB218" s="53"/>
      <c r="AC218" s="53"/>
      <c r="AD218" s="53"/>
      <c r="AE218" s="53"/>
      <c r="AF218" s="53"/>
      <c r="AG218" s="80"/>
      <c r="AH218" s="53"/>
      <c r="AI218" s="53"/>
      <c r="AJ218" s="53"/>
      <c r="AK218" s="53"/>
      <c r="AL218" s="53"/>
      <c r="AM218" s="53"/>
      <c r="AN218" s="53"/>
      <c r="AO218" s="80"/>
      <c r="AP218" s="53"/>
      <c r="AQ218" s="53"/>
      <c r="AR218" s="80"/>
      <c r="AS218" s="81"/>
    </row>
    <row r="219" spans="1:52" x14ac:dyDescent="0.25">
      <c r="A219" s="54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55"/>
      <c r="AO219" s="55"/>
      <c r="AP219" s="55"/>
      <c r="AQ219" s="55"/>
      <c r="AR219" s="55"/>
      <c r="AS219" s="85"/>
      <c r="AT219" s="36"/>
      <c r="AU219" s="62"/>
    </row>
  </sheetData>
  <mergeCells count="150">
    <mergeCell ref="AO185:AO186"/>
    <mergeCell ref="AO203:AO204"/>
    <mergeCell ref="AR5:AR6"/>
    <mergeCell ref="AR23:AR24"/>
    <mergeCell ref="AR41:AR42"/>
    <mergeCell ref="AR59:AR60"/>
    <mergeCell ref="AR77:AR78"/>
    <mergeCell ref="AR95:AR96"/>
    <mergeCell ref="AR113:AR114"/>
    <mergeCell ref="AR131:AR132"/>
    <mergeCell ref="AR149:AR150"/>
    <mergeCell ref="AR167:AR168"/>
    <mergeCell ref="AR185:AR186"/>
    <mergeCell ref="AR203:AR204"/>
    <mergeCell ref="AO95:AO96"/>
    <mergeCell ref="AO113:AO114"/>
    <mergeCell ref="Y113:Y114"/>
    <mergeCell ref="AO131:AO132"/>
    <mergeCell ref="AO149:AO150"/>
    <mergeCell ref="AO167:AO168"/>
    <mergeCell ref="AO5:AO6"/>
    <mergeCell ref="AO23:AO24"/>
    <mergeCell ref="AO41:AO42"/>
    <mergeCell ref="AO59:AO60"/>
    <mergeCell ref="AO77:AO78"/>
    <mergeCell ref="I203:I204"/>
    <mergeCell ref="Q5:Q6"/>
    <mergeCell ref="Q23:Q24"/>
    <mergeCell ref="Q41:Q42"/>
    <mergeCell ref="Q59:Q60"/>
    <mergeCell ref="Q77:Q78"/>
    <mergeCell ref="Q95:Q96"/>
    <mergeCell ref="Q113:Q114"/>
    <mergeCell ref="Q131:Q132"/>
    <mergeCell ref="Q149:Q150"/>
    <mergeCell ref="Q167:Q168"/>
    <mergeCell ref="Q185:Q186"/>
    <mergeCell ref="Q203:Q204"/>
    <mergeCell ref="I95:I96"/>
    <mergeCell ref="I113:I114"/>
    <mergeCell ref="AX4:AY4"/>
    <mergeCell ref="G130:H130"/>
    <mergeCell ref="AY96:AY97"/>
    <mergeCell ref="AX96:AX97"/>
    <mergeCell ref="G94:H94"/>
    <mergeCell ref="AU98:AV98"/>
    <mergeCell ref="G4:H4"/>
    <mergeCell ref="G22:H22"/>
    <mergeCell ref="G40:H40"/>
    <mergeCell ref="G58:H58"/>
    <mergeCell ref="G76:H76"/>
    <mergeCell ref="I5:I6"/>
    <mergeCell ref="I23:I24"/>
    <mergeCell ref="Y5:Y6"/>
    <mergeCell ref="Y23:Y24"/>
    <mergeCell ref="Y41:Y42"/>
    <mergeCell ref="Y59:Y60"/>
    <mergeCell ref="Y77:Y78"/>
    <mergeCell ref="AG5:AG6"/>
    <mergeCell ref="AG23:AG24"/>
    <mergeCell ref="AG41:AG42"/>
    <mergeCell ref="AG59:AG60"/>
    <mergeCell ref="AG77:AG78"/>
    <mergeCell ref="AG95:AG96"/>
    <mergeCell ref="G184:H184"/>
    <mergeCell ref="G202:H202"/>
    <mergeCell ref="G112:H112"/>
    <mergeCell ref="AS5:AS6"/>
    <mergeCell ref="AS23:AS24"/>
    <mergeCell ref="AS41:AS42"/>
    <mergeCell ref="AS59:AS60"/>
    <mergeCell ref="AS77:AS78"/>
    <mergeCell ref="AS167:AS168"/>
    <mergeCell ref="AS185:AS186"/>
    <mergeCell ref="I41:I42"/>
    <mergeCell ref="I59:I60"/>
    <mergeCell ref="I77:I78"/>
    <mergeCell ref="G148:H148"/>
    <mergeCell ref="G166:H166"/>
    <mergeCell ref="I131:I132"/>
    <mergeCell ref="I149:I150"/>
    <mergeCell ref="I167:I168"/>
    <mergeCell ref="Y131:Y132"/>
    <mergeCell ref="I185:I186"/>
    <mergeCell ref="Y149:Y150"/>
    <mergeCell ref="Y167:Y168"/>
    <mergeCell ref="Y185:Y186"/>
    <mergeCell ref="AG113:AG114"/>
    <mergeCell ref="AT5:AT6"/>
    <mergeCell ref="AU5:AU6"/>
    <mergeCell ref="AT2:AT3"/>
    <mergeCell ref="AU2:AU3"/>
    <mergeCell ref="AT23:AT24"/>
    <mergeCell ref="AU23:AU24"/>
    <mergeCell ref="AS203:AS204"/>
    <mergeCell ref="AS95:AS96"/>
    <mergeCell ref="AS113:AS114"/>
    <mergeCell ref="AS131:AS132"/>
    <mergeCell ref="AS149:AS150"/>
    <mergeCell ref="AT95:AT96"/>
    <mergeCell ref="AU95:AU96"/>
    <mergeCell ref="AT113:AT114"/>
    <mergeCell ref="AU113:AU114"/>
    <mergeCell ref="AT131:AT132"/>
    <mergeCell ref="AU131:AU132"/>
    <mergeCell ref="AT41:AT42"/>
    <mergeCell ref="AU41:AU42"/>
    <mergeCell ref="AT59:AT60"/>
    <mergeCell ref="AU59:AU60"/>
    <mergeCell ref="AT77:AT78"/>
    <mergeCell ref="AU77:AU78"/>
    <mergeCell ref="W166:X166"/>
    <mergeCell ref="AM166:AN166"/>
    <mergeCell ref="W148:X148"/>
    <mergeCell ref="AM148:AN148"/>
    <mergeCell ref="W130:X130"/>
    <mergeCell ref="AM130:AN130"/>
    <mergeCell ref="AT203:AT204"/>
    <mergeCell ref="AU203:AU204"/>
    <mergeCell ref="W202:X202"/>
    <mergeCell ref="AM202:AN202"/>
    <mergeCell ref="W184:X184"/>
    <mergeCell ref="AM184:AN184"/>
    <mergeCell ref="AT149:AT150"/>
    <mergeCell ref="AU149:AU150"/>
    <mergeCell ref="AT167:AT168"/>
    <mergeCell ref="AU167:AU168"/>
    <mergeCell ref="AT185:AT186"/>
    <mergeCell ref="AU185:AU186"/>
    <mergeCell ref="Y203:Y204"/>
    <mergeCell ref="AG131:AG132"/>
    <mergeCell ref="AG149:AG150"/>
    <mergeCell ref="AG167:AG168"/>
    <mergeCell ref="AG185:AG186"/>
    <mergeCell ref="AG203:AG204"/>
    <mergeCell ref="W4:X4"/>
    <mergeCell ref="AM4:AN4"/>
    <mergeCell ref="W58:X58"/>
    <mergeCell ref="AM58:AN58"/>
    <mergeCell ref="W40:X40"/>
    <mergeCell ref="AM40:AN40"/>
    <mergeCell ref="W22:X22"/>
    <mergeCell ref="AM22:AN22"/>
    <mergeCell ref="W112:X112"/>
    <mergeCell ref="AM112:AN112"/>
    <mergeCell ref="W94:X94"/>
    <mergeCell ref="AM94:AN94"/>
    <mergeCell ref="W76:X76"/>
    <mergeCell ref="AM76:AN76"/>
    <mergeCell ref="Y95:Y96"/>
  </mergeCell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I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altText="Spinner control. Use spinner to change calendar year or type desired year in cell L2">
                <anchor mov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showZeros="0" workbookViewId="0">
      <selection activeCell="G10" sqref="G10"/>
    </sheetView>
  </sheetViews>
  <sheetFormatPr baseColWidth="10" defaultRowHeight="15" x14ac:dyDescent="0.25"/>
  <cols>
    <col min="1" max="1" width="15.36328125" customWidth="1"/>
    <col min="2" max="2" width="8.54296875" style="74" customWidth="1"/>
    <col min="3" max="16" width="5.81640625" customWidth="1"/>
  </cols>
  <sheetData>
    <row r="1" spans="1:17" ht="15.6" thickBot="1" x14ac:dyDescent="0.3">
      <c r="C1" s="74" t="s">
        <v>87</v>
      </c>
      <c r="D1" s="74" t="s">
        <v>88</v>
      </c>
      <c r="E1" s="74" t="s">
        <v>72</v>
      </c>
      <c r="F1" s="74" t="s">
        <v>73</v>
      </c>
      <c r="G1" s="74" t="s">
        <v>74</v>
      </c>
      <c r="H1" s="74" t="s">
        <v>75</v>
      </c>
      <c r="I1" s="74" t="s">
        <v>89</v>
      </c>
      <c r="J1" s="74" t="s">
        <v>77</v>
      </c>
      <c r="K1" s="74" t="s">
        <v>90</v>
      </c>
      <c r="L1" s="74" t="s">
        <v>91</v>
      </c>
      <c r="M1" s="74" t="s">
        <v>92</v>
      </c>
      <c r="N1" s="74" t="s">
        <v>93</v>
      </c>
      <c r="P1" s="74" t="s">
        <v>94</v>
      </c>
    </row>
    <row r="2" spans="1:17" ht="15.6" thickTop="1" x14ac:dyDescent="0.25">
      <c r="A2" s="52" t="s">
        <v>98</v>
      </c>
      <c r="B2" s="90">
        <v>31.42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P2" s="74"/>
    </row>
    <row r="3" spans="1:17" x14ac:dyDescent="0.25">
      <c r="A3" s="52" t="s">
        <v>99</v>
      </c>
      <c r="B3" s="91">
        <v>77.599999999999994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P3" s="74"/>
    </row>
    <row r="4" spans="1:17" x14ac:dyDescent="0.25">
      <c r="A4" s="52" t="s">
        <v>84</v>
      </c>
      <c r="B4" s="92">
        <v>9</v>
      </c>
    </row>
    <row r="5" spans="1:17" ht="15.6" thickBot="1" x14ac:dyDescent="0.3">
      <c r="A5" s="52" t="s">
        <v>85</v>
      </c>
      <c r="B5" s="93">
        <v>21</v>
      </c>
      <c r="G5" s="89">
        <f>B5</f>
        <v>21</v>
      </c>
      <c r="H5" s="89">
        <f>G5-H18</f>
        <v>21</v>
      </c>
      <c r="I5" s="89">
        <f t="shared" ref="I5:N5" si="0">H5-I18</f>
        <v>21</v>
      </c>
      <c r="J5" s="89">
        <f t="shared" si="0"/>
        <v>14</v>
      </c>
      <c r="K5" s="89">
        <f t="shared" si="0"/>
        <v>14</v>
      </c>
      <c r="L5" s="89">
        <f t="shared" si="0"/>
        <v>14</v>
      </c>
      <c r="M5" s="89">
        <f t="shared" si="0"/>
        <v>14</v>
      </c>
      <c r="N5" s="89">
        <f t="shared" si="0"/>
        <v>14</v>
      </c>
      <c r="P5" s="89">
        <f>N5</f>
        <v>14</v>
      </c>
      <c r="Q5" t="s">
        <v>104</v>
      </c>
    </row>
    <row r="6" spans="1:17" ht="15.6" thickTop="1" x14ac:dyDescent="0.25">
      <c r="A6" s="52" t="s">
        <v>100</v>
      </c>
      <c r="B6" s="87"/>
      <c r="C6" s="89">
        <f>B4-C18</f>
        <v>9</v>
      </c>
      <c r="D6" s="89">
        <f>C6-D18</f>
        <v>4</v>
      </c>
      <c r="E6" s="89">
        <f t="shared" ref="E6:F6" si="1">D6-E18</f>
        <v>4</v>
      </c>
      <c r="F6" s="89">
        <f t="shared" si="1"/>
        <v>0</v>
      </c>
      <c r="P6" s="89">
        <f>F6</f>
        <v>0</v>
      </c>
      <c r="Q6" t="s">
        <v>105</v>
      </c>
    </row>
    <row r="7" spans="1:17" x14ac:dyDescent="0.25">
      <c r="A7" s="52" t="s">
        <v>101</v>
      </c>
      <c r="B7" s="87"/>
      <c r="C7" s="89">
        <f>B2-C17+C16</f>
        <v>23.42</v>
      </c>
      <c r="D7" s="89">
        <f>C7-D17+D16</f>
        <v>39.42</v>
      </c>
      <c r="E7" s="89">
        <f t="shared" ref="E7:M7" si="2">D7-E17+E16</f>
        <v>31.42</v>
      </c>
      <c r="F7" s="89">
        <f t="shared" si="2"/>
        <v>31.42</v>
      </c>
      <c r="G7" s="89">
        <f t="shared" si="2"/>
        <v>31.42</v>
      </c>
      <c r="H7" s="89">
        <f t="shared" si="2"/>
        <v>23.42</v>
      </c>
      <c r="I7" s="89">
        <f t="shared" si="2"/>
        <v>23.42</v>
      </c>
      <c r="J7" s="89">
        <f t="shared" si="2"/>
        <v>23.42</v>
      </c>
      <c r="K7" s="89">
        <f t="shared" si="2"/>
        <v>23.42</v>
      </c>
      <c r="L7" s="89">
        <f t="shared" si="2"/>
        <v>23.42</v>
      </c>
      <c r="M7" s="89">
        <f t="shared" si="2"/>
        <v>23.42</v>
      </c>
      <c r="N7" s="89">
        <f>M7-N17+N16</f>
        <v>23.42</v>
      </c>
      <c r="P7" s="89">
        <f>N7</f>
        <v>23.42</v>
      </c>
    </row>
    <row r="8" spans="1:17" x14ac:dyDescent="0.25">
      <c r="A8" s="52" t="s">
        <v>102</v>
      </c>
      <c r="B8" s="87"/>
      <c r="C8" s="89">
        <f>B3-C19+C20</f>
        <v>78.399999999999991</v>
      </c>
      <c r="D8" s="89">
        <f>C8-D19+D20</f>
        <v>78.399999999999991</v>
      </c>
      <c r="E8" s="89">
        <f t="shared" ref="E8:M8" si="3">D8-E19+E20</f>
        <v>79.199999999999989</v>
      </c>
      <c r="F8" s="89">
        <f t="shared" si="3"/>
        <v>79.359999999999985</v>
      </c>
      <c r="G8" s="89">
        <f t="shared" si="3"/>
        <v>64.319999999999979</v>
      </c>
      <c r="H8" s="89">
        <f t="shared" si="3"/>
        <v>65.119999999999976</v>
      </c>
      <c r="I8" s="89">
        <f t="shared" si="3"/>
        <v>51.45999999999998</v>
      </c>
      <c r="J8" s="89">
        <f t="shared" si="3"/>
        <v>51.45999999999998</v>
      </c>
      <c r="K8" s="89">
        <f t="shared" si="3"/>
        <v>51.45999999999998</v>
      </c>
      <c r="L8" s="89">
        <f t="shared" si="3"/>
        <v>51.45999999999998</v>
      </c>
      <c r="M8" s="89">
        <f t="shared" si="3"/>
        <v>51.45999999999998</v>
      </c>
      <c r="N8" s="89">
        <f>M8-N19+N20</f>
        <v>51.45999999999998</v>
      </c>
      <c r="O8" s="86"/>
      <c r="P8" s="89">
        <f>N8</f>
        <v>51.45999999999998</v>
      </c>
    </row>
    <row r="9" spans="1:17" x14ac:dyDescent="0.25">
      <c r="A9" s="37" t="s">
        <v>63</v>
      </c>
      <c r="B9" s="87"/>
      <c r="C9" s="76">
        <f>Travail!AS8</f>
        <v>12</v>
      </c>
      <c r="D9" s="76">
        <f>Travail!AS26</f>
        <v>13</v>
      </c>
      <c r="E9" s="76">
        <f>Travail!AS44</f>
        <v>15</v>
      </c>
      <c r="F9" s="76">
        <f>Travail!AS62</f>
        <v>13</v>
      </c>
      <c r="G9" s="76">
        <f>Travail!AS80</f>
        <v>12</v>
      </c>
      <c r="H9" s="76">
        <f>Travail!AS98</f>
        <v>13</v>
      </c>
      <c r="I9" s="76">
        <f>Travail!AS116</f>
        <v>6</v>
      </c>
      <c r="J9" s="76">
        <f>Travail!AS134</f>
        <v>8</v>
      </c>
      <c r="K9" s="76">
        <f>Travail!AS152</f>
        <v>2</v>
      </c>
      <c r="L9" s="76">
        <f>Travail!AS170</f>
        <v>0</v>
      </c>
      <c r="M9" s="76">
        <f>Travail!AS188</f>
        <v>0</v>
      </c>
      <c r="N9" s="76">
        <f>Travail!AS206</f>
        <v>0</v>
      </c>
      <c r="O9" s="88"/>
      <c r="P9" s="76">
        <f>SUM(C9:N9)</f>
        <v>94</v>
      </c>
    </row>
    <row r="10" spans="1:17" x14ac:dyDescent="0.25">
      <c r="A10" s="37" t="s">
        <v>4</v>
      </c>
      <c r="B10" s="87"/>
      <c r="C10" s="76">
        <f>Travail!AS9</f>
        <v>17</v>
      </c>
      <c r="D10" s="76">
        <f>Travail!AS27</f>
        <v>14</v>
      </c>
      <c r="E10" s="76">
        <f>Travail!AS45</f>
        <v>20</v>
      </c>
      <c r="F10" s="76">
        <f>Travail!AS63</f>
        <v>14</v>
      </c>
      <c r="G10" s="76">
        <f>Travail!AS81</f>
        <v>17</v>
      </c>
      <c r="H10" s="76">
        <f>Travail!AS99</f>
        <v>16</v>
      </c>
      <c r="I10" s="76">
        <f>Travail!AS117</f>
        <v>21</v>
      </c>
      <c r="J10" s="76">
        <f>Travail!AS135</f>
        <v>5</v>
      </c>
      <c r="K10" s="76">
        <f>Travail!AS153</f>
        <v>0</v>
      </c>
      <c r="L10" s="76">
        <f>Travail!AS171</f>
        <v>0</v>
      </c>
      <c r="M10" s="76">
        <f>Travail!AS189</f>
        <v>0</v>
      </c>
      <c r="N10" s="76">
        <f>Travail!AS207</f>
        <v>0</v>
      </c>
      <c r="O10" s="88"/>
      <c r="P10" s="76">
        <f t="shared" ref="P10:P20" si="4">SUM(C10:N10)</f>
        <v>124</v>
      </c>
    </row>
    <row r="11" spans="1:17" x14ac:dyDescent="0.25">
      <c r="A11" s="37" t="s">
        <v>3</v>
      </c>
      <c r="B11" s="87"/>
      <c r="C11" s="76">
        <f>Travail!AS10</f>
        <v>138</v>
      </c>
      <c r="D11" s="76">
        <f>Travail!AS28</f>
        <v>112</v>
      </c>
      <c r="E11" s="76">
        <f>Travail!AS46</f>
        <v>160</v>
      </c>
      <c r="F11" s="76">
        <f>Travail!AS64</f>
        <v>112</v>
      </c>
      <c r="G11" s="76">
        <f>Travail!AS82</f>
        <v>135</v>
      </c>
      <c r="H11" s="76">
        <f>Travail!AS100</f>
        <v>128</v>
      </c>
      <c r="I11" s="76">
        <f>Travail!AS118</f>
        <v>165</v>
      </c>
      <c r="J11" s="76">
        <f>Travail!AS136</f>
        <v>40</v>
      </c>
      <c r="K11" s="76">
        <f>Travail!AS154</f>
        <v>0</v>
      </c>
      <c r="L11" s="76">
        <f>Travail!AS172</f>
        <v>0</v>
      </c>
      <c r="M11" s="76">
        <f>Travail!AS190</f>
        <v>0</v>
      </c>
      <c r="N11" s="76">
        <f>Travail!AS208</f>
        <v>0</v>
      </c>
      <c r="O11" s="88"/>
      <c r="P11" s="76">
        <f t="shared" si="4"/>
        <v>990</v>
      </c>
    </row>
    <row r="12" spans="1:17" x14ac:dyDescent="0.25">
      <c r="A12" s="52" t="s">
        <v>71</v>
      </c>
      <c r="B12" s="87"/>
      <c r="C12" s="76">
        <f>Travail!AS11</f>
        <v>0</v>
      </c>
      <c r="D12" s="76">
        <f>Travail!AS29</f>
        <v>3</v>
      </c>
      <c r="E12" s="76">
        <f>Travail!AS47</f>
        <v>3</v>
      </c>
      <c r="F12" s="76">
        <f>Travail!AS65</f>
        <v>6</v>
      </c>
      <c r="G12" s="76">
        <f>Travail!AS83</f>
        <v>0</v>
      </c>
      <c r="H12" s="76">
        <f>Travail!AS101</f>
        <v>0</v>
      </c>
      <c r="I12" s="76">
        <f>Travail!AS119</f>
        <v>9</v>
      </c>
      <c r="J12" s="76">
        <f>Travail!AS137</f>
        <v>3</v>
      </c>
      <c r="K12" s="76">
        <f>Travail!AS155</f>
        <v>0</v>
      </c>
      <c r="L12" s="76">
        <f>Travail!AS173</f>
        <v>0</v>
      </c>
      <c r="M12" s="76">
        <f>Travail!AS191</f>
        <v>0</v>
      </c>
      <c r="N12" s="76">
        <f>Travail!AS209</f>
        <v>0</v>
      </c>
      <c r="O12" s="88"/>
      <c r="P12" s="76">
        <f t="shared" si="4"/>
        <v>24</v>
      </c>
    </row>
    <row r="13" spans="1:17" x14ac:dyDescent="0.25">
      <c r="A13" s="37" t="s">
        <v>40</v>
      </c>
      <c r="B13" s="87"/>
      <c r="C13" s="76">
        <f>Travail!AS12</f>
        <v>2</v>
      </c>
      <c r="D13" s="76">
        <f>Travail!AS30</f>
        <v>5</v>
      </c>
      <c r="E13" s="76">
        <f>Travail!AS48</f>
        <v>5</v>
      </c>
      <c r="F13" s="76">
        <f>Travail!AS66</f>
        <v>10</v>
      </c>
      <c r="G13" s="76">
        <f>Travail!AS84</f>
        <v>0</v>
      </c>
      <c r="H13" s="76">
        <f>Travail!AS102</f>
        <v>0</v>
      </c>
      <c r="I13" s="76">
        <f>Travail!AS120</f>
        <v>10</v>
      </c>
      <c r="J13" s="76">
        <f>Travail!AS138</f>
        <v>5</v>
      </c>
      <c r="K13" s="76">
        <f>Travail!AS156</f>
        <v>0</v>
      </c>
      <c r="L13" s="76">
        <f>Travail!AS174</f>
        <v>0</v>
      </c>
      <c r="M13" s="76">
        <f>Travail!AS192</f>
        <v>0</v>
      </c>
      <c r="N13" s="76">
        <f>Travail!AS210</f>
        <v>0</v>
      </c>
      <c r="O13" s="88"/>
      <c r="P13" s="76">
        <f t="shared" si="4"/>
        <v>37</v>
      </c>
    </row>
    <row r="14" spans="1:17" x14ac:dyDescent="0.25">
      <c r="A14" s="37" t="s">
        <v>39</v>
      </c>
      <c r="C14" s="76">
        <f>Travail!AS13</f>
        <v>0</v>
      </c>
      <c r="D14" s="76">
        <f>Travail!AS31</f>
        <v>0</v>
      </c>
      <c r="E14" s="76">
        <f>Travail!AS49</f>
        <v>0</v>
      </c>
      <c r="F14" s="76">
        <f>Travail!AS67</f>
        <v>0</v>
      </c>
      <c r="G14" s="76">
        <f>Travail!AS85</f>
        <v>0</v>
      </c>
      <c r="H14" s="76">
        <f>Travail!AS103</f>
        <v>0</v>
      </c>
      <c r="I14" s="76">
        <f>Travail!AS121</f>
        <v>0</v>
      </c>
      <c r="J14" s="76">
        <f>Travail!AS139</f>
        <v>0</v>
      </c>
      <c r="K14" s="76">
        <f>Travail!AS157</f>
        <v>0</v>
      </c>
      <c r="L14" s="76">
        <f>Travail!AS175</f>
        <v>0</v>
      </c>
      <c r="M14" s="76">
        <f>Travail!AS193</f>
        <v>0</v>
      </c>
      <c r="N14" s="76">
        <f>Travail!AS211</f>
        <v>0</v>
      </c>
      <c r="O14" s="88"/>
      <c r="P14" s="76">
        <f t="shared" si="4"/>
        <v>0</v>
      </c>
    </row>
    <row r="15" spans="1:17" x14ac:dyDescent="0.25">
      <c r="A15" s="37" t="s">
        <v>41</v>
      </c>
      <c r="C15" s="76">
        <f>Travail!AS14</f>
        <v>0</v>
      </c>
      <c r="D15" s="76">
        <f>Travail!AS32</f>
        <v>0</v>
      </c>
      <c r="E15" s="76">
        <f>Travail!AS50</f>
        <v>8</v>
      </c>
      <c r="F15" s="76">
        <f>Travail!AS68</f>
        <v>8</v>
      </c>
      <c r="G15" s="76">
        <f>Travail!AS86</f>
        <v>8</v>
      </c>
      <c r="H15" s="76">
        <f>Travail!AS104</f>
        <v>8</v>
      </c>
      <c r="I15" s="76">
        <f>Travail!AS122</f>
        <v>16</v>
      </c>
      <c r="J15" s="76">
        <f>Travail!AS140</f>
        <v>0</v>
      </c>
      <c r="K15" s="76">
        <f>Travail!AS158</f>
        <v>0</v>
      </c>
      <c r="L15" s="76">
        <f>Travail!AS176</f>
        <v>0</v>
      </c>
      <c r="M15" s="76">
        <f>Travail!AS194</f>
        <v>0</v>
      </c>
      <c r="N15" s="76">
        <f>Travail!AS212</f>
        <v>0</v>
      </c>
      <c r="O15" s="88"/>
      <c r="P15" s="76">
        <f t="shared" si="4"/>
        <v>48</v>
      </c>
    </row>
    <row r="16" spans="1:17" x14ac:dyDescent="0.25">
      <c r="A16" s="37" t="s">
        <v>59</v>
      </c>
      <c r="C16" s="76">
        <f>Travail!AS15</f>
        <v>0</v>
      </c>
      <c r="D16" s="76">
        <f>Travail!AS33</f>
        <v>16</v>
      </c>
      <c r="E16" s="76">
        <f>Travail!AS51</f>
        <v>0</v>
      </c>
      <c r="F16" s="76">
        <f>Travail!AS69</f>
        <v>16</v>
      </c>
      <c r="G16" s="76">
        <f>Travail!AS87</f>
        <v>0</v>
      </c>
      <c r="H16" s="76">
        <f>Travail!AS105</f>
        <v>8</v>
      </c>
      <c r="I16" s="76">
        <f>Travail!AS123</f>
        <v>0</v>
      </c>
      <c r="J16" s="76">
        <f>Travail!AS141</f>
        <v>0</v>
      </c>
      <c r="K16" s="76">
        <f>Travail!AS159</f>
        <v>0</v>
      </c>
      <c r="L16" s="76">
        <f>Travail!AS177</f>
        <v>0</v>
      </c>
      <c r="M16" s="76">
        <f>Travail!AS195</f>
        <v>0</v>
      </c>
      <c r="N16" s="76">
        <f>Travail!AS213</f>
        <v>0</v>
      </c>
      <c r="O16" s="88"/>
      <c r="P16" s="76">
        <f t="shared" si="4"/>
        <v>40</v>
      </c>
    </row>
    <row r="17" spans="1:17" x14ac:dyDescent="0.25">
      <c r="A17" s="52" t="s">
        <v>60</v>
      </c>
      <c r="C17" s="76">
        <f>Travail!AS16</f>
        <v>8</v>
      </c>
      <c r="D17" s="76">
        <f>Travail!AS34</f>
        <v>0</v>
      </c>
      <c r="E17" s="76">
        <f>Travail!AS52</f>
        <v>8</v>
      </c>
      <c r="F17" s="76">
        <f>Travail!AS70</f>
        <v>16</v>
      </c>
      <c r="G17" s="76">
        <f>Travail!AS88</f>
        <v>0</v>
      </c>
      <c r="H17" s="76">
        <f>Travail!AS106</f>
        <v>16</v>
      </c>
      <c r="I17" s="76">
        <f>Travail!AS124</f>
        <v>0</v>
      </c>
      <c r="J17" s="76">
        <f>Travail!AS142</f>
        <v>0</v>
      </c>
      <c r="K17" s="76">
        <f>Travail!AS160</f>
        <v>0</v>
      </c>
      <c r="L17" s="76">
        <f>Travail!AS178</f>
        <v>0</v>
      </c>
      <c r="M17" s="76">
        <f>Travail!AS196</f>
        <v>0</v>
      </c>
      <c r="N17" s="76">
        <f>Travail!AS214</f>
        <v>0</v>
      </c>
      <c r="O17" s="88"/>
      <c r="P17" s="76">
        <f t="shared" si="4"/>
        <v>48</v>
      </c>
    </row>
    <row r="18" spans="1:17" x14ac:dyDescent="0.25">
      <c r="A18" s="37" t="s">
        <v>62</v>
      </c>
      <c r="C18" s="76">
        <f>Travail!AS17</f>
        <v>0</v>
      </c>
      <c r="D18" s="76">
        <f>Travail!AS35</f>
        <v>5</v>
      </c>
      <c r="E18" s="76">
        <f>Travail!AS53</f>
        <v>0</v>
      </c>
      <c r="F18" s="76">
        <f>Travail!AS71</f>
        <v>4</v>
      </c>
      <c r="G18" s="76">
        <f>Travail!AS89</f>
        <v>0</v>
      </c>
      <c r="H18" s="76">
        <f>Travail!AS107</f>
        <v>0</v>
      </c>
      <c r="I18" s="76">
        <f>Travail!AS125</f>
        <v>0</v>
      </c>
      <c r="J18" s="76">
        <f>Travail!AS143</f>
        <v>7</v>
      </c>
      <c r="K18" s="76">
        <f>Travail!AS161</f>
        <v>0</v>
      </c>
      <c r="L18" s="76">
        <f>Travail!AS179</f>
        <v>0</v>
      </c>
      <c r="M18" s="76">
        <f>Travail!AS197</f>
        <v>0</v>
      </c>
      <c r="N18" s="76">
        <f>Travail!AS215</f>
        <v>0</v>
      </c>
      <c r="O18" s="88"/>
      <c r="P18" s="76">
        <f>SUM(C18:F18)</f>
        <v>9</v>
      </c>
      <c r="Q18" t="s">
        <v>103</v>
      </c>
    </row>
    <row r="19" spans="1:17" x14ac:dyDescent="0.25">
      <c r="A19" s="52" t="s">
        <v>61</v>
      </c>
      <c r="C19" s="76">
        <f>Travail!AS18</f>
        <v>0</v>
      </c>
      <c r="D19" s="76">
        <f>Travail!AS36</f>
        <v>0</v>
      </c>
      <c r="E19" s="76">
        <f>Travail!AS54</f>
        <v>0</v>
      </c>
      <c r="F19" s="76">
        <f>Travail!AS72</f>
        <v>0</v>
      </c>
      <c r="G19" s="76">
        <f>Travail!AS90</f>
        <v>16</v>
      </c>
      <c r="H19" s="76">
        <f>Travail!AS108</f>
        <v>0</v>
      </c>
      <c r="I19" s="76">
        <f>Travail!AS126</f>
        <v>16</v>
      </c>
      <c r="J19" s="76">
        <f>Travail!AS144</f>
        <v>0</v>
      </c>
      <c r="K19" s="76">
        <f>Travail!AS162</f>
        <v>0</v>
      </c>
      <c r="L19" s="76">
        <f>Travail!AS180</f>
        <v>0</v>
      </c>
      <c r="M19" s="76">
        <f>Travail!AS198</f>
        <v>0</v>
      </c>
      <c r="N19" s="76">
        <f>Travail!AS216</f>
        <v>0</v>
      </c>
      <c r="O19" s="88"/>
      <c r="P19" s="76">
        <f t="shared" si="4"/>
        <v>32</v>
      </c>
    </row>
    <row r="20" spans="1:17" x14ac:dyDescent="0.25">
      <c r="A20" s="52" t="s">
        <v>95</v>
      </c>
      <c r="B20" s="87"/>
      <c r="C20" s="76">
        <f>Travail!AS19</f>
        <v>0.8</v>
      </c>
      <c r="D20" s="76">
        <f>Travail!AS37</f>
        <v>0</v>
      </c>
      <c r="E20" s="76">
        <f>Travail!AS55</f>
        <v>0.8</v>
      </c>
      <c r="F20" s="76">
        <f>Travail!AS73</f>
        <v>0.16</v>
      </c>
      <c r="G20" s="76">
        <f>Travail!AS91</f>
        <v>0.96000000000000008</v>
      </c>
      <c r="H20" s="76">
        <f>Travail!AS109</f>
        <v>0.8</v>
      </c>
      <c r="I20" s="76">
        <f>Travail!AS127</f>
        <v>2.34</v>
      </c>
      <c r="J20" s="76">
        <f>Travail!AS145</f>
        <v>0</v>
      </c>
      <c r="K20" s="76">
        <f>Travail!AS163</f>
        <v>0</v>
      </c>
      <c r="L20" s="76">
        <f>Travail!AS181</f>
        <v>0</v>
      </c>
      <c r="M20" s="76">
        <f>Travail!AS199</f>
        <v>0</v>
      </c>
      <c r="N20" s="76">
        <f>Travail!AS217</f>
        <v>0</v>
      </c>
      <c r="O20" s="88"/>
      <c r="P20" s="76">
        <f t="shared" si="4"/>
        <v>5.86</v>
      </c>
    </row>
    <row r="21" spans="1:17" x14ac:dyDescent="0.25">
      <c r="A21" s="52" t="s">
        <v>96</v>
      </c>
      <c r="C21" s="76">
        <f>Travail!AT5</f>
        <v>2</v>
      </c>
      <c r="D21" s="76">
        <f>Travail!AT23</f>
        <v>5</v>
      </c>
      <c r="E21" s="76">
        <f>Travail!AT41</f>
        <v>13</v>
      </c>
      <c r="F21" s="76">
        <f>Travail!AT59</f>
        <v>18</v>
      </c>
      <c r="G21" s="76">
        <f>Travail!AT77</f>
        <v>8</v>
      </c>
      <c r="H21" s="76">
        <f>Travail!AT95</f>
        <v>8</v>
      </c>
      <c r="I21" s="76">
        <f>Travail!AT113</f>
        <v>26</v>
      </c>
      <c r="J21" s="76">
        <f>Travail!AT131</f>
        <v>5</v>
      </c>
      <c r="K21" s="76">
        <f>Travail!AT149</f>
        <v>0</v>
      </c>
      <c r="L21" s="76">
        <f>Travail!AT167</f>
        <v>0</v>
      </c>
      <c r="M21" s="76">
        <f>Travail!AT185</f>
        <v>0</v>
      </c>
      <c r="N21" s="76">
        <f>Travail!AT203</f>
        <v>0</v>
      </c>
      <c r="O21" s="88"/>
      <c r="P21" s="76"/>
    </row>
    <row r="22" spans="1:17" x14ac:dyDescent="0.25">
      <c r="A22" s="52" t="s">
        <v>97</v>
      </c>
      <c r="C22" s="76">
        <f>Travail!AU5</f>
        <v>2</v>
      </c>
      <c r="D22" s="76">
        <f>Travail!AU23</f>
        <v>7</v>
      </c>
      <c r="E22" s="76">
        <f>Travail!AU41</f>
        <v>20</v>
      </c>
      <c r="F22" s="76">
        <f>Travail!AU59</f>
        <v>38</v>
      </c>
      <c r="G22" s="76">
        <f>Travail!AU77</f>
        <v>46</v>
      </c>
      <c r="H22" s="76">
        <f>Travail!AU95</f>
        <v>54</v>
      </c>
      <c r="I22" s="76">
        <f>Travail!AU113</f>
        <v>80</v>
      </c>
      <c r="J22" s="76">
        <f>Travail!AU131</f>
        <v>85</v>
      </c>
      <c r="K22" s="76">
        <f>Travail!AU149</f>
        <v>85</v>
      </c>
      <c r="L22" s="76">
        <f>Travail!AU167</f>
        <v>85</v>
      </c>
      <c r="M22" s="76">
        <f>Travail!AU185</f>
        <v>85</v>
      </c>
      <c r="N22" s="76">
        <f>Travail!AU203</f>
        <v>85</v>
      </c>
      <c r="O22" s="88"/>
      <c r="P22" s="76">
        <f>N22</f>
        <v>85</v>
      </c>
    </row>
    <row r="24" spans="1:17" x14ac:dyDescent="0.25">
      <c r="A24" s="52"/>
    </row>
    <row r="25" spans="1:17" x14ac:dyDescent="0.25">
      <c r="A25" s="5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workbookViewId="0">
      <selection activeCell="B2" sqref="B2"/>
    </sheetView>
  </sheetViews>
  <sheetFormatPr baseColWidth="10" defaultRowHeight="15" x14ac:dyDescent="0.25"/>
  <cols>
    <col min="1" max="1" width="14.81640625" bestFit="1" customWidth="1"/>
  </cols>
  <sheetData>
    <row r="2" spans="1:8" x14ac:dyDescent="0.25">
      <c r="A2" t="s">
        <v>44</v>
      </c>
      <c r="B2" s="28">
        <v>13.08</v>
      </c>
      <c r="E2" s="24" t="s">
        <v>42</v>
      </c>
      <c r="F2" s="24" t="s">
        <v>39</v>
      </c>
      <c r="G2" s="24" t="s">
        <v>41</v>
      </c>
      <c r="H2" s="24" t="s">
        <v>5</v>
      </c>
    </row>
    <row r="3" spans="1:8" x14ac:dyDescent="0.25">
      <c r="A3" t="s">
        <v>43</v>
      </c>
      <c r="B3" s="29">
        <v>138.66999999999999</v>
      </c>
      <c r="C3" s="22">
        <f>B2*B3</f>
        <v>1813.8035999999997</v>
      </c>
      <c r="E3" s="22">
        <f>B5*125/100</f>
        <v>12.753000000000002</v>
      </c>
      <c r="F3" s="22">
        <f>B5*150/100</f>
        <v>15.303600000000001</v>
      </c>
      <c r="G3" s="22">
        <f>B5*2</f>
        <v>20.404800000000002</v>
      </c>
      <c r="H3" s="22">
        <v>50</v>
      </c>
    </row>
    <row r="4" spans="1:8" x14ac:dyDescent="0.25">
      <c r="A4" t="s">
        <v>46</v>
      </c>
      <c r="B4">
        <v>22</v>
      </c>
    </row>
    <row r="5" spans="1:8" x14ac:dyDescent="0.25">
      <c r="A5" t="s">
        <v>45</v>
      </c>
      <c r="B5" s="22">
        <f>(100-B4)*B2/100</f>
        <v>10.202400000000001</v>
      </c>
      <c r="C5" s="22">
        <f>B3*B5</f>
        <v>1414.7668080000001</v>
      </c>
    </row>
    <row r="6" spans="1:8" x14ac:dyDescent="0.25">
      <c r="A6" t="s">
        <v>12</v>
      </c>
      <c r="B6">
        <v>35</v>
      </c>
    </row>
    <row r="7" spans="1:8" x14ac:dyDescent="0.25">
      <c r="A7" t="s">
        <v>47</v>
      </c>
      <c r="B7">
        <v>85</v>
      </c>
    </row>
    <row r="8" spans="1:8" x14ac:dyDescent="0.25">
      <c r="A8" t="s">
        <v>48</v>
      </c>
      <c r="B8">
        <v>150</v>
      </c>
      <c r="C8" s="22">
        <f>C5+B6+B7+B8</f>
        <v>1684.7668080000001</v>
      </c>
    </row>
    <row r="10" spans="1:8" x14ac:dyDescent="0.25">
      <c r="A10" t="s">
        <v>49</v>
      </c>
      <c r="B10" s="29">
        <v>1650</v>
      </c>
    </row>
    <row r="13" spans="1:8" ht="15.6" x14ac:dyDescent="0.3">
      <c r="A13" s="9" t="s">
        <v>52</v>
      </c>
      <c r="B13" s="9"/>
      <c r="C13" s="9" t="s">
        <v>53</v>
      </c>
    </row>
    <row r="14" spans="1:8" ht="15.6" x14ac:dyDescent="0.3">
      <c r="A14" s="9" t="s">
        <v>50</v>
      </c>
      <c r="B14" s="9"/>
      <c r="C14" s="25">
        <v>0.25</v>
      </c>
    </row>
    <row r="15" spans="1:8" ht="15.6" x14ac:dyDescent="0.3">
      <c r="A15" s="9" t="s">
        <v>51</v>
      </c>
      <c r="B15" s="9"/>
      <c r="C15" s="25">
        <v>0.5</v>
      </c>
    </row>
    <row r="16" spans="1:8" ht="15.6" x14ac:dyDescent="0.3">
      <c r="A16" s="9" t="s">
        <v>54</v>
      </c>
      <c r="B16" s="9"/>
      <c r="C16" s="25">
        <v>0.02</v>
      </c>
    </row>
    <row r="17" spans="1:3" ht="15.6" x14ac:dyDescent="0.3">
      <c r="A17" s="9" t="s">
        <v>55</v>
      </c>
      <c r="B17" s="9"/>
      <c r="C17" s="25">
        <v>2</v>
      </c>
    </row>
    <row r="18" spans="1:3" ht="15.6" x14ac:dyDescent="0.3">
      <c r="A18" s="9" t="s">
        <v>56</v>
      </c>
      <c r="B18" s="9"/>
      <c r="C18" s="26">
        <v>82</v>
      </c>
    </row>
    <row r="19" spans="1:3" ht="15.6" x14ac:dyDescent="0.3">
      <c r="A19" s="9" t="s">
        <v>57</v>
      </c>
      <c r="B19" s="9"/>
      <c r="C19" s="27" t="s">
        <v>58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C5" sqref="C5"/>
    </sheetView>
  </sheetViews>
  <sheetFormatPr baseColWidth="10" defaultColWidth="11.54296875" defaultRowHeight="15.6" x14ac:dyDescent="0.3"/>
  <cols>
    <col min="1" max="1" width="20.54296875" style="9" customWidth="1"/>
    <col min="2" max="2" width="13.81640625" style="9" bestFit="1" customWidth="1"/>
    <col min="3" max="3" width="17.453125" style="9" bestFit="1" customWidth="1"/>
    <col min="4" max="4" width="14.81640625" style="9" bestFit="1" customWidth="1"/>
    <col min="5" max="5" width="15.1796875" style="9" bestFit="1" customWidth="1"/>
    <col min="6" max="16384" width="11.54296875" style="9"/>
  </cols>
  <sheetData>
    <row r="1" spans="1:5" x14ac:dyDescent="0.3">
      <c r="A1" s="9" t="s">
        <v>6</v>
      </c>
      <c r="B1" s="9">
        <v>12.762</v>
      </c>
    </row>
    <row r="3" spans="1:5" s="10" customFormat="1" x14ac:dyDescent="0.3">
      <c r="B3" s="10" t="s">
        <v>8</v>
      </c>
      <c r="C3" s="10" t="s">
        <v>9</v>
      </c>
      <c r="D3" s="10" t="s">
        <v>10</v>
      </c>
      <c r="E3" s="10" t="s">
        <v>11</v>
      </c>
    </row>
    <row r="4" spans="1:5" x14ac:dyDescent="0.3">
      <c r="A4" s="9" t="s">
        <v>7</v>
      </c>
      <c r="B4" s="9">
        <v>138.66999999999999</v>
      </c>
      <c r="D4" s="11">
        <f>B4*B1</f>
        <v>1769.7065399999999</v>
      </c>
    </row>
    <row r="5" spans="1:5" x14ac:dyDescent="0.3">
      <c r="A5" s="12" t="s">
        <v>12</v>
      </c>
      <c r="B5" s="12"/>
      <c r="C5" s="12"/>
      <c r="D5" s="18">
        <v>35</v>
      </c>
    </row>
    <row r="6" spans="1:5" x14ac:dyDescent="0.3">
      <c r="A6" s="9" t="s">
        <v>13</v>
      </c>
      <c r="B6" s="18"/>
      <c r="D6" s="9">
        <f>C6*B6</f>
        <v>0</v>
      </c>
    </row>
    <row r="7" spans="1:5" x14ac:dyDescent="0.3">
      <c r="A7" s="9" t="s">
        <v>14</v>
      </c>
      <c r="B7" s="18"/>
    </row>
    <row r="8" spans="1:5" x14ac:dyDescent="0.3">
      <c r="A8" s="9" t="s">
        <v>15</v>
      </c>
      <c r="B8" s="18"/>
    </row>
    <row r="9" spans="1:5" x14ac:dyDescent="0.3">
      <c r="A9" s="9" t="s">
        <v>16</v>
      </c>
      <c r="B9" s="9">
        <v>1689.3</v>
      </c>
      <c r="C9" s="18">
        <v>3</v>
      </c>
      <c r="D9" s="11">
        <f>B9*C9/100</f>
        <v>50.678999999999995</v>
      </c>
    </row>
    <row r="10" spans="1:5" x14ac:dyDescent="0.3">
      <c r="A10" s="9" t="s">
        <v>17</v>
      </c>
    </row>
    <row r="11" spans="1:5" x14ac:dyDescent="0.3">
      <c r="A11" s="9" t="s">
        <v>18</v>
      </c>
    </row>
    <row r="12" spans="1:5" x14ac:dyDescent="0.3">
      <c r="A12" s="9" t="s">
        <v>19</v>
      </c>
    </row>
    <row r="13" spans="1:5" x14ac:dyDescent="0.3">
      <c r="A13" s="12" t="s">
        <v>20</v>
      </c>
      <c r="B13" s="12"/>
      <c r="C13" s="12"/>
      <c r="D13" s="18">
        <v>80</v>
      </c>
    </row>
    <row r="16" spans="1:5" x14ac:dyDescent="0.3">
      <c r="A16" s="13" t="s">
        <v>21</v>
      </c>
      <c r="B16" s="13"/>
      <c r="C16" s="14" t="s">
        <v>31</v>
      </c>
      <c r="D16" s="15">
        <f>SUM(D4:D15)</f>
        <v>1935.38554</v>
      </c>
    </row>
    <row r="18" spans="1:4" x14ac:dyDescent="0.3">
      <c r="A18" s="9" t="s">
        <v>22</v>
      </c>
      <c r="B18" s="9">
        <f>D16</f>
        <v>1935.38554</v>
      </c>
      <c r="C18" s="9">
        <v>0.75</v>
      </c>
      <c r="D18" s="11">
        <f>B18*C18/100</f>
        <v>14.515391549999999</v>
      </c>
    </row>
    <row r="19" spans="1:4" x14ac:dyDescent="0.3">
      <c r="A19" s="9" t="s">
        <v>23</v>
      </c>
      <c r="B19" s="9">
        <f>D16</f>
        <v>1935.38554</v>
      </c>
      <c r="C19" s="9">
        <v>6.65</v>
      </c>
      <c r="D19" s="11">
        <f>B19*C19/100</f>
        <v>128.70313841000001</v>
      </c>
    </row>
    <row r="20" spans="1:4" x14ac:dyDescent="0.3">
      <c r="A20" s="9" t="s">
        <v>24</v>
      </c>
      <c r="B20" s="9">
        <f>D16</f>
        <v>1935.38554</v>
      </c>
      <c r="C20" s="9">
        <v>0.1</v>
      </c>
      <c r="D20" s="11">
        <f>C20*B20/100</f>
        <v>1.93538554</v>
      </c>
    </row>
    <row r="22" spans="1:4" x14ac:dyDescent="0.3">
      <c r="A22" s="9" t="s">
        <v>25</v>
      </c>
      <c r="B22" s="9">
        <f>D16</f>
        <v>1935.38554</v>
      </c>
      <c r="C22" s="9">
        <v>5.0999999999999996</v>
      </c>
      <c r="D22" s="11">
        <f>C22*B22/100</f>
        <v>98.704662539999987</v>
      </c>
    </row>
    <row r="23" spans="1:4" x14ac:dyDescent="0.3">
      <c r="A23" s="9" t="s">
        <v>26</v>
      </c>
      <c r="B23" s="9">
        <f>D16</f>
        <v>1935.38554</v>
      </c>
      <c r="C23" s="9">
        <v>2.4</v>
      </c>
      <c r="D23" s="11">
        <f>C23*B23/100</f>
        <v>46.449252959999995</v>
      </c>
    </row>
    <row r="25" spans="1:4" x14ac:dyDescent="0.3">
      <c r="A25" s="9" t="s">
        <v>27</v>
      </c>
      <c r="B25" s="9">
        <f>D16</f>
        <v>1935.38554</v>
      </c>
      <c r="C25" s="9">
        <v>0.8</v>
      </c>
      <c r="D25" s="11">
        <f>C25*B25/100</f>
        <v>15.48308432</v>
      </c>
    </row>
    <row r="26" spans="1:4" x14ac:dyDescent="0.3">
      <c r="A26" s="9" t="s">
        <v>28</v>
      </c>
      <c r="B26" s="9">
        <f>D16</f>
        <v>1935.38554</v>
      </c>
      <c r="C26" s="9">
        <v>3</v>
      </c>
      <c r="D26" s="11">
        <f>C26*B26/100</f>
        <v>58.061566199999994</v>
      </c>
    </row>
    <row r="27" spans="1:4" x14ac:dyDescent="0.3">
      <c r="A27" s="9" t="s">
        <v>29</v>
      </c>
      <c r="B27" s="18">
        <f>D16</f>
        <v>1935.38554</v>
      </c>
      <c r="C27" s="9">
        <v>2.2799999999999998</v>
      </c>
      <c r="D27" s="11">
        <f>C27*B27/100</f>
        <v>44.126790311999997</v>
      </c>
    </row>
    <row r="29" spans="1:4" x14ac:dyDescent="0.3">
      <c r="A29" s="9" t="s">
        <v>30</v>
      </c>
      <c r="B29" s="9">
        <f>D16</f>
        <v>1935.38554</v>
      </c>
      <c r="C29" s="9">
        <v>0.21</v>
      </c>
      <c r="D29" s="11">
        <f>C29*B29/100</f>
        <v>4.0643096339999998</v>
      </c>
    </row>
    <row r="31" spans="1:4" x14ac:dyDescent="0.3">
      <c r="C31" s="14" t="s">
        <v>32</v>
      </c>
      <c r="D31" s="15">
        <f>SUM(D18:D30)</f>
        <v>412.04358146599998</v>
      </c>
    </row>
    <row r="33" spans="1:4" x14ac:dyDescent="0.3">
      <c r="A33" s="12" t="s">
        <v>33</v>
      </c>
      <c r="B33" s="12"/>
      <c r="C33" s="12">
        <v>3.51</v>
      </c>
      <c r="D33" s="12">
        <f>C33</f>
        <v>3.51</v>
      </c>
    </row>
    <row r="34" spans="1:4" x14ac:dyDescent="0.3">
      <c r="A34" s="9" t="s">
        <v>34</v>
      </c>
      <c r="B34" s="18"/>
      <c r="C34" s="18"/>
    </row>
    <row r="36" spans="1:4" x14ac:dyDescent="0.3">
      <c r="C36" s="14" t="s">
        <v>31</v>
      </c>
      <c r="D36" s="13">
        <f>SUM(D33:D34)</f>
        <v>3.51</v>
      </c>
    </row>
    <row r="38" spans="1:4" x14ac:dyDescent="0.3">
      <c r="A38" s="9" t="s">
        <v>35</v>
      </c>
      <c r="B38" s="18"/>
      <c r="C38" s="9">
        <v>1.4</v>
      </c>
      <c r="D38" s="9">
        <f>C38*B38</f>
        <v>0</v>
      </c>
    </row>
    <row r="39" spans="1:4" x14ac:dyDescent="0.3">
      <c r="A39" s="9" t="s">
        <v>36</v>
      </c>
      <c r="C39" s="9">
        <v>2.4</v>
      </c>
    </row>
    <row r="40" spans="1:4" x14ac:dyDescent="0.3">
      <c r="A40" s="9" t="s">
        <v>37</v>
      </c>
      <c r="C40" s="9">
        <v>0.5</v>
      </c>
    </row>
    <row r="42" spans="1:4" x14ac:dyDescent="0.3">
      <c r="C42" s="14" t="s">
        <v>32</v>
      </c>
      <c r="D42" s="13">
        <f>SUM(D38:D41)</f>
        <v>0</v>
      </c>
    </row>
    <row r="45" spans="1:4" ht="20.399999999999999" x14ac:dyDescent="0.35">
      <c r="C45" s="16" t="s">
        <v>38</v>
      </c>
      <c r="D45" s="17">
        <f>D16-D31+D36-D42</f>
        <v>1526.851958534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Travail</vt:lpstr>
      <vt:lpstr>Synthése</vt:lpstr>
      <vt:lpstr>Calcul</vt:lpstr>
      <vt:lpstr>Paie</vt:lpstr>
      <vt:lpstr>Année_Calendaire</vt:lpstr>
      <vt:lpstr>Travail!Zone_d_impression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2012-08-30T13:50:50Z</dcterms:created>
  <dcterms:modified xsi:type="dcterms:W3CDTF">2016-07-30T06:09:38Z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